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8. 31 ส.ค. 66\"/>
    </mc:Choice>
  </mc:AlternateContent>
  <xr:revisionPtr revIDLastSave="0" documentId="13_ncr:1_{10F05670-B9B7-4997-B6B9-57AC8122DC84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แปลงใหญ่!$A:$B,แปลงใหญ่!$1:$6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ศูนย์บริการ!$A:$B,ศูนย์บริการ!$1:$6</definedName>
    <definedName name="_xlnm.Print_Titles" localSheetId="3">สมุนไพร!$A:$B,สมุนไพร!$1:$6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AE40" i="1" l="1"/>
  <c r="AD40" i="1"/>
  <c r="AA40" i="1"/>
  <c r="Z40" i="1"/>
  <c r="O116" i="13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O11" i="13" s="1"/>
  <c r="L104" i="13"/>
  <c r="L11" i="13" s="1"/>
  <c r="I104" i="13"/>
  <c r="H104" i="13"/>
  <c r="H11" i="13" s="1"/>
  <c r="G104" i="13"/>
  <c r="P104" i="13" s="1"/>
  <c r="F104" i="13"/>
  <c r="F11" i="13" s="1"/>
  <c r="E104" i="13"/>
  <c r="E11" i="13" s="1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O98" i="13"/>
  <c r="L98" i="13"/>
  <c r="I98" i="13"/>
  <c r="H98" i="13"/>
  <c r="G98" i="13"/>
  <c r="F98" i="13"/>
  <c r="E98" i="13"/>
  <c r="O97" i="13"/>
  <c r="L97" i="13"/>
  <c r="I97" i="13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A94" i="13"/>
  <c r="A95" i="13" s="1"/>
  <c r="A96" i="13" s="1"/>
  <c r="A97" i="13" s="1"/>
  <c r="A98" i="13" s="1"/>
  <c r="A99" i="13" s="1"/>
  <c r="A100" i="13" s="1"/>
  <c r="A101" i="13" s="1"/>
  <c r="A102" i="13" s="1"/>
  <c r="A103" i="13" s="1"/>
  <c r="O93" i="13"/>
  <c r="L93" i="13"/>
  <c r="I93" i="13"/>
  <c r="Q93" i="13" s="1"/>
  <c r="H93" i="13"/>
  <c r="G93" i="13"/>
  <c r="F93" i="13"/>
  <c r="E93" i="13"/>
  <c r="A93" i="13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Q91" i="13" s="1"/>
  <c r="H91" i="13"/>
  <c r="G91" i="13"/>
  <c r="F91" i="13"/>
  <c r="E91" i="13"/>
  <c r="O90" i="13"/>
  <c r="L90" i="13"/>
  <c r="I90" i="13"/>
  <c r="Q90" i="13" s="1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X13" i="13" s="1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K12" i="13"/>
  <c r="J12" i="13"/>
  <c r="C12" i="13"/>
  <c r="AF11" i="13"/>
  <c r="G11" i="13"/>
  <c r="P11" i="13" s="1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L104" i="12"/>
  <c r="L11" i="12" s="1"/>
  <c r="I104" i="12"/>
  <c r="I11" i="12" s="1"/>
  <c r="H104" i="12"/>
  <c r="H11" i="12" s="1"/>
  <c r="G104" i="12"/>
  <c r="P104" i="12" s="1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G94" i="12"/>
  <c r="P94" i="12" s="1"/>
  <c r="F94" i="12"/>
  <c r="E94" i="12"/>
  <c r="O93" i="12"/>
  <c r="L93" i="12"/>
  <c r="I93" i="12"/>
  <c r="Q93" i="12" s="1"/>
  <c r="H93" i="12"/>
  <c r="N93" i="12" s="1"/>
  <c r="G93" i="12"/>
  <c r="P93" i="12" s="1"/>
  <c r="F93" i="12"/>
  <c r="E93" i="12"/>
  <c r="A93" i="12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H91" i="12"/>
  <c r="N91" i="12" s="1"/>
  <c r="G91" i="12"/>
  <c r="P91" i="12" s="1"/>
  <c r="F91" i="12"/>
  <c r="E91" i="12"/>
  <c r="O90" i="12"/>
  <c r="L90" i="12"/>
  <c r="I90" i="12"/>
  <c r="Q90" i="12" s="1"/>
  <c r="H90" i="12"/>
  <c r="N90" i="12" s="1"/>
  <c r="G90" i="12"/>
  <c r="P90" i="12" s="1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Q80" i="12" s="1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P79" i="12" s="1"/>
  <c r="F79" i="12"/>
  <c r="E79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H76" i="12"/>
  <c r="G76" i="12"/>
  <c r="P76" i="12" s="1"/>
  <c r="F76" i="12"/>
  <c r="E76" i="12"/>
  <c r="Z75" i="12"/>
  <c r="Y75" i="12"/>
  <c r="X75" i="12"/>
  <c r="V75" i="12"/>
  <c r="U75" i="12"/>
  <c r="S75" i="12"/>
  <c r="R75" i="12"/>
  <c r="O75" i="12"/>
  <c r="L75" i="12"/>
  <c r="I75" i="12"/>
  <c r="Q75" i="12" s="1"/>
  <c r="H75" i="12"/>
  <c r="G75" i="12"/>
  <c r="P75" i="12" s="1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Q53" i="12" s="1"/>
  <c r="H53" i="12"/>
  <c r="G53" i="12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P43" i="12" s="1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Q32" i="12" s="1"/>
  <c r="H32" i="12"/>
  <c r="G32" i="12"/>
  <c r="P32" i="12" s="1"/>
  <c r="F32" i="12"/>
  <c r="E32" i="12"/>
  <c r="Z30" i="12"/>
  <c r="Y30" i="12"/>
  <c r="X30" i="12"/>
  <c r="V30" i="12"/>
  <c r="U30" i="12"/>
  <c r="S30" i="12"/>
  <c r="R30" i="12"/>
  <c r="O30" i="12"/>
  <c r="L30" i="12"/>
  <c r="I30" i="12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Z21" i="12"/>
  <c r="Y21" i="12"/>
  <c r="X21" i="12"/>
  <c r="V21" i="12"/>
  <c r="U21" i="12"/>
  <c r="S21" i="12"/>
  <c r="R21" i="12"/>
  <c r="O21" i="12"/>
  <c r="L21" i="12"/>
  <c r="I21" i="12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H14" i="12"/>
  <c r="G14" i="12"/>
  <c r="F14" i="12"/>
  <c r="E14" i="12"/>
  <c r="W12" i="12"/>
  <c r="T12" i="12"/>
  <c r="Q12" i="12"/>
  <c r="N12" i="12"/>
  <c r="M12" i="12"/>
  <c r="K12" i="12"/>
  <c r="J12" i="12"/>
  <c r="C12" i="12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N105" i="11" s="1"/>
  <c r="G105" i="11"/>
  <c r="P105" i="11" s="1"/>
  <c r="F105" i="11"/>
  <c r="E105" i="11"/>
  <c r="O104" i="11"/>
  <c r="L104" i="11"/>
  <c r="L11" i="11" s="1"/>
  <c r="I104" i="11"/>
  <c r="I11" i="11" s="1"/>
  <c r="H104" i="11"/>
  <c r="N104" i="11" s="1"/>
  <c r="G104" i="11"/>
  <c r="P104" i="11" s="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A98" i="11"/>
  <c r="A99" i="11" s="1"/>
  <c r="A100" i="11" s="1"/>
  <c r="A101" i="11" s="1"/>
  <c r="A102" i="11" s="1"/>
  <c r="A103" i="11" s="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Q93" i="11" s="1"/>
  <c r="H93" i="11"/>
  <c r="N93" i="11" s="1"/>
  <c r="G93" i="11"/>
  <c r="P93" i="11" s="1"/>
  <c r="F93" i="11"/>
  <c r="E93" i="11"/>
  <c r="A93" i="11"/>
  <c r="A94" i="11" s="1"/>
  <c r="A95" i="11" s="1"/>
  <c r="A96" i="11" s="1"/>
  <c r="A97" i="11" s="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I90" i="11"/>
  <c r="H90" i="11"/>
  <c r="G90" i="1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G55" i="11"/>
  <c r="P55" i="11" s="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P53" i="11" s="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N33" i="11" s="1"/>
  <c r="G33" i="11"/>
  <c r="P33" i="11" s="1"/>
  <c r="F33" i="11"/>
  <c r="E33" i="11"/>
  <c r="S32" i="11"/>
  <c r="R32" i="11"/>
  <c r="O32" i="11"/>
  <c r="L32" i="11"/>
  <c r="I32" i="11"/>
  <c r="H32" i="11"/>
  <c r="G32" i="11"/>
  <c r="P32" i="11" s="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O19" i="11"/>
  <c r="L19" i="11"/>
  <c r="I19" i="1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G15" i="11"/>
  <c r="F15" i="11"/>
  <c r="E15" i="11"/>
  <c r="S14" i="11"/>
  <c r="R14" i="11"/>
  <c r="O14" i="11"/>
  <c r="L14" i="11"/>
  <c r="I14" i="11"/>
  <c r="Q14" i="11" s="1"/>
  <c r="H14" i="11"/>
  <c r="G14" i="11"/>
  <c r="P14" i="11" s="1"/>
  <c r="F14" i="11"/>
  <c r="E14" i="11"/>
  <c r="T12" i="11"/>
  <c r="Q12" i="11"/>
  <c r="N12" i="11"/>
  <c r="M12" i="11"/>
  <c r="K12" i="11"/>
  <c r="J12" i="11"/>
  <c r="C12" i="1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G111" i="10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O11" i="10" s="1"/>
  <c r="L104" i="10"/>
  <c r="L11" i="10" s="1"/>
  <c r="I104" i="10"/>
  <c r="Q104" i="10" s="1"/>
  <c r="H104" i="10"/>
  <c r="H11" i="10" s="1"/>
  <c r="G104" i="10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Q92" i="10" s="1"/>
  <c r="H92" i="10"/>
  <c r="G92" i="10"/>
  <c r="P92" i="10" s="1"/>
  <c r="F92" i="10"/>
  <c r="E92" i="10"/>
  <c r="O91" i="10"/>
  <c r="L91" i="10"/>
  <c r="I91" i="10"/>
  <c r="Q91" i="10" s="1"/>
  <c r="H91" i="10"/>
  <c r="N91" i="10" s="1"/>
  <c r="G91" i="10"/>
  <c r="P91" i="10" s="1"/>
  <c r="F91" i="10"/>
  <c r="E91" i="10"/>
  <c r="O90" i="10"/>
  <c r="L90" i="10"/>
  <c r="I90" i="10"/>
  <c r="Q90" i="10" s="1"/>
  <c r="H90" i="10"/>
  <c r="N90" i="10" s="1"/>
  <c r="G90" i="10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U87" i="10" s="1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R84" i="10"/>
  <c r="O84" i="10"/>
  <c r="L84" i="10"/>
  <c r="I84" i="10"/>
  <c r="Q84" i="10" s="1"/>
  <c r="H84" i="10"/>
  <c r="N84" i="10" s="1"/>
  <c r="G84" i="10"/>
  <c r="F84" i="10"/>
  <c r="E84" i="10"/>
  <c r="AA83" i="10"/>
  <c r="Z83" i="10"/>
  <c r="X83" i="10"/>
  <c r="V83" i="10"/>
  <c r="T83" i="10"/>
  <c r="S83" i="10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W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Q76" i="10" s="1"/>
  <c r="H76" i="10"/>
  <c r="G76" i="10"/>
  <c r="P76" i="10" s="1"/>
  <c r="F76" i="10"/>
  <c r="E76" i="10"/>
  <c r="AA75" i="10"/>
  <c r="Z75" i="10"/>
  <c r="X75" i="10"/>
  <c r="V75" i="10"/>
  <c r="T75" i="10"/>
  <c r="S75" i="10"/>
  <c r="R75" i="10"/>
  <c r="O75" i="10"/>
  <c r="L75" i="10"/>
  <c r="I75" i="10"/>
  <c r="H75" i="10"/>
  <c r="N75" i="10" s="1"/>
  <c r="G75" i="10"/>
  <c r="F75" i="10"/>
  <c r="E75" i="10"/>
  <c r="AA73" i="10"/>
  <c r="Z73" i="10"/>
  <c r="X73" i="10"/>
  <c r="V73" i="10"/>
  <c r="T73" i="10"/>
  <c r="S73" i="10"/>
  <c r="W73" i="10" s="1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Y65" i="10" s="1"/>
  <c r="R65" i="10"/>
  <c r="O65" i="10"/>
  <c r="L65" i="10"/>
  <c r="I65" i="10"/>
  <c r="Q65" i="10" s="1"/>
  <c r="H65" i="10"/>
  <c r="N65" i="10" s="1"/>
  <c r="G65" i="10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Y62" i="10" s="1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Y61" i="10" s="1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U60" i="10" s="1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P59" i="10" s="1"/>
  <c r="F59" i="10"/>
  <c r="E59" i="10"/>
  <c r="AA58" i="10"/>
  <c r="Z58" i="10"/>
  <c r="X58" i="10"/>
  <c r="V58" i="10"/>
  <c r="T58" i="10"/>
  <c r="S58" i="10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U54" i="10" s="1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Q53" i="10" s="1"/>
  <c r="H53" i="10"/>
  <c r="G53" i="10"/>
  <c r="P53" i="10" s="1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Y47" i="10" s="1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X46" i="10"/>
  <c r="V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AA45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A44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W37" i="10" s="1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X36" i="10"/>
  <c r="V36" i="10"/>
  <c r="T36" i="10"/>
  <c r="S36" i="10"/>
  <c r="R36" i="10"/>
  <c r="O36" i="10"/>
  <c r="L36" i="10"/>
  <c r="I36" i="10"/>
  <c r="Q36" i="10" s="1"/>
  <c r="H36" i="10"/>
  <c r="G36" i="10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Y34" i="10" s="1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F33" i="10"/>
  <c r="E33" i="10"/>
  <c r="AA32" i="10"/>
  <c r="Z32" i="10"/>
  <c r="X32" i="10"/>
  <c r="V32" i="10"/>
  <c r="T32" i="10"/>
  <c r="S32" i="10"/>
  <c r="R32" i="10"/>
  <c r="O32" i="10"/>
  <c r="L32" i="10"/>
  <c r="I32" i="10"/>
  <c r="H32" i="10"/>
  <c r="N32" i="10" s="1"/>
  <c r="G32" i="10"/>
  <c r="P32" i="10" s="1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Y27" i="10" s="1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Y25" i="10" s="1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W22" i="10" s="1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H14" i="10"/>
  <c r="G14" i="10"/>
  <c r="P14" i="10" s="1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I104" i="9"/>
  <c r="H104" i="9"/>
  <c r="H11" i="9" s="1"/>
  <c r="G104" i="9"/>
  <c r="P104" i="9" s="1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O94" i="9"/>
  <c r="L94" i="9"/>
  <c r="I94" i="9"/>
  <c r="Q94" i="9" s="1"/>
  <c r="H94" i="9"/>
  <c r="N94" i="9" s="1"/>
  <c r="G94" i="9"/>
  <c r="P94" i="9" s="1"/>
  <c r="F94" i="9"/>
  <c r="E94" i="9"/>
  <c r="A94" i="9"/>
  <c r="A95" i="9" s="1"/>
  <c r="A96" i="9" s="1"/>
  <c r="A97" i="9" s="1"/>
  <c r="A98" i="9" s="1"/>
  <c r="A99" i="9" s="1"/>
  <c r="A100" i="9" s="1"/>
  <c r="A101" i="9" s="1"/>
  <c r="A102" i="9" s="1"/>
  <c r="A103" i="9" s="1"/>
  <c r="O93" i="9"/>
  <c r="L93" i="9"/>
  <c r="I93" i="9"/>
  <c r="Q93" i="9" s="1"/>
  <c r="H93" i="9"/>
  <c r="G93" i="9"/>
  <c r="P93" i="9" s="1"/>
  <c r="F93" i="9"/>
  <c r="E93" i="9"/>
  <c r="A93" i="9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N91" i="9" s="1"/>
  <c r="G91" i="9"/>
  <c r="P91" i="9" s="1"/>
  <c r="F91" i="9"/>
  <c r="E91" i="9"/>
  <c r="O90" i="9"/>
  <c r="L90" i="9"/>
  <c r="I90" i="9"/>
  <c r="Q90" i="9" s="1"/>
  <c r="H90" i="9"/>
  <c r="N90" i="9" s="1"/>
  <c r="G90" i="9"/>
  <c r="P90" i="9" s="1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A87" i="9"/>
  <c r="Y87" i="9"/>
  <c r="X87" i="9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A86" i="9"/>
  <c r="Y86" i="9"/>
  <c r="X86" i="9"/>
  <c r="Z86" i="9" s="1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A85" i="9"/>
  <c r="Y85" i="9"/>
  <c r="X85" i="9"/>
  <c r="AB85" i="9" s="1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A84" i="9"/>
  <c r="Y84" i="9"/>
  <c r="X84" i="9"/>
  <c r="AB84" i="9" s="1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F83" i="9"/>
  <c r="AD83" i="9"/>
  <c r="AC83" i="9"/>
  <c r="AA83" i="9"/>
  <c r="Y83" i="9"/>
  <c r="X83" i="9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A82" i="9"/>
  <c r="Y82" i="9"/>
  <c r="X82" i="9"/>
  <c r="Z82" i="9" s="1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A81" i="9"/>
  <c r="Y81" i="9"/>
  <c r="X81" i="9"/>
  <c r="AB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A80" i="9"/>
  <c r="Y80" i="9"/>
  <c r="X80" i="9"/>
  <c r="AB80" i="9" s="1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A79" i="9"/>
  <c r="Y79" i="9"/>
  <c r="X79" i="9"/>
  <c r="AB79" i="9" s="1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A78" i="9"/>
  <c r="Y78" i="9"/>
  <c r="X78" i="9"/>
  <c r="V78" i="9"/>
  <c r="U78" i="9"/>
  <c r="W78" i="9" s="1"/>
  <c r="S78" i="9"/>
  <c r="R78" i="9"/>
  <c r="O78" i="9"/>
  <c r="L78" i="9"/>
  <c r="I78" i="9"/>
  <c r="Q78" i="9" s="1"/>
  <c r="H78" i="9"/>
  <c r="N78" i="9" s="1"/>
  <c r="G78" i="9"/>
  <c r="P78" i="9" s="1"/>
  <c r="F78" i="9"/>
  <c r="E78" i="9"/>
  <c r="AF77" i="9"/>
  <c r="AD77" i="9"/>
  <c r="AC77" i="9"/>
  <c r="AA77" i="9"/>
  <c r="Y77" i="9"/>
  <c r="X77" i="9"/>
  <c r="Z77" i="9" s="1"/>
  <c r="V77" i="9"/>
  <c r="U77" i="9"/>
  <c r="S77" i="9"/>
  <c r="R77" i="9"/>
  <c r="T77" i="9" s="1"/>
  <c r="O77" i="9"/>
  <c r="L77" i="9"/>
  <c r="I77" i="9"/>
  <c r="Q77" i="9" s="1"/>
  <c r="H77" i="9"/>
  <c r="G77" i="9"/>
  <c r="P77" i="9" s="1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Q75" i="9" s="1"/>
  <c r="H75" i="9"/>
  <c r="G75" i="9"/>
  <c r="P75" i="9" s="1"/>
  <c r="F75" i="9"/>
  <c r="E75" i="9"/>
  <c r="AF73" i="9"/>
  <c r="AD73" i="9"/>
  <c r="AC73" i="9"/>
  <c r="AG73" i="9" s="1"/>
  <c r="AA73" i="9"/>
  <c r="Y73" i="9"/>
  <c r="X73" i="9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G71" i="9" s="1"/>
  <c r="AA71" i="9"/>
  <c r="Y71" i="9"/>
  <c r="X71" i="9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A70" i="9"/>
  <c r="Y70" i="9"/>
  <c r="X70" i="9"/>
  <c r="AB70" i="9" s="1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G66" i="9" s="1"/>
  <c r="AA66" i="9"/>
  <c r="Y66" i="9"/>
  <c r="X66" i="9"/>
  <c r="Z66" i="9" s="1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E65" i="9" s="1"/>
  <c r="AA65" i="9"/>
  <c r="Y65" i="9"/>
  <c r="X65" i="9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A64" i="9"/>
  <c r="Y64" i="9"/>
  <c r="X64" i="9"/>
  <c r="Z64" i="9" s="1"/>
  <c r="V64" i="9"/>
  <c r="U64" i="9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A63" i="9"/>
  <c r="Y63" i="9"/>
  <c r="X63" i="9"/>
  <c r="AB63" i="9" s="1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A62" i="9"/>
  <c r="Y62" i="9"/>
  <c r="X62" i="9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E61" i="9" s="1"/>
  <c r="AA61" i="9"/>
  <c r="Y61" i="9"/>
  <c r="X61" i="9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G60" i="9" s="1"/>
  <c r="AA60" i="9"/>
  <c r="Y60" i="9"/>
  <c r="X60" i="9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G58" i="9" s="1"/>
  <c r="AA58" i="9"/>
  <c r="Y58" i="9"/>
  <c r="X58" i="9"/>
  <c r="Z58" i="9" s="1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A57" i="9"/>
  <c r="Y57" i="9"/>
  <c r="X57" i="9"/>
  <c r="Z57" i="9" s="1"/>
  <c r="V57" i="9"/>
  <c r="U57" i="9"/>
  <c r="W57" i="9" s="1"/>
  <c r="S57" i="9"/>
  <c r="R57" i="9"/>
  <c r="T57" i="9" s="1"/>
  <c r="O57" i="9"/>
  <c r="L57" i="9"/>
  <c r="I57" i="9"/>
  <c r="Q57" i="9" s="1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A54" i="9"/>
  <c r="Y54" i="9"/>
  <c r="X54" i="9"/>
  <c r="AB54" i="9" s="1"/>
  <c r="V54" i="9"/>
  <c r="U54" i="9"/>
  <c r="W54" i="9" s="1"/>
  <c r="S54" i="9"/>
  <c r="R54" i="9"/>
  <c r="T54" i="9" s="1"/>
  <c r="O54" i="9"/>
  <c r="L54" i="9"/>
  <c r="I54" i="9"/>
  <c r="H54" i="9"/>
  <c r="N54" i="9" s="1"/>
  <c r="G54" i="9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P53" i="9" s="1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A49" i="9"/>
  <c r="Y49" i="9"/>
  <c r="X49" i="9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A39" i="9"/>
  <c r="Y39" i="9"/>
  <c r="X39" i="9"/>
  <c r="AB39" i="9" s="1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Q32" i="9" s="1"/>
  <c r="H32" i="9"/>
  <c r="G32" i="9"/>
  <c r="P32" i="9" s="1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A27" i="9"/>
  <c r="Y27" i="9"/>
  <c r="X27" i="9"/>
  <c r="Z27" i="9" s="1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A25" i="9"/>
  <c r="Y25" i="9"/>
  <c r="X25" i="9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F21" i="9"/>
  <c r="AD21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S16" i="9"/>
  <c r="R16" i="9"/>
  <c r="O16" i="9"/>
  <c r="L16" i="9"/>
  <c r="I16" i="9"/>
  <c r="H16" i="9"/>
  <c r="G16" i="9"/>
  <c r="P16" i="9" s="1"/>
  <c r="F16" i="9"/>
  <c r="E16" i="9"/>
  <c r="AF15" i="9"/>
  <c r="AD15" i="9"/>
  <c r="AC15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P15" i="9" s="1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F14" i="9"/>
  <c r="E14" i="9"/>
  <c r="AG12" i="9"/>
  <c r="AE12" i="9"/>
  <c r="AB12" i="9"/>
  <c r="Z12" i="9"/>
  <c r="W12" i="9"/>
  <c r="T12" i="9"/>
  <c r="Q12" i="9"/>
  <c r="N12" i="9"/>
  <c r="M12" i="9"/>
  <c r="J12" i="9"/>
  <c r="C12" i="9"/>
  <c r="K12" i="9" s="1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L104" i="8"/>
  <c r="L11" i="8" s="1"/>
  <c r="I104" i="8"/>
  <c r="H104" i="8"/>
  <c r="H11" i="8" s="1"/>
  <c r="G104" i="8"/>
  <c r="P104" i="8" s="1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P97" i="8" s="1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Q94" i="8" s="1"/>
  <c r="H94" i="8"/>
  <c r="N94" i="8" s="1"/>
  <c r="G94" i="8"/>
  <c r="P94" i="8" s="1"/>
  <c r="F94" i="8"/>
  <c r="E94" i="8"/>
  <c r="A94" i="8"/>
  <c r="A95" i="8" s="1"/>
  <c r="A96" i="8" s="1"/>
  <c r="A97" i="8" s="1"/>
  <c r="A98" i="8" s="1"/>
  <c r="A99" i="8" s="1"/>
  <c r="A100" i="8" s="1"/>
  <c r="A101" i="8" s="1"/>
  <c r="A102" i="8" s="1"/>
  <c r="A103" i="8" s="1"/>
  <c r="O93" i="8"/>
  <c r="L93" i="8"/>
  <c r="I93" i="8"/>
  <c r="H93" i="8"/>
  <c r="N93" i="8" s="1"/>
  <c r="G93" i="8"/>
  <c r="P93" i="8" s="1"/>
  <c r="F93" i="8"/>
  <c r="E93" i="8"/>
  <c r="A93" i="8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P91" i="8" s="1"/>
  <c r="F91" i="8"/>
  <c r="E91" i="8"/>
  <c r="O90" i="8"/>
  <c r="L90" i="8"/>
  <c r="I90" i="8"/>
  <c r="Q90" i="8" s="1"/>
  <c r="H90" i="8"/>
  <c r="N90" i="8" s="1"/>
  <c r="G90" i="8"/>
  <c r="F90" i="8"/>
  <c r="E90" i="8"/>
  <c r="S88" i="8"/>
  <c r="R88" i="8"/>
  <c r="O88" i="8"/>
  <c r="L88" i="8"/>
  <c r="I88" i="8"/>
  <c r="Q88" i="8" s="1"/>
  <c r="H88" i="8"/>
  <c r="G88" i="8"/>
  <c r="P88" i="8" s="1"/>
  <c r="F88" i="8"/>
  <c r="E88" i="8"/>
  <c r="S87" i="8"/>
  <c r="R87" i="8"/>
  <c r="O87" i="8"/>
  <c r="L87" i="8"/>
  <c r="I87" i="8"/>
  <c r="Q87" i="8" s="1"/>
  <c r="H87" i="8"/>
  <c r="G87" i="8"/>
  <c r="P87" i="8" s="1"/>
  <c r="F87" i="8"/>
  <c r="E87" i="8"/>
  <c r="S86" i="8"/>
  <c r="R86" i="8"/>
  <c r="O86" i="8"/>
  <c r="L86" i="8"/>
  <c r="I86" i="8"/>
  <c r="Q86" i="8" s="1"/>
  <c r="H86" i="8"/>
  <c r="G86" i="8"/>
  <c r="P86" i="8" s="1"/>
  <c r="F86" i="8"/>
  <c r="E86" i="8"/>
  <c r="S85" i="8"/>
  <c r="R85" i="8"/>
  <c r="O85" i="8"/>
  <c r="L85" i="8"/>
  <c r="I85" i="8"/>
  <c r="Q85" i="8" s="1"/>
  <c r="H85" i="8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G83" i="8"/>
  <c r="P83" i="8" s="1"/>
  <c r="F83" i="8"/>
  <c r="E83" i="8"/>
  <c r="S82" i="8"/>
  <c r="R82" i="8"/>
  <c r="O82" i="8"/>
  <c r="L82" i="8"/>
  <c r="I82" i="8"/>
  <c r="Q82" i="8" s="1"/>
  <c r="H82" i="8"/>
  <c r="G82" i="8"/>
  <c r="P82" i="8" s="1"/>
  <c r="F82" i="8"/>
  <c r="E82" i="8"/>
  <c r="S81" i="8"/>
  <c r="R81" i="8"/>
  <c r="O81" i="8"/>
  <c r="L81" i="8"/>
  <c r="I81" i="8"/>
  <c r="H81" i="8"/>
  <c r="G81" i="8"/>
  <c r="P81" i="8" s="1"/>
  <c r="F81" i="8"/>
  <c r="E81" i="8"/>
  <c r="S80" i="8"/>
  <c r="R80" i="8"/>
  <c r="O80" i="8"/>
  <c r="L80" i="8"/>
  <c r="I80" i="8"/>
  <c r="Q80" i="8" s="1"/>
  <c r="H80" i="8"/>
  <c r="G80" i="8"/>
  <c r="P80" i="8" s="1"/>
  <c r="F80" i="8"/>
  <c r="E80" i="8"/>
  <c r="S79" i="8"/>
  <c r="R79" i="8"/>
  <c r="O79" i="8"/>
  <c r="L79" i="8"/>
  <c r="I79" i="8"/>
  <c r="Q79" i="8" s="1"/>
  <c r="H79" i="8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Q77" i="8" s="1"/>
  <c r="H77" i="8"/>
  <c r="G77" i="8"/>
  <c r="F77" i="8"/>
  <c r="E77" i="8"/>
  <c r="S76" i="8"/>
  <c r="R76" i="8"/>
  <c r="O76" i="8"/>
  <c r="L76" i="8"/>
  <c r="I76" i="8"/>
  <c r="Q76" i="8" s="1"/>
  <c r="H76" i="8"/>
  <c r="G76" i="8"/>
  <c r="P76" i="8" s="1"/>
  <c r="F76" i="8"/>
  <c r="E76" i="8"/>
  <c r="S75" i="8"/>
  <c r="R75" i="8"/>
  <c r="O75" i="8"/>
  <c r="L75" i="8"/>
  <c r="I75" i="8"/>
  <c r="Q75" i="8" s="1"/>
  <c r="H75" i="8"/>
  <c r="G75" i="8"/>
  <c r="P75" i="8" s="1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S65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Q62" i="8" s="1"/>
  <c r="H62" i="8"/>
  <c r="G62" i="8"/>
  <c r="P62" i="8" s="1"/>
  <c r="F62" i="8"/>
  <c r="E62" i="8"/>
  <c r="S61" i="8"/>
  <c r="R61" i="8"/>
  <c r="O61" i="8"/>
  <c r="L61" i="8"/>
  <c r="I61" i="8"/>
  <c r="Q61" i="8" s="1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Q56" i="8" s="1"/>
  <c r="H56" i="8"/>
  <c r="G56" i="8"/>
  <c r="P56" i="8" s="1"/>
  <c r="F56" i="8"/>
  <c r="E56" i="8"/>
  <c r="S55" i="8"/>
  <c r="R55" i="8"/>
  <c r="O55" i="8"/>
  <c r="L55" i="8"/>
  <c r="I55" i="8"/>
  <c r="Q55" i="8" s="1"/>
  <c r="H55" i="8"/>
  <c r="G55" i="8"/>
  <c r="P55" i="8" s="1"/>
  <c r="F55" i="8"/>
  <c r="E55" i="8"/>
  <c r="S54" i="8"/>
  <c r="R54" i="8"/>
  <c r="O54" i="8"/>
  <c r="L54" i="8"/>
  <c r="I54" i="8"/>
  <c r="Q54" i="8" s="1"/>
  <c r="H54" i="8"/>
  <c r="G54" i="8"/>
  <c r="P54" i="8" s="1"/>
  <c r="F54" i="8"/>
  <c r="E54" i="8"/>
  <c r="S53" i="8"/>
  <c r="R53" i="8"/>
  <c r="O53" i="8"/>
  <c r="L53" i="8"/>
  <c r="I53" i="8"/>
  <c r="H53" i="8"/>
  <c r="G53" i="8"/>
  <c r="P53" i="8" s="1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Q34" i="8" s="1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P32" i="8" s="1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P17" i="8" s="1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H14" i="8"/>
  <c r="G14" i="8"/>
  <c r="P14" i="8" s="1"/>
  <c r="F14" i="8"/>
  <c r="E14" i="8"/>
  <c r="T12" i="8"/>
  <c r="Q12" i="8"/>
  <c r="N12" i="8"/>
  <c r="M12" i="8"/>
  <c r="K12" i="8"/>
  <c r="J12" i="8"/>
  <c r="C12" i="8"/>
  <c r="O11" i="8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L11" i="7" s="1"/>
  <c r="I104" i="7"/>
  <c r="Q104" i="7" s="1"/>
  <c r="H104" i="7"/>
  <c r="H11" i="7" s="1"/>
  <c r="G104" i="7"/>
  <c r="P104" i="7" s="1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Q93" i="7" s="1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H91" i="7"/>
  <c r="N91" i="7" s="1"/>
  <c r="G91" i="7"/>
  <c r="P91" i="7" s="1"/>
  <c r="F91" i="7"/>
  <c r="E91" i="7"/>
  <c r="O90" i="7"/>
  <c r="L90" i="7"/>
  <c r="I90" i="7"/>
  <c r="Q90" i="7" s="1"/>
  <c r="H90" i="7"/>
  <c r="N90" i="7" s="1"/>
  <c r="G90" i="7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E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E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E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E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E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E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E81" i="7"/>
  <c r="CO80" i="7"/>
  <c r="CN80" i="7"/>
  <c r="CL80" i="7"/>
  <c r="CK80" i="7"/>
  <c r="CM80" i="7" s="1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F79" i="7" s="1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M77" i="7" s="1"/>
  <c r="CI77" i="7"/>
  <c r="CH77" i="7"/>
  <c r="CJ77" i="7" s="1"/>
  <c r="CF77" i="7"/>
  <c r="CE77" i="7"/>
  <c r="CG77" i="7" s="1"/>
  <c r="CC77" i="7"/>
  <c r="CB77" i="7"/>
  <c r="CD77" i="7" s="1"/>
  <c r="BZ77" i="7"/>
  <c r="BY77" i="7"/>
  <c r="CA77" i="7" s="1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BC77" i="7" s="1"/>
  <c r="AY77" i="7"/>
  <c r="AX77" i="7"/>
  <c r="AZ77" i="7" s="1"/>
  <c r="AV77" i="7"/>
  <c r="AU77" i="7"/>
  <c r="AW77" i="7" s="1"/>
  <c r="AS77" i="7"/>
  <c r="AR77" i="7"/>
  <c r="AT77" i="7" s="1"/>
  <c r="AQ77" i="7"/>
  <c r="AP77" i="7"/>
  <c r="AN77" i="7"/>
  <c r="AM77" i="7"/>
  <c r="AK77" i="7"/>
  <c r="AJ77" i="7"/>
  <c r="AL77" i="7" s="1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L76" i="7" s="1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F76" i="7"/>
  <c r="E76" i="7"/>
  <c r="CO75" i="7"/>
  <c r="CN75" i="7"/>
  <c r="CL75" i="7"/>
  <c r="CK75" i="7"/>
  <c r="CM75" i="7" s="1"/>
  <c r="CI75" i="7"/>
  <c r="CH75" i="7"/>
  <c r="CF75" i="7"/>
  <c r="CE75" i="7"/>
  <c r="CG75" i="7" s="1"/>
  <c r="CC75" i="7"/>
  <c r="CB75" i="7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B75" i="7"/>
  <c r="BA75" i="7"/>
  <c r="BC75" i="7" s="1"/>
  <c r="AY75" i="7"/>
  <c r="AX75" i="7"/>
  <c r="AV75" i="7"/>
  <c r="AU75" i="7"/>
  <c r="AW75" i="7" s="1"/>
  <c r="AS75" i="7"/>
  <c r="AR75" i="7"/>
  <c r="AQ75" i="7"/>
  <c r="AP75" i="7"/>
  <c r="AN75" i="7"/>
  <c r="AM75" i="7"/>
  <c r="AK75" i="7"/>
  <c r="AJ75" i="7"/>
  <c r="AL75" i="7" s="1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H75" i="7"/>
  <c r="G75" i="7"/>
  <c r="P75" i="7" s="1"/>
  <c r="F75" i="7"/>
  <c r="E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E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E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E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E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E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E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P65" i="7" s="1"/>
  <c r="F65" i="7"/>
  <c r="E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E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E58" i="7"/>
  <c r="CO57" i="7"/>
  <c r="CN57" i="7"/>
  <c r="CL57" i="7"/>
  <c r="CK57" i="7"/>
  <c r="CM57" i="7" s="1"/>
  <c r="CI57" i="7"/>
  <c r="CH57" i="7"/>
  <c r="CJ57" i="7" s="1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E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E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Q54" i="7" s="1"/>
  <c r="H54" i="7"/>
  <c r="G54" i="7"/>
  <c r="P54" i="7" s="1"/>
  <c r="F54" i="7"/>
  <c r="E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O53" i="7" s="1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H53" i="7"/>
  <c r="G53" i="7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E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E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E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E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E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E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E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E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E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E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P38" i="7" s="1"/>
  <c r="F38" i="7"/>
  <c r="E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E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J35" i="7" s="1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E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F34" i="7" s="1"/>
  <c r="BB34" i="7"/>
  <c r="BA34" i="7"/>
  <c r="BC34" i="7" s="1"/>
  <c r="AY34" i="7"/>
  <c r="AX34" i="7"/>
  <c r="AZ34" i="7" s="1"/>
  <c r="AV34" i="7"/>
  <c r="AU34" i="7"/>
  <c r="AW34" i="7" s="1"/>
  <c r="AS34" i="7"/>
  <c r="AR34" i="7"/>
  <c r="AT34" i="7" s="1"/>
  <c r="AQ34" i="7"/>
  <c r="AP34" i="7"/>
  <c r="AN34" i="7"/>
  <c r="AM34" i="7"/>
  <c r="AK34" i="7"/>
  <c r="AJ34" i="7"/>
  <c r="AL34" i="7" s="1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J33" i="7" s="1"/>
  <c r="CF33" i="7"/>
  <c r="CE33" i="7"/>
  <c r="CG33" i="7" s="1"/>
  <c r="CC33" i="7"/>
  <c r="CB33" i="7"/>
  <c r="CD33" i="7" s="1"/>
  <c r="BZ33" i="7"/>
  <c r="BY33" i="7"/>
  <c r="CA33" i="7" s="1"/>
  <c r="BW33" i="7"/>
  <c r="BV33" i="7"/>
  <c r="BX33" i="7" s="1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F33" i="7" s="1"/>
  <c r="BB33" i="7"/>
  <c r="BA33" i="7"/>
  <c r="BC33" i="7" s="1"/>
  <c r="AY33" i="7"/>
  <c r="AX33" i="7"/>
  <c r="AZ33" i="7" s="1"/>
  <c r="AV33" i="7"/>
  <c r="AU33" i="7"/>
  <c r="AW33" i="7" s="1"/>
  <c r="AS33" i="7"/>
  <c r="AR33" i="7"/>
  <c r="AT33" i="7" s="1"/>
  <c r="AQ33" i="7"/>
  <c r="AP33" i="7"/>
  <c r="AN33" i="7"/>
  <c r="AM33" i="7"/>
  <c r="AK33" i="7"/>
  <c r="AJ33" i="7"/>
  <c r="AL33" i="7" s="1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P33" i="7" s="1"/>
  <c r="F33" i="7"/>
  <c r="E33" i="7"/>
  <c r="CO32" i="7"/>
  <c r="CN32" i="7"/>
  <c r="CL32" i="7"/>
  <c r="CK32" i="7"/>
  <c r="CI32" i="7"/>
  <c r="CH32" i="7"/>
  <c r="CJ32" i="7" s="1"/>
  <c r="CF32" i="7"/>
  <c r="CE32" i="7"/>
  <c r="CC32" i="7"/>
  <c r="CB32" i="7"/>
  <c r="CD32" i="7" s="1"/>
  <c r="BZ32" i="7"/>
  <c r="BY32" i="7"/>
  <c r="BW32" i="7"/>
  <c r="BV32" i="7"/>
  <c r="BX32" i="7" s="1"/>
  <c r="BT32" i="7"/>
  <c r="BS32" i="7"/>
  <c r="BQ32" i="7"/>
  <c r="BP32" i="7"/>
  <c r="BN32" i="7"/>
  <c r="BM32" i="7"/>
  <c r="BK32" i="7"/>
  <c r="BJ32" i="7"/>
  <c r="BH32" i="7"/>
  <c r="BG32" i="7"/>
  <c r="BE32" i="7"/>
  <c r="BD32" i="7"/>
  <c r="BF32" i="7" s="1"/>
  <c r="BB32" i="7"/>
  <c r="BA32" i="7"/>
  <c r="AY32" i="7"/>
  <c r="AX32" i="7"/>
  <c r="AZ32" i="7" s="1"/>
  <c r="AV32" i="7"/>
  <c r="AU32" i="7"/>
  <c r="AS32" i="7"/>
  <c r="AR32" i="7"/>
  <c r="AT32" i="7" s="1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Q32" i="7" s="1"/>
  <c r="H32" i="7"/>
  <c r="G32" i="7"/>
  <c r="P32" i="7" s="1"/>
  <c r="F32" i="7"/>
  <c r="E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P27" i="7" s="1"/>
  <c r="F27" i="7"/>
  <c r="E27" i="7"/>
  <c r="CO26" i="7"/>
  <c r="CN26" i="7"/>
  <c r="CL26" i="7"/>
  <c r="CK26" i="7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W17" i="7" s="1"/>
  <c r="AS17" i="7"/>
  <c r="AR17" i="7"/>
  <c r="AT17" i="7" s="1"/>
  <c r="AQ17" i="7"/>
  <c r="AP17" i="7"/>
  <c r="AN17" i="7"/>
  <c r="AM17" i="7"/>
  <c r="AK17" i="7"/>
  <c r="AJ17" i="7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O16" i="7" s="1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L16" i="7" s="1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P16" i="7" s="1"/>
  <c r="F16" i="7"/>
  <c r="E16" i="7"/>
  <c r="CO15" i="7"/>
  <c r="CN15" i="7"/>
  <c r="CL15" i="7"/>
  <c r="CK15" i="7"/>
  <c r="CM15" i="7" s="1"/>
  <c r="CI15" i="7"/>
  <c r="CH15" i="7"/>
  <c r="CJ15" i="7" s="1"/>
  <c r="CF15" i="7"/>
  <c r="CE15" i="7"/>
  <c r="CG15" i="7" s="1"/>
  <c r="CC15" i="7"/>
  <c r="CB15" i="7"/>
  <c r="CD15" i="7" s="1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F15" i="7" s="1"/>
  <c r="BB15" i="7"/>
  <c r="BA15" i="7"/>
  <c r="BC15" i="7" s="1"/>
  <c r="AY15" i="7"/>
  <c r="AX15" i="7"/>
  <c r="AZ15" i="7" s="1"/>
  <c r="AV15" i="7"/>
  <c r="AU15" i="7"/>
  <c r="AW15" i="7" s="1"/>
  <c r="AS15" i="7"/>
  <c r="AR15" i="7"/>
  <c r="AT15" i="7" s="1"/>
  <c r="AQ15" i="7"/>
  <c r="AP15" i="7"/>
  <c r="AN15" i="7"/>
  <c r="AM15" i="7"/>
  <c r="AK15" i="7"/>
  <c r="AJ15" i="7"/>
  <c r="AL15" i="7" s="1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Q15" i="7" s="1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F14" i="7"/>
  <c r="CE14" i="7"/>
  <c r="CG14" i="7" s="1"/>
  <c r="CC14" i="7"/>
  <c r="CB14" i="7"/>
  <c r="CD14" i="7" s="1"/>
  <c r="BZ14" i="7"/>
  <c r="BY14" i="7"/>
  <c r="CA14" i="7" s="1"/>
  <c r="BW14" i="7"/>
  <c r="BV14" i="7"/>
  <c r="BX14" i="7" s="1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BC14" i="7" s="1"/>
  <c r="AY14" i="7"/>
  <c r="AX14" i="7"/>
  <c r="AZ14" i="7" s="1"/>
  <c r="AV14" i="7"/>
  <c r="AU14" i="7"/>
  <c r="AW14" i="7" s="1"/>
  <c r="AS14" i="7"/>
  <c r="AR14" i="7"/>
  <c r="AT14" i="7" s="1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H14" i="7"/>
  <c r="G14" i="7"/>
  <c r="P14" i="7" s="1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K12" i="7"/>
  <c r="J12" i="7"/>
  <c r="C12" i="7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P107" i="6" s="1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L11" i="6" s="1"/>
  <c r="I104" i="6"/>
  <c r="Q104" i="6" s="1"/>
  <c r="H104" i="6"/>
  <c r="H11" i="6" s="1"/>
  <c r="G104" i="6"/>
  <c r="G11" i="6" s="1"/>
  <c r="P11" i="6" s="1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A99" i="6"/>
  <c r="A100" i="6" s="1"/>
  <c r="A101" i="6" s="1"/>
  <c r="A102" i="6" s="1"/>
  <c r="A103" i="6" s="1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P94" i="6" s="1"/>
  <c r="F94" i="6"/>
  <c r="E94" i="6"/>
  <c r="A94" i="6"/>
  <c r="A95" i="6" s="1"/>
  <c r="A96" i="6" s="1"/>
  <c r="A97" i="6" s="1"/>
  <c r="A98" i="6" s="1"/>
  <c r="O93" i="6"/>
  <c r="L93" i="6"/>
  <c r="I93" i="6"/>
  <c r="Q93" i="6" s="1"/>
  <c r="H93" i="6"/>
  <c r="N93" i="6" s="1"/>
  <c r="G93" i="6"/>
  <c r="P93" i="6" s="1"/>
  <c r="F93" i="6"/>
  <c r="E93" i="6"/>
  <c r="A93" i="6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Q90" i="6" s="1"/>
  <c r="H90" i="6"/>
  <c r="N90" i="6" s="1"/>
  <c r="G90" i="6"/>
  <c r="P90" i="6" s="1"/>
  <c r="F90" i="6"/>
  <c r="E90" i="6"/>
  <c r="S88" i="6"/>
  <c r="R88" i="6"/>
  <c r="O88" i="6"/>
  <c r="L88" i="6"/>
  <c r="I88" i="6"/>
  <c r="Q88" i="6" s="1"/>
  <c r="H88" i="6"/>
  <c r="G88" i="6"/>
  <c r="P88" i="6" s="1"/>
  <c r="F88" i="6"/>
  <c r="E88" i="6"/>
  <c r="S87" i="6"/>
  <c r="R87" i="6"/>
  <c r="O87" i="6"/>
  <c r="L87" i="6"/>
  <c r="I87" i="6"/>
  <c r="Q87" i="6" s="1"/>
  <c r="H87" i="6"/>
  <c r="G87" i="6"/>
  <c r="P87" i="6" s="1"/>
  <c r="F87" i="6"/>
  <c r="E87" i="6"/>
  <c r="S86" i="6"/>
  <c r="R86" i="6"/>
  <c r="O86" i="6"/>
  <c r="L86" i="6"/>
  <c r="I86" i="6"/>
  <c r="Q86" i="6" s="1"/>
  <c r="H86" i="6"/>
  <c r="G86" i="6"/>
  <c r="P86" i="6" s="1"/>
  <c r="F86" i="6"/>
  <c r="E86" i="6"/>
  <c r="S85" i="6"/>
  <c r="R85" i="6"/>
  <c r="O85" i="6"/>
  <c r="L85" i="6"/>
  <c r="I85" i="6"/>
  <c r="Q85" i="6" s="1"/>
  <c r="H85" i="6"/>
  <c r="G85" i="6"/>
  <c r="P85" i="6" s="1"/>
  <c r="F85" i="6"/>
  <c r="E85" i="6"/>
  <c r="S84" i="6"/>
  <c r="R84" i="6"/>
  <c r="O84" i="6"/>
  <c r="L84" i="6"/>
  <c r="I84" i="6"/>
  <c r="Q84" i="6" s="1"/>
  <c r="H84" i="6"/>
  <c r="G84" i="6"/>
  <c r="P84" i="6" s="1"/>
  <c r="F84" i="6"/>
  <c r="E84" i="6"/>
  <c r="S83" i="6"/>
  <c r="R83" i="6"/>
  <c r="O83" i="6"/>
  <c r="L83" i="6"/>
  <c r="I83" i="6"/>
  <c r="Q83" i="6" s="1"/>
  <c r="H83" i="6"/>
  <c r="G83" i="6"/>
  <c r="P83" i="6" s="1"/>
  <c r="F83" i="6"/>
  <c r="E83" i="6"/>
  <c r="S82" i="6"/>
  <c r="R82" i="6"/>
  <c r="O82" i="6"/>
  <c r="L82" i="6"/>
  <c r="I82" i="6"/>
  <c r="Q82" i="6" s="1"/>
  <c r="H82" i="6"/>
  <c r="G82" i="6"/>
  <c r="P82" i="6" s="1"/>
  <c r="F82" i="6"/>
  <c r="E82" i="6"/>
  <c r="S81" i="6"/>
  <c r="R81" i="6"/>
  <c r="O81" i="6"/>
  <c r="L81" i="6"/>
  <c r="I81" i="6"/>
  <c r="Q81" i="6" s="1"/>
  <c r="H81" i="6"/>
  <c r="G81" i="6"/>
  <c r="P81" i="6" s="1"/>
  <c r="F81" i="6"/>
  <c r="E81" i="6"/>
  <c r="S80" i="6"/>
  <c r="R80" i="6"/>
  <c r="O80" i="6"/>
  <c r="L80" i="6"/>
  <c r="I80" i="6"/>
  <c r="Q80" i="6" s="1"/>
  <c r="H80" i="6"/>
  <c r="G80" i="6"/>
  <c r="P80" i="6" s="1"/>
  <c r="F80" i="6"/>
  <c r="E80" i="6"/>
  <c r="S79" i="6"/>
  <c r="R79" i="6"/>
  <c r="O79" i="6"/>
  <c r="L79" i="6"/>
  <c r="I79" i="6"/>
  <c r="Q79" i="6" s="1"/>
  <c r="H79" i="6"/>
  <c r="G79" i="6"/>
  <c r="P79" i="6" s="1"/>
  <c r="F79" i="6"/>
  <c r="E79" i="6"/>
  <c r="S78" i="6"/>
  <c r="R78" i="6"/>
  <c r="O78" i="6"/>
  <c r="L78" i="6"/>
  <c r="I78" i="6"/>
  <c r="Q78" i="6" s="1"/>
  <c r="H78" i="6"/>
  <c r="G78" i="6"/>
  <c r="P78" i="6" s="1"/>
  <c r="F78" i="6"/>
  <c r="E78" i="6"/>
  <c r="S77" i="6"/>
  <c r="R77" i="6"/>
  <c r="O77" i="6"/>
  <c r="L77" i="6"/>
  <c r="I77" i="6"/>
  <c r="Q77" i="6" s="1"/>
  <c r="H77" i="6"/>
  <c r="G77" i="6"/>
  <c r="P77" i="6" s="1"/>
  <c r="F77" i="6"/>
  <c r="E77" i="6"/>
  <c r="S76" i="6"/>
  <c r="R76" i="6"/>
  <c r="T76" i="6" s="1"/>
  <c r="O76" i="6"/>
  <c r="L76" i="6"/>
  <c r="I76" i="6"/>
  <c r="Q76" i="6" s="1"/>
  <c r="H76" i="6"/>
  <c r="G76" i="6"/>
  <c r="F76" i="6"/>
  <c r="E76" i="6"/>
  <c r="S75" i="6"/>
  <c r="R75" i="6"/>
  <c r="O75" i="6"/>
  <c r="L75" i="6"/>
  <c r="I75" i="6"/>
  <c r="H75" i="6"/>
  <c r="G75" i="6"/>
  <c r="P75" i="6" s="1"/>
  <c r="F75" i="6"/>
  <c r="E75" i="6"/>
  <c r="W74" i="6"/>
  <c r="V74" i="6"/>
  <c r="U74" i="6"/>
  <c r="S73" i="6"/>
  <c r="R73" i="6"/>
  <c r="T73" i="6" s="1"/>
  <c r="O73" i="6"/>
  <c r="L73" i="6"/>
  <c r="I73" i="6"/>
  <c r="Q73" i="6" s="1"/>
  <c r="H73" i="6"/>
  <c r="G73" i="6"/>
  <c r="P73" i="6" s="1"/>
  <c r="F73" i="6"/>
  <c r="E73" i="6"/>
  <c r="S72" i="6"/>
  <c r="R72" i="6"/>
  <c r="O72" i="6"/>
  <c r="L72" i="6"/>
  <c r="I72" i="6"/>
  <c r="Q72" i="6" s="1"/>
  <c r="H72" i="6"/>
  <c r="G72" i="6"/>
  <c r="P72" i="6" s="1"/>
  <c r="F72" i="6"/>
  <c r="E72" i="6"/>
  <c r="S71" i="6"/>
  <c r="R71" i="6"/>
  <c r="O71" i="6"/>
  <c r="L71" i="6"/>
  <c r="I71" i="6"/>
  <c r="Q71" i="6" s="1"/>
  <c r="H71" i="6"/>
  <c r="G71" i="6"/>
  <c r="P71" i="6" s="1"/>
  <c r="F71" i="6"/>
  <c r="E71" i="6"/>
  <c r="S70" i="6"/>
  <c r="R70" i="6"/>
  <c r="O70" i="6"/>
  <c r="L70" i="6"/>
  <c r="I70" i="6"/>
  <c r="Q70" i="6" s="1"/>
  <c r="H70" i="6"/>
  <c r="G70" i="6"/>
  <c r="P70" i="6" s="1"/>
  <c r="F70" i="6"/>
  <c r="E70" i="6"/>
  <c r="S69" i="6"/>
  <c r="R69" i="6"/>
  <c r="O69" i="6"/>
  <c r="L69" i="6"/>
  <c r="I69" i="6"/>
  <c r="Q69" i="6" s="1"/>
  <c r="H69" i="6"/>
  <c r="G69" i="6"/>
  <c r="P69" i="6" s="1"/>
  <c r="F69" i="6"/>
  <c r="E69" i="6"/>
  <c r="S68" i="6"/>
  <c r="R68" i="6"/>
  <c r="O68" i="6"/>
  <c r="L68" i="6"/>
  <c r="I68" i="6"/>
  <c r="Q68" i="6" s="1"/>
  <c r="H68" i="6"/>
  <c r="G68" i="6"/>
  <c r="P68" i="6" s="1"/>
  <c r="F68" i="6"/>
  <c r="E68" i="6"/>
  <c r="S67" i="6"/>
  <c r="R67" i="6"/>
  <c r="O67" i="6"/>
  <c r="L67" i="6"/>
  <c r="I67" i="6"/>
  <c r="Q67" i="6" s="1"/>
  <c r="H67" i="6"/>
  <c r="G67" i="6"/>
  <c r="P67" i="6" s="1"/>
  <c r="F67" i="6"/>
  <c r="E67" i="6"/>
  <c r="S66" i="6"/>
  <c r="R66" i="6"/>
  <c r="O66" i="6"/>
  <c r="L66" i="6"/>
  <c r="I66" i="6"/>
  <c r="Q66" i="6" s="1"/>
  <c r="H66" i="6"/>
  <c r="G66" i="6"/>
  <c r="P66" i="6" s="1"/>
  <c r="F66" i="6"/>
  <c r="E66" i="6"/>
  <c r="S65" i="6"/>
  <c r="R65" i="6"/>
  <c r="O65" i="6"/>
  <c r="L65" i="6"/>
  <c r="I65" i="6"/>
  <c r="Q65" i="6" s="1"/>
  <c r="H65" i="6"/>
  <c r="G65" i="6"/>
  <c r="P65" i="6" s="1"/>
  <c r="F65" i="6"/>
  <c r="E65" i="6"/>
  <c r="S64" i="6"/>
  <c r="R64" i="6"/>
  <c r="O64" i="6"/>
  <c r="L64" i="6"/>
  <c r="I64" i="6"/>
  <c r="Q64" i="6" s="1"/>
  <c r="H64" i="6"/>
  <c r="G64" i="6"/>
  <c r="P64" i="6" s="1"/>
  <c r="F64" i="6"/>
  <c r="E64" i="6"/>
  <c r="S63" i="6"/>
  <c r="R63" i="6"/>
  <c r="O63" i="6"/>
  <c r="L63" i="6"/>
  <c r="I63" i="6"/>
  <c r="Q63" i="6" s="1"/>
  <c r="H63" i="6"/>
  <c r="G63" i="6"/>
  <c r="P63" i="6" s="1"/>
  <c r="F63" i="6"/>
  <c r="E63" i="6"/>
  <c r="S62" i="6"/>
  <c r="R62" i="6"/>
  <c r="O62" i="6"/>
  <c r="L62" i="6"/>
  <c r="I62" i="6"/>
  <c r="Q62" i="6" s="1"/>
  <c r="H62" i="6"/>
  <c r="G62" i="6"/>
  <c r="P62" i="6" s="1"/>
  <c r="F62" i="6"/>
  <c r="E62" i="6"/>
  <c r="S61" i="6"/>
  <c r="R61" i="6"/>
  <c r="O61" i="6"/>
  <c r="L61" i="6"/>
  <c r="I61" i="6"/>
  <c r="Q61" i="6" s="1"/>
  <c r="H61" i="6"/>
  <c r="G61" i="6"/>
  <c r="P61" i="6" s="1"/>
  <c r="F61" i="6"/>
  <c r="E61" i="6"/>
  <c r="S60" i="6"/>
  <c r="R60" i="6"/>
  <c r="O60" i="6"/>
  <c r="L60" i="6"/>
  <c r="I60" i="6"/>
  <c r="Q60" i="6" s="1"/>
  <c r="H60" i="6"/>
  <c r="G60" i="6"/>
  <c r="P60" i="6" s="1"/>
  <c r="F60" i="6"/>
  <c r="E60" i="6"/>
  <c r="S59" i="6"/>
  <c r="R59" i="6"/>
  <c r="T59" i="6" s="1"/>
  <c r="O59" i="6"/>
  <c r="L59" i="6"/>
  <c r="I59" i="6"/>
  <c r="Q59" i="6" s="1"/>
  <c r="H59" i="6"/>
  <c r="G59" i="6"/>
  <c r="P59" i="6" s="1"/>
  <c r="F59" i="6"/>
  <c r="E59" i="6"/>
  <c r="S58" i="6"/>
  <c r="R58" i="6"/>
  <c r="O58" i="6"/>
  <c r="L58" i="6"/>
  <c r="I58" i="6"/>
  <c r="Q58" i="6" s="1"/>
  <c r="H58" i="6"/>
  <c r="G58" i="6"/>
  <c r="P58" i="6" s="1"/>
  <c r="F58" i="6"/>
  <c r="E58" i="6"/>
  <c r="S57" i="6"/>
  <c r="R57" i="6"/>
  <c r="O57" i="6"/>
  <c r="L57" i="6"/>
  <c r="I57" i="6"/>
  <c r="Q57" i="6" s="1"/>
  <c r="H57" i="6"/>
  <c r="G57" i="6"/>
  <c r="P57" i="6" s="1"/>
  <c r="F57" i="6"/>
  <c r="E57" i="6"/>
  <c r="S56" i="6"/>
  <c r="R56" i="6"/>
  <c r="T56" i="6" s="1"/>
  <c r="O56" i="6"/>
  <c r="L56" i="6"/>
  <c r="I56" i="6"/>
  <c r="Q56" i="6" s="1"/>
  <c r="H56" i="6"/>
  <c r="G56" i="6"/>
  <c r="P56" i="6" s="1"/>
  <c r="F56" i="6"/>
  <c r="E56" i="6"/>
  <c r="S55" i="6"/>
  <c r="R55" i="6"/>
  <c r="O55" i="6"/>
  <c r="L55" i="6"/>
  <c r="I55" i="6"/>
  <c r="Q55" i="6" s="1"/>
  <c r="H55" i="6"/>
  <c r="G55" i="6"/>
  <c r="P55" i="6" s="1"/>
  <c r="F55" i="6"/>
  <c r="E55" i="6"/>
  <c r="S54" i="6"/>
  <c r="R54" i="6"/>
  <c r="O54" i="6"/>
  <c r="L54" i="6"/>
  <c r="I54" i="6"/>
  <c r="Q54" i="6" s="1"/>
  <c r="H54" i="6"/>
  <c r="G54" i="6"/>
  <c r="P54" i="6" s="1"/>
  <c r="F54" i="6"/>
  <c r="E54" i="6"/>
  <c r="S53" i="6"/>
  <c r="R53" i="6"/>
  <c r="O53" i="6"/>
  <c r="L53" i="6"/>
  <c r="I53" i="6"/>
  <c r="H53" i="6"/>
  <c r="G53" i="6"/>
  <c r="F53" i="6"/>
  <c r="E53" i="6"/>
  <c r="V52" i="6"/>
  <c r="U52" i="6"/>
  <c r="W52" i="6" s="1"/>
  <c r="S51" i="6"/>
  <c r="R51" i="6"/>
  <c r="O51" i="6"/>
  <c r="L51" i="6"/>
  <c r="I51" i="6"/>
  <c r="Q51" i="6" s="1"/>
  <c r="H51" i="6"/>
  <c r="G51" i="6"/>
  <c r="P51" i="6" s="1"/>
  <c r="F51" i="6"/>
  <c r="E51" i="6"/>
  <c r="S50" i="6"/>
  <c r="R50" i="6"/>
  <c r="O50" i="6"/>
  <c r="L50" i="6"/>
  <c r="I50" i="6"/>
  <c r="Q50" i="6" s="1"/>
  <c r="H50" i="6"/>
  <c r="G50" i="6"/>
  <c r="P50" i="6" s="1"/>
  <c r="F50" i="6"/>
  <c r="E50" i="6"/>
  <c r="S49" i="6"/>
  <c r="R49" i="6"/>
  <c r="O49" i="6"/>
  <c r="L49" i="6"/>
  <c r="I49" i="6"/>
  <c r="Q49" i="6" s="1"/>
  <c r="H49" i="6"/>
  <c r="G49" i="6"/>
  <c r="P49" i="6" s="1"/>
  <c r="F49" i="6"/>
  <c r="E49" i="6"/>
  <c r="S48" i="6"/>
  <c r="R48" i="6"/>
  <c r="O48" i="6"/>
  <c r="L48" i="6"/>
  <c r="I48" i="6"/>
  <c r="Q48" i="6" s="1"/>
  <c r="H48" i="6"/>
  <c r="G48" i="6"/>
  <c r="P48" i="6" s="1"/>
  <c r="F48" i="6"/>
  <c r="E48" i="6"/>
  <c r="S47" i="6"/>
  <c r="R47" i="6"/>
  <c r="T47" i="6" s="1"/>
  <c r="O47" i="6"/>
  <c r="L47" i="6"/>
  <c r="I47" i="6"/>
  <c r="Q47" i="6" s="1"/>
  <c r="H47" i="6"/>
  <c r="G47" i="6"/>
  <c r="P47" i="6" s="1"/>
  <c r="F47" i="6"/>
  <c r="E47" i="6"/>
  <c r="S46" i="6"/>
  <c r="R46" i="6"/>
  <c r="O46" i="6"/>
  <c r="L46" i="6"/>
  <c r="I46" i="6"/>
  <c r="Q46" i="6" s="1"/>
  <c r="H46" i="6"/>
  <c r="G46" i="6"/>
  <c r="P46" i="6" s="1"/>
  <c r="F46" i="6"/>
  <c r="E46" i="6"/>
  <c r="S45" i="6"/>
  <c r="R45" i="6"/>
  <c r="O45" i="6"/>
  <c r="L45" i="6"/>
  <c r="I45" i="6"/>
  <c r="Q45" i="6" s="1"/>
  <c r="H45" i="6"/>
  <c r="G45" i="6"/>
  <c r="P45" i="6" s="1"/>
  <c r="F45" i="6"/>
  <c r="E45" i="6"/>
  <c r="S44" i="6"/>
  <c r="R44" i="6"/>
  <c r="O44" i="6"/>
  <c r="L44" i="6"/>
  <c r="I44" i="6"/>
  <c r="Q44" i="6" s="1"/>
  <c r="H44" i="6"/>
  <c r="G44" i="6"/>
  <c r="P44" i="6" s="1"/>
  <c r="F44" i="6"/>
  <c r="E44" i="6"/>
  <c r="S43" i="6"/>
  <c r="R43" i="6"/>
  <c r="O43" i="6"/>
  <c r="L43" i="6"/>
  <c r="I43" i="6"/>
  <c r="Q43" i="6" s="1"/>
  <c r="H43" i="6"/>
  <c r="G43" i="6"/>
  <c r="P43" i="6" s="1"/>
  <c r="F43" i="6"/>
  <c r="E43" i="6"/>
  <c r="S42" i="6"/>
  <c r="R42" i="6"/>
  <c r="O42" i="6"/>
  <c r="L42" i="6"/>
  <c r="I42" i="6"/>
  <c r="Q42" i="6" s="1"/>
  <c r="H42" i="6"/>
  <c r="G42" i="6"/>
  <c r="P42" i="6" s="1"/>
  <c r="F42" i="6"/>
  <c r="E42" i="6"/>
  <c r="S41" i="6"/>
  <c r="R41" i="6"/>
  <c r="O41" i="6"/>
  <c r="L41" i="6"/>
  <c r="I41" i="6"/>
  <c r="Q41" i="6" s="1"/>
  <c r="H41" i="6"/>
  <c r="G41" i="6"/>
  <c r="P41" i="6" s="1"/>
  <c r="F41" i="6"/>
  <c r="E41" i="6"/>
  <c r="S40" i="6"/>
  <c r="R40" i="6"/>
  <c r="O40" i="6"/>
  <c r="L40" i="6"/>
  <c r="I40" i="6"/>
  <c r="Q40" i="6" s="1"/>
  <c r="H40" i="6"/>
  <c r="G40" i="6"/>
  <c r="P40" i="6" s="1"/>
  <c r="F40" i="6"/>
  <c r="E40" i="6"/>
  <c r="S39" i="6"/>
  <c r="R39" i="6"/>
  <c r="O39" i="6"/>
  <c r="L39" i="6"/>
  <c r="I39" i="6"/>
  <c r="Q39" i="6" s="1"/>
  <c r="H39" i="6"/>
  <c r="G39" i="6"/>
  <c r="P39" i="6" s="1"/>
  <c r="F39" i="6"/>
  <c r="E39" i="6"/>
  <c r="S38" i="6"/>
  <c r="R38" i="6"/>
  <c r="O38" i="6"/>
  <c r="L38" i="6"/>
  <c r="I38" i="6"/>
  <c r="Q38" i="6" s="1"/>
  <c r="H38" i="6"/>
  <c r="G38" i="6"/>
  <c r="P38" i="6" s="1"/>
  <c r="F38" i="6"/>
  <c r="E38" i="6"/>
  <c r="S37" i="6"/>
  <c r="R37" i="6"/>
  <c r="O37" i="6"/>
  <c r="L37" i="6"/>
  <c r="I37" i="6"/>
  <c r="Q37" i="6" s="1"/>
  <c r="H37" i="6"/>
  <c r="G37" i="6"/>
  <c r="P37" i="6" s="1"/>
  <c r="F37" i="6"/>
  <c r="E37" i="6"/>
  <c r="S36" i="6"/>
  <c r="R36" i="6"/>
  <c r="O36" i="6"/>
  <c r="L36" i="6"/>
  <c r="I36" i="6"/>
  <c r="Q36" i="6" s="1"/>
  <c r="H36" i="6"/>
  <c r="G36" i="6"/>
  <c r="P36" i="6" s="1"/>
  <c r="F36" i="6"/>
  <c r="E36" i="6"/>
  <c r="S35" i="6"/>
  <c r="R35" i="6"/>
  <c r="O35" i="6"/>
  <c r="L35" i="6"/>
  <c r="I35" i="6"/>
  <c r="Q35" i="6" s="1"/>
  <c r="H35" i="6"/>
  <c r="G35" i="6"/>
  <c r="P35" i="6" s="1"/>
  <c r="F35" i="6"/>
  <c r="E35" i="6"/>
  <c r="S34" i="6"/>
  <c r="R34" i="6"/>
  <c r="O34" i="6"/>
  <c r="L34" i="6"/>
  <c r="I34" i="6"/>
  <c r="Q34" i="6" s="1"/>
  <c r="H34" i="6"/>
  <c r="G34" i="6"/>
  <c r="P34" i="6" s="1"/>
  <c r="F34" i="6"/>
  <c r="E34" i="6"/>
  <c r="S33" i="6"/>
  <c r="R33" i="6"/>
  <c r="O33" i="6"/>
  <c r="L33" i="6"/>
  <c r="I33" i="6"/>
  <c r="Q33" i="6" s="1"/>
  <c r="H33" i="6"/>
  <c r="G33" i="6"/>
  <c r="P33" i="6" s="1"/>
  <c r="F33" i="6"/>
  <c r="E33" i="6"/>
  <c r="S32" i="6"/>
  <c r="R32" i="6"/>
  <c r="O32" i="6"/>
  <c r="L32" i="6"/>
  <c r="I32" i="6"/>
  <c r="H32" i="6"/>
  <c r="G32" i="6"/>
  <c r="F32" i="6"/>
  <c r="E32" i="6"/>
  <c r="V31" i="6"/>
  <c r="U31" i="6"/>
  <c r="W31" i="6" s="1"/>
  <c r="S30" i="6"/>
  <c r="R30" i="6"/>
  <c r="O30" i="6"/>
  <c r="L30" i="6"/>
  <c r="I30" i="6"/>
  <c r="Q30" i="6" s="1"/>
  <c r="H30" i="6"/>
  <c r="G30" i="6"/>
  <c r="P30" i="6" s="1"/>
  <c r="F30" i="6"/>
  <c r="E30" i="6"/>
  <c r="S29" i="6"/>
  <c r="R29" i="6"/>
  <c r="O29" i="6"/>
  <c r="L29" i="6"/>
  <c r="I29" i="6"/>
  <c r="Q29" i="6" s="1"/>
  <c r="H29" i="6"/>
  <c r="G29" i="6"/>
  <c r="P29" i="6" s="1"/>
  <c r="F29" i="6"/>
  <c r="E29" i="6"/>
  <c r="S28" i="6"/>
  <c r="R28" i="6"/>
  <c r="O28" i="6"/>
  <c r="L28" i="6"/>
  <c r="I28" i="6"/>
  <c r="Q28" i="6" s="1"/>
  <c r="H28" i="6"/>
  <c r="G28" i="6"/>
  <c r="P28" i="6" s="1"/>
  <c r="F28" i="6"/>
  <c r="E28" i="6"/>
  <c r="S27" i="6"/>
  <c r="R27" i="6"/>
  <c r="O27" i="6"/>
  <c r="L27" i="6"/>
  <c r="I27" i="6"/>
  <c r="Q27" i="6" s="1"/>
  <c r="H27" i="6"/>
  <c r="G27" i="6"/>
  <c r="P27" i="6" s="1"/>
  <c r="F27" i="6"/>
  <c r="E27" i="6"/>
  <c r="S26" i="6"/>
  <c r="R26" i="6"/>
  <c r="O26" i="6"/>
  <c r="L26" i="6"/>
  <c r="I26" i="6"/>
  <c r="Q26" i="6" s="1"/>
  <c r="H26" i="6"/>
  <c r="G26" i="6"/>
  <c r="P26" i="6" s="1"/>
  <c r="F26" i="6"/>
  <c r="E26" i="6"/>
  <c r="S25" i="6"/>
  <c r="R25" i="6"/>
  <c r="O25" i="6"/>
  <c r="L25" i="6"/>
  <c r="I25" i="6"/>
  <c r="Q25" i="6" s="1"/>
  <c r="H25" i="6"/>
  <c r="G25" i="6"/>
  <c r="P25" i="6" s="1"/>
  <c r="F25" i="6"/>
  <c r="E25" i="6"/>
  <c r="S24" i="6"/>
  <c r="R24" i="6"/>
  <c r="O24" i="6"/>
  <c r="L24" i="6"/>
  <c r="I24" i="6"/>
  <c r="Q24" i="6" s="1"/>
  <c r="H24" i="6"/>
  <c r="G24" i="6"/>
  <c r="P24" i="6" s="1"/>
  <c r="F24" i="6"/>
  <c r="E24" i="6"/>
  <c r="S23" i="6"/>
  <c r="R23" i="6"/>
  <c r="O23" i="6"/>
  <c r="L23" i="6"/>
  <c r="I23" i="6"/>
  <c r="Q23" i="6" s="1"/>
  <c r="H23" i="6"/>
  <c r="G23" i="6"/>
  <c r="P23" i="6" s="1"/>
  <c r="F23" i="6"/>
  <c r="E23" i="6"/>
  <c r="S22" i="6"/>
  <c r="R22" i="6"/>
  <c r="O22" i="6"/>
  <c r="L22" i="6"/>
  <c r="I22" i="6"/>
  <c r="Q22" i="6" s="1"/>
  <c r="H22" i="6"/>
  <c r="G22" i="6"/>
  <c r="P22" i="6" s="1"/>
  <c r="F22" i="6"/>
  <c r="E22" i="6"/>
  <c r="S21" i="6"/>
  <c r="R21" i="6"/>
  <c r="O21" i="6"/>
  <c r="L21" i="6"/>
  <c r="I21" i="6"/>
  <c r="Q21" i="6" s="1"/>
  <c r="H21" i="6"/>
  <c r="G21" i="6"/>
  <c r="P21" i="6" s="1"/>
  <c r="F21" i="6"/>
  <c r="E21" i="6"/>
  <c r="S20" i="6"/>
  <c r="R20" i="6"/>
  <c r="O20" i="6"/>
  <c r="L20" i="6"/>
  <c r="I20" i="6"/>
  <c r="Q20" i="6" s="1"/>
  <c r="H20" i="6"/>
  <c r="G20" i="6"/>
  <c r="P20" i="6" s="1"/>
  <c r="F20" i="6"/>
  <c r="E20" i="6"/>
  <c r="S19" i="6"/>
  <c r="R19" i="6"/>
  <c r="O19" i="6"/>
  <c r="L19" i="6"/>
  <c r="I19" i="6"/>
  <c r="Q19" i="6" s="1"/>
  <c r="H19" i="6"/>
  <c r="G19" i="6"/>
  <c r="P19" i="6" s="1"/>
  <c r="F19" i="6"/>
  <c r="E19" i="6"/>
  <c r="S18" i="6"/>
  <c r="R18" i="6"/>
  <c r="O18" i="6"/>
  <c r="L18" i="6"/>
  <c r="I18" i="6"/>
  <c r="Q18" i="6" s="1"/>
  <c r="H18" i="6"/>
  <c r="G18" i="6"/>
  <c r="P18" i="6" s="1"/>
  <c r="F18" i="6"/>
  <c r="E18" i="6"/>
  <c r="S17" i="6"/>
  <c r="R17" i="6"/>
  <c r="O17" i="6"/>
  <c r="L17" i="6"/>
  <c r="I17" i="6"/>
  <c r="Q17" i="6" s="1"/>
  <c r="H17" i="6"/>
  <c r="G17" i="6"/>
  <c r="P17" i="6" s="1"/>
  <c r="F17" i="6"/>
  <c r="E17" i="6"/>
  <c r="S16" i="6"/>
  <c r="R16" i="6"/>
  <c r="O16" i="6"/>
  <c r="L16" i="6"/>
  <c r="I16" i="6"/>
  <c r="H16" i="6"/>
  <c r="G16" i="6"/>
  <c r="P16" i="6" s="1"/>
  <c r="F16" i="6"/>
  <c r="E16" i="6"/>
  <c r="S15" i="6"/>
  <c r="R15" i="6"/>
  <c r="O15" i="6"/>
  <c r="L15" i="6"/>
  <c r="I15" i="6"/>
  <c r="Q15" i="6" s="1"/>
  <c r="H15" i="6"/>
  <c r="G15" i="6"/>
  <c r="P15" i="6" s="1"/>
  <c r="F15" i="6"/>
  <c r="E15" i="6"/>
  <c r="S14" i="6"/>
  <c r="R14" i="6"/>
  <c r="O14" i="6"/>
  <c r="L14" i="6"/>
  <c r="I14" i="6"/>
  <c r="Q14" i="6" s="1"/>
  <c r="H14" i="6"/>
  <c r="G14" i="6"/>
  <c r="F14" i="6"/>
  <c r="E14" i="6"/>
  <c r="V13" i="6"/>
  <c r="V8" i="6" s="1"/>
  <c r="U13" i="6"/>
  <c r="W12" i="6"/>
  <c r="T12" i="6"/>
  <c r="Q12" i="6"/>
  <c r="N12" i="6"/>
  <c r="M12" i="6"/>
  <c r="K12" i="6"/>
  <c r="J12" i="6"/>
  <c r="C12" i="6"/>
  <c r="V9" i="6"/>
  <c r="W9" i="6" s="1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N105" i="5" s="1"/>
  <c r="G105" i="5"/>
  <c r="P105" i="5" s="1"/>
  <c r="F105" i="5"/>
  <c r="E105" i="5"/>
  <c r="O104" i="5"/>
  <c r="O11" i="5" s="1"/>
  <c r="L104" i="5"/>
  <c r="L11" i="5" s="1"/>
  <c r="I104" i="5"/>
  <c r="H104" i="5"/>
  <c r="H11" i="5" s="1"/>
  <c r="G104" i="5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A96" i="5"/>
  <c r="A97" i="5" s="1"/>
  <c r="A98" i="5" s="1"/>
  <c r="A99" i="5" s="1"/>
  <c r="A100" i="5" s="1"/>
  <c r="A101" i="5" s="1"/>
  <c r="A102" i="5" s="1"/>
  <c r="A103" i="5" s="1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P94" i="5" s="1"/>
  <c r="F94" i="5"/>
  <c r="E94" i="5"/>
  <c r="O93" i="5"/>
  <c r="L93" i="5"/>
  <c r="I93" i="5"/>
  <c r="H93" i="5"/>
  <c r="N93" i="5" s="1"/>
  <c r="G93" i="5"/>
  <c r="P93" i="5" s="1"/>
  <c r="F93" i="5"/>
  <c r="E93" i="5"/>
  <c r="A93" i="5"/>
  <c r="A94" i="5" s="1"/>
  <c r="A95" i="5" s="1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P91" i="5" s="1"/>
  <c r="F91" i="5"/>
  <c r="E91" i="5"/>
  <c r="O90" i="5"/>
  <c r="L90" i="5"/>
  <c r="I90" i="5"/>
  <c r="Q90" i="5" s="1"/>
  <c r="H90" i="5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N78" i="5" s="1"/>
  <c r="G78" i="5"/>
  <c r="P78" i="5" s="1"/>
  <c r="F78" i="5"/>
  <c r="E78" i="5"/>
  <c r="S77" i="5"/>
  <c r="R77" i="5"/>
  <c r="T77" i="5" s="1"/>
  <c r="O77" i="5"/>
  <c r="L77" i="5"/>
  <c r="I77" i="5"/>
  <c r="Q77" i="5" s="1"/>
  <c r="H77" i="5"/>
  <c r="N77" i="5" s="1"/>
  <c r="G77" i="5"/>
  <c r="P77" i="5" s="1"/>
  <c r="F77" i="5"/>
  <c r="E77" i="5"/>
  <c r="S76" i="5"/>
  <c r="R76" i="5"/>
  <c r="O76" i="5"/>
  <c r="L76" i="5"/>
  <c r="I76" i="5"/>
  <c r="Q76" i="5" s="1"/>
  <c r="H76" i="5"/>
  <c r="G76" i="5"/>
  <c r="P76" i="5" s="1"/>
  <c r="F76" i="5"/>
  <c r="E76" i="5"/>
  <c r="S75" i="5"/>
  <c r="R75" i="5"/>
  <c r="T75" i="5" s="1"/>
  <c r="O75" i="5"/>
  <c r="L75" i="5"/>
  <c r="I75" i="5"/>
  <c r="Q75" i="5" s="1"/>
  <c r="H75" i="5"/>
  <c r="G75" i="5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Q54" i="5" s="1"/>
  <c r="H54" i="5"/>
  <c r="G54" i="5"/>
  <c r="P54" i="5" s="1"/>
  <c r="F54" i="5"/>
  <c r="E54" i="5"/>
  <c r="S53" i="5"/>
  <c r="R53" i="5"/>
  <c r="O53" i="5"/>
  <c r="L53" i="5"/>
  <c r="I53" i="5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S33" i="5"/>
  <c r="R33" i="5"/>
  <c r="T33" i="5" s="1"/>
  <c r="O33" i="5"/>
  <c r="L33" i="5"/>
  <c r="I33" i="5"/>
  <c r="Q33" i="5" s="1"/>
  <c r="H33" i="5"/>
  <c r="N33" i="5" s="1"/>
  <c r="G33" i="5"/>
  <c r="P33" i="5" s="1"/>
  <c r="F33" i="5"/>
  <c r="E33" i="5"/>
  <c r="S32" i="5"/>
  <c r="R32" i="5"/>
  <c r="O32" i="5"/>
  <c r="L32" i="5"/>
  <c r="I32" i="5"/>
  <c r="H32" i="5"/>
  <c r="G32" i="5"/>
  <c r="P32" i="5" s="1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Q15" i="5" s="1"/>
  <c r="H15" i="5"/>
  <c r="G15" i="5"/>
  <c r="F15" i="5"/>
  <c r="E15" i="5"/>
  <c r="S14" i="5"/>
  <c r="R14" i="5"/>
  <c r="O14" i="5"/>
  <c r="L14" i="5"/>
  <c r="I14" i="5"/>
  <c r="H14" i="5"/>
  <c r="N14" i="5" s="1"/>
  <c r="G14" i="5"/>
  <c r="P14" i="5" s="1"/>
  <c r="F14" i="5"/>
  <c r="E14" i="5"/>
  <c r="T12" i="5"/>
  <c r="Q12" i="5"/>
  <c r="N12" i="5"/>
  <c r="M12" i="5"/>
  <c r="K12" i="5"/>
  <c r="J12" i="5"/>
  <c r="C12" i="5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N105" i="4" s="1"/>
  <c r="G105" i="4"/>
  <c r="P105" i="4" s="1"/>
  <c r="F105" i="4"/>
  <c r="E105" i="4"/>
  <c r="O104" i="4"/>
  <c r="O11" i="4" s="1"/>
  <c r="L104" i="4"/>
  <c r="I104" i="4"/>
  <c r="I11" i="4" s="1"/>
  <c r="H104" i="4"/>
  <c r="G104" i="4"/>
  <c r="P104" i="4" s="1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O93" i="4"/>
  <c r="L93" i="4"/>
  <c r="I93" i="4"/>
  <c r="Q93" i="4" s="1"/>
  <c r="H93" i="4"/>
  <c r="G93" i="4"/>
  <c r="P93" i="4" s="1"/>
  <c r="F93" i="4"/>
  <c r="E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O92" i="4"/>
  <c r="L92" i="4"/>
  <c r="I92" i="4"/>
  <c r="Q92" i="4" s="1"/>
  <c r="H92" i="4"/>
  <c r="G92" i="4"/>
  <c r="F92" i="4"/>
  <c r="E92" i="4"/>
  <c r="O91" i="4"/>
  <c r="L91" i="4"/>
  <c r="I91" i="4"/>
  <c r="Q91" i="4" s="1"/>
  <c r="H91" i="4"/>
  <c r="N91" i="4" s="1"/>
  <c r="G91" i="4"/>
  <c r="P91" i="4" s="1"/>
  <c r="F91" i="4"/>
  <c r="E91" i="4"/>
  <c r="O90" i="4"/>
  <c r="L90" i="4"/>
  <c r="I90" i="4"/>
  <c r="Q90" i="4" s="1"/>
  <c r="H90" i="4"/>
  <c r="N90" i="4" s="1"/>
  <c r="G90" i="4"/>
  <c r="P90" i="4" s="1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AA75" i="4" s="1"/>
  <c r="W75" i="4"/>
  <c r="V75" i="4"/>
  <c r="X75" i="4" s="1"/>
  <c r="T75" i="4"/>
  <c r="S75" i="4"/>
  <c r="U75" i="4" s="1"/>
  <c r="R75" i="4"/>
  <c r="O75" i="4"/>
  <c r="L75" i="4"/>
  <c r="I75" i="4"/>
  <c r="Q75" i="4" s="1"/>
  <c r="H75" i="4"/>
  <c r="N75" i="4" s="1"/>
  <c r="G75" i="4"/>
  <c r="P75" i="4" s="1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AA53" i="4" s="1"/>
  <c r="W53" i="4"/>
  <c r="V53" i="4"/>
  <c r="T53" i="4"/>
  <c r="S53" i="4"/>
  <c r="U53" i="4" s="1"/>
  <c r="R53" i="4"/>
  <c r="O53" i="4"/>
  <c r="L53" i="4"/>
  <c r="I53" i="4"/>
  <c r="H53" i="4"/>
  <c r="N53" i="4" s="1"/>
  <c r="G53" i="4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N34" i="4" s="1"/>
  <c r="G34" i="4"/>
  <c r="F34" i="4"/>
  <c r="E34" i="4"/>
  <c r="AC33" i="4"/>
  <c r="AB33" i="4"/>
  <c r="Z33" i="4"/>
  <c r="Y33" i="4"/>
  <c r="AA33" i="4" s="1"/>
  <c r="W33" i="4"/>
  <c r="V33" i="4"/>
  <c r="X33" i="4" s="1"/>
  <c r="T33" i="4"/>
  <c r="S33" i="4"/>
  <c r="U33" i="4" s="1"/>
  <c r="R33" i="4"/>
  <c r="O33" i="4"/>
  <c r="L33" i="4"/>
  <c r="I33" i="4"/>
  <c r="Q33" i="4" s="1"/>
  <c r="H33" i="4"/>
  <c r="G33" i="4"/>
  <c r="P33" i="4" s="1"/>
  <c r="F33" i="4"/>
  <c r="E33" i="4"/>
  <c r="AC32" i="4"/>
  <c r="AB32" i="4"/>
  <c r="AD32" i="4" s="1"/>
  <c r="Z32" i="4"/>
  <c r="Y32" i="4"/>
  <c r="AA32" i="4" s="1"/>
  <c r="W32" i="4"/>
  <c r="V32" i="4"/>
  <c r="X32" i="4" s="1"/>
  <c r="T32" i="4"/>
  <c r="S32" i="4"/>
  <c r="U32" i="4" s="1"/>
  <c r="R32" i="4"/>
  <c r="O32" i="4"/>
  <c r="L32" i="4"/>
  <c r="I32" i="4"/>
  <c r="H32" i="4"/>
  <c r="N32" i="4" s="1"/>
  <c r="G32" i="4"/>
  <c r="P32" i="4" s="1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W16" i="4"/>
  <c r="V16" i="4"/>
  <c r="T16" i="4"/>
  <c r="S16" i="4"/>
  <c r="U16" i="4" s="1"/>
  <c r="R16" i="4"/>
  <c r="O16" i="4"/>
  <c r="L16" i="4"/>
  <c r="I16" i="4"/>
  <c r="Q16" i="4" s="1"/>
  <c r="H16" i="4"/>
  <c r="N16" i="4" s="1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AD14" i="4" s="1"/>
  <c r="Z14" i="4"/>
  <c r="Y14" i="4"/>
  <c r="AA14" i="4" s="1"/>
  <c r="W14" i="4"/>
  <c r="V14" i="4"/>
  <c r="X14" i="4" s="1"/>
  <c r="T14" i="4"/>
  <c r="S14" i="4"/>
  <c r="U14" i="4" s="1"/>
  <c r="R14" i="4"/>
  <c r="O14" i="4"/>
  <c r="L14" i="4"/>
  <c r="I14" i="4"/>
  <c r="H14" i="4"/>
  <c r="G14" i="4"/>
  <c r="F14" i="4"/>
  <c r="E14" i="4"/>
  <c r="AD12" i="4"/>
  <c r="AA12" i="4"/>
  <c r="X12" i="4"/>
  <c r="U12" i="4"/>
  <c r="Q12" i="4"/>
  <c r="N12" i="4"/>
  <c r="M12" i="4"/>
  <c r="K12" i="4"/>
  <c r="J12" i="4"/>
  <c r="C12" i="4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L104" i="3"/>
  <c r="I104" i="3"/>
  <c r="I11" i="3" s="1"/>
  <c r="H104" i="3"/>
  <c r="N104" i="3" s="1"/>
  <c r="G104" i="3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A96" i="3"/>
  <c r="A97" i="3" s="1"/>
  <c r="A98" i="3" s="1"/>
  <c r="A99" i="3" s="1"/>
  <c r="A100" i="3" s="1"/>
  <c r="A101" i="3" s="1"/>
  <c r="A102" i="3" s="1"/>
  <c r="A103" i="3" s="1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Q90" i="3" s="1"/>
  <c r="H90" i="3"/>
  <c r="G90" i="3"/>
  <c r="F90" i="3"/>
  <c r="E90" i="3"/>
  <c r="S88" i="3"/>
  <c r="R88" i="3"/>
  <c r="T88" i="3" s="1"/>
  <c r="O88" i="3"/>
  <c r="L88" i="3"/>
  <c r="I88" i="3"/>
  <c r="Q88" i="3" s="1"/>
  <c r="H88" i="3"/>
  <c r="N88" i="3" s="1"/>
  <c r="G88" i="3"/>
  <c r="P88" i="3" s="1"/>
  <c r="F88" i="3"/>
  <c r="E88" i="3"/>
  <c r="S87" i="3"/>
  <c r="R87" i="3"/>
  <c r="T87" i="3" s="1"/>
  <c r="O87" i="3"/>
  <c r="L87" i="3"/>
  <c r="I87" i="3"/>
  <c r="Q87" i="3" s="1"/>
  <c r="H87" i="3"/>
  <c r="N87" i="3" s="1"/>
  <c r="G87" i="3"/>
  <c r="P87" i="3" s="1"/>
  <c r="F87" i="3"/>
  <c r="E87" i="3"/>
  <c r="S86" i="3"/>
  <c r="R86" i="3"/>
  <c r="T86" i="3" s="1"/>
  <c r="O86" i="3"/>
  <c r="L86" i="3"/>
  <c r="I86" i="3"/>
  <c r="Q86" i="3" s="1"/>
  <c r="H86" i="3"/>
  <c r="N86" i="3" s="1"/>
  <c r="G86" i="3"/>
  <c r="P86" i="3" s="1"/>
  <c r="F86" i="3"/>
  <c r="E86" i="3"/>
  <c r="S85" i="3"/>
  <c r="R85" i="3"/>
  <c r="T85" i="3" s="1"/>
  <c r="O85" i="3"/>
  <c r="L85" i="3"/>
  <c r="I85" i="3"/>
  <c r="Q85" i="3" s="1"/>
  <c r="H85" i="3"/>
  <c r="N85" i="3" s="1"/>
  <c r="G85" i="3"/>
  <c r="P85" i="3" s="1"/>
  <c r="F85" i="3"/>
  <c r="E85" i="3"/>
  <c r="S84" i="3"/>
  <c r="R84" i="3"/>
  <c r="T84" i="3" s="1"/>
  <c r="O84" i="3"/>
  <c r="L84" i="3"/>
  <c r="I84" i="3"/>
  <c r="Q84" i="3" s="1"/>
  <c r="H84" i="3"/>
  <c r="N84" i="3" s="1"/>
  <c r="G84" i="3"/>
  <c r="P84" i="3" s="1"/>
  <c r="F84" i="3"/>
  <c r="E84" i="3"/>
  <c r="S83" i="3"/>
  <c r="R83" i="3"/>
  <c r="T83" i="3" s="1"/>
  <c r="O83" i="3"/>
  <c r="L83" i="3"/>
  <c r="I83" i="3"/>
  <c r="Q83" i="3" s="1"/>
  <c r="H83" i="3"/>
  <c r="N83" i="3" s="1"/>
  <c r="G83" i="3"/>
  <c r="P83" i="3" s="1"/>
  <c r="F83" i="3"/>
  <c r="E83" i="3"/>
  <c r="S82" i="3"/>
  <c r="R82" i="3"/>
  <c r="T82" i="3" s="1"/>
  <c r="O82" i="3"/>
  <c r="L82" i="3"/>
  <c r="I82" i="3"/>
  <c r="Q82" i="3" s="1"/>
  <c r="H82" i="3"/>
  <c r="N82" i="3" s="1"/>
  <c r="G82" i="3"/>
  <c r="P82" i="3" s="1"/>
  <c r="F82" i="3"/>
  <c r="E82" i="3"/>
  <c r="S81" i="3"/>
  <c r="R81" i="3"/>
  <c r="T81" i="3" s="1"/>
  <c r="O81" i="3"/>
  <c r="L81" i="3"/>
  <c r="I81" i="3"/>
  <c r="Q81" i="3" s="1"/>
  <c r="H81" i="3"/>
  <c r="N81" i="3" s="1"/>
  <c r="G81" i="3"/>
  <c r="P81" i="3" s="1"/>
  <c r="F81" i="3"/>
  <c r="E81" i="3"/>
  <c r="S80" i="3"/>
  <c r="R80" i="3"/>
  <c r="O80" i="3"/>
  <c r="L80" i="3"/>
  <c r="I80" i="3"/>
  <c r="Q80" i="3" s="1"/>
  <c r="H80" i="3"/>
  <c r="N80" i="3" s="1"/>
  <c r="G80" i="3"/>
  <c r="P80" i="3" s="1"/>
  <c r="F80" i="3"/>
  <c r="E80" i="3"/>
  <c r="S79" i="3"/>
  <c r="R79" i="3"/>
  <c r="T79" i="3" s="1"/>
  <c r="O79" i="3"/>
  <c r="L79" i="3"/>
  <c r="I79" i="3"/>
  <c r="Q79" i="3" s="1"/>
  <c r="H79" i="3"/>
  <c r="N79" i="3" s="1"/>
  <c r="G79" i="3"/>
  <c r="P79" i="3" s="1"/>
  <c r="F79" i="3"/>
  <c r="E79" i="3"/>
  <c r="S78" i="3"/>
  <c r="R78" i="3"/>
  <c r="T78" i="3" s="1"/>
  <c r="O78" i="3"/>
  <c r="L78" i="3"/>
  <c r="I78" i="3"/>
  <c r="H78" i="3"/>
  <c r="N78" i="3" s="1"/>
  <c r="G78" i="3"/>
  <c r="F78" i="3"/>
  <c r="E78" i="3"/>
  <c r="S77" i="3"/>
  <c r="R77" i="3"/>
  <c r="T77" i="3" s="1"/>
  <c r="O77" i="3"/>
  <c r="L77" i="3"/>
  <c r="I77" i="3"/>
  <c r="Q77" i="3" s="1"/>
  <c r="H77" i="3"/>
  <c r="N77" i="3" s="1"/>
  <c r="G77" i="3"/>
  <c r="P77" i="3" s="1"/>
  <c r="F77" i="3"/>
  <c r="E77" i="3"/>
  <c r="S76" i="3"/>
  <c r="R76" i="3"/>
  <c r="T76" i="3" s="1"/>
  <c r="O76" i="3"/>
  <c r="L76" i="3"/>
  <c r="I76" i="3"/>
  <c r="H76" i="3"/>
  <c r="N76" i="3" s="1"/>
  <c r="G76" i="3"/>
  <c r="P76" i="3" s="1"/>
  <c r="F76" i="3"/>
  <c r="E76" i="3"/>
  <c r="S75" i="3"/>
  <c r="R75" i="3"/>
  <c r="T75" i="3" s="1"/>
  <c r="O75" i="3"/>
  <c r="L75" i="3"/>
  <c r="I75" i="3"/>
  <c r="Q75" i="3" s="1"/>
  <c r="H75" i="3"/>
  <c r="N75" i="3" s="1"/>
  <c r="G75" i="3"/>
  <c r="F75" i="3"/>
  <c r="E75" i="3"/>
  <c r="S73" i="3"/>
  <c r="R73" i="3"/>
  <c r="T73" i="3" s="1"/>
  <c r="O73" i="3"/>
  <c r="L73" i="3"/>
  <c r="I73" i="3"/>
  <c r="Q73" i="3" s="1"/>
  <c r="H73" i="3"/>
  <c r="N73" i="3" s="1"/>
  <c r="G73" i="3"/>
  <c r="P73" i="3" s="1"/>
  <c r="F73" i="3"/>
  <c r="E73" i="3"/>
  <c r="S72" i="3"/>
  <c r="R72" i="3"/>
  <c r="T72" i="3" s="1"/>
  <c r="O72" i="3"/>
  <c r="L72" i="3"/>
  <c r="I72" i="3"/>
  <c r="Q72" i="3" s="1"/>
  <c r="H72" i="3"/>
  <c r="N72" i="3" s="1"/>
  <c r="G72" i="3"/>
  <c r="P72" i="3" s="1"/>
  <c r="F72" i="3"/>
  <c r="E72" i="3"/>
  <c r="S71" i="3"/>
  <c r="R71" i="3"/>
  <c r="T71" i="3" s="1"/>
  <c r="O71" i="3"/>
  <c r="L71" i="3"/>
  <c r="I71" i="3"/>
  <c r="Q71" i="3" s="1"/>
  <c r="H71" i="3"/>
  <c r="N71" i="3" s="1"/>
  <c r="G71" i="3"/>
  <c r="P71" i="3" s="1"/>
  <c r="F71" i="3"/>
  <c r="E71" i="3"/>
  <c r="S70" i="3"/>
  <c r="R70" i="3"/>
  <c r="T70" i="3" s="1"/>
  <c r="O70" i="3"/>
  <c r="L70" i="3"/>
  <c r="I70" i="3"/>
  <c r="Q70" i="3" s="1"/>
  <c r="H70" i="3"/>
  <c r="N70" i="3" s="1"/>
  <c r="G70" i="3"/>
  <c r="P70" i="3" s="1"/>
  <c r="F70" i="3"/>
  <c r="E70" i="3"/>
  <c r="S69" i="3"/>
  <c r="R69" i="3"/>
  <c r="T69" i="3" s="1"/>
  <c r="O69" i="3"/>
  <c r="L69" i="3"/>
  <c r="I69" i="3"/>
  <c r="H69" i="3"/>
  <c r="N69" i="3" s="1"/>
  <c r="G69" i="3"/>
  <c r="F69" i="3"/>
  <c r="E69" i="3"/>
  <c r="S68" i="3"/>
  <c r="R68" i="3"/>
  <c r="T68" i="3" s="1"/>
  <c r="O68" i="3"/>
  <c r="L68" i="3"/>
  <c r="I68" i="3"/>
  <c r="Q68" i="3" s="1"/>
  <c r="H68" i="3"/>
  <c r="N68" i="3" s="1"/>
  <c r="G68" i="3"/>
  <c r="P68" i="3" s="1"/>
  <c r="F68" i="3"/>
  <c r="E68" i="3"/>
  <c r="S67" i="3"/>
  <c r="R67" i="3"/>
  <c r="T67" i="3" s="1"/>
  <c r="O67" i="3"/>
  <c r="L67" i="3"/>
  <c r="I67" i="3"/>
  <c r="Q67" i="3" s="1"/>
  <c r="H67" i="3"/>
  <c r="N67" i="3" s="1"/>
  <c r="G67" i="3"/>
  <c r="P67" i="3" s="1"/>
  <c r="F67" i="3"/>
  <c r="E67" i="3"/>
  <c r="S66" i="3"/>
  <c r="R66" i="3"/>
  <c r="T66" i="3" s="1"/>
  <c r="O66" i="3"/>
  <c r="L66" i="3"/>
  <c r="I66" i="3"/>
  <c r="Q66" i="3" s="1"/>
  <c r="H66" i="3"/>
  <c r="N66" i="3" s="1"/>
  <c r="G66" i="3"/>
  <c r="P66" i="3" s="1"/>
  <c r="F66" i="3"/>
  <c r="E66" i="3"/>
  <c r="S65" i="3"/>
  <c r="R65" i="3"/>
  <c r="T65" i="3" s="1"/>
  <c r="O65" i="3"/>
  <c r="L65" i="3"/>
  <c r="I65" i="3"/>
  <c r="Q65" i="3" s="1"/>
  <c r="H65" i="3"/>
  <c r="N65" i="3" s="1"/>
  <c r="G65" i="3"/>
  <c r="P65" i="3" s="1"/>
  <c r="F65" i="3"/>
  <c r="E65" i="3"/>
  <c r="S64" i="3"/>
  <c r="R64" i="3"/>
  <c r="T64" i="3" s="1"/>
  <c r="O64" i="3"/>
  <c r="L64" i="3"/>
  <c r="I64" i="3"/>
  <c r="Q64" i="3" s="1"/>
  <c r="H64" i="3"/>
  <c r="N64" i="3" s="1"/>
  <c r="G64" i="3"/>
  <c r="P64" i="3" s="1"/>
  <c r="F64" i="3"/>
  <c r="E64" i="3"/>
  <c r="S63" i="3"/>
  <c r="R63" i="3"/>
  <c r="T63" i="3" s="1"/>
  <c r="O63" i="3"/>
  <c r="L63" i="3"/>
  <c r="I63" i="3"/>
  <c r="Q63" i="3" s="1"/>
  <c r="H63" i="3"/>
  <c r="N63" i="3" s="1"/>
  <c r="G63" i="3"/>
  <c r="P63" i="3" s="1"/>
  <c r="F63" i="3"/>
  <c r="E63" i="3"/>
  <c r="S62" i="3"/>
  <c r="R62" i="3"/>
  <c r="T62" i="3" s="1"/>
  <c r="O62" i="3"/>
  <c r="L62" i="3"/>
  <c r="I62" i="3"/>
  <c r="Q62" i="3" s="1"/>
  <c r="H62" i="3"/>
  <c r="N62" i="3" s="1"/>
  <c r="G62" i="3"/>
  <c r="P62" i="3" s="1"/>
  <c r="F62" i="3"/>
  <c r="E62" i="3"/>
  <c r="S61" i="3"/>
  <c r="R61" i="3"/>
  <c r="T61" i="3" s="1"/>
  <c r="O61" i="3"/>
  <c r="L61" i="3"/>
  <c r="I61" i="3"/>
  <c r="Q61" i="3" s="1"/>
  <c r="H61" i="3"/>
  <c r="N61" i="3" s="1"/>
  <c r="G61" i="3"/>
  <c r="P61" i="3" s="1"/>
  <c r="F61" i="3"/>
  <c r="E61" i="3"/>
  <c r="S60" i="3"/>
  <c r="R60" i="3"/>
  <c r="T60" i="3" s="1"/>
  <c r="O60" i="3"/>
  <c r="L60" i="3"/>
  <c r="I60" i="3"/>
  <c r="Q60" i="3" s="1"/>
  <c r="H60" i="3"/>
  <c r="N60" i="3" s="1"/>
  <c r="G60" i="3"/>
  <c r="P60" i="3" s="1"/>
  <c r="F60" i="3"/>
  <c r="E60" i="3"/>
  <c r="S59" i="3"/>
  <c r="R59" i="3"/>
  <c r="T59" i="3" s="1"/>
  <c r="O59" i="3"/>
  <c r="L59" i="3"/>
  <c r="I59" i="3"/>
  <c r="Q59" i="3" s="1"/>
  <c r="H59" i="3"/>
  <c r="N59" i="3" s="1"/>
  <c r="G59" i="3"/>
  <c r="P59" i="3" s="1"/>
  <c r="F59" i="3"/>
  <c r="E59" i="3"/>
  <c r="S58" i="3"/>
  <c r="R58" i="3"/>
  <c r="T58" i="3" s="1"/>
  <c r="O58" i="3"/>
  <c r="L58" i="3"/>
  <c r="I58" i="3"/>
  <c r="Q58" i="3" s="1"/>
  <c r="H58" i="3"/>
  <c r="N58" i="3" s="1"/>
  <c r="G58" i="3"/>
  <c r="P58" i="3" s="1"/>
  <c r="F58" i="3"/>
  <c r="E58" i="3"/>
  <c r="S57" i="3"/>
  <c r="R57" i="3"/>
  <c r="T57" i="3" s="1"/>
  <c r="O57" i="3"/>
  <c r="L57" i="3"/>
  <c r="I57" i="3"/>
  <c r="Q57" i="3" s="1"/>
  <c r="H57" i="3"/>
  <c r="N57" i="3" s="1"/>
  <c r="G57" i="3"/>
  <c r="P57" i="3" s="1"/>
  <c r="F57" i="3"/>
  <c r="E57" i="3"/>
  <c r="S56" i="3"/>
  <c r="R56" i="3"/>
  <c r="T56" i="3" s="1"/>
  <c r="O56" i="3"/>
  <c r="L56" i="3"/>
  <c r="I56" i="3"/>
  <c r="Q56" i="3" s="1"/>
  <c r="H56" i="3"/>
  <c r="N56" i="3" s="1"/>
  <c r="G56" i="3"/>
  <c r="P56" i="3" s="1"/>
  <c r="F56" i="3"/>
  <c r="E56" i="3"/>
  <c r="S55" i="3"/>
  <c r="R55" i="3"/>
  <c r="T55" i="3" s="1"/>
  <c r="O55" i="3"/>
  <c r="L55" i="3"/>
  <c r="I55" i="3"/>
  <c r="Q55" i="3" s="1"/>
  <c r="H55" i="3"/>
  <c r="N55" i="3" s="1"/>
  <c r="G55" i="3"/>
  <c r="P55" i="3" s="1"/>
  <c r="F55" i="3"/>
  <c r="E55" i="3"/>
  <c r="S54" i="3"/>
  <c r="R54" i="3"/>
  <c r="T54" i="3" s="1"/>
  <c r="O54" i="3"/>
  <c r="L54" i="3"/>
  <c r="I54" i="3"/>
  <c r="Q54" i="3" s="1"/>
  <c r="H54" i="3"/>
  <c r="N54" i="3" s="1"/>
  <c r="G54" i="3"/>
  <c r="F54" i="3"/>
  <c r="E54" i="3"/>
  <c r="S53" i="3"/>
  <c r="R53" i="3"/>
  <c r="O53" i="3"/>
  <c r="L53" i="3"/>
  <c r="I53" i="3"/>
  <c r="Q53" i="3" s="1"/>
  <c r="H53" i="3"/>
  <c r="N53" i="3" s="1"/>
  <c r="G53" i="3"/>
  <c r="P53" i="3" s="1"/>
  <c r="F53" i="3"/>
  <c r="E53" i="3"/>
  <c r="S51" i="3"/>
  <c r="R51" i="3"/>
  <c r="T51" i="3" s="1"/>
  <c r="O51" i="3"/>
  <c r="L51" i="3"/>
  <c r="I51" i="3"/>
  <c r="Q51" i="3" s="1"/>
  <c r="H51" i="3"/>
  <c r="N51" i="3" s="1"/>
  <c r="G51" i="3"/>
  <c r="P51" i="3" s="1"/>
  <c r="F51" i="3"/>
  <c r="E51" i="3"/>
  <c r="S50" i="3"/>
  <c r="R50" i="3"/>
  <c r="T50" i="3" s="1"/>
  <c r="O50" i="3"/>
  <c r="L50" i="3"/>
  <c r="I50" i="3"/>
  <c r="Q50" i="3" s="1"/>
  <c r="H50" i="3"/>
  <c r="N50" i="3" s="1"/>
  <c r="G50" i="3"/>
  <c r="P50" i="3" s="1"/>
  <c r="F50" i="3"/>
  <c r="E50" i="3"/>
  <c r="S49" i="3"/>
  <c r="R49" i="3"/>
  <c r="T49" i="3" s="1"/>
  <c r="O49" i="3"/>
  <c r="L49" i="3"/>
  <c r="I49" i="3"/>
  <c r="Q49" i="3" s="1"/>
  <c r="H49" i="3"/>
  <c r="N49" i="3" s="1"/>
  <c r="G49" i="3"/>
  <c r="P49" i="3" s="1"/>
  <c r="F49" i="3"/>
  <c r="E49" i="3"/>
  <c r="S48" i="3"/>
  <c r="R48" i="3"/>
  <c r="T48" i="3" s="1"/>
  <c r="O48" i="3"/>
  <c r="L48" i="3"/>
  <c r="I48" i="3"/>
  <c r="H48" i="3"/>
  <c r="N48" i="3" s="1"/>
  <c r="G48" i="3"/>
  <c r="F48" i="3"/>
  <c r="E48" i="3"/>
  <c r="S47" i="3"/>
  <c r="R47" i="3"/>
  <c r="T47" i="3" s="1"/>
  <c r="O47" i="3"/>
  <c r="L47" i="3"/>
  <c r="I47" i="3"/>
  <c r="Q47" i="3" s="1"/>
  <c r="H47" i="3"/>
  <c r="N47" i="3" s="1"/>
  <c r="G47" i="3"/>
  <c r="P47" i="3" s="1"/>
  <c r="F47" i="3"/>
  <c r="E47" i="3"/>
  <c r="S46" i="3"/>
  <c r="R46" i="3"/>
  <c r="T46" i="3" s="1"/>
  <c r="O46" i="3"/>
  <c r="L46" i="3"/>
  <c r="I46" i="3"/>
  <c r="H46" i="3"/>
  <c r="N46" i="3" s="1"/>
  <c r="G46" i="3"/>
  <c r="P46" i="3" s="1"/>
  <c r="F46" i="3"/>
  <c r="E46" i="3"/>
  <c r="S45" i="3"/>
  <c r="R45" i="3"/>
  <c r="T45" i="3" s="1"/>
  <c r="O45" i="3"/>
  <c r="L45" i="3"/>
  <c r="I45" i="3"/>
  <c r="Q45" i="3" s="1"/>
  <c r="H45" i="3"/>
  <c r="N45" i="3" s="1"/>
  <c r="G45" i="3"/>
  <c r="P45" i="3" s="1"/>
  <c r="F45" i="3"/>
  <c r="E45" i="3"/>
  <c r="S44" i="3"/>
  <c r="R44" i="3"/>
  <c r="T44" i="3" s="1"/>
  <c r="O44" i="3"/>
  <c r="L44" i="3"/>
  <c r="I44" i="3"/>
  <c r="Q44" i="3" s="1"/>
  <c r="H44" i="3"/>
  <c r="N44" i="3" s="1"/>
  <c r="G44" i="3"/>
  <c r="P44" i="3" s="1"/>
  <c r="F44" i="3"/>
  <c r="E44" i="3"/>
  <c r="S43" i="3"/>
  <c r="R43" i="3"/>
  <c r="T43" i="3" s="1"/>
  <c r="O43" i="3"/>
  <c r="L43" i="3"/>
  <c r="I43" i="3"/>
  <c r="Q43" i="3" s="1"/>
  <c r="H43" i="3"/>
  <c r="N43" i="3" s="1"/>
  <c r="G43" i="3"/>
  <c r="P43" i="3" s="1"/>
  <c r="F43" i="3"/>
  <c r="E43" i="3"/>
  <c r="S42" i="3"/>
  <c r="R42" i="3"/>
  <c r="T42" i="3" s="1"/>
  <c r="O42" i="3"/>
  <c r="L42" i="3"/>
  <c r="I42" i="3"/>
  <c r="Q42" i="3" s="1"/>
  <c r="H42" i="3"/>
  <c r="N42" i="3" s="1"/>
  <c r="G42" i="3"/>
  <c r="P42" i="3" s="1"/>
  <c r="F42" i="3"/>
  <c r="E42" i="3"/>
  <c r="S41" i="3"/>
  <c r="R41" i="3"/>
  <c r="T41" i="3" s="1"/>
  <c r="O41" i="3"/>
  <c r="L41" i="3"/>
  <c r="I41" i="3"/>
  <c r="H41" i="3"/>
  <c r="N41" i="3" s="1"/>
  <c r="G41" i="3"/>
  <c r="F41" i="3"/>
  <c r="E41" i="3"/>
  <c r="S40" i="3"/>
  <c r="R40" i="3"/>
  <c r="T40" i="3" s="1"/>
  <c r="O40" i="3"/>
  <c r="L40" i="3"/>
  <c r="I40" i="3"/>
  <c r="Q40" i="3" s="1"/>
  <c r="H40" i="3"/>
  <c r="N40" i="3" s="1"/>
  <c r="G40" i="3"/>
  <c r="P40" i="3" s="1"/>
  <c r="F40" i="3"/>
  <c r="E40" i="3"/>
  <c r="S39" i="3"/>
  <c r="R39" i="3"/>
  <c r="T39" i="3" s="1"/>
  <c r="O39" i="3"/>
  <c r="L39" i="3"/>
  <c r="I39" i="3"/>
  <c r="H39" i="3"/>
  <c r="N39" i="3" s="1"/>
  <c r="G39" i="3"/>
  <c r="F39" i="3"/>
  <c r="E39" i="3"/>
  <c r="S38" i="3"/>
  <c r="R38" i="3"/>
  <c r="T38" i="3" s="1"/>
  <c r="O38" i="3"/>
  <c r="L38" i="3"/>
  <c r="I38" i="3"/>
  <c r="Q38" i="3" s="1"/>
  <c r="H38" i="3"/>
  <c r="N38" i="3" s="1"/>
  <c r="G38" i="3"/>
  <c r="P38" i="3" s="1"/>
  <c r="F38" i="3"/>
  <c r="E38" i="3"/>
  <c r="S37" i="3"/>
  <c r="R37" i="3"/>
  <c r="T37" i="3" s="1"/>
  <c r="O37" i="3"/>
  <c r="L37" i="3"/>
  <c r="I37" i="3"/>
  <c r="Q37" i="3" s="1"/>
  <c r="H37" i="3"/>
  <c r="N37" i="3" s="1"/>
  <c r="G37" i="3"/>
  <c r="P37" i="3" s="1"/>
  <c r="F37" i="3"/>
  <c r="E37" i="3"/>
  <c r="S36" i="3"/>
  <c r="R36" i="3"/>
  <c r="T36" i="3" s="1"/>
  <c r="O36" i="3"/>
  <c r="L36" i="3"/>
  <c r="I36" i="3"/>
  <c r="H36" i="3"/>
  <c r="N36" i="3" s="1"/>
  <c r="G36" i="3"/>
  <c r="F36" i="3"/>
  <c r="E36" i="3"/>
  <c r="S35" i="3"/>
  <c r="R35" i="3"/>
  <c r="T35" i="3" s="1"/>
  <c r="O35" i="3"/>
  <c r="L35" i="3"/>
  <c r="I35" i="3"/>
  <c r="Q35" i="3" s="1"/>
  <c r="H35" i="3"/>
  <c r="N35" i="3" s="1"/>
  <c r="G35" i="3"/>
  <c r="P35" i="3" s="1"/>
  <c r="F35" i="3"/>
  <c r="E35" i="3"/>
  <c r="S34" i="3"/>
  <c r="R34" i="3"/>
  <c r="T34" i="3" s="1"/>
  <c r="O34" i="3"/>
  <c r="L34" i="3"/>
  <c r="I34" i="3"/>
  <c r="Q34" i="3" s="1"/>
  <c r="H34" i="3"/>
  <c r="N34" i="3" s="1"/>
  <c r="G34" i="3"/>
  <c r="P34" i="3" s="1"/>
  <c r="F34" i="3"/>
  <c r="E34" i="3"/>
  <c r="S33" i="3"/>
  <c r="R33" i="3"/>
  <c r="T33" i="3" s="1"/>
  <c r="O33" i="3"/>
  <c r="L33" i="3"/>
  <c r="I33" i="3"/>
  <c r="Q33" i="3" s="1"/>
  <c r="H33" i="3"/>
  <c r="N33" i="3" s="1"/>
  <c r="G33" i="3"/>
  <c r="P33" i="3" s="1"/>
  <c r="F33" i="3"/>
  <c r="E33" i="3"/>
  <c r="S32" i="3"/>
  <c r="R32" i="3"/>
  <c r="T32" i="3" s="1"/>
  <c r="O32" i="3"/>
  <c r="L32" i="3"/>
  <c r="I32" i="3"/>
  <c r="Q32" i="3" s="1"/>
  <c r="H32" i="3"/>
  <c r="N32" i="3" s="1"/>
  <c r="G32" i="3"/>
  <c r="P32" i="3" s="1"/>
  <c r="F32" i="3"/>
  <c r="E32" i="3"/>
  <c r="S30" i="3"/>
  <c r="R30" i="3"/>
  <c r="T30" i="3" s="1"/>
  <c r="O30" i="3"/>
  <c r="L30" i="3"/>
  <c r="I30" i="3"/>
  <c r="Q30" i="3" s="1"/>
  <c r="H30" i="3"/>
  <c r="N30" i="3" s="1"/>
  <c r="G30" i="3"/>
  <c r="P30" i="3" s="1"/>
  <c r="F30" i="3"/>
  <c r="E30" i="3"/>
  <c r="S29" i="3"/>
  <c r="R29" i="3"/>
  <c r="T29" i="3" s="1"/>
  <c r="O29" i="3"/>
  <c r="L29" i="3"/>
  <c r="I29" i="3"/>
  <c r="Q29" i="3" s="1"/>
  <c r="H29" i="3"/>
  <c r="N29" i="3" s="1"/>
  <c r="G29" i="3"/>
  <c r="P29" i="3" s="1"/>
  <c r="F29" i="3"/>
  <c r="E29" i="3"/>
  <c r="S28" i="3"/>
  <c r="R28" i="3"/>
  <c r="T28" i="3" s="1"/>
  <c r="O28" i="3"/>
  <c r="L28" i="3"/>
  <c r="I28" i="3"/>
  <c r="H28" i="3"/>
  <c r="N28" i="3" s="1"/>
  <c r="G28" i="3"/>
  <c r="F28" i="3"/>
  <c r="E28" i="3"/>
  <c r="S27" i="3"/>
  <c r="R27" i="3"/>
  <c r="T27" i="3" s="1"/>
  <c r="O27" i="3"/>
  <c r="L27" i="3"/>
  <c r="I27" i="3"/>
  <c r="Q27" i="3" s="1"/>
  <c r="H27" i="3"/>
  <c r="N27" i="3" s="1"/>
  <c r="G27" i="3"/>
  <c r="P27" i="3" s="1"/>
  <c r="F27" i="3"/>
  <c r="E27" i="3"/>
  <c r="S26" i="3"/>
  <c r="R26" i="3"/>
  <c r="T26" i="3" s="1"/>
  <c r="O26" i="3"/>
  <c r="L26" i="3"/>
  <c r="I26" i="3"/>
  <c r="Q26" i="3" s="1"/>
  <c r="H26" i="3"/>
  <c r="N26" i="3" s="1"/>
  <c r="G26" i="3"/>
  <c r="F26" i="3"/>
  <c r="E26" i="3"/>
  <c r="S25" i="3"/>
  <c r="R25" i="3"/>
  <c r="T25" i="3" s="1"/>
  <c r="O25" i="3"/>
  <c r="L25" i="3"/>
  <c r="I25" i="3"/>
  <c r="Q25" i="3" s="1"/>
  <c r="H25" i="3"/>
  <c r="N25" i="3" s="1"/>
  <c r="G25" i="3"/>
  <c r="P25" i="3" s="1"/>
  <c r="F25" i="3"/>
  <c r="E25" i="3"/>
  <c r="S24" i="3"/>
  <c r="R24" i="3"/>
  <c r="T24" i="3" s="1"/>
  <c r="O24" i="3"/>
  <c r="L24" i="3"/>
  <c r="I24" i="3"/>
  <c r="Q24" i="3" s="1"/>
  <c r="H24" i="3"/>
  <c r="N24" i="3" s="1"/>
  <c r="G24" i="3"/>
  <c r="P24" i="3" s="1"/>
  <c r="F24" i="3"/>
  <c r="E24" i="3"/>
  <c r="S23" i="3"/>
  <c r="R23" i="3"/>
  <c r="T23" i="3" s="1"/>
  <c r="O23" i="3"/>
  <c r="L23" i="3"/>
  <c r="I23" i="3"/>
  <c r="Q23" i="3" s="1"/>
  <c r="H23" i="3"/>
  <c r="N23" i="3" s="1"/>
  <c r="G23" i="3"/>
  <c r="P23" i="3" s="1"/>
  <c r="F23" i="3"/>
  <c r="E23" i="3"/>
  <c r="S22" i="3"/>
  <c r="R22" i="3"/>
  <c r="T22" i="3" s="1"/>
  <c r="O22" i="3"/>
  <c r="L22" i="3"/>
  <c r="I22" i="3"/>
  <c r="Q22" i="3" s="1"/>
  <c r="H22" i="3"/>
  <c r="N22" i="3" s="1"/>
  <c r="G22" i="3"/>
  <c r="P22" i="3" s="1"/>
  <c r="F22" i="3"/>
  <c r="E22" i="3"/>
  <c r="S21" i="3"/>
  <c r="R21" i="3"/>
  <c r="T21" i="3" s="1"/>
  <c r="O21" i="3"/>
  <c r="L21" i="3"/>
  <c r="I21" i="3"/>
  <c r="Q21" i="3" s="1"/>
  <c r="H21" i="3"/>
  <c r="N21" i="3" s="1"/>
  <c r="G21" i="3"/>
  <c r="P21" i="3" s="1"/>
  <c r="F21" i="3"/>
  <c r="E21" i="3"/>
  <c r="S20" i="3"/>
  <c r="R20" i="3"/>
  <c r="T20" i="3" s="1"/>
  <c r="O20" i="3"/>
  <c r="L20" i="3"/>
  <c r="I20" i="3"/>
  <c r="Q20" i="3" s="1"/>
  <c r="H20" i="3"/>
  <c r="N20" i="3" s="1"/>
  <c r="G20" i="3"/>
  <c r="P20" i="3" s="1"/>
  <c r="F20" i="3"/>
  <c r="E20" i="3"/>
  <c r="S19" i="3"/>
  <c r="R19" i="3"/>
  <c r="T19" i="3" s="1"/>
  <c r="O19" i="3"/>
  <c r="L19" i="3"/>
  <c r="I19" i="3"/>
  <c r="H19" i="3"/>
  <c r="N19" i="3" s="1"/>
  <c r="G19" i="3"/>
  <c r="F19" i="3"/>
  <c r="E19" i="3"/>
  <c r="S18" i="3"/>
  <c r="R18" i="3"/>
  <c r="T18" i="3" s="1"/>
  <c r="O18" i="3"/>
  <c r="L18" i="3"/>
  <c r="I18" i="3"/>
  <c r="Q18" i="3" s="1"/>
  <c r="H18" i="3"/>
  <c r="N18" i="3" s="1"/>
  <c r="G18" i="3"/>
  <c r="P18" i="3" s="1"/>
  <c r="F18" i="3"/>
  <c r="E18" i="3"/>
  <c r="S17" i="3"/>
  <c r="R17" i="3"/>
  <c r="T17" i="3" s="1"/>
  <c r="O17" i="3"/>
  <c r="L17" i="3"/>
  <c r="I17" i="3"/>
  <c r="Q17" i="3" s="1"/>
  <c r="H17" i="3"/>
  <c r="N17" i="3" s="1"/>
  <c r="G17" i="3"/>
  <c r="P17" i="3" s="1"/>
  <c r="F17" i="3"/>
  <c r="E17" i="3"/>
  <c r="S16" i="3"/>
  <c r="R16" i="3"/>
  <c r="T16" i="3" s="1"/>
  <c r="O16" i="3"/>
  <c r="L16" i="3"/>
  <c r="I16" i="3"/>
  <c r="Q16" i="3" s="1"/>
  <c r="H16" i="3"/>
  <c r="N16" i="3" s="1"/>
  <c r="G16" i="3"/>
  <c r="P16" i="3" s="1"/>
  <c r="F16" i="3"/>
  <c r="E16" i="3"/>
  <c r="S15" i="3"/>
  <c r="R15" i="3"/>
  <c r="T15" i="3" s="1"/>
  <c r="O15" i="3"/>
  <c r="L15" i="3"/>
  <c r="I15" i="3"/>
  <c r="Q15" i="3" s="1"/>
  <c r="H15" i="3"/>
  <c r="N15" i="3" s="1"/>
  <c r="G15" i="3"/>
  <c r="P15" i="3" s="1"/>
  <c r="F15" i="3"/>
  <c r="E15" i="3"/>
  <c r="S14" i="3"/>
  <c r="R14" i="3"/>
  <c r="T14" i="3" s="1"/>
  <c r="O14" i="3"/>
  <c r="L14" i="3"/>
  <c r="I14" i="3"/>
  <c r="H14" i="3"/>
  <c r="N14" i="3" s="1"/>
  <c r="G14" i="3"/>
  <c r="P14" i="3" s="1"/>
  <c r="F14" i="3"/>
  <c r="E14" i="3"/>
  <c r="T12" i="3"/>
  <c r="Q12" i="3"/>
  <c r="N12" i="3"/>
  <c r="M12" i="3"/>
  <c r="K12" i="3"/>
  <c r="J12" i="3"/>
  <c r="C12" i="3"/>
  <c r="O11" i="3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L104" i="2"/>
  <c r="I104" i="2"/>
  <c r="Q104" i="2" s="1"/>
  <c r="H104" i="2"/>
  <c r="H11" i="2" s="1"/>
  <c r="G104" i="2"/>
  <c r="P104" i="2" s="1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A97" i="2"/>
  <c r="A98" i="2" s="1"/>
  <c r="A99" i="2" s="1"/>
  <c r="A100" i="2" s="1"/>
  <c r="A101" i="2" s="1"/>
  <c r="A102" i="2" s="1"/>
  <c r="A103" i="2" s="1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P93" i="2" s="1"/>
  <c r="F93" i="2"/>
  <c r="E93" i="2"/>
  <c r="A93" i="2"/>
  <c r="A94" i="2" s="1"/>
  <c r="A95" i="2" s="1"/>
  <c r="A96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Q91" i="2" s="1"/>
  <c r="H91" i="2"/>
  <c r="G91" i="2"/>
  <c r="P91" i="2" s="1"/>
  <c r="F91" i="2"/>
  <c r="E91" i="2"/>
  <c r="O90" i="2"/>
  <c r="L90" i="2"/>
  <c r="I90" i="2"/>
  <c r="Q90" i="2" s="1"/>
  <c r="H90" i="2"/>
  <c r="N90" i="2" s="1"/>
  <c r="G90" i="2"/>
  <c r="P90" i="2" s="1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T77" i="2" s="1"/>
  <c r="O77" i="2"/>
  <c r="L77" i="2"/>
  <c r="I77" i="2"/>
  <c r="Q77" i="2" s="1"/>
  <c r="H77" i="2"/>
  <c r="G77" i="2"/>
  <c r="P77" i="2" s="1"/>
  <c r="F77" i="2"/>
  <c r="E77" i="2"/>
  <c r="AY76" i="2"/>
  <c r="AX76" i="2"/>
  <c r="AZ76" i="2" s="1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O76" i="2"/>
  <c r="L76" i="2"/>
  <c r="I76" i="2"/>
  <c r="Q76" i="2" s="1"/>
  <c r="H76" i="2"/>
  <c r="G76" i="2"/>
  <c r="P76" i="2" s="1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Q75" i="2" s="1"/>
  <c r="H75" i="2"/>
  <c r="G75" i="2"/>
  <c r="P75" i="2" s="1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P69" i="2" s="1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P63" i="2" s="1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P60" i="2" s="1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W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P54" i="2" s="1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Q53" i="2" s="1"/>
  <c r="H53" i="2"/>
  <c r="G53" i="2"/>
  <c r="P53" i="2" s="1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P51" i="2" s="1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S48" i="2"/>
  <c r="R48" i="2"/>
  <c r="O48" i="2"/>
  <c r="L48" i="2"/>
  <c r="I48" i="2"/>
  <c r="Q48" i="2" s="1"/>
  <c r="H48" i="2"/>
  <c r="G48" i="2"/>
  <c r="P48" i="2" s="1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P45" i="2" s="1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P42" i="2" s="1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P33" i="2" s="1"/>
  <c r="F33" i="2"/>
  <c r="E33" i="2"/>
  <c r="AY32" i="2"/>
  <c r="AX32" i="2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Q32" i="2" s="1"/>
  <c r="H32" i="2"/>
  <c r="G32" i="2"/>
  <c r="P32" i="2" s="1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P30" i="2" s="1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P21" i="2" s="1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P18" i="2" s="1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H14" i="2"/>
  <c r="G14" i="2"/>
  <c r="P14" i="2" s="1"/>
  <c r="F14" i="2"/>
  <c r="E14" i="2"/>
  <c r="AZ12" i="2"/>
  <c r="AW12" i="2"/>
  <c r="AQ12" i="2"/>
  <c r="AO12" i="2"/>
  <c r="Z12" i="2"/>
  <c r="X12" i="2"/>
  <c r="T12" i="2"/>
  <c r="Q12" i="2"/>
  <c r="N12" i="2"/>
  <c r="M12" i="2"/>
  <c r="J12" i="2"/>
  <c r="C12" i="2"/>
  <c r="K12" i="2" s="1"/>
  <c r="AZ11" i="2"/>
  <c r="AW11" i="2"/>
  <c r="AQ11" i="2"/>
  <c r="AO11" i="2"/>
  <c r="Z11" i="2"/>
  <c r="X11" i="2"/>
  <c r="T11" i="2"/>
  <c r="O11" i="2"/>
  <c r="L11" i="2"/>
  <c r="AZ10" i="2"/>
  <c r="AW10" i="2"/>
  <c r="AQ10" i="2"/>
  <c r="AO10" i="2"/>
  <c r="Z10" i="2"/>
  <c r="X10" i="2"/>
  <c r="T10" i="2"/>
  <c r="AZ9" i="2"/>
  <c r="AY9" i="2"/>
  <c r="AX9" i="2"/>
  <c r="AV9" i="2"/>
  <c r="AU9" i="2"/>
  <c r="AW9" i="2" s="1"/>
  <c r="AT9" i="2"/>
  <c r="AS9" i="2"/>
  <c r="AR9" i="2"/>
  <c r="AP9" i="2"/>
  <c r="AN9" i="2"/>
  <c r="AM9" i="2"/>
  <c r="AQ9" i="2" s="1"/>
  <c r="AL9" i="2"/>
  <c r="AO9" i="2" s="1"/>
  <c r="AK9" i="2"/>
  <c r="AJ9" i="2"/>
  <c r="AI9" i="2"/>
  <c r="AH9" i="2"/>
  <c r="AG9" i="2"/>
  <c r="AF9" i="2"/>
  <c r="AE9" i="2"/>
  <c r="AD9" i="2"/>
  <c r="AC9" i="2"/>
  <c r="AB9" i="2"/>
  <c r="AA9" i="2"/>
  <c r="Y9" i="2"/>
  <c r="W9" i="2"/>
  <c r="V9" i="2"/>
  <c r="Z9" i="2" s="1"/>
  <c r="U9" i="2"/>
  <c r="X9" i="2" s="1"/>
  <c r="S9" i="2"/>
  <c r="R9" i="2"/>
  <c r="T9" i="2" s="1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I104" i="1"/>
  <c r="Q104" i="1" s="1"/>
  <c r="H104" i="1"/>
  <c r="H11" i="1" s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A94" i="1"/>
  <c r="A95" i="1" s="1"/>
  <c r="A96" i="1" s="1"/>
  <c r="A97" i="1" s="1"/>
  <c r="A98" i="1" s="1"/>
  <c r="A99" i="1" s="1"/>
  <c r="A100" i="1" s="1"/>
  <c r="A101" i="1" s="1"/>
  <c r="A102" i="1" s="1"/>
  <c r="A103" i="1" s="1"/>
  <c r="O93" i="1"/>
  <c r="L93" i="1"/>
  <c r="I93" i="1"/>
  <c r="Q93" i="1" s="1"/>
  <c r="H93" i="1"/>
  <c r="G93" i="1"/>
  <c r="P93" i="1" s="1"/>
  <c r="F93" i="1"/>
  <c r="E93" i="1"/>
  <c r="A93" i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P91" i="1" s="1"/>
  <c r="F91" i="1"/>
  <c r="E91" i="1"/>
  <c r="O90" i="1"/>
  <c r="L90" i="1"/>
  <c r="I90" i="1"/>
  <c r="Q90" i="1" s="1"/>
  <c r="H90" i="1"/>
  <c r="N90" i="1" s="1"/>
  <c r="G90" i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H77" i="1"/>
  <c r="N77" i="1" s="1"/>
  <c r="G77" i="1"/>
  <c r="P77" i="1" s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Q75" i="1" s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Q53" i="1" s="1"/>
  <c r="H53" i="1"/>
  <c r="N53" i="1" s="1"/>
  <c r="G53" i="1"/>
  <c r="P53" i="1" s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C40" i="1"/>
  <c r="AB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G32" i="1"/>
  <c r="P32" i="1" s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Q14" i="1" s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K12" i="1"/>
  <c r="J12" i="1"/>
  <c r="C12" i="1"/>
  <c r="I11" i="10" l="1"/>
  <c r="Q11" i="10" s="1"/>
  <c r="D51" i="10"/>
  <c r="U63" i="10"/>
  <c r="N56" i="10"/>
  <c r="D71" i="6"/>
  <c r="M71" i="6" s="1"/>
  <c r="D48" i="10"/>
  <c r="M48" i="10" s="1"/>
  <c r="BD32" i="13"/>
  <c r="I11" i="6"/>
  <c r="Q11" i="6" s="1"/>
  <c r="D14" i="4"/>
  <c r="U43" i="4"/>
  <c r="D16" i="4"/>
  <c r="C16" i="4" s="1"/>
  <c r="K16" i="4" s="1"/>
  <c r="D111" i="3"/>
  <c r="M111" i="3" s="1"/>
  <c r="D116" i="3"/>
  <c r="C116" i="3" s="1"/>
  <c r="K116" i="3" s="1"/>
  <c r="G11" i="4"/>
  <c r="P11" i="4" s="1"/>
  <c r="I11" i="1"/>
  <c r="Q11" i="1" s="1"/>
  <c r="G11" i="11"/>
  <c r="P11" i="11" s="1"/>
  <c r="D115" i="3"/>
  <c r="M115" i="3" s="1"/>
  <c r="J116" i="3"/>
  <c r="D71" i="4"/>
  <c r="M71" i="4" s="1"/>
  <c r="J95" i="10"/>
  <c r="D77" i="10"/>
  <c r="D86" i="10"/>
  <c r="M86" i="10" s="1"/>
  <c r="T76" i="9"/>
  <c r="J42" i="11"/>
  <c r="D108" i="11"/>
  <c r="M108" i="11" s="1"/>
  <c r="D114" i="11"/>
  <c r="J108" i="6"/>
  <c r="AN41" i="13"/>
  <c r="AN44" i="13"/>
  <c r="T71" i="12"/>
  <c r="W73" i="12"/>
  <c r="G11" i="8"/>
  <c r="P11" i="8" s="1"/>
  <c r="D110" i="8"/>
  <c r="M110" i="8" s="1"/>
  <c r="CM16" i="7"/>
  <c r="N61" i="7"/>
  <c r="W21" i="12"/>
  <c r="J73" i="12"/>
  <c r="P30" i="13"/>
  <c r="AC66" i="13"/>
  <c r="U86" i="4"/>
  <c r="J97" i="5"/>
  <c r="D112" i="6"/>
  <c r="M112" i="6" s="1"/>
  <c r="AF47" i="7"/>
  <c r="AO47" i="7"/>
  <c r="AZ49" i="7"/>
  <c r="BR49" i="7"/>
  <c r="AC51" i="7"/>
  <c r="AT51" i="7"/>
  <c r="BC51" i="7"/>
  <c r="X62" i="7"/>
  <c r="AI62" i="7"/>
  <c r="J26" i="8"/>
  <c r="J41" i="8"/>
  <c r="J45" i="8"/>
  <c r="J49" i="8"/>
  <c r="J68" i="8"/>
  <c r="J79" i="8"/>
  <c r="N16" i="9"/>
  <c r="G11" i="12"/>
  <c r="P11" i="12" s="1"/>
  <c r="J97" i="12"/>
  <c r="H11" i="3"/>
  <c r="N11" i="3" s="1"/>
  <c r="J62" i="4"/>
  <c r="D80" i="5"/>
  <c r="D54" i="8"/>
  <c r="C54" i="8" s="1"/>
  <c r="N23" i="12"/>
  <c r="J36" i="8"/>
  <c r="J55" i="8"/>
  <c r="J65" i="8"/>
  <c r="J67" i="8"/>
  <c r="J73" i="8"/>
  <c r="J80" i="8"/>
  <c r="J82" i="8"/>
  <c r="J84" i="8"/>
  <c r="J86" i="8"/>
  <c r="D92" i="8"/>
  <c r="M92" i="8" s="1"/>
  <c r="J115" i="8"/>
  <c r="J93" i="11"/>
  <c r="D66" i="12"/>
  <c r="M66" i="12" s="1"/>
  <c r="D85" i="12"/>
  <c r="C85" i="12" s="1"/>
  <c r="J100" i="12"/>
  <c r="W80" i="7"/>
  <c r="AF80" i="7"/>
  <c r="AO80" i="7"/>
  <c r="BI30" i="7"/>
  <c r="W72" i="9"/>
  <c r="P28" i="13"/>
  <c r="D88" i="9"/>
  <c r="M88" i="9" s="1"/>
  <c r="BI35" i="7"/>
  <c r="Z80" i="9"/>
  <c r="D49" i="13"/>
  <c r="M49" i="13" s="1"/>
  <c r="AR49" i="13"/>
  <c r="AZ65" i="13"/>
  <c r="D66" i="13"/>
  <c r="J84" i="5"/>
  <c r="T59" i="7"/>
  <c r="BR30" i="7"/>
  <c r="T33" i="7"/>
  <c r="BD46" i="13"/>
  <c r="BD48" i="13"/>
  <c r="D76" i="1"/>
  <c r="C76" i="1" s="1"/>
  <c r="D57" i="2"/>
  <c r="M57" i="2" s="1"/>
  <c r="BR61" i="7"/>
  <c r="AC75" i="7"/>
  <c r="BX77" i="7"/>
  <c r="T87" i="7"/>
  <c r="J111" i="7"/>
  <c r="T73" i="8"/>
  <c r="T78" i="8"/>
  <c r="J41" i="10"/>
  <c r="Q55" i="4"/>
  <c r="J67" i="2"/>
  <c r="D68" i="2"/>
  <c r="C68" i="2" s="1"/>
  <c r="J103" i="2"/>
  <c r="J24" i="5"/>
  <c r="J33" i="5"/>
  <c r="J93" i="7"/>
  <c r="P65" i="13"/>
  <c r="AQ56" i="2"/>
  <c r="D35" i="5"/>
  <c r="M35" i="5" s="1"/>
  <c r="W30" i="7"/>
  <c r="W56" i="7"/>
  <c r="T72" i="7"/>
  <c r="D22" i="9"/>
  <c r="T23" i="9"/>
  <c r="W44" i="9"/>
  <c r="D103" i="10"/>
  <c r="M103" i="10" s="1"/>
  <c r="D115" i="10"/>
  <c r="M115" i="10" s="1"/>
  <c r="J116" i="10"/>
  <c r="Q77" i="13"/>
  <c r="J24" i="7"/>
  <c r="BI63" i="7"/>
  <c r="BL51" i="7"/>
  <c r="D40" i="11"/>
  <c r="C40" i="11" s="1"/>
  <c r="K40" i="11" s="1"/>
  <c r="N78" i="10"/>
  <c r="P17" i="4"/>
  <c r="P36" i="4"/>
  <c r="J108" i="4"/>
  <c r="AT43" i="7"/>
  <c r="BI72" i="7"/>
  <c r="BR72" i="7"/>
  <c r="P19" i="13"/>
  <c r="AJ66" i="13"/>
  <c r="N61" i="2"/>
  <c r="D79" i="5"/>
  <c r="M79" i="5" s="1"/>
  <c r="AQ39" i="2"/>
  <c r="Q36" i="4"/>
  <c r="Q39" i="4"/>
  <c r="BU34" i="7"/>
  <c r="D39" i="6"/>
  <c r="C39" i="6" s="1"/>
  <c r="D41" i="6"/>
  <c r="M41" i="6" s="1"/>
  <c r="T79" i="8"/>
  <c r="T81" i="8"/>
  <c r="T83" i="8"/>
  <c r="T19" i="9"/>
  <c r="D100" i="10"/>
  <c r="C100" i="10" s="1"/>
  <c r="K100" i="10" s="1"/>
  <c r="W26" i="12"/>
  <c r="AZ49" i="13"/>
  <c r="P98" i="13"/>
  <c r="N49" i="7"/>
  <c r="BL72" i="7"/>
  <c r="BU72" i="7"/>
  <c r="T79" i="7"/>
  <c r="G11" i="9"/>
  <c r="P11" i="9" s="1"/>
  <c r="D29" i="10"/>
  <c r="M29" i="10" s="1"/>
  <c r="J94" i="12"/>
  <c r="J60" i="9"/>
  <c r="AA88" i="12"/>
  <c r="AB88" i="12" s="1"/>
  <c r="P67" i="13"/>
  <c r="J77" i="2"/>
  <c r="X88" i="4"/>
  <c r="AI23" i="7"/>
  <c r="T82" i="8"/>
  <c r="J94" i="8"/>
  <c r="D43" i="10"/>
  <c r="C43" i="10" s="1"/>
  <c r="K43" i="10" s="1"/>
  <c r="D56" i="10"/>
  <c r="M56" i="10" s="1"/>
  <c r="N85" i="12"/>
  <c r="N88" i="12"/>
  <c r="AV27" i="13"/>
  <c r="N28" i="13"/>
  <c r="AV28" i="13"/>
  <c r="AV29" i="13"/>
  <c r="AV32" i="13"/>
  <c r="AV42" i="13"/>
  <c r="N44" i="13"/>
  <c r="N46" i="13"/>
  <c r="AV78" i="13"/>
  <c r="N79" i="13"/>
  <c r="N80" i="13"/>
  <c r="J78" i="1"/>
  <c r="J84" i="1"/>
  <c r="D92" i="1"/>
  <c r="C92" i="1" s="1"/>
  <c r="D30" i="5"/>
  <c r="C30" i="5" s="1"/>
  <c r="X16" i="7"/>
  <c r="T88" i="7"/>
  <c r="AC88" i="7"/>
  <c r="J36" i="11"/>
  <c r="D92" i="12"/>
  <c r="D97" i="12"/>
  <c r="M97" i="12" s="1"/>
  <c r="Q24" i="13"/>
  <c r="Y40" i="13"/>
  <c r="AQ68" i="2"/>
  <c r="D113" i="4"/>
  <c r="M113" i="4" s="1"/>
  <c r="J114" i="4"/>
  <c r="T46" i="7"/>
  <c r="AC46" i="7"/>
  <c r="AT46" i="7"/>
  <c r="BR63" i="7"/>
  <c r="N26" i="9"/>
  <c r="AJ78" i="13"/>
  <c r="AR80" i="13"/>
  <c r="D83" i="13"/>
  <c r="M83" i="13" s="1"/>
  <c r="D86" i="13"/>
  <c r="C86" i="13" s="1"/>
  <c r="J107" i="5"/>
  <c r="N41" i="7"/>
  <c r="N111" i="10"/>
  <c r="U77" i="13"/>
  <c r="AL48" i="1"/>
  <c r="S87" i="1"/>
  <c r="W87" i="1" s="1"/>
  <c r="T48" i="12"/>
  <c r="D42" i="5"/>
  <c r="M42" i="5" s="1"/>
  <c r="AI47" i="7"/>
  <c r="AZ47" i="7"/>
  <c r="AC49" i="7"/>
  <c r="J85" i="7"/>
  <c r="D21" i="9"/>
  <c r="AG22" i="9"/>
  <c r="N23" i="9"/>
  <c r="D70" i="9"/>
  <c r="M70" i="9" s="1"/>
  <c r="D77" i="9"/>
  <c r="M77" i="9" s="1"/>
  <c r="J106" i="9"/>
  <c r="J17" i="11"/>
  <c r="J21" i="11"/>
  <c r="BD55" i="13"/>
  <c r="N88" i="1"/>
  <c r="J101" i="1"/>
  <c r="Z34" i="2"/>
  <c r="Z46" i="2"/>
  <c r="D90" i="3"/>
  <c r="C90" i="3" s="1"/>
  <c r="K90" i="3" s="1"/>
  <c r="J91" i="3"/>
  <c r="AD43" i="4"/>
  <c r="D27" i="11"/>
  <c r="C27" i="11" s="1"/>
  <c r="K27" i="11" s="1"/>
  <c r="Y79" i="13"/>
  <c r="Y86" i="13"/>
  <c r="J98" i="13"/>
  <c r="AI14" i="7"/>
  <c r="BR20" i="7"/>
  <c r="N29" i="7"/>
  <c r="BR64" i="7"/>
  <c r="Z29" i="9"/>
  <c r="AL47" i="1"/>
  <c r="T79" i="1"/>
  <c r="T88" i="1"/>
  <c r="R88" i="1"/>
  <c r="J91" i="1"/>
  <c r="Z35" i="2"/>
  <c r="Z37" i="2"/>
  <c r="AQ38" i="2"/>
  <c r="N40" i="2"/>
  <c r="Z47" i="2"/>
  <c r="N53" i="2"/>
  <c r="X53" i="2"/>
  <c r="AQ63" i="2"/>
  <c r="J97" i="2"/>
  <c r="J47" i="6"/>
  <c r="BI50" i="7"/>
  <c r="BU65" i="7"/>
  <c r="D76" i="8"/>
  <c r="Z24" i="9"/>
  <c r="J30" i="9"/>
  <c r="W59" i="9"/>
  <c r="AB64" i="9"/>
  <c r="J83" i="9"/>
  <c r="Y72" i="10"/>
  <c r="D39" i="11"/>
  <c r="C39" i="11" s="1"/>
  <c r="K39" i="11" s="1"/>
  <c r="J77" i="11"/>
  <c r="N25" i="12"/>
  <c r="W44" i="12"/>
  <c r="J76" i="1"/>
  <c r="S77" i="1"/>
  <c r="W77" i="1" s="1"/>
  <c r="S79" i="1"/>
  <c r="W79" i="1" s="1"/>
  <c r="D23" i="2"/>
  <c r="M23" i="2" s="1"/>
  <c r="AW43" i="2"/>
  <c r="J47" i="2"/>
  <c r="J54" i="2"/>
  <c r="J48" i="5"/>
  <c r="D76" i="5"/>
  <c r="M76" i="5" s="1"/>
  <c r="D78" i="5"/>
  <c r="M78" i="5" s="1"/>
  <c r="X17" i="7"/>
  <c r="T30" i="7"/>
  <c r="AF35" i="7"/>
  <c r="AW35" i="7"/>
  <c r="BR62" i="7"/>
  <c r="AC70" i="7"/>
  <c r="AF72" i="7"/>
  <c r="T77" i="7"/>
  <c r="J93" i="8"/>
  <c r="J111" i="8"/>
  <c r="W26" i="9"/>
  <c r="J54" i="9"/>
  <c r="W20" i="10"/>
  <c r="W23" i="10"/>
  <c r="J111" i="10"/>
  <c r="AF40" i="13"/>
  <c r="Q56" i="13"/>
  <c r="AN58" i="13"/>
  <c r="Q66" i="13"/>
  <c r="Q70" i="13"/>
  <c r="BD72" i="13"/>
  <c r="T41" i="1"/>
  <c r="T47" i="1"/>
  <c r="S58" i="1"/>
  <c r="W58" i="1" s="1"/>
  <c r="S60" i="1"/>
  <c r="W60" i="1" s="1"/>
  <c r="X31" i="1"/>
  <c r="AD31" i="1"/>
  <c r="I31" i="1"/>
  <c r="Q31" i="1" s="1"/>
  <c r="AA31" i="1"/>
  <c r="N72" i="1"/>
  <c r="AO22" i="2"/>
  <c r="AQ23" i="2"/>
  <c r="D51" i="6"/>
  <c r="C51" i="6" s="1"/>
  <c r="G11" i="7"/>
  <c r="P11" i="7" s="1"/>
  <c r="J21" i="7"/>
  <c r="BR86" i="7"/>
  <c r="N105" i="9"/>
  <c r="T27" i="12"/>
  <c r="T30" i="12"/>
  <c r="W36" i="12"/>
  <c r="W42" i="12"/>
  <c r="J23" i="13"/>
  <c r="D14" i="1"/>
  <c r="M14" i="1" s="1"/>
  <c r="J18" i="1"/>
  <c r="J43" i="1"/>
  <c r="AL69" i="1"/>
  <c r="AZ30" i="2"/>
  <c r="AZ63" i="2"/>
  <c r="J64" i="2"/>
  <c r="AC29" i="7"/>
  <c r="BU29" i="7"/>
  <c r="X35" i="7"/>
  <c r="N30" i="9"/>
  <c r="J34" i="9"/>
  <c r="N37" i="9"/>
  <c r="W28" i="10"/>
  <c r="C51" i="10"/>
  <c r="N116" i="10"/>
  <c r="AJ14" i="13"/>
  <c r="AJ17" i="13"/>
  <c r="D47" i="1"/>
  <c r="C47" i="1" s="1"/>
  <c r="AL88" i="1"/>
  <c r="J111" i="1"/>
  <c r="D26" i="2"/>
  <c r="M26" i="2" s="1"/>
  <c r="J83" i="5"/>
  <c r="J90" i="5"/>
  <c r="CJ20" i="7"/>
  <c r="T27" i="7"/>
  <c r="AZ40" i="7"/>
  <c r="N63" i="7"/>
  <c r="W63" i="7"/>
  <c r="X71" i="7"/>
  <c r="BU86" i="7"/>
  <c r="D93" i="7"/>
  <c r="C93" i="7" s="1"/>
  <c r="K93" i="7" s="1"/>
  <c r="J112" i="7"/>
  <c r="D101" i="8"/>
  <c r="M101" i="8" s="1"/>
  <c r="T34" i="9"/>
  <c r="AE35" i="9"/>
  <c r="D98" i="9"/>
  <c r="M98" i="9" s="1"/>
  <c r="D110" i="9"/>
  <c r="C110" i="9" s="1"/>
  <c r="K110" i="9" s="1"/>
  <c r="J18" i="10"/>
  <c r="AB20" i="10"/>
  <c r="J21" i="10"/>
  <c r="J24" i="11"/>
  <c r="J28" i="11"/>
  <c r="J30" i="11"/>
  <c r="T69" i="11"/>
  <c r="D110" i="11"/>
  <c r="M110" i="11" s="1"/>
  <c r="D116" i="11"/>
  <c r="M116" i="11" s="1"/>
  <c r="T28" i="12"/>
  <c r="J39" i="12"/>
  <c r="T88" i="12"/>
  <c r="D94" i="12"/>
  <c r="M94" i="12" s="1"/>
  <c r="J95" i="12"/>
  <c r="AC15" i="13"/>
  <c r="U68" i="13"/>
  <c r="N49" i="1"/>
  <c r="T54" i="1"/>
  <c r="N93" i="1"/>
  <c r="D55" i="2"/>
  <c r="AZ84" i="2"/>
  <c r="D101" i="2"/>
  <c r="M101" i="2" s="1"/>
  <c r="J17" i="4"/>
  <c r="J58" i="4"/>
  <c r="D88" i="4"/>
  <c r="C88" i="4" s="1"/>
  <c r="D17" i="6"/>
  <c r="D25" i="6"/>
  <c r="M25" i="6" s="1"/>
  <c r="D27" i="6"/>
  <c r="C27" i="6" s="1"/>
  <c r="D95" i="6"/>
  <c r="M95" i="6" s="1"/>
  <c r="N11" i="6"/>
  <c r="AC38" i="7"/>
  <c r="BI42" i="7"/>
  <c r="AC45" i="7"/>
  <c r="AL45" i="7"/>
  <c r="AC47" i="7"/>
  <c r="AI54" i="7"/>
  <c r="BU56" i="7"/>
  <c r="D60" i="7"/>
  <c r="CM61" i="7"/>
  <c r="BU62" i="7"/>
  <c r="W64" i="7"/>
  <c r="AI66" i="7"/>
  <c r="BR71" i="7"/>
  <c r="W76" i="7"/>
  <c r="AF85" i="7"/>
  <c r="D15" i="8"/>
  <c r="M15" i="8" s="1"/>
  <c r="N22" i="8"/>
  <c r="N24" i="8"/>
  <c r="N28" i="8"/>
  <c r="N62" i="8"/>
  <c r="AB14" i="10"/>
  <c r="J96" i="10"/>
  <c r="J78" i="11"/>
  <c r="J115" i="12"/>
  <c r="BD35" i="13"/>
  <c r="S30" i="1"/>
  <c r="AG31" i="1"/>
  <c r="D67" i="1"/>
  <c r="C67" i="1" s="1"/>
  <c r="K67" i="1" s="1"/>
  <c r="T68" i="1"/>
  <c r="D73" i="1"/>
  <c r="C73" i="1" s="1"/>
  <c r="K73" i="1" s="1"/>
  <c r="N38" i="2"/>
  <c r="J61" i="2"/>
  <c r="D62" i="2"/>
  <c r="C62" i="2" s="1"/>
  <c r="P88" i="4"/>
  <c r="J85" i="5"/>
  <c r="D32" i="6"/>
  <c r="C32" i="6" s="1"/>
  <c r="D36" i="6"/>
  <c r="C36" i="6" s="1"/>
  <c r="BI33" i="7"/>
  <c r="AF39" i="7"/>
  <c r="BC43" i="7"/>
  <c r="AO46" i="7"/>
  <c r="T54" i="7"/>
  <c r="AO56" i="7"/>
  <c r="BL66" i="7"/>
  <c r="BU66" i="7"/>
  <c r="X70" i="7"/>
  <c r="T23" i="8"/>
  <c r="T38" i="8"/>
  <c r="D18" i="10"/>
  <c r="C18" i="10" s="1"/>
  <c r="K18" i="10" s="1"/>
  <c r="N41" i="10"/>
  <c r="N44" i="10"/>
  <c r="D102" i="10"/>
  <c r="C102" i="10" s="1"/>
  <c r="K102" i="10" s="1"/>
  <c r="H11" i="11"/>
  <c r="N11" i="11" s="1"/>
  <c r="D78" i="11"/>
  <c r="C78" i="11" s="1"/>
  <c r="K78" i="11" s="1"/>
  <c r="Q61" i="13"/>
  <c r="Q62" i="13"/>
  <c r="Q63" i="13"/>
  <c r="Q67" i="13"/>
  <c r="N78" i="13"/>
  <c r="N30" i="2"/>
  <c r="AI16" i="7"/>
  <c r="W47" i="7"/>
  <c r="CG61" i="7"/>
  <c r="AZ76" i="7"/>
  <c r="BI76" i="7"/>
  <c r="BR76" i="7"/>
  <c r="T29" i="8"/>
  <c r="Y42" i="10"/>
  <c r="D91" i="10"/>
  <c r="M91" i="10" s="1"/>
  <c r="Q75" i="11"/>
  <c r="T16" i="12"/>
  <c r="N37" i="12"/>
  <c r="N40" i="12"/>
  <c r="AZ34" i="13"/>
  <c r="J65" i="13"/>
  <c r="J67" i="13"/>
  <c r="AV67" i="13"/>
  <c r="Y78" i="13"/>
  <c r="AF78" i="13"/>
  <c r="AN78" i="13"/>
  <c r="N87" i="13"/>
  <c r="BD87" i="13"/>
  <c r="D114" i="13"/>
  <c r="M114" i="13" s="1"/>
  <c r="J115" i="13"/>
  <c r="N38" i="1"/>
  <c r="N50" i="1"/>
  <c r="AO65" i="2"/>
  <c r="AQ66" i="2"/>
  <c r="X68" i="2"/>
  <c r="AO84" i="2"/>
  <c r="Q88" i="4"/>
  <c r="N104" i="4"/>
  <c r="D25" i="5"/>
  <c r="M25" i="5" s="1"/>
  <c r="J27" i="5"/>
  <c r="D40" i="5"/>
  <c r="M40" i="5" s="1"/>
  <c r="N41" i="5"/>
  <c r="N45" i="5"/>
  <c r="N72" i="7"/>
  <c r="BL77" i="7"/>
  <c r="D20" i="8"/>
  <c r="C20" i="8" s="1"/>
  <c r="J72" i="9"/>
  <c r="N45" i="10"/>
  <c r="J16" i="11"/>
  <c r="J90" i="11"/>
  <c r="D33" i="12"/>
  <c r="M33" i="12" s="1"/>
  <c r="D36" i="12"/>
  <c r="M36" i="12" s="1"/>
  <c r="U35" i="13"/>
  <c r="U38" i="13"/>
  <c r="AJ51" i="13"/>
  <c r="P64" i="13"/>
  <c r="AL28" i="1"/>
  <c r="AL33" i="1"/>
  <c r="AL35" i="1"/>
  <c r="AL41" i="1"/>
  <c r="AL49" i="1"/>
  <c r="AO46" i="2"/>
  <c r="X61" i="2"/>
  <c r="AZ61" i="2"/>
  <c r="J63" i="2"/>
  <c r="T65" i="2"/>
  <c r="D90" i="2"/>
  <c r="C90" i="2" s="1"/>
  <c r="K90" i="2" s="1"/>
  <c r="D86" i="4"/>
  <c r="M86" i="4" s="1"/>
  <c r="D108" i="4"/>
  <c r="M108" i="4" s="1"/>
  <c r="D88" i="5"/>
  <c r="M88" i="5" s="1"/>
  <c r="D103" i="5"/>
  <c r="M103" i="5" s="1"/>
  <c r="J115" i="5"/>
  <c r="J15" i="6"/>
  <c r="J17" i="6"/>
  <c r="J23" i="6"/>
  <c r="J25" i="6"/>
  <c r="W18" i="7"/>
  <c r="AF18" i="7"/>
  <c r="AO18" i="7"/>
  <c r="BR39" i="7"/>
  <c r="BC40" i="7"/>
  <c r="X44" i="7"/>
  <c r="D49" i="7"/>
  <c r="M49" i="7" s="1"/>
  <c r="BC50" i="7"/>
  <c r="J55" i="7"/>
  <c r="AZ55" i="7"/>
  <c r="T57" i="7"/>
  <c r="AC57" i="7"/>
  <c r="BL57" i="7"/>
  <c r="W59" i="7"/>
  <c r="AF59" i="7"/>
  <c r="AO59" i="7"/>
  <c r="W78" i="7"/>
  <c r="AF78" i="7"/>
  <c r="AO78" i="7"/>
  <c r="T83" i="7"/>
  <c r="AC84" i="7"/>
  <c r="Z33" i="9"/>
  <c r="J39" i="9"/>
  <c r="W43" i="9"/>
  <c r="D46" i="9"/>
  <c r="M46" i="9" s="1"/>
  <c r="AE48" i="9"/>
  <c r="W76" i="9"/>
  <c r="J85" i="9"/>
  <c r="AE88" i="9"/>
  <c r="J93" i="9"/>
  <c r="D108" i="9"/>
  <c r="C108" i="9" s="1"/>
  <c r="K108" i="9" s="1"/>
  <c r="D14" i="10"/>
  <c r="M14" i="10" s="1"/>
  <c r="N24" i="10"/>
  <c r="W40" i="10"/>
  <c r="D66" i="10"/>
  <c r="C66" i="10" s="1"/>
  <c r="D69" i="10"/>
  <c r="C69" i="10" s="1"/>
  <c r="K69" i="10" s="1"/>
  <c r="J100" i="10"/>
  <c r="J106" i="10"/>
  <c r="D111" i="10"/>
  <c r="M111" i="10" s="1"/>
  <c r="N19" i="12"/>
  <c r="J102" i="12"/>
  <c r="D107" i="12"/>
  <c r="M107" i="12" s="1"/>
  <c r="J114" i="12"/>
  <c r="P34" i="13"/>
  <c r="Y88" i="13"/>
  <c r="AF88" i="13"/>
  <c r="D93" i="13"/>
  <c r="M93" i="13" s="1"/>
  <c r="G11" i="1"/>
  <c r="P11" i="1" s="1"/>
  <c r="D44" i="2"/>
  <c r="M44" i="2" s="1"/>
  <c r="D72" i="3"/>
  <c r="M72" i="3" s="1"/>
  <c r="D85" i="3"/>
  <c r="M85" i="3" s="1"/>
  <c r="D21" i="4"/>
  <c r="D34" i="4"/>
  <c r="C34" i="4" s="1"/>
  <c r="K34" i="4" s="1"/>
  <c r="BC55" i="7"/>
  <c r="S38" i="1"/>
  <c r="S40" i="1"/>
  <c r="S44" i="1"/>
  <c r="S50" i="1"/>
  <c r="AO14" i="2"/>
  <c r="N17" i="2"/>
  <c r="N18" i="2"/>
  <c r="AQ30" i="2"/>
  <c r="Z40" i="2"/>
  <c r="N60" i="2"/>
  <c r="X60" i="2"/>
  <c r="J92" i="3"/>
  <c r="H11" i="4"/>
  <c r="Q63" i="4"/>
  <c r="N76" i="4"/>
  <c r="I11" i="7"/>
  <c r="Q11" i="7" s="1"/>
  <c r="J47" i="7"/>
  <c r="AG25" i="9"/>
  <c r="AE25" i="9"/>
  <c r="J56" i="2"/>
  <c r="AA24" i="4"/>
  <c r="W57" i="7"/>
  <c r="D35" i="1"/>
  <c r="C35" i="1" s="1"/>
  <c r="D37" i="1"/>
  <c r="C37" i="1" s="1"/>
  <c r="K37" i="1" s="1"/>
  <c r="J68" i="1"/>
  <c r="J75" i="1"/>
  <c r="D115" i="1"/>
  <c r="M115" i="1" s="1"/>
  <c r="J116" i="1"/>
  <c r="AW14" i="2"/>
  <c r="D20" i="2"/>
  <c r="M20" i="2" s="1"/>
  <c r="AZ59" i="2"/>
  <c r="D25" i="3"/>
  <c r="C25" i="3" s="1"/>
  <c r="K25" i="3" s="1"/>
  <c r="D36" i="3"/>
  <c r="C36" i="3" s="1"/>
  <c r="D69" i="3"/>
  <c r="D92" i="3"/>
  <c r="M92" i="3" s="1"/>
  <c r="D103" i="3"/>
  <c r="M103" i="3" s="1"/>
  <c r="J115" i="3"/>
  <c r="N30" i="4"/>
  <c r="N40" i="4"/>
  <c r="D67" i="4"/>
  <c r="X76" i="4"/>
  <c r="J77" i="4"/>
  <c r="AD78" i="4"/>
  <c r="J99" i="4"/>
  <c r="D110" i="4"/>
  <c r="J110" i="4"/>
  <c r="J111" i="4"/>
  <c r="D116" i="4"/>
  <c r="M116" i="4" s="1"/>
  <c r="N15" i="5"/>
  <c r="D24" i="5"/>
  <c r="M24" i="5" s="1"/>
  <c r="N50" i="5"/>
  <c r="D56" i="5"/>
  <c r="C56" i="5" s="1"/>
  <c r="K56" i="5" s="1"/>
  <c r="J56" i="5"/>
  <c r="D58" i="5"/>
  <c r="M58" i="5" s="1"/>
  <c r="D60" i="5"/>
  <c r="C60" i="5" s="1"/>
  <c r="K60" i="5" s="1"/>
  <c r="D64" i="5"/>
  <c r="M64" i="5" s="1"/>
  <c r="D68" i="5"/>
  <c r="D70" i="5"/>
  <c r="D72" i="5"/>
  <c r="M72" i="5" s="1"/>
  <c r="D98" i="5"/>
  <c r="M98" i="5" s="1"/>
  <c r="J110" i="6"/>
  <c r="AZ37" i="7"/>
  <c r="BI45" i="7"/>
  <c r="BL61" i="7"/>
  <c r="T65" i="1"/>
  <c r="S80" i="1"/>
  <c r="W80" i="1" s="1"/>
  <c r="S82" i="1"/>
  <c r="AO32" i="2"/>
  <c r="X36" i="2"/>
  <c r="AO40" i="2"/>
  <c r="AQ41" i="2"/>
  <c r="N43" i="2"/>
  <c r="X43" i="2"/>
  <c r="AO53" i="2"/>
  <c r="AQ54" i="2"/>
  <c r="N56" i="2"/>
  <c r="N83" i="2"/>
  <c r="X84" i="2"/>
  <c r="J86" i="2"/>
  <c r="D114" i="2"/>
  <c r="C114" i="2" s="1"/>
  <c r="K114" i="2" s="1"/>
  <c r="Q28" i="3"/>
  <c r="AD23" i="4"/>
  <c r="D35" i="4"/>
  <c r="M35" i="4" s="1"/>
  <c r="D38" i="4"/>
  <c r="C38" i="4" s="1"/>
  <c r="K38" i="4" s="1"/>
  <c r="D41" i="4"/>
  <c r="C41" i="4" s="1"/>
  <c r="D44" i="4"/>
  <c r="M44" i="4" s="1"/>
  <c r="D50" i="4"/>
  <c r="C50" i="4" s="1"/>
  <c r="K50" i="4" s="1"/>
  <c r="D60" i="4"/>
  <c r="AA63" i="4"/>
  <c r="J79" i="4"/>
  <c r="D80" i="4"/>
  <c r="M80" i="4" s="1"/>
  <c r="U88" i="4"/>
  <c r="AD88" i="4"/>
  <c r="J94" i="4"/>
  <c r="D87" i="5"/>
  <c r="M87" i="5" s="1"/>
  <c r="J91" i="5"/>
  <c r="J101" i="5"/>
  <c r="J68" i="6"/>
  <c r="N25" i="7"/>
  <c r="J27" i="7"/>
  <c r="X27" i="7"/>
  <c r="AF33" i="7"/>
  <c r="BI36" i="7"/>
  <c r="T47" i="8"/>
  <c r="T56" i="8"/>
  <c r="T64" i="8"/>
  <c r="J101" i="8"/>
  <c r="D106" i="8"/>
  <c r="M106" i="8" s="1"/>
  <c r="J97" i="9"/>
  <c r="J108" i="9"/>
  <c r="J114" i="9"/>
  <c r="D22" i="10"/>
  <c r="T30" i="2"/>
  <c r="D37" i="2"/>
  <c r="M37" i="2" s="1"/>
  <c r="D75" i="3"/>
  <c r="M75" i="3" s="1"/>
  <c r="X53" i="7"/>
  <c r="S18" i="1"/>
  <c r="S20" i="1"/>
  <c r="S22" i="1"/>
  <c r="S24" i="1"/>
  <c r="W24" i="1" s="1"/>
  <c r="S26" i="1"/>
  <c r="W26" i="1" s="1"/>
  <c r="J29" i="1"/>
  <c r="J32" i="1"/>
  <c r="J48" i="1"/>
  <c r="J53" i="1"/>
  <c r="AL64" i="1"/>
  <c r="AL68" i="1"/>
  <c r="S76" i="1"/>
  <c r="E74" i="1"/>
  <c r="N82" i="1"/>
  <c r="J106" i="1"/>
  <c r="D111" i="1"/>
  <c r="M111" i="1" s="1"/>
  <c r="Z22" i="2"/>
  <c r="AO24" i="2"/>
  <c r="D30" i="2"/>
  <c r="AW33" i="2"/>
  <c r="T40" i="2"/>
  <c r="AZ42" i="2"/>
  <c r="D60" i="2"/>
  <c r="C60" i="2" s="1"/>
  <c r="N69" i="2"/>
  <c r="Z70" i="2"/>
  <c r="Z77" i="2"/>
  <c r="AW80" i="2"/>
  <c r="N82" i="2"/>
  <c r="AW87" i="2"/>
  <c r="D115" i="2"/>
  <c r="M115" i="2" s="1"/>
  <c r="J116" i="2"/>
  <c r="J16" i="3"/>
  <c r="J30" i="3"/>
  <c r="J37" i="3"/>
  <c r="J39" i="3"/>
  <c r="J75" i="3"/>
  <c r="D94" i="3"/>
  <c r="J101" i="4"/>
  <c r="J19" i="5"/>
  <c r="J63" i="5"/>
  <c r="J34" i="6"/>
  <c r="J38" i="6"/>
  <c r="J40" i="6"/>
  <c r="J76" i="6"/>
  <c r="D100" i="6"/>
  <c r="C100" i="6" s="1"/>
  <c r="K100" i="6" s="1"/>
  <c r="W22" i="7"/>
  <c r="W23" i="7"/>
  <c r="AF23" i="7"/>
  <c r="AF24" i="7"/>
  <c r="AI26" i="7"/>
  <c r="BL68" i="7"/>
  <c r="J102" i="7"/>
  <c r="J29" i="8"/>
  <c r="J64" i="7"/>
  <c r="T78" i="7"/>
  <c r="D108" i="7"/>
  <c r="D21" i="8"/>
  <c r="M21" i="8" s="1"/>
  <c r="N41" i="8"/>
  <c r="N58" i="8"/>
  <c r="N66" i="8"/>
  <c r="J71" i="8"/>
  <c r="N72" i="8"/>
  <c r="J78" i="8"/>
  <c r="N85" i="8"/>
  <c r="J88" i="8"/>
  <c r="AE23" i="9"/>
  <c r="AE24" i="9"/>
  <c r="T30" i="9"/>
  <c r="AB36" i="9"/>
  <c r="Z41" i="9"/>
  <c r="Z68" i="9"/>
  <c r="AB77" i="9"/>
  <c r="J20" i="10"/>
  <c r="D106" i="10"/>
  <c r="J23" i="11"/>
  <c r="W23" i="12"/>
  <c r="J25" i="12"/>
  <c r="W29" i="12"/>
  <c r="D40" i="12"/>
  <c r="D35" i="13"/>
  <c r="M35" i="13" s="1"/>
  <c r="AZ44" i="13"/>
  <c r="J53" i="13"/>
  <c r="Q81" i="13"/>
  <c r="D48" i="7"/>
  <c r="M48" i="7" s="1"/>
  <c r="X48" i="7"/>
  <c r="BO55" i="7"/>
  <c r="AW78" i="7"/>
  <c r="D61" i="9"/>
  <c r="M61" i="9" s="1"/>
  <c r="J73" i="9"/>
  <c r="D29" i="11"/>
  <c r="C29" i="11" s="1"/>
  <c r="K29" i="11" s="1"/>
  <c r="D46" i="12"/>
  <c r="J79" i="12"/>
  <c r="D109" i="12"/>
  <c r="M109" i="12" s="1"/>
  <c r="BD16" i="13"/>
  <c r="U18" i="13"/>
  <c r="AZ50" i="13"/>
  <c r="U57" i="13"/>
  <c r="D60" i="13"/>
  <c r="M60" i="13" s="1"/>
  <c r="D61" i="13"/>
  <c r="M61" i="13" s="1"/>
  <c r="D63" i="13"/>
  <c r="M63" i="13" s="1"/>
  <c r="AJ77" i="13"/>
  <c r="AF79" i="13"/>
  <c r="J97" i="13"/>
  <c r="Q98" i="13"/>
  <c r="J102" i="13"/>
  <c r="D78" i="6"/>
  <c r="C78" i="6" s="1"/>
  <c r="D80" i="6"/>
  <c r="C80" i="6" s="1"/>
  <c r="D82" i="6"/>
  <c r="C82" i="6" s="1"/>
  <c r="D84" i="6"/>
  <c r="BC16" i="7"/>
  <c r="AF75" i="7"/>
  <c r="BR79" i="7"/>
  <c r="BL85" i="7"/>
  <c r="BU85" i="7"/>
  <c r="J99" i="7"/>
  <c r="N19" i="8"/>
  <c r="N21" i="8"/>
  <c r="N92" i="8"/>
  <c r="W21" i="9"/>
  <c r="N36" i="9"/>
  <c r="T42" i="9"/>
  <c r="AG55" i="9"/>
  <c r="N14" i="10"/>
  <c r="W17" i="10"/>
  <c r="J33" i="12"/>
  <c r="J36" i="12"/>
  <c r="J88" i="12"/>
  <c r="J99" i="12"/>
  <c r="Q15" i="13"/>
  <c r="AN45" i="13"/>
  <c r="D47" i="6"/>
  <c r="M47" i="6" s="1"/>
  <c r="N17" i="7"/>
  <c r="W17" i="7"/>
  <c r="AF17" i="7"/>
  <c r="BU24" i="7"/>
  <c r="AO26" i="7"/>
  <c r="AI29" i="7"/>
  <c r="W38" i="7"/>
  <c r="BL42" i="7"/>
  <c r="AF43" i="7"/>
  <c r="BF43" i="7"/>
  <c r="X46" i="7"/>
  <c r="AC48" i="7"/>
  <c r="W50" i="7"/>
  <c r="AO50" i="7"/>
  <c r="AW50" i="7"/>
  <c r="BF50" i="7"/>
  <c r="AF51" i="7"/>
  <c r="W65" i="7"/>
  <c r="T69" i="7"/>
  <c r="AC69" i="7"/>
  <c r="AO75" i="7"/>
  <c r="J77" i="7"/>
  <c r="BR77" i="7"/>
  <c r="D79" i="7"/>
  <c r="C79" i="7" s="1"/>
  <c r="W84" i="7"/>
  <c r="J88" i="7"/>
  <c r="T14" i="8"/>
  <c r="D43" i="8"/>
  <c r="C43" i="8" s="1"/>
  <c r="D68" i="8"/>
  <c r="C68" i="8" s="1"/>
  <c r="N71" i="8"/>
  <c r="D75" i="8"/>
  <c r="C75" i="8" s="1"/>
  <c r="D77" i="8"/>
  <c r="N78" i="8"/>
  <c r="D83" i="8"/>
  <c r="C83" i="8" s="1"/>
  <c r="N84" i="8"/>
  <c r="N88" i="8"/>
  <c r="D90" i="8"/>
  <c r="M90" i="8" s="1"/>
  <c r="D99" i="8"/>
  <c r="W14" i="9"/>
  <c r="AE18" i="9"/>
  <c r="W20" i="9"/>
  <c r="Z22" i="9"/>
  <c r="D23" i="9"/>
  <c r="M23" i="9" s="1"/>
  <c r="Z23" i="9"/>
  <c r="D24" i="9"/>
  <c r="AG34" i="9"/>
  <c r="Z39" i="9"/>
  <c r="D45" i="9"/>
  <c r="C45" i="9" s="1"/>
  <c r="N48" i="9"/>
  <c r="J82" i="9"/>
  <c r="D91" i="9"/>
  <c r="D95" i="9"/>
  <c r="M95" i="9" s="1"/>
  <c r="D100" i="9"/>
  <c r="C100" i="9" s="1"/>
  <c r="K100" i="9" s="1"/>
  <c r="J19" i="10"/>
  <c r="J25" i="10"/>
  <c r="J35" i="10"/>
  <c r="Q15" i="12"/>
  <c r="Q30" i="12"/>
  <c r="N56" i="12"/>
  <c r="N59" i="12"/>
  <c r="N71" i="12"/>
  <c r="N81" i="12"/>
  <c r="W81" i="12"/>
  <c r="D105" i="12"/>
  <c r="C105" i="12" s="1"/>
  <c r="J27" i="13"/>
  <c r="Q37" i="13"/>
  <c r="AV50" i="13"/>
  <c r="AV51" i="13"/>
  <c r="N53" i="13"/>
  <c r="AV53" i="13"/>
  <c r="AV57" i="13"/>
  <c r="U84" i="13"/>
  <c r="D90" i="13"/>
  <c r="C90" i="13" s="1"/>
  <c r="J94" i="13"/>
  <c r="D35" i="10"/>
  <c r="D38" i="10"/>
  <c r="M38" i="10" s="1"/>
  <c r="J79" i="10"/>
  <c r="J82" i="10"/>
  <c r="D98" i="10"/>
  <c r="M98" i="10" s="1"/>
  <c r="J105" i="10"/>
  <c r="D30" i="11"/>
  <c r="D37" i="11"/>
  <c r="C37" i="11" s="1"/>
  <c r="K37" i="11" s="1"/>
  <c r="J39" i="11"/>
  <c r="J102" i="11"/>
  <c r="J15" i="12"/>
  <c r="J24" i="12"/>
  <c r="W38" i="12"/>
  <c r="T39" i="12"/>
  <c r="D48" i="12"/>
  <c r="C48" i="12" s="1"/>
  <c r="AR17" i="13"/>
  <c r="D27" i="13"/>
  <c r="M27" i="13" s="1"/>
  <c r="N35" i="13"/>
  <c r="AN49" i="13"/>
  <c r="AF51" i="13"/>
  <c r="AF58" i="13"/>
  <c r="AF59" i="13"/>
  <c r="Q65" i="13"/>
  <c r="D16" i="1"/>
  <c r="T17" i="1"/>
  <c r="D20" i="1"/>
  <c r="C20" i="1" s="1"/>
  <c r="D22" i="1"/>
  <c r="M22" i="1" s="1"/>
  <c r="N27" i="1"/>
  <c r="T27" i="1"/>
  <c r="V77" i="1"/>
  <c r="J90" i="1"/>
  <c r="T15" i="2"/>
  <c r="AO20" i="2"/>
  <c r="T29" i="2"/>
  <c r="AW29" i="2"/>
  <c r="D42" i="2"/>
  <c r="T43" i="2"/>
  <c r="T50" i="2"/>
  <c r="D58" i="2"/>
  <c r="M58" i="2" s="1"/>
  <c r="Z69" i="2"/>
  <c r="U74" i="2"/>
  <c r="AZ82" i="2"/>
  <c r="D103" i="2"/>
  <c r="J98" i="3"/>
  <c r="J23" i="4"/>
  <c r="U76" i="4"/>
  <c r="N96" i="4"/>
  <c r="J100" i="4"/>
  <c r="N21" i="5"/>
  <c r="D22" i="5"/>
  <c r="C22" i="5" s="1"/>
  <c r="K22" i="5" s="1"/>
  <c r="T50" i="5"/>
  <c r="D65" i="5"/>
  <c r="C65" i="5" s="1"/>
  <c r="D69" i="5"/>
  <c r="M69" i="5" s="1"/>
  <c r="D90" i="5"/>
  <c r="D91" i="5"/>
  <c r="J39" i="6"/>
  <c r="J41" i="6"/>
  <c r="D43" i="6"/>
  <c r="C43" i="6" s="1"/>
  <c r="J45" i="6"/>
  <c r="N46" i="6"/>
  <c r="T48" i="6"/>
  <c r="T50" i="6"/>
  <c r="J61" i="6"/>
  <c r="N73" i="6"/>
  <c r="D76" i="6"/>
  <c r="M76" i="6" s="1"/>
  <c r="D110" i="6"/>
  <c r="D116" i="6"/>
  <c r="X13" i="1"/>
  <c r="S69" i="1"/>
  <c r="I11" i="2"/>
  <c r="Q11" i="2" s="1"/>
  <c r="X15" i="2"/>
  <c r="Z16" i="2"/>
  <c r="AO19" i="2"/>
  <c r="AW20" i="2"/>
  <c r="AZ23" i="2"/>
  <c r="D25" i="2"/>
  <c r="C25" i="2" s="1"/>
  <c r="AO25" i="2"/>
  <c r="AQ26" i="2"/>
  <c r="X29" i="2"/>
  <c r="T35" i="2"/>
  <c r="AW35" i="2"/>
  <c r="N44" i="2"/>
  <c r="X44" i="2"/>
  <c r="AW55" i="2"/>
  <c r="AO58" i="2"/>
  <c r="D63" i="2"/>
  <c r="C63" i="2" s="1"/>
  <c r="AZ73" i="2"/>
  <c r="N80" i="2"/>
  <c r="X80" i="2"/>
  <c r="Z82" i="2"/>
  <c r="Z83" i="2"/>
  <c r="AO85" i="2"/>
  <c r="J47" i="3"/>
  <c r="P48" i="3"/>
  <c r="J106" i="3"/>
  <c r="J22" i="4"/>
  <c r="AA23" i="4"/>
  <c r="D36" i="4"/>
  <c r="C36" i="4" s="1"/>
  <c r="AA39" i="4"/>
  <c r="J41" i="4"/>
  <c r="AA45" i="4"/>
  <c r="D58" i="4"/>
  <c r="J70" i="4"/>
  <c r="D112" i="4"/>
  <c r="C112" i="4" s="1"/>
  <c r="K112" i="4" s="1"/>
  <c r="J113" i="4"/>
  <c r="N103" i="6"/>
  <c r="S16" i="1"/>
  <c r="W16" i="1" s="1"/>
  <c r="AL51" i="1"/>
  <c r="T59" i="1"/>
  <c r="D68" i="1"/>
  <c r="C68" i="1" s="1"/>
  <c r="J72" i="1"/>
  <c r="D101" i="1"/>
  <c r="M101" i="1" s="1"/>
  <c r="J102" i="1"/>
  <c r="AP13" i="2"/>
  <c r="D17" i="2"/>
  <c r="J17" i="2"/>
  <c r="D18" i="2"/>
  <c r="M18" i="2" s="1"/>
  <c r="J18" i="2"/>
  <c r="T25" i="2"/>
  <c r="T41" i="2"/>
  <c r="X58" i="2"/>
  <c r="AW63" i="2"/>
  <c r="AZ72" i="2"/>
  <c r="D76" i="2"/>
  <c r="M76" i="2" s="1"/>
  <c r="AQ77" i="2"/>
  <c r="AW77" i="2"/>
  <c r="N79" i="2"/>
  <c r="D84" i="2"/>
  <c r="M84" i="2" s="1"/>
  <c r="AQ87" i="2"/>
  <c r="J100" i="2"/>
  <c r="J111" i="2"/>
  <c r="D116" i="2"/>
  <c r="D39" i="3"/>
  <c r="D51" i="3"/>
  <c r="C51" i="3" s="1"/>
  <c r="K51" i="3" s="1"/>
  <c r="D54" i="3"/>
  <c r="M54" i="3" s="1"/>
  <c r="D68" i="3"/>
  <c r="M68" i="3" s="1"/>
  <c r="D81" i="3"/>
  <c r="C81" i="3" s="1"/>
  <c r="K81" i="3" s="1"/>
  <c r="Q15" i="4"/>
  <c r="J23" i="5"/>
  <c r="D28" i="5"/>
  <c r="M28" i="5" s="1"/>
  <c r="D43" i="5"/>
  <c r="M43" i="5" s="1"/>
  <c r="J60" i="5"/>
  <c r="D107" i="5"/>
  <c r="C107" i="5" s="1"/>
  <c r="K107" i="5" s="1"/>
  <c r="D113" i="5"/>
  <c r="L31" i="6"/>
  <c r="J42" i="6"/>
  <c r="D86" i="6"/>
  <c r="C86" i="6" s="1"/>
  <c r="AC14" i="7"/>
  <c r="N20" i="1"/>
  <c r="N22" i="1"/>
  <c r="T24" i="1"/>
  <c r="N28" i="1"/>
  <c r="N30" i="1"/>
  <c r="J55" i="1"/>
  <c r="T71" i="1"/>
  <c r="X26" i="2"/>
  <c r="N34" i="2"/>
  <c r="N35" i="2"/>
  <c r="X35" i="2"/>
  <c r="AQ46" i="2"/>
  <c r="X48" i="2"/>
  <c r="Z56" i="2"/>
  <c r="N57" i="2"/>
  <c r="X57" i="2"/>
  <c r="AQ62" i="2"/>
  <c r="AO75" i="2"/>
  <c r="Q48" i="3"/>
  <c r="N17" i="4"/>
  <c r="N23" i="4"/>
  <c r="J30" i="4"/>
  <c r="AD55" i="4"/>
  <c r="J65" i="4"/>
  <c r="J92" i="4"/>
  <c r="N65" i="5"/>
  <c r="J77" i="5"/>
  <c r="J94" i="5"/>
  <c r="J109" i="5"/>
  <c r="N21" i="6"/>
  <c r="N33" i="6"/>
  <c r="D38" i="6"/>
  <c r="N39" i="6"/>
  <c r="D40" i="6"/>
  <c r="C40" i="6" s="1"/>
  <c r="N41" i="6"/>
  <c r="N45" i="6"/>
  <c r="N76" i="6"/>
  <c r="AL23" i="1"/>
  <c r="N35" i="1"/>
  <c r="D50" i="1"/>
  <c r="C50" i="1" s="1"/>
  <c r="D53" i="1"/>
  <c r="C53" i="1" s="1"/>
  <c r="K53" i="1" s="1"/>
  <c r="D55" i="1"/>
  <c r="M55" i="1" s="1"/>
  <c r="AB52" i="1"/>
  <c r="J59" i="1"/>
  <c r="J65" i="1"/>
  <c r="J71" i="1"/>
  <c r="AL72" i="1"/>
  <c r="V82" i="1"/>
  <c r="S84" i="1"/>
  <c r="W84" i="1" s="1"/>
  <c r="N25" i="2"/>
  <c r="AO28" i="2"/>
  <c r="AO29" i="2"/>
  <c r="AQ33" i="2"/>
  <c r="AZ34" i="2"/>
  <c r="AW39" i="2"/>
  <c r="AZ47" i="2"/>
  <c r="J49" i="2"/>
  <c r="AZ70" i="2"/>
  <c r="D73" i="2"/>
  <c r="M73" i="2" s="1"/>
  <c r="J106" i="2"/>
  <c r="D112" i="2"/>
  <c r="C112" i="2" s="1"/>
  <c r="K112" i="2" s="1"/>
  <c r="Q11" i="3"/>
  <c r="J42" i="3"/>
  <c r="J46" i="3"/>
  <c r="J48" i="3"/>
  <c r="J63" i="3"/>
  <c r="J84" i="3"/>
  <c r="J97" i="3"/>
  <c r="J103" i="3"/>
  <c r="X17" i="4"/>
  <c r="X39" i="4"/>
  <c r="AA40" i="4"/>
  <c r="AD47" i="4"/>
  <c r="D76" i="4"/>
  <c r="J83" i="4"/>
  <c r="J115" i="4"/>
  <c r="T15" i="5"/>
  <c r="J36" i="5"/>
  <c r="J100" i="5"/>
  <c r="D115" i="5"/>
  <c r="T16" i="6"/>
  <c r="T20" i="6"/>
  <c r="T26" i="6"/>
  <c r="T34" i="6"/>
  <c r="T38" i="6"/>
  <c r="T42" i="6"/>
  <c r="T44" i="6"/>
  <c r="J48" i="6"/>
  <c r="J50" i="6"/>
  <c r="D98" i="6"/>
  <c r="M98" i="6" s="1"/>
  <c r="BL44" i="7"/>
  <c r="BC49" i="7"/>
  <c r="BU51" i="7"/>
  <c r="AT58" i="7"/>
  <c r="BC58" i="7"/>
  <c r="T63" i="7"/>
  <c r="AC63" i="7"/>
  <c r="BU64" i="7"/>
  <c r="T16" i="8"/>
  <c r="J17" i="8"/>
  <c r="T22" i="8"/>
  <c r="J25" i="8"/>
  <c r="T26" i="8"/>
  <c r="N32" i="8"/>
  <c r="J39" i="8"/>
  <c r="N47" i="8"/>
  <c r="D86" i="8"/>
  <c r="C86" i="8" s="1"/>
  <c r="AB46" i="9"/>
  <c r="J115" i="9"/>
  <c r="AB62" i="10"/>
  <c r="W16" i="7"/>
  <c r="AO24" i="7"/>
  <c r="AL26" i="7"/>
  <c r="CM27" i="7"/>
  <c r="J38" i="7"/>
  <c r="BF38" i="7"/>
  <c r="X41" i="7"/>
  <c r="D47" i="7"/>
  <c r="C47" i="7" s="1"/>
  <c r="K47" i="7" s="1"/>
  <c r="W69" i="7"/>
  <c r="AF69" i="7"/>
  <c r="J76" i="7"/>
  <c r="BC86" i="7"/>
  <c r="J27" i="8"/>
  <c r="T42" i="8"/>
  <c r="T44" i="8"/>
  <c r="J69" i="8"/>
  <c r="J81" i="8"/>
  <c r="D29" i="9"/>
  <c r="N33" i="9"/>
  <c r="N34" i="9"/>
  <c r="T38" i="9"/>
  <c r="W47" i="9"/>
  <c r="W48" i="9"/>
  <c r="AB51" i="9"/>
  <c r="J63" i="9"/>
  <c r="D64" i="9"/>
  <c r="M64" i="9" s="1"/>
  <c r="N69" i="9"/>
  <c r="W88" i="9"/>
  <c r="D20" i="11"/>
  <c r="C20" i="11" s="1"/>
  <c r="K20" i="11" s="1"/>
  <c r="D33" i="11"/>
  <c r="J33" i="11"/>
  <c r="D91" i="11"/>
  <c r="C91" i="11" s="1"/>
  <c r="K91" i="11" s="1"/>
  <c r="J21" i="12"/>
  <c r="D39" i="12"/>
  <c r="M39" i="12" s="1"/>
  <c r="J51" i="12"/>
  <c r="AA68" i="12"/>
  <c r="AB68" i="12" s="1"/>
  <c r="D108" i="12"/>
  <c r="M108" i="12" s="1"/>
  <c r="J109" i="12"/>
  <c r="AJ19" i="13"/>
  <c r="AJ20" i="13"/>
  <c r="AJ21" i="13"/>
  <c r="AJ22" i="13"/>
  <c r="AR23" i="13"/>
  <c r="AJ26" i="13"/>
  <c r="AR26" i="13"/>
  <c r="Y27" i="13"/>
  <c r="Y28" i="13"/>
  <c r="AF29" i="13"/>
  <c r="BD29" i="13"/>
  <c r="Y34" i="13"/>
  <c r="AF34" i="13"/>
  <c r="BD34" i="13"/>
  <c r="P45" i="13"/>
  <c r="AJ46" i="13"/>
  <c r="AR46" i="13"/>
  <c r="AR47" i="13"/>
  <c r="AZ47" i="13"/>
  <c r="D48" i="13"/>
  <c r="C48" i="13" s="1"/>
  <c r="AJ48" i="13"/>
  <c r="AR48" i="13"/>
  <c r="J56" i="13"/>
  <c r="AV56" i="13"/>
  <c r="AV66" i="13"/>
  <c r="AV72" i="13"/>
  <c r="AJ79" i="13"/>
  <c r="AF84" i="13"/>
  <c r="AF19" i="7"/>
  <c r="W20" i="7"/>
  <c r="AF20" i="7"/>
  <c r="D40" i="7"/>
  <c r="M40" i="7" s="1"/>
  <c r="BI40" i="7"/>
  <c r="AT41" i="7"/>
  <c r="BL41" i="7"/>
  <c r="BU45" i="7"/>
  <c r="X47" i="7"/>
  <c r="N50" i="7"/>
  <c r="BF51" i="7"/>
  <c r="AO66" i="7"/>
  <c r="BI80" i="7"/>
  <c r="BI82" i="7"/>
  <c r="BR82" i="7"/>
  <c r="T59" i="8"/>
  <c r="D116" i="8"/>
  <c r="M116" i="8" s="1"/>
  <c r="D28" i="9"/>
  <c r="T29" i="9"/>
  <c r="AE30" i="9"/>
  <c r="N40" i="9"/>
  <c r="J42" i="9"/>
  <c r="N46" i="9"/>
  <c r="J48" i="9"/>
  <c r="T50" i="9"/>
  <c r="D63" i="9"/>
  <c r="M63" i="9" s="1"/>
  <c r="D71" i="9"/>
  <c r="C71" i="9" s="1"/>
  <c r="K71" i="9" s="1"/>
  <c r="J93" i="10"/>
  <c r="J113" i="10"/>
  <c r="J48" i="11"/>
  <c r="D60" i="11"/>
  <c r="C60" i="11" s="1"/>
  <c r="K60" i="11" s="1"/>
  <c r="J75" i="11"/>
  <c r="D92" i="11"/>
  <c r="M92" i="11" s="1"/>
  <c r="W14" i="12"/>
  <c r="T15" i="12"/>
  <c r="D51" i="12"/>
  <c r="M51" i="12" s="1"/>
  <c r="W53" i="12"/>
  <c r="T54" i="12"/>
  <c r="W56" i="12"/>
  <c r="T57" i="12"/>
  <c r="T63" i="12"/>
  <c r="W65" i="12"/>
  <c r="J67" i="12"/>
  <c r="W78" i="12"/>
  <c r="U26" i="13"/>
  <c r="U39" i="13"/>
  <c r="U40" i="13"/>
  <c r="U42" i="13"/>
  <c r="U43" i="13"/>
  <c r="AR50" i="13"/>
  <c r="AR53" i="13"/>
  <c r="Q60" i="13"/>
  <c r="Y67" i="13"/>
  <c r="AW16" i="7"/>
  <c r="AF27" i="7"/>
  <c r="AC32" i="7"/>
  <c r="BC37" i="7"/>
  <c r="AI38" i="7"/>
  <c r="AW46" i="7"/>
  <c r="BF46" i="7"/>
  <c r="N47" i="7"/>
  <c r="BI61" i="7"/>
  <c r="CA61" i="7"/>
  <c r="CA63" i="7"/>
  <c r="CJ63" i="7"/>
  <c r="BL79" i="7"/>
  <c r="BR85" i="7"/>
  <c r="W87" i="7"/>
  <c r="AF87" i="7"/>
  <c r="D14" i="8"/>
  <c r="M14" i="8" s="1"/>
  <c r="J22" i="8"/>
  <c r="D34" i="8"/>
  <c r="M34" i="8" s="1"/>
  <c r="D85" i="8"/>
  <c r="C85" i="8" s="1"/>
  <c r="J33" i="9"/>
  <c r="J83" i="10"/>
  <c r="D114" i="10"/>
  <c r="C114" i="10" s="1"/>
  <c r="K114" i="10" s="1"/>
  <c r="D66" i="11"/>
  <c r="C66" i="11" s="1"/>
  <c r="K66" i="11" s="1"/>
  <c r="J72" i="11"/>
  <c r="Q41" i="12"/>
  <c r="AA63" i="12"/>
  <c r="AB63" i="12" s="1"/>
  <c r="AA66" i="12"/>
  <c r="AB66" i="12" s="1"/>
  <c r="BD38" i="13"/>
  <c r="BD43" i="13"/>
  <c r="Y70" i="13"/>
  <c r="AR85" i="13"/>
  <c r="AR86" i="13"/>
  <c r="J11" i="7"/>
  <c r="AO14" i="7"/>
  <c r="BI16" i="7"/>
  <c r="X19" i="7"/>
  <c r="AI20" i="7"/>
  <c r="BI21" i="7"/>
  <c r="T64" i="7"/>
  <c r="BU70" i="7"/>
  <c r="N76" i="7"/>
  <c r="T81" i="7"/>
  <c r="N82" i="7"/>
  <c r="D90" i="7"/>
  <c r="C90" i="7" s="1"/>
  <c r="K90" i="7" s="1"/>
  <c r="T34" i="8"/>
  <c r="J72" i="8"/>
  <c r="D80" i="8"/>
  <c r="C80" i="8" s="1"/>
  <c r="J96" i="8"/>
  <c r="N18" i="9"/>
  <c r="AE28" i="9"/>
  <c r="N29" i="9"/>
  <c r="J40" i="9"/>
  <c r="AB40" i="9"/>
  <c r="J46" i="9"/>
  <c r="D48" i="9"/>
  <c r="M48" i="9" s="1"/>
  <c r="N50" i="9"/>
  <c r="W50" i="9"/>
  <c r="U38" i="10"/>
  <c r="J42" i="10"/>
  <c r="N66" i="10"/>
  <c r="U72" i="10"/>
  <c r="J81" i="10"/>
  <c r="W88" i="10"/>
  <c r="D109" i="10"/>
  <c r="M109" i="10" s="1"/>
  <c r="D36" i="11"/>
  <c r="M36" i="11" s="1"/>
  <c r="N92" i="11"/>
  <c r="W15" i="12"/>
  <c r="N18" i="12"/>
  <c r="T19" i="12"/>
  <c r="N29" i="12"/>
  <c r="J32" i="12"/>
  <c r="J38" i="12"/>
  <c r="W39" i="12"/>
  <c r="T40" i="12"/>
  <c r="J41" i="12"/>
  <c r="T45" i="12"/>
  <c r="N79" i="12"/>
  <c r="D80" i="12"/>
  <c r="M80" i="12" s="1"/>
  <c r="AN14" i="13"/>
  <c r="AV16" i="13"/>
  <c r="N18" i="13"/>
  <c r="AV19" i="13"/>
  <c r="N20" i="13"/>
  <c r="N21" i="13"/>
  <c r="AN22" i="13"/>
  <c r="BD22" i="13"/>
  <c r="AR28" i="13"/>
  <c r="U29" i="13"/>
  <c r="U32" i="13"/>
  <c r="AZ32" i="13"/>
  <c r="J44" i="13"/>
  <c r="AV46" i="13"/>
  <c r="P55" i="13"/>
  <c r="P56" i="13"/>
  <c r="P81" i="13"/>
  <c r="AJ82" i="13"/>
  <c r="P84" i="13"/>
  <c r="AC85" i="13"/>
  <c r="AC86" i="13"/>
  <c r="AC18" i="7"/>
  <c r="BR19" i="7"/>
  <c r="CJ19" i="7"/>
  <c r="D20" i="7"/>
  <c r="BL21" i="7"/>
  <c r="T23" i="7"/>
  <c r="BR27" i="7"/>
  <c r="AF32" i="7"/>
  <c r="BO36" i="7"/>
  <c r="BF37" i="7"/>
  <c r="N39" i="7"/>
  <c r="AZ43" i="7"/>
  <c r="AI45" i="7"/>
  <c r="N55" i="7"/>
  <c r="AI57" i="7"/>
  <c r="T60" i="7"/>
  <c r="CD66" i="7"/>
  <c r="CM66" i="7"/>
  <c r="J79" i="7"/>
  <c r="BR88" i="7"/>
  <c r="D42" i="8"/>
  <c r="M42" i="8" s="1"/>
  <c r="T49" i="8"/>
  <c r="D64" i="8"/>
  <c r="M64" i="8" s="1"/>
  <c r="W17" i="9"/>
  <c r="D34" i="9"/>
  <c r="M34" i="9" s="1"/>
  <c r="N28" i="10"/>
  <c r="J48" i="10"/>
  <c r="D50" i="10"/>
  <c r="D57" i="10"/>
  <c r="C57" i="10" s="1"/>
  <c r="D60" i="10"/>
  <c r="C60" i="10" s="1"/>
  <c r="K60" i="10" s="1"/>
  <c r="Y60" i="10"/>
  <c r="D68" i="10"/>
  <c r="C68" i="10" s="1"/>
  <c r="D96" i="10"/>
  <c r="M96" i="10" s="1"/>
  <c r="D116" i="10"/>
  <c r="D45" i="11"/>
  <c r="M45" i="11" s="1"/>
  <c r="J63" i="11"/>
  <c r="D106" i="11"/>
  <c r="M106" i="11" s="1"/>
  <c r="W45" i="12"/>
  <c r="T46" i="12"/>
  <c r="T49" i="12"/>
  <c r="J50" i="12"/>
  <c r="D65" i="12"/>
  <c r="C65" i="12" s="1"/>
  <c r="D68" i="12"/>
  <c r="C68" i="12" s="1"/>
  <c r="AA71" i="12"/>
  <c r="AB71" i="12" s="1"/>
  <c r="J91" i="12"/>
  <c r="D100" i="12"/>
  <c r="J112" i="12"/>
  <c r="AF15" i="13"/>
  <c r="AF16" i="13"/>
  <c r="Y20" i="13"/>
  <c r="AF20" i="13"/>
  <c r="AF24" i="13"/>
  <c r="AF26" i="13"/>
  <c r="D39" i="13"/>
  <c r="C39" i="13" s="1"/>
  <c r="D40" i="13"/>
  <c r="M40" i="13" s="1"/>
  <c r="AR40" i="13"/>
  <c r="D41" i="13"/>
  <c r="M41" i="13" s="1"/>
  <c r="D44" i="13"/>
  <c r="BD53" i="13"/>
  <c r="BD54" i="13"/>
  <c r="AN57" i="13"/>
  <c r="AR75" i="13"/>
  <c r="J96" i="13"/>
  <c r="E13" i="1"/>
  <c r="AC13" i="1"/>
  <c r="D23" i="1"/>
  <c r="C23" i="1" s="1"/>
  <c r="J27" i="1"/>
  <c r="J35" i="1"/>
  <c r="AL38" i="1"/>
  <c r="AL40" i="1"/>
  <c r="D44" i="1"/>
  <c r="C44" i="1" s="1"/>
  <c r="R47" i="1"/>
  <c r="S48" i="1"/>
  <c r="T70" i="1"/>
  <c r="T85" i="1"/>
  <c r="T86" i="1"/>
  <c r="J87" i="1"/>
  <c r="D99" i="1"/>
  <c r="C99" i="1" s="1"/>
  <c r="K99" i="1" s="1"/>
  <c r="J112" i="1"/>
  <c r="L13" i="2"/>
  <c r="J15" i="2"/>
  <c r="D16" i="2"/>
  <c r="T21" i="2"/>
  <c r="Z27" i="2"/>
  <c r="AO27" i="2"/>
  <c r="D39" i="2"/>
  <c r="C39" i="2" s="1"/>
  <c r="AQ43" i="2"/>
  <c r="N46" i="2"/>
  <c r="T46" i="2"/>
  <c r="X47" i="2"/>
  <c r="AZ48" i="2"/>
  <c r="AQ51" i="2"/>
  <c r="AW51" i="2"/>
  <c r="Z57" i="2"/>
  <c r="J58" i="2"/>
  <c r="D59" i="2"/>
  <c r="M59" i="2" s="1"/>
  <c r="N63" i="2"/>
  <c r="X63" i="2"/>
  <c r="AQ64" i="2"/>
  <c r="N67" i="2"/>
  <c r="X67" i="2"/>
  <c r="AZ67" i="2"/>
  <c r="X69" i="2"/>
  <c r="D70" i="2"/>
  <c r="C70" i="2" s="1"/>
  <c r="AO70" i="2"/>
  <c r="AQ72" i="2"/>
  <c r="AW72" i="2"/>
  <c r="N78" i="2"/>
  <c r="X78" i="2"/>
  <c r="Z81" i="2"/>
  <c r="AW84" i="2"/>
  <c r="J92" i="2"/>
  <c r="D95" i="2"/>
  <c r="M95" i="2" s="1"/>
  <c r="D100" i="2"/>
  <c r="C100" i="2" s="1"/>
  <c r="K100" i="2" s="1"/>
  <c r="J53" i="4"/>
  <c r="S15" i="1"/>
  <c r="S28" i="1"/>
  <c r="H31" i="1"/>
  <c r="T36" i="1"/>
  <c r="S51" i="1"/>
  <c r="S62" i="1"/>
  <c r="W62" i="1" s="1"/>
  <c r="S64" i="1"/>
  <c r="N69" i="1"/>
  <c r="T82" i="1"/>
  <c r="S83" i="1"/>
  <c r="W83" i="1" s="1"/>
  <c r="V83" i="1"/>
  <c r="R84" i="1"/>
  <c r="U84" i="1" s="1"/>
  <c r="S85" i="1"/>
  <c r="W85" i="1" s="1"/>
  <c r="N104" i="1"/>
  <c r="Z15" i="2"/>
  <c r="X20" i="2"/>
  <c r="N21" i="2"/>
  <c r="X24" i="2"/>
  <c r="AW27" i="2"/>
  <c r="N32" i="2"/>
  <c r="X32" i="2"/>
  <c r="J35" i="2"/>
  <c r="AO39" i="2"/>
  <c r="T42" i="2"/>
  <c r="AQ45" i="2"/>
  <c r="AZ45" i="2"/>
  <c r="AZ46" i="2"/>
  <c r="D49" i="2"/>
  <c r="C49" i="2" s="1"/>
  <c r="J57" i="2"/>
  <c r="T59" i="2"/>
  <c r="AW59" i="2"/>
  <c r="N62" i="2"/>
  <c r="AZ65" i="2"/>
  <c r="AZ66" i="2"/>
  <c r="J68" i="2"/>
  <c r="T70" i="2"/>
  <c r="AQ70" i="2"/>
  <c r="AO72" i="2"/>
  <c r="AW81" i="2"/>
  <c r="T82" i="2"/>
  <c r="AQ83" i="2"/>
  <c r="AZ85" i="2"/>
  <c r="T88" i="2"/>
  <c r="D92" i="2"/>
  <c r="N104" i="2"/>
  <c r="J107" i="2"/>
  <c r="D53" i="4"/>
  <c r="M53" i="4" s="1"/>
  <c r="J104" i="4"/>
  <c r="L11" i="4"/>
  <c r="J11" i="4" s="1"/>
  <c r="T75" i="6"/>
  <c r="R74" i="6"/>
  <c r="AG87" i="9"/>
  <c r="AE87" i="9"/>
  <c r="R17" i="1"/>
  <c r="U17" i="1" s="1"/>
  <c r="S19" i="1"/>
  <c r="J20" i="1"/>
  <c r="D29" i="1"/>
  <c r="M29" i="1" s="1"/>
  <c r="AG52" i="1"/>
  <c r="D54" i="1"/>
  <c r="C54" i="1" s="1"/>
  <c r="K54" i="1" s="1"/>
  <c r="T58" i="1"/>
  <c r="T64" i="1"/>
  <c r="AL76" i="1"/>
  <c r="F13" i="2"/>
  <c r="AT13" i="2"/>
  <c r="AZ22" i="2"/>
  <c r="E31" i="3"/>
  <c r="F31" i="1"/>
  <c r="X74" i="1"/>
  <c r="S14" i="1"/>
  <c r="W14" i="1" s="1"/>
  <c r="D24" i="1"/>
  <c r="M24" i="1" s="1"/>
  <c r="AL27" i="1"/>
  <c r="T42" i="1"/>
  <c r="T44" i="1"/>
  <c r="T46" i="1"/>
  <c r="F52" i="1"/>
  <c r="N57" i="1"/>
  <c r="J60" i="1"/>
  <c r="N68" i="1"/>
  <c r="T87" i="1"/>
  <c r="J98" i="1"/>
  <c r="D108" i="1"/>
  <c r="C108" i="1" s="1"/>
  <c r="K108" i="1" s="1"/>
  <c r="Z17" i="2"/>
  <c r="AQ24" i="2"/>
  <c r="N27" i="2"/>
  <c r="AO33" i="2"/>
  <c r="N39" i="2"/>
  <c r="AQ42" i="2"/>
  <c r="Z43" i="2"/>
  <c r="D46" i="2"/>
  <c r="M46" i="2" s="1"/>
  <c r="N59" i="2"/>
  <c r="Z61" i="2"/>
  <c r="AO63" i="2"/>
  <c r="Z64" i="2"/>
  <c r="J66" i="2"/>
  <c r="AO66" i="2"/>
  <c r="Z72" i="2"/>
  <c r="Z76" i="2"/>
  <c r="D79" i="2"/>
  <c r="N86" i="2"/>
  <c r="AZ86" i="2"/>
  <c r="Z87" i="2"/>
  <c r="N88" i="2"/>
  <c r="X88" i="2"/>
  <c r="N96" i="2"/>
  <c r="F74" i="1"/>
  <c r="P104" i="3"/>
  <c r="G11" i="3"/>
  <c r="P11" i="3" s="1"/>
  <c r="AH13" i="1"/>
  <c r="AL20" i="1"/>
  <c r="J28" i="1"/>
  <c r="N33" i="1"/>
  <c r="D36" i="1"/>
  <c r="C36" i="1" s="1"/>
  <c r="K36" i="1" s="1"/>
  <c r="D38" i="1"/>
  <c r="R41" i="1"/>
  <c r="J42" i="1"/>
  <c r="S42" i="1"/>
  <c r="AL45" i="1"/>
  <c r="J49" i="1"/>
  <c r="D60" i="1"/>
  <c r="C60" i="1" s="1"/>
  <c r="K60" i="1" s="1"/>
  <c r="D62" i="1"/>
  <c r="C62" i="1" s="1"/>
  <c r="K62" i="1" s="1"/>
  <c r="J66" i="1"/>
  <c r="J83" i="1"/>
  <c r="AH74" i="1"/>
  <c r="V84" i="1"/>
  <c r="J85" i="1"/>
  <c r="J95" i="1"/>
  <c r="D21" i="2"/>
  <c r="C21" i="2" s="1"/>
  <c r="AW23" i="2"/>
  <c r="AW24" i="2"/>
  <c r="J28" i="2"/>
  <c r="N36" i="2"/>
  <c r="AZ38" i="2"/>
  <c r="AZ39" i="2"/>
  <c r="J44" i="2"/>
  <c r="AO45" i="2"/>
  <c r="AQ47" i="2"/>
  <c r="AW47" i="2"/>
  <c r="X51" i="2"/>
  <c r="AW54" i="2"/>
  <c r="T63" i="2"/>
  <c r="T66" i="2"/>
  <c r="T67" i="2"/>
  <c r="AW67" i="2"/>
  <c r="AZ69" i="2"/>
  <c r="X72" i="2"/>
  <c r="J75" i="2"/>
  <c r="AZ80" i="2"/>
  <c r="J84" i="2"/>
  <c r="D94" i="2"/>
  <c r="J95" i="2"/>
  <c r="J104" i="2"/>
  <c r="J54" i="3"/>
  <c r="J81" i="3"/>
  <c r="J43" i="5"/>
  <c r="D45" i="3"/>
  <c r="M45" i="3" s="1"/>
  <c r="F52" i="3"/>
  <c r="D56" i="3"/>
  <c r="M56" i="3" s="1"/>
  <c r="D58" i="3"/>
  <c r="D73" i="3"/>
  <c r="C73" i="3" s="1"/>
  <c r="K73" i="3" s="1"/>
  <c r="D83" i="3"/>
  <c r="M83" i="3" s="1"/>
  <c r="D106" i="3"/>
  <c r="X18" i="4"/>
  <c r="D22" i="4"/>
  <c r="C22" i="4" s="1"/>
  <c r="K22" i="4" s="1"/>
  <c r="D32" i="4"/>
  <c r="J32" i="4"/>
  <c r="D46" i="4"/>
  <c r="C46" i="4" s="1"/>
  <c r="K46" i="4" s="1"/>
  <c r="D61" i="4"/>
  <c r="J67" i="4"/>
  <c r="D77" i="4"/>
  <c r="M77" i="4" s="1"/>
  <c r="D14" i="5"/>
  <c r="J42" i="5"/>
  <c r="D45" i="5"/>
  <c r="C45" i="5" s="1"/>
  <c r="J64" i="5"/>
  <c r="J68" i="5"/>
  <c r="J70" i="5"/>
  <c r="J110" i="5"/>
  <c r="D45" i="6"/>
  <c r="C45" i="6" s="1"/>
  <c r="S74" i="6"/>
  <c r="T78" i="6"/>
  <c r="T80" i="6"/>
  <c r="AF14" i="7"/>
  <c r="D25" i="7"/>
  <c r="X25" i="7"/>
  <c r="AI25" i="7"/>
  <c r="BR25" i="7"/>
  <c r="AF28" i="7"/>
  <c r="J22" i="3"/>
  <c r="J28" i="3"/>
  <c r="Q39" i="3"/>
  <c r="D62" i="3"/>
  <c r="M62" i="3" s="1"/>
  <c r="J87" i="3"/>
  <c r="Q104" i="3"/>
  <c r="P19" i="4"/>
  <c r="J48" i="4"/>
  <c r="D56" i="4"/>
  <c r="C56" i="4" s="1"/>
  <c r="K56" i="4" s="1"/>
  <c r="J56" i="4"/>
  <c r="J63" i="4"/>
  <c r="X82" i="4"/>
  <c r="D83" i="4"/>
  <c r="M83" i="4" s="1"/>
  <c r="J85" i="4"/>
  <c r="AA86" i="4"/>
  <c r="J95" i="4"/>
  <c r="J105" i="4"/>
  <c r="J17" i="5"/>
  <c r="T20" i="5"/>
  <c r="N43" i="5"/>
  <c r="J57" i="5"/>
  <c r="J59" i="5"/>
  <c r="D106" i="5"/>
  <c r="C106" i="5" s="1"/>
  <c r="J44" i="6"/>
  <c r="J46" i="6"/>
  <c r="J51" i="6"/>
  <c r="D53" i="6"/>
  <c r="M53" i="6" s="1"/>
  <c r="D57" i="6"/>
  <c r="M57" i="6" s="1"/>
  <c r="D59" i="6"/>
  <c r="M59" i="6" s="1"/>
  <c r="D61" i="6"/>
  <c r="C61" i="6" s="1"/>
  <c r="D63" i="6"/>
  <c r="C63" i="6" s="1"/>
  <c r="D65" i="6"/>
  <c r="M65" i="6" s="1"/>
  <c r="T72" i="6"/>
  <c r="J77" i="6"/>
  <c r="N78" i="6"/>
  <c r="J79" i="6"/>
  <c r="N80" i="6"/>
  <c r="J81" i="6"/>
  <c r="N82" i="6"/>
  <c r="J83" i="6"/>
  <c r="J85" i="6"/>
  <c r="N86" i="6"/>
  <c r="N88" i="6"/>
  <c r="D93" i="6"/>
  <c r="M93" i="6" s="1"/>
  <c r="J98" i="6"/>
  <c r="J106" i="6"/>
  <c r="D14" i="7"/>
  <c r="M14" i="7" s="1"/>
  <c r="J14" i="7"/>
  <c r="D15" i="7"/>
  <c r="C15" i="7" s="1"/>
  <c r="AC15" i="7"/>
  <c r="BF16" i="7"/>
  <c r="BU16" i="7"/>
  <c r="X22" i="7"/>
  <c r="AI22" i="7"/>
  <c r="BO22" i="7"/>
  <c r="T25" i="7"/>
  <c r="BL25" i="7"/>
  <c r="T26" i="7"/>
  <c r="J28" i="7"/>
  <c r="X28" i="7"/>
  <c r="AI28" i="7"/>
  <c r="W29" i="7"/>
  <c r="D109" i="2"/>
  <c r="D28" i="3"/>
  <c r="D30" i="3"/>
  <c r="M30" i="3" s="1"/>
  <c r="J33" i="3"/>
  <c r="D107" i="3"/>
  <c r="C107" i="3" s="1"/>
  <c r="K107" i="3" s="1"/>
  <c r="AA15" i="4"/>
  <c r="X24" i="4"/>
  <c r="D30" i="4"/>
  <c r="D42" i="4"/>
  <c r="M42" i="4" s="1"/>
  <c r="J44" i="4"/>
  <c r="P63" i="4"/>
  <c r="P82" i="4"/>
  <c r="D114" i="4"/>
  <c r="M114" i="4" s="1"/>
  <c r="J15" i="5"/>
  <c r="D61" i="5"/>
  <c r="M61" i="5" s="1"/>
  <c r="D77" i="5"/>
  <c r="C77" i="5" s="1"/>
  <c r="K77" i="5" s="1"/>
  <c r="D97" i="5"/>
  <c r="C97" i="5" s="1"/>
  <c r="K97" i="5" s="1"/>
  <c r="J103" i="5"/>
  <c r="D112" i="5"/>
  <c r="C112" i="5" s="1"/>
  <c r="K112" i="5" s="1"/>
  <c r="D42" i="6"/>
  <c r="D44" i="6"/>
  <c r="C44" i="6" s="1"/>
  <c r="D46" i="6"/>
  <c r="M46" i="6" s="1"/>
  <c r="J66" i="6"/>
  <c r="T21" i="7"/>
  <c r="X24" i="7"/>
  <c r="BU26" i="7"/>
  <c r="L13" i="8"/>
  <c r="Q19" i="3"/>
  <c r="D44" i="3"/>
  <c r="M44" i="3" s="1"/>
  <c r="D48" i="3"/>
  <c r="M48" i="3" s="1"/>
  <c r="D57" i="3"/>
  <c r="Q78" i="3"/>
  <c r="D79" i="3"/>
  <c r="M79" i="3" s="1"/>
  <c r="D82" i="3"/>
  <c r="M82" i="3" s="1"/>
  <c r="D84" i="3"/>
  <c r="M84" i="3" s="1"/>
  <c r="Q19" i="4"/>
  <c r="D20" i="4"/>
  <c r="J29" i="4"/>
  <c r="J38" i="4"/>
  <c r="D47" i="4"/>
  <c r="C47" i="4" s="1"/>
  <c r="D48" i="4"/>
  <c r="M48" i="4" s="1"/>
  <c r="D78" i="4"/>
  <c r="M78" i="4" s="1"/>
  <c r="D26" i="5"/>
  <c r="J37" i="5"/>
  <c r="N42" i="5"/>
  <c r="N64" i="5"/>
  <c r="N68" i="5"/>
  <c r="N70" i="5"/>
  <c r="N88" i="5"/>
  <c r="N30" i="6"/>
  <c r="N36" i="6"/>
  <c r="D37" i="6"/>
  <c r="C37" i="6" s="1"/>
  <c r="N40" i="6"/>
  <c r="N47" i="6"/>
  <c r="N55" i="6"/>
  <c r="N57" i="6"/>
  <c r="N59" i="6"/>
  <c r="N63" i="6"/>
  <c r="N67" i="6"/>
  <c r="T77" i="6"/>
  <c r="T79" i="6"/>
  <c r="T81" i="6"/>
  <c r="T83" i="6"/>
  <c r="T85" i="6"/>
  <c r="N15" i="7"/>
  <c r="BL19" i="7"/>
  <c r="BI22" i="7"/>
  <c r="CJ27" i="7"/>
  <c r="D111" i="2"/>
  <c r="C111" i="2" s="1"/>
  <c r="K111" i="2" s="1"/>
  <c r="J17" i="3"/>
  <c r="J19" i="3"/>
  <c r="J23" i="3"/>
  <c r="J25" i="3"/>
  <c r="J43" i="3"/>
  <c r="D61" i="3"/>
  <c r="C61" i="3" s="1"/>
  <c r="K61" i="3" s="1"/>
  <c r="J73" i="3"/>
  <c r="J78" i="3"/>
  <c r="D86" i="3"/>
  <c r="J105" i="3"/>
  <c r="U15" i="4"/>
  <c r="AD15" i="4"/>
  <c r="U30" i="4"/>
  <c r="AD30" i="4"/>
  <c r="U36" i="4"/>
  <c r="J37" i="4"/>
  <c r="X40" i="4"/>
  <c r="X43" i="4"/>
  <c r="D51" i="4"/>
  <c r="M51" i="4" s="1"/>
  <c r="D69" i="4"/>
  <c r="M69" i="4" s="1"/>
  <c r="J69" i="4"/>
  <c r="U82" i="4"/>
  <c r="AD82" i="4"/>
  <c r="D97" i="4"/>
  <c r="C97" i="4" s="1"/>
  <c r="K97" i="4" s="1"/>
  <c r="D102" i="4"/>
  <c r="C102" i="4" s="1"/>
  <c r="K102" i="4" s="1"/>
  <c r="J103" i="4"/>
  <c r="Q104" i="4"/>
  <c r="D115" i="4"/>
  <c r="M115" i="4" s="1"/>
  <c r="J16" i="5"/>
  <c r="J18" i="5"/>
  <c r="J29" i="5"/>
  <c r="J32" i="5"/>
  <c r="J51" i="5"/>
  <c r="J62" i="5"/>
  <c r="D73" i="5"/>
  <c r="M73" i="5" s="1"/>
  <c r="N75" i="5"/>
  <c r="J104" i="5"/>
  <c r="J105" i="5"/>
  <c r="N111" i="5"/>
  <c r="J113" i="5"/>
  <c r="T17" i="6"/>
  <c r="T19" i="6"/>
  <c r="T25" i="6"/>
  <c r="T29" i="6"/>
  <c r="T35" i="6"/>
  <c r="D48" i="6"/>
  <c r="C48" i="6" s="1"/>
  <c r="D50" i="6"/>
  <c r="C50" i="6" s="1"/>
  <c r="N51" i="6"/>
  <c r="J96" i="6"/>
  <c r="N106" i="6"/>
  <c r="D113" i="6"/>
  <c r="J114" i="6"/>
  <c r="N14" i="7"/>
  <c r="AI17" i="7"/>
  <c r="X18" i="7"/>
  <c r="BU21" i="7"/>
  <c r="BU22" i="7"/>
  <c r="AT23" i="7"/>
  <c r="BL23" i="7"/>
  <c r="BR24" i="7"/>
  <c r="J25" i="7"/>
  <c r="BL27" i="7"/>
  <c r="BU27" i="7"/>
  <c r="BU28" i="7"/>
  <c r="BU61" i="7"/>
  <c r="Q104" i="8"/>
  <c r="I11" i="8"/>
  <c r="Q11" i="8" s="1"/>
  <c r="BL30" i="7"/>
  <c r="X33" i="7"/>
  <c r="AC37" i="7"/>
  <c r="AT37" i="7"/>
  <c r="X38" i="7"/>
  <c r="BL39" i="7"/>
  <c r="N44" i="7"/>
  <c r="CA45" i="7"/>
  <c r="CJ45" i="7"/>
  <c r="J48" i="7"/>
  <c r="J49" i="7"/>
  <c r="AF49" i="7"/>
  <c r="AC54" i="7"/>
  <c r="BX55" i="7"/>
  <c r="D58" i="7"/>
  <c r="M58" i="7" s="1"/>
  <c r="AO63" i="7"/>
  <c r="CD64" i="7"/>
  <c r="BR65" i="7"/>
  <c r="AC66" i="7"/>
  <c r="T67" i="7"/>
  <c r="J70" i="7"/>
  <c r="BI70" i="7"/>
  <c r="BR70" i="7"/>
  <c r="AO72" i="7"/>
  <c r="BI73" i="7"/>
  <c r="BR73" i="7"/>
  <c r="AI75" i="7"/>
  <c r="W81" i="7"/>
  <c r="AF81" i="7"/>
  <c r="AO81" i="7"/>
  <c r="W82" i="7"/>
  <c r="X83" i="7"/>
  <c r="AO87" i="7"/>
  <c r="D102" i="7"/>
  <c r="C102" i="7" s="1"/>
  <c r="J33" i="8"/>
  <c r="T37" i="8"/>
  <c r="J38" i="8"/>
  <c r="N45" i="8"/>
  <c r="J46" i="8"/>
  <c r="T57" i="8"/>
  <c r="D71" i="8"/>
  <c r="C71" i="8" s="1"/>
  <c r="D82" i="8"/>
  <c r="C82" i="8" s="1"/>
  <c r="D84" i="8"/>
  <c r="C84" i="8" s="1"/>
  <c r="K84" i="8" s="1"/>
  <c r="J100" i="8"/>
  <c r="AG19" i="9"/>
  <c r="T24" i="9"/>
  <c r="D30" i="9"/>
  <c r="M30" i="9" s="1"/>
  <c r="W38" i="9"/>
  <c r="T59" i="9"/>
  <c r="Z63" i="9"/>
  <c r="D101" i="9"/>
  <c r="M101" i="9" s="1"/>
  <c r="J62" i="10"/>
  <c r="W35" i="7"/>
  <c r="AC40" i="7"/>
  <c r="AF44" i="7"/>
  <c r="AZ46" i="7"/>
  <c r="CA56" i="7"/>
  <c r="BL58" i="7"/>
  <c r="BU58" i="7"/>
  <c r="CJ61" i="7"/>
  <c r="D73" i="7"/>
  <c r="C73" i="7" s="1"/>
  <c r="D85" i="7"/>
  <c r="C85" i="7" s="1"/>
  <c r="K85" i="7" s="1"/>
  <c r="J91" i="7"/>
  <c r="J18" i="8"/>
  <c r="D22" i="8"/>
  <c r="C22" i="8" s="1"/>
  <c r="D38" i="8"/>
  <c r="C38" i="8" s="1"/>
  <c r="N50" i="8"/>
  <c r="D51" i="8"/>
  <c r="J54" i="8"/>
  <c r="L74" i="8"/>
  <c r="F74" i="8"/>
  <c r="AG17" i="9"/>
  <c r="AB27" i="9"/>
  <c r="N41" i="9"/>
  <c r="J45" i="9"/>
  <c r="AB45" i="9"/>
  <c r="AB57" i="9"/>
  <c r="AB58" i="9"/>
  <c r="AB66" i="9"/>
  <c r="D20" i="10"/>
  <c r="M20" i="10" s="1"/>
  <c r="N36" i="10"/>
  <c r="D55" i="10"/>
  <c r="C55" i="10" s="1"/>
  <c r="U59" i="10"/>
  <c r="W20" i="12"/>
  <c r="AC33" i="7"/>
  <c r="W37" i="7"/>
  <c r="N45" i="7"/>
  <c r="BI49" i="7"/>
  <c r="J51" i="7"/>
  <c r="AO54" i="7"/>
  <c r="BL59" i="7"/>
  <c r="W60" i="7"/>
  <c r="CD61" i="7"/>
  <c r="X63" i="7"/>
  <c r="BI64" i="7"/>
  <c r="AT69" i="7"/>
  <c r="BL70" i="7"/>
  <c r="X72" i="7"/>
  <c r="AI72" i="7"/>
  <c r="BL73" i="7"/>
  <c r="BU73" i="7"/>
  <c r="D78" i="7"/>
  <c r="C78" i="7" s="1"/>
  <c r="BU79" i="7"/>
  <c r="D84" i="7"/>
  <c r="T85" i="7"/>
  <c r="BI86" i="7"/>
  <c r="J95" i="7"/>
  <c r="D115" i="7"/>
  <c r="C115" i="7" s="1"/>
  <c r="K115" i="7" s="1"/>
  <c r="T25" i="8"/>
  <c r="T71" i="8"/>
  <c r="D96" i="8"/>
  <c r="M96" i="8" s="1"/>
  <c r="D18" i="9"/>
  <c r="C18" i="9" s="1"/>
  <c r="W32" i="9"/>
  <c r="AE34" i="9"/>
  <c r="D40" i="9"/>
  <c r="M40" i="9" s="1"/>
  <c r="AE53" i="9"/>
  <c r="J70" i="9"/>
  <c r="Z79" i="9"/>
  <c r="Y33" i="10"/>
  <c r="D44" i="10"/>
  <c r="M44" i="10" s="1"/>
  <c r="U47" i="10"/>
  <c r="AB47" i="10"/>
  <c r="J56" i="10"/>
  <c r="AI35" i="7"/>
  <c r="J36" i="7"/>
  <c r="X36" i="7"/>
  <c r="AI36" i="7"/>
  <c r="BI37" i="7"/>
  <c r="BR37" i="7"/>
  <c r="BU41" i="7"/>
  <c r="N42" i="7"/>
  <c r="E52" i="7"/>
  <c r="AZ53" i="7"/>
  <c r="D54" i="7"/>
  <c r="M54" i="7" s="1"/>
  <c r="BI55" i="7"/>
  <c r="CA55" i="7"/>
  <c r="AW58" i="7"/>
  <c r="BL63" i="7"/>
  <c r="BU63" i="7"/>
  <c r="CD63" i="7"/>
  <c r="CM63" i="7"/>
  <c r="CA64" i="7"/>
  <c r="CJ64" i="7"/>
  <c r="X65" i="7"/>
  <c r="AI65" i="7"/>
  <c r="N70" i="7"/>
  <c r="BU75" i="7"/>
  <c r="AC78" i="7"/>
  <c r="AL78" i="7"/>
  <c r="D81" i="7"/>
  <c r="M81" i="7" s="1"/>
  <c r="AI82" i="7"/>
  <c r="BI85" i="7"/>
  <c r="D99" i="7"/>
  <c r="C99" i="7" s="1"/>
  <c r="K99" i="7" s="1"/>
  <c r="N102" i="7"/>
  <c r="N16" i="8"/>
  <c r="T36" i="8"/>
  <c r="D67" i="8"/>
  <c r="C67" i="8" s="1"/>
  <c r="K67" i="8" s="1"/>
  <c r="N77" i="8"/>
  <c r="N87" i="8"/>
  <c r="J107" i="8"/>
  <c r="D19" i="9"/>
  <c r="M19" i="9" s="1"/>
  <c r="J27" i="9"/>
  <c r="D36" i="9"/>
  <c r="C36" i="9" s="1"/>
  <c r="AB48" i="9"/>
  <c r="N76" i="9"/>
  <c r="AB82" i="9"/>
  <c r="D85" i="9"/>
  <c r="M85" i="9" s="1"/>
  <c r="J94" i="9"/>
  <c r="J113" i="9"/>
  <c r="AB23" i="10"/>
  <c r="Y28" i="10"/>
  <c r="N29" i="10"/>
  <c r="AJ72" i="13"/>
  <c r="BU33" i="7"/>
  <c r="AC34" i="7"/>
  <c r="BI34" i="7"/>
  <c r="BT31" i="7"/>
  <c r="AO38" i="7"/>
  <c r="AL39" i="7"/>
  <c r="AF41" i="7"/>
  <c r="X45" i="7"/>
  <c r="AO45" i="7"/>
  <c r="BF47" i="7"/>
  <c r="BL55" i="7"/>
  <c r="BU55" i="7"/>
  <c r="CD55" i="7"/>
  <c r="CM55" i="7"/>
  <c r="AF57" i="7"/>
  <c r="AO57" i="7"/>
  <c r="X59" i="7"/>
  <c r="W62" i="7"/>
  <c r="AF62" i="7"/>
  <c r="AO62" i="7"/>
  <c r="BL64" i="7"/>
  <c r="J67" i="7"/>
  <c r="X68" i="7"/>
  <c r="AI68" i="7"/>
  <c r="AO69" i="7"/>
  <c r="AO70" i="7"/>
  <c r="BO70" i="7"/>
  <c r="BI79" i="7"/>
  <c r="T80" i="7"/>
  <c r="AC80" i="7"/>
  <c r="BL80" i="7"/>
  <c r="AL81" i="7"/>
  <c r="T84" i="7"/>
  <c r="AO85" i="7"/>
  <c r="AC87" i="7"/>
  <c r="J96" i="7"/>
  <c r="J107" i="7"/>
  <c r="N18" i="8"/>
  <c r="D19" i="8"/>
  <c r="C19" i="8" s="1"/>
  <c r="J28" i="8"/>
  <c r="D37" i="8"/>
  <c r="M37" i="8" s="1"/>
  <c r="T40" i="8"/>
  <c r="J50" i="8"/>
  <c r="D55" i="8"/>
  <c r="C55" i="8" s="1"/>
  <c r="D57" i="8"/>
  <c r="M57" i="8" s="1"/>
  <c r="D59" i="8"/>
  <c r="C59" i="8" s="1"/>
  <c r="T62" i="8"/>
  <c r="N70" i="8"/>
  <c r="J98" i="8"/>
  <c r="J15" i="9"/>
  <c r="D16" i="9"/>
  <c r="M16" i="9" s="1"/>
  <c r="T17" i="9"/>
  <c r="AG29" i="9"/>
  <c r="D35" i="9"/>
  <c r="C35" i="9" s="1"/>
  <c r="AE47" i="9"/>
  <c r="Z48" i="9"/>
  <c r="AG53" i="9"/>
  <c r="J64" i="9"/>
  <c r="AE66" i="9"/>
  <c r="AB68" i="9"/>
  <c r="Z70" i="9"/>
  <c r="Z84" i="9"/>
  <c r="T88" i="9"/>
  <c r="J91" i="9"/>
  <c r="D94" i="9"/>
  <c r="C94" i="9" s="1"/>
  <c r="K94" i="9" s="1"/>
  <c r="J14" i="10"/>
  <c r="N20" i="10"/>
  <c r="U23" i="10"/>
  <c r="Y37" i="10"/>
  <c r="N38" i="10"/>
  <c r="D47" i="10"/>
  <c r="M47" i="10" s="1"/>
  <c r="W47" i="10"/>
  <c r="Y54" i="10"/>
  <c r="D59" i="10"/>
  <c r="M59" i="10" s="1"/>
  <c r="U62" i="10"/>
  <c r="T25" i="12"/>
  <c r="J107" i="12"/>
  <c r="J68" i="10"/>
  <c r="D93" i="10"/>
  <c r="M93" i="10" s="1"/>
  <c r="D24" i="11"/>
  <c r="C24" i="11" s="1"/>
  <c r="K24" i="11" s="1"/>
  <c r="D26" i="11"/>
  <c r="C26" i="11" s="1"/>
  <c r="K26" i="11" s="1"/>
  <c r="W30" i="12"/>
  <c r="AA41" i="12"/>
  <c r="AB41" i="12" s="1"/>
  <c r="D42" i="12"/>
  <c r="M42" i="12" s="1"/>
  <c r="AA45" i="12"/>
  <c r="AB45" i="12" s="1"/>
  <c r="W47" i="12"/>
  <c r="W64" i="12"/>
  <c r="W83" i="12"/>
  <c r="N86" i="12"/>
  <c r="J111" i="12"/>
  <c r="Q14" i="13"/>
  <c r="Q18" i="13"/>
  <c r="Y18" i="13"/>
  <c r="Y19" i="13"/>
  <c r="AF19" i="13"/>
  <c r="BD20" i="13"/>
  <c r="Y21" i="13"/>
  <c r="AF22" i="13"/>
  <c r="P24" i="13"/>
  <c r="AF30" i="13"/>
  <c r="P37" i="13"/>
  <c r="AJ41" i="13"/>
  <c r="AF42" i="13"/>
  <c r="Q44" i="13"/>
  <c r="AZ46" i="13"/>
  <c r="D47" i="13"/>
  <c r="M47" i="13" s="1"/>
  <c r="AJ49" i="13"/>
  <c r="AJ50" i="13"/>
  <c r="Y53" i="13"/>
  <c r="AF53" i="13"/>
  <c r="Y54" i="13"/>
  <c r="AF54" i="13"/>
  <c r="U55" i="13"/>
  <c r="AN56" i="13"/>
  <c r="P58" i="13"/>
  <c r="AC58" i="13"/>
  <c r="P62" i="13"/>
  <c r="P63" i="13"/>
  <c r="U63" i="13"/>
  <c r="Q76" i="13"/>
  <c r="Q84" i="13"/>
  <c r="P87" i="13"/>
  <c r="AJ88" i="13"/>
  <c r="D97" i="13"/>
  <c r="M97" i="13" s="1"/>
  <c r="N100" i="13"/>
  <c r="J107" i="13"/>
  <c r="Y79" i="10"/>
  <c r="D87" i="10"/>
  <c r="M87" i="10" s="1"/>
  <c r="J91" i="10"/>
  <c r="D17" i="11"/>
  <c r="M17" i="11" s="1"/>
  <c r="J110" i="11"/>
  <c r="N16" i="12"/>
  <c r="AA48" i="12"/>
  <c r="AB48" i="12" s="1"/>
  <c r="AA49" i="12"/>
  <c r="AB49" i="12" s="1"/>
  <c r="D54" i="12"/>
  <c r="M54" i="12" s="1"/>
  <c r="D101" i="12"/>
  <c r="M101" i="12" s="1"/>
  <c r="J11" i="13"/>
  <c r="Q23" i="13"/>
  <c r="AF23" i="13"/>
  <c r="BD24" i="13"/>
  <c r="J30" i="13"/>
  <c r="D32" i="13"/>
  <c r="M32" i="13" s="1"/>
  <c r="AR32" i="13"/>
  <c r="Y33" i="13"/>
  <c r="J34" i="13"/>
  <c r="U36" i="13"/>
  <c r="BD36" i="13"/>
  <c r="BD37" i="13"/>
  <c r="P40" i="13"/>
  <c r="U41" i="13"/>
  <c r="AC41" i="13"/>
  <c r="AR41" i="13"/>
  <c r="AR42" i="13"/>
  <c r="D43" i="13"/>
  <c r="M43" i="13" s="1"/>
  <c r="AR43" i="13"/>
  <c r="Y44" i="13"/>
  <c r="AF44" i="13"/>
  <c r="Y45" i="13"/>
  <c r="AF45" i="13"/>
  <c r="D53" i="13"/>
  <c r="M53" i="13" s="1"/>
  <c r="N54" i="13"/>
  <c r="Y55" i="13"/>
  <c r="AF55" i="13"/>
  <c r="AF57" i="13"/>
  <c r="BD59" i="13"/>
  <c r="N62" i="13"/>
  <c r="AV62" i="13"/>
  <c r="BD62" i="13"/>
  <c r="N63" i="13"/>
  <c r="U65" i="13"/>
  <c r="Q69" i="13"/>
  <c r="AR77" i="13"/>
  <c r="AC82" i="13"/>
  <c r="AC84" i="13"/>
  <c r="J103" i="13"/>
  <c r="D108" i="13"/>
  <c r="D113" i="13"/>
  <c r="M113" i="13" s="1"/>
  <c r="D21" i="11"/>
  <c r="C21" i="11" s="1"/>
  <c r="K21" i="11" s="1"/>
  <c r="J25" i="11"/>
  <c r="J27" i="11"/>
  <c r="D42" i="11"/>
  <c r="C42" i="11" s="1"/>
  <c r="K42" i="11" s="1"/>
  <c r="D72" i="11"/>
  <c r="M72" i="11" s="1"/>
  <c r="D75" i="11"/>
  <c r="C75" i="11" s="1"/>
  <c r="J106" i="11"/>
  <c r="N11" i="12"/>
  <c r="Q21" i="12"/>
  <c r="W59" i="12"/>
  <c r="T60" i="12"/>
  <c r="AA64" i="12"/>
  <c r="AB64" i="12" s="1"/>
  <c r="T68" i="12"/>
  <c r="N70" i="12"/>
  <c r="N73" i="12"/>
  <c r="D75" i="12"/>
  <c r="C75" i="12" s="1"/>
  <c r="W79" i="12"/>
  <c r="W84" i="12"/>
  <c r="AR14" i="13"/>
  <c r="D30" i="13"/>
  <c r="M30" i="13" s="1"/>
  <c r="D33" i="13"/>
  <c r="M33" i="13" s="1"/>
  <c r="AJ33" i="13"/>
  <c r="D34" i="13"/>
  <c r="C34" i="13" s="1"/>
  <c r="AF37" i="13"/>
  <c r="N48" i="13"/>
  <c r="Q58" i="13"/>
  <c r="J108" i="10"/>
  <c r="J86" i="11"/>
  <c r="Q14" i="12"/>
  <c r="AA16" i="12"/>
  <c r="AB16" i="12" s="1"/>
  <c r="T20" i="12"/>
  <c r="N36" i="12"/>
  <c r="N39" i="12"/>
  <c r="N42" i="12"/>
  <c r="W48" i="12"/>
  <c r="N77" i="12"/>
  <c r="J103" i="12"/>
  <c r="N105" i="12"/>
  <c r="U15" i="13"/>
  <c r="AC20" i="13"/>
  <c r="AC21" i="13"/>
  <c r="J24" i="13"/>
  <c r="BD26" i="13"/>
  <c r="J36" i="13"/>
  <c r="Q40" i="13"/>
  <c r="BD40" i="13"/>
  <c r="AJ45" i="13"/>
  <c r="J46" i="13"/>
  <c r="AF47" i="13"/>
  <c r="AN47" i="13"/>
  <c r="AF48" i="13"/>
  <c r="AN48" i="13"/>
  <c r="BD49" i="13"/>
  <c r="N50" i="13"/>
  <c r="AN50" i="13"/>
  <c r="P53" i="13"/>
  <c r="U53" i="13"/>
  <c r="AZ53" i="13"/>
  <c r="D54" i="13"/>
  <c r="M54" i="13" s="1"/>
  <c r="U54" i="13"/>
  <c r="D55" i="13"/>
  <c r="M55" i="13" s="1"/>
  <c r="AR55" i="13"/>
  <c r="D56" i="13"/>
  <c r="C56" i="13" s="1"/>
  <c r="J63" i="13"/>
  <c r="AN63" i="13"/>
  <c r="AN65" i="13"/>
  <c r="U67" i="13"/>
  <c r="AJ69" i="13"/>
  <c r="AZ69" i="13"/>
  <c r="AZ70" i="13"/>
  <c r="D71" i="13"/>
  <c r="C71" i="13" s="1"/>
  <c r="AF75" i="13"/>
  <c r="AV75" i="13"/>
  <c r="AN76" i="13"/>
  <c r="BD76" i="13"/>
  <c r="AR78" i="13"/>
  <c r="AV81" i="13"/>
  <c r="AV82" i="13"/>
  <c r="BD82" i="13"/>
  <c r="N83" i="13"/>
  <c r="N84" i="13"/>
  <c r="J111" i="13"/>
  <c r="W65" i="10"/>
  <c r="V74" i="10"/>
  <c r="D78" i="10"/>
  <c r="C78" i="10" s="1"/>
  <c r="D80" i="10"/>
  <c r="M80" i="10" s="1"/>
  <c r="J86" i="10"/>
  <c r="D105" i="10"/>
  <c r="C105" i="10" s="1"/>
  <c r="K105" i="10" s="1"/>
  <c r="D108" i="10"/>
  <c r="C108" i="10" s="1"/>
  <c r="K108" i="10" s="1"/>
  <c r="D113" i="10"/>
  <c r="C113" i="10" s="1"/>
  <c r="K113" i="10" s="1"/>
  <c r="J114" i="10"/>
  <c r="J22" i="11"/>
  <c r="T36" i="11"/>
  <c r="D38" i="11"/>
  <c r="C38" i="11" s="1"/>
  <c r="K38" i="11" s="1"/>
  <c r="D41" i="11"/>
  <c r="C41" i="11" s="1"/>
  <c r="K41" i="11" s="1"/>
  <c r="J43" i="11"/>
  <c r="D46" i="11"/>
  <c r="M46" i="11" s="1"/>
  <c r="S52" i="11"/>
  <c r="J54" i="11"/>
  <c r="D61" i="11"/>
  <c r="C61" i="11" s="1"/>
  <c r="K61" i="11" s="1"/>
  <c r="D88" i="11"/>
  <c r="C88" i="11" s="1"/>
  <c r="D112" i="11"/>
  <c r="M112" i="11" s="1"/>
  <c r="J112" i="11"/>
  <c r="D16" i="12"/>
  <c r="C16" i="12" s="1"/>
  <c r="W17" i="12"/>
  <c r="W24" i="12"/>
  <c r="D38" i="12"/>
  <c r="C38" i="12" s="1"/>
  <c r="D43" i="12"/>
  <c r="C43" i="12" s="1"/>
  <c r="N46" i="12"/>
  <c r="D55" i="12"/>
  <c r="C55" i="12" s="1"/>
  <c r="J59" i="12"/>
  <c r="D61" i="12"/>
  <c r="C61" i="12" s="1"/>
  <c r="T64" i="12"/>
  <c r="W71" i="12"/>
  <c r="D76" i="12"/>
  <c r="M76" i="12" s="1"/>
  <c r="D79" i="12"/>
  <c r="M79" i="12" s="1"/>
  <c r="W85" i="12"/>
  <c r="D91" i="12"/>
  <c r="M91" i="12" s="1"/>
  <c r="D103" i="12"/>
  <c r="M103" i="12" s="1"/>
  <c r="BD27" i="13"/>
  <c r="AN28" i="13"/>
  <c r="N30" i="13"/>
  <c r="D36" i="13"/>
  <c r="M36" i="13" s="1"/>
  <c r="AR36" i="13"/>
  <c r="D37" i="13"/>
  <c r="M37" i="13" s="1"/>
  <c r="AZ38" i="13"/>
  <c r="AF39" i="13"/>
  <c r="AF41" i="13"/>
  <c r="AC45" i="13"/>
  <c r="AR45" i="13"/>
  <c r="D46" i="13"/>
  <c r="M46" i="13" s="1"/>
  <c r="J64" i="13"/>
  <c r="AN66" i="13"/>
  <c r="AC67" i="13"/>
  <c r="AC68" i="13"/>
  <c r="AC69" i="13"/>
  <c r="AR72" i="13"/>
  <c r="BD77" i="13"/>
  <c r="P79" i="13"/>
  <c r="Y81" i="13"/>
  <c r="AF81" i="13"/>
  <c r="AF83" i="13"/>
  <c r="D105" i="13"/>
  <c r="C105" i="13" s="1"/>
  <c r="D111" i="13"/>
  <c r="M111" i="13" s="1"/>
  <c r="AI74" i="1"/>
  <c r="AA13" i="1"/>
  <c r="AG13" i="1"/>
  <c r="AL19" i="1"/>
  <c r="T21" i="1"/>
  <c r="AL30" i="1"/>
  <c r="Y31" i="1"/>
  <c r="AE31" i="1"/>
  <c r="AK31" i="1"/>
  <c r="S34" i="1"/>
  <c r="W34" i="1" s="1"/>
  <c r="T35" i="1"/>
  <c r="R35" i="1"/>
  <c r="J36" i="1"/>
  <c r="T38" i="1"/>
  <c r="T40" i="1"/>
  <c r="R40" i="1"/>
  <c r="J41" i="1"/>
  <c r="J44" i="1"/>
  <c r="R46" i="1"/>
  <c r="U46" i="1" s="1"/>
  <c r="J47" i="1"/>
  <c r="J50" i="1"/>
  <c r="T50" i="1"/>
  <c r="T53" i="1"/>
  <c r="R53" i="1"/>
  <c r="U53" i="1" s="1"/>
  <c r="J54" i="1"/>
  <c r="AA52" i="1"/>
  <c r="S54" i="1"/>
  <c r="W54" i="1" s="1"/>
  <c r="S56" i="1"/>
  <c r="W56" i="1" s="1"/>
  <c r="J61" i="1"/>
  <c r="R65" i="1"/>
  <c r="U65" i="1" s="1"/>
  <c r="S70" i="1"/>
  <c r="W70" i="1" s="1"/>
  <c r="J73" i="1"/>
  <c r="L74" i="1"/>
  <c r="N75" i="1"/>
  <c r="AB74" i="1"/>
  <c r="V87" i="1"/>
  <c r="D96" i="1"/>
  <c r="M96" i="1" s="1"/>
  <c r="D109" i="1"/>
  <c r="M109" i="1" s="1"/>
  <c r="J110" i="1"/>
  <c r="J11" i="2"/>
  <c r="D14" i="2"/>
  <c r="C14" i="2" s="1"/>
  <c r="J16" i="2"/>
  <c r="AZ17" i="2"/>
  <c r="X22" i="2"/>
  <c r="J23" i="2"/>
  <c r="AZ28" i="2"/>
  <c r="AD31" i="2"/>
  <c r="AJ31" i="2"/>
  <c r="AY31" i="2"/>
  <c r="J33" i="2"/>
  <c r="T36" i="2"/>
  <c r="T37" i="2"/>
  <c r="AO37" i="2"/>
  <c r="D38" i="2"/>
  <c r="J41" i="2"/>
  <c r="J45" i="2"/>
  <c r="N49" i="2"/>
  <c r="X50" i="2"/>
  <c r="AZ62" i="2"/>
  <c r="D64" i="2"/>
  <c r="C64" i="2" s="1"/>
  <c r="J65" i="2"/>
  <c r="Z65" i="2"/>
  <c r="AZ68" i="2"/>
  <c r="J76" i="2"/>
  <c r="Z79" i="2"/>
  <c r="J82" i="2"/>
  <c r="AO82" i="2"/>
  <c r="Z85" i="2"/>
  <c r="D97" i="2"/>
  <c r="C97" i="2" s="1"/>
  <c r="K97" i="2" s="1"/>
  <c r="J105" i="2"/>
  <c r="J112" i="2"/>
  <c r="J115" i="2"/>
  <c r="D16" i="3"/>
  <c r="C16" i="3" s="1"/>
  <c r="K16" i="3" s="1"/>
  <c r="J38" i="3"/>
  <c r="J60" i="3"/>
  <c r="D63" i="3"/>
  <c r="C63" i="3" s="1"/>
  <c r="K63" i="3" s="1"/>
  <c r="Q69" i="3"/>
  <c r="D70" i="3"/>
  <c r="M70" i="3" s="1"/>
  <c r="J72" i="3"/>
  <c r="D87" i="3"/>
  <c r="C87" i="3" s="1"/>
  <c r="K87" i="3" s="1"/>
  <c r="D97" i="3"/>
  <c r="C97" i="3" s="1"/>
  <c r="K97" i="3" s="1"/>
  <c r="D105" i="3"/>
  <c r="M105" i="3" s="1"/>
  <c r="J108" i="3"/>
  <c r="J111" i="3"/>
  <c r="D17" i="4"/>
  <c r="C17" i="4" s="1"/>
  <c r="J25" i="4"/>
  <c r="J26" i="4"/>
  <c r="J28" i="4"/>
  <c r="J36" i="4"/>
  <c r="X36" i="4"/>
  <c r="P39" i="4"/>
  <c r="Q40" i="4"/>
  <c r="X41" i="4"/>
  <c r="Q43" i="4"/>
  <c r="AA43" i="4"/>
  <c r="U47" i="4"/>
  <c r="J51" i="4"/>
  <c r="P55" i="4"/>
  <c r="J49" i="6"/>
  <c r="AC17" i="7"/>
  <c r="AJ13" i="7"/>
  <c r="BU18" i="7"/>
  <c r="T35" i="7"/>
  <c r="AB13" i="1"/>
  <c r="F13" i="1"/>
  <c r="AD13" i="1"/>
  <c r="AL15" i="1"/>
  <c r="T19" i="1"/>
  <c r="R19" i="1"/>
  <c r="S21" i="1"/>
  <c r="W21" i="1" s="1"/>
  <c r="T28" i="1"/>
  <c r="AJ31" i="1"/>
  <c r="T32" i="1"/>
  <c r="O31" i="1"/>
  <c r="T34" i="1"/>
  <c r="R34" i="1"/>
  <c r="U34" i="1" s="1"/>
  <c r="AJ52" i="1"/>
  <c r="T56" i="1"/>
  <c r="T60" i="1"/>
  <c r="D61" i="1"/>
  <c r="C61" i="1" s="1"/>
  <c r="K61" i="1" s="1"/>
  <c r="S63" i="1"/>
  <c r="W63" i="1" s="1"/>
  <c r="R64" i="1"/>
  <c r="S68" i="1"/>
  <c r="T72" i="1"/>
  <c r="AA74" i="1"/>
  <c r="AG74" i="1"/>
  <c r="V79" i="1"/>
  <c r="J80" i="1"/>
  <c r="S81" i="1"/>
  <c r="W81" i="1" s="1"/>
  <c r="V81" i="1"/>
  <c r="J82" i="1"/>
  <c r="D91" i="1"/>
  <c r="C91" i="1" s="1"/>
  <c r="K91" i="1" s="1"/>
  <c r="J92" i="1"/>
  <c r="D97" i="1"/>
  <c r="M97" i="1" s="1"/>
  <c r="D114" i="1"/>
  <c r="C114" i="1" s="1"/>
  <c r="K114" i="1" s="1"/>
  <c r="D15" i="2"/>
  <c r="C15" i="2" s="1"/>
  <c r="Z18" i="2"/>
  <c r="Z21" i="2"/>
  <c r="Z26" i="2"/>
  <c r="D29" i="2"/>
  <c r="C29" i="2" s="1"/>
  <c r="J29" i="2"/>
  <c r="AZ29" i="2"/>
  <c r="X30" i="2"/>
  <c r="AH31" i="2"/>
  <c r="D45" i="2"/>
  <c r="C45" i="2" s="1"/>
  <c r="J46" i="2"/>
  <c r="J51" i="2"/>
  <c r="AO55" i="2"/>
  <c r="Z66" i="2"/>
  <c r="D67" i="2"/>
  <c r="M67" i="2" s="1"/>
  <c r="J70" i="2"/>
  <c r="N71" i="2"/>
  <c r="T75" i="2"/>
  <c r="AQ75" i="2"/>
  <c r="D78" i="2"/>
  <c r="Z80" i="2"/>
  <c r="AO80" i="2"/>
  <c r="J81" i="2"/>
  <c r="D18" i="3"/>
  <c r="M18" i="3" s="1"/>
  <c r="D23" i="3"/>
  <c r="C23" i="3" s="1"/>
  <c r="K23" i="3" s="1"/>
  <c r="Q36" i="3"/>
  <c r="D42" i="3"/>
  <c r="M42" i="3" s="1"/>
  <c r="J57" i="3"/>
  <c r="D60" i="3"/>
  <c r="M60" i="3" s="1"/>
  <c r="J69" i="3"/>
  <c r="J88" i="3"/>
  <c r="D91" i="3"/>
  <c r="D98" i="3"/>
  <c r="C98" i="3" s="1"/>
  <c r="K98" i="3" s="1"/>
  <c r="AA17" i="4"/>
  <c r="J20" i="4"/>
  <c r="D25" i="4"/>
  <c r="C25" i="4" s="1"/>
  <c r="K25" i="4" s="1"/>
  <c r="X30" i="4"/>
  <c r="E31" i="4"/>
  <c r="J33" i="4"/>
  <c r="J54" i="4"/>
  <c r="J39" i="5"/>
  <c r="D75" i="5"/>
  <c r="C75" i="5" s="1"/>
  <c r="K75" i="5" s="1"/>
  <c r="E74" i="5"/>
  <c r="D49" i="6"/>
  <c r="C49" i="6" s="1"/>
  <c r="T20" i="7"/>
  <c r="AO29" i="7"/>
  <c r="O13" i="1"/>
  <c r="AI13" i="1"/>
  <c r="AL18" i="1"/>
  <c r="R27" i="1"/>
  <c r="T30" i="1"/>
  <c r="D32" i="1"/>
  <c r="C32" i="1" s="1"/>
  <c r="K32" i="1" s="1"/>
  <c r="S36" i="1"/>
  <c r="W36" i="1" s="1"/>
  <c r="S39" i="1"/>
  <c r="AL39" i="1"/>
  <c r="AL42" i="1"/>
  <c r="S45" i="1"/>
  <c r="H52" i="1"/>
  <c r="O52" i="1"/>
  <c r="R59" i="1"/>
  <c r="U59" i="1" s="1"/>
  <c r="R71" i="1"/>
  <c r="U71" i="1" s="1"/>
  <c r="S72" i="1"/>
  <c r="I74" i="1"/>
  <c r="Q74" i="1" s="1"/>
  <c r="R86" i="1"/>
  <c r="U86" i="1" s="1"/>
  <c r="G89" i="1"/>
  <c r="P89" i="1" s="1"/>
  <c r="AO15" i="2"/>
  <c r="AO16" i="2"/>
  <c r="AQ17" i="2"/>
  <c r="R13" i="2"/>
  <c r="AQ18" i="2"/>
  <c r="AW18" i="2"/>
  <c r="AQ21" i="2"/>
  <c r="AW21" i="2"/>
  <c r="AW22" i="2"/>
  <c r="T23" i="2"/>
  <c r="T39" i="2"/>
  <c r="AD52" i="2"/>
  <c r="AJ52" i="2"/>
  <c r="AR52" i="2"/>
  <c r="AY52" i="2"/>
  <c r="X55" i="2"/>
  <c r="T57" i="2"/>
  <c r="D65" i="2"/>
  <c r="C65" i="2" s="1"/>
  <c r="T78" i="2"/>
  <c r="T80" i="2"/>
  <c r="D81" i="2"/>
  <c r="M81" i="2" s="1"/>
  <c r="Z88" i="2"/>
  <c r="N93" i="2"/>
  <c r="D20" i="3"/>
  <c r="C20" i="3" s="1"/>
  <c r="K20" i="3" s="1"/>
  <c r="AJ13" i="2"/>
  <c r="AH52" i="2"/>
  <c r="J34" i="8"/>
  <c r="N34" i="8"/>
  <c r="T15" i="1"/>
  <c r="C16" i="1"/>
  <c r="K16" i="1" s="1"/>
  <c r="T18" i="1"/>
  <c r="V21" i="1"/>
  <c r="S25" i="1"/>
  <c r="W25" i="1" s="1"/>
  <c r="T26" i="1"/>
  <c r="R26" i="1"/>
  <c r="U26" i="1" s="1"/>
  <c r="AB31" i="1"/>
  <c r="AH31" i="1"/>
  <c r="S33" i="1"/>
  <c r="N42" i="1"/>
  <c r="N45" i="1"/>
  <c r="S46" i="1"/>
  <c r="W46" i="1" s="1"/>
  <c r="N48" i="1"/>
  <c r="N51" i="1"/>
  <c r="AC52" i="1"/>
  <c r="AI52" i="1"/>
  <c r="X52" i="1"/>
  <c r="AD52" i="1"/>
  <c r="D56" i="1"/>
  <c r="C56" i="1" s="1"/>
  <c r="K56" i="1" s="1"/>
  <c r="AH52" i="1"/>
  <c r="R58" i="1"/>
  <c r="U58" i="1" s="1"/>
  <c r="T62" i="1"/>
  <c r="T66" i="1"/>
  <c r="R70" i="1"/>
  <c r="U70" i="1" s="1"/>
  <c r="D72" i="1"/>
  <c r="M72" i="1" s="1"/>
  <c r="D75" i="1"/>
  <c r="C75" i="1" s="1"/>
  <c r="N76" i="1"/>
  <c r="V76" i="1"/>
  <c r="S78" i="1"/>
  <c r="W78" i="1" s="1"/>
  <c r="V78" i="1"/>
  <c r="J79" i="1"/>
  <c r="V85" i="1"/>
  <c r="D95" i="1"/>
  <c r="C95" i="1" s="1"/>
  <c r="K95" i="1" s="1"/>
  <c r="D103" i="1"/>
  <c r="N109" i="1"/>
  <c r="N14" i="2"/>
  <c r="AQ15" i="2"/>
  <c r="AQ16" i="2"/>
  <c r="AW16" i="2"/>
  <c r="T18" i="2"/>
  <c r="N19" i="2"/>
  <c r="N20" i="2"/>
  <c r="N22" i="2"/>
  <c r="N23" i="2"/>
  <c r="AO26" i="2"/>
  <c r="AQ27" i="2"/>
  <c r="AQ28" i="2"/>
  <c r="D34" i="2"/>
  <c r="M34" i="2" s="1"/>
  <c r="AZ35" i="2"/>
  <c r="X40" i="2"/>
  <c r="N41" i="2"/>
  <c r="X41" i="2"/>
  <c r="Z50" i="2"/>
  <c r="AO50" i="2"/>
  <c r="AO51" i="2"/>
  <c r="Z55" i="2"/>
  <c r="AO57" i="2"/>
  <c r="J59" i="2"/>
  <c r="Z60" i="2"/>
  <c r="AO60" i="2"/>
  <c r="D61" i="2"/>
  <c r="M61" i="2" s="1"/>
  <c r="AQ65" i="2"/>
  <c r="D69" i="2"/>
  <c r="C69" i="2" s="1"/>
  <c r="N76" i="2"/>
  <c r="AB74" i="2"/>
  <c r="AQ79" i="2"/>
  <c r="AQ81" i="2"/>
  <c r="AQ86" i="2"/>
  <c r="J99" i="2"/>
  <c r="J110" i="2"/>
  <c r="D113" i="2"/>
  <c r="M113" i="2" s="1"/>
  <c r="D22" i="3"/>
  <c r="M22" i="3" s="1"/>
  <c r="J59" i="3"/>
  <c r="J61" i="3"/>
  <c r="J66" i="3"/>
  <c r="D71" i="3"/>
  <c r="M71" i="3" s="1"/>
  <c r="D77" i="3"/>
  <c r="M77" i="3" s="1"/>
  <c r="J79" i="3"/>
  <c r="J82" i="3"/>
  <c r="D95" i="3"/>
  <c r="M95" i="3" s="1"/>
  <c r="J95" i="3"/>
  <c r="J100" i="3"/>
  <c r="D109" i="3"/>
  <c r="M109" i="3" s="1"/>
  <c r="J109" i="3"/>
  <c r="J110" i="3"/>
  <c r="J113" i="3"/>
  <c r="U17" i="4"/>
  <c r="AD17" i="4"/>
  <c r="J21" i="4"/>
  <c r="AA30" i="4"/>
  <c r="D33" i="4"/>
  <c r="C33" i="4" s="1"/>
  <c r="K33" i="4" s="1"/>
  <c r="J39" i="4"/>
  <c r="N43" i="4"/>
  <c r="N45" i="4"/>
  <c r="J46" i="4"/>
  <c r="X47" i="4"/>
  <c r="D49" i="4"/>
  <c r="M49" i="4" s="1"/>
  <c r="J55" i="4"/>
  <c r="X55" i="4"/>
  <c r="D83" i="5"/>
  <c r="C83" i="5" s="1"/>
  <c r="K83" i="5" s="1"/>
  <c r="D35" i="6"/>
  <c r="M35" i="6" s="1"/>
  <c r="AF26" i="7"/>
  <c r="AC74" i="1"/>
  <c r="Q104" i="12"/>
  <c r="O11" i="12"/>
  <c r="Q11" i="12" s="1"/>
  <c r="AE13" i="1"/>
  <c r="AK13" i="1"/>
  <c r="V15" i="1"/>
  <c r="AL22" i="1"/>
  <c r="J23" i="1"/>
  <c r="D30" i="1"/>
  <c r="C30" i="1" s="1"/>
  <c r="S32" i="1"/>
  <c r="W32" i="1" s="1"/>
  <c r="AC31" i="1"/>
  <c r="AI31" i="1"/>
  <c r="J37" i="1"/>
  <c r="N41" i="1"/>
  <c r="D43" i="1"/>
  <c r="M43" i="1" s="1"/>
  <c r="N44" i="1"/>
  <c r="AL44" i="1"/>
  <c r="T48" i="1"/>
  <c r="D49" i="1"/>
  <c r="M49" i="1" s="1"/>
  <c r="AL50" i="1"/>
  <c r="L52" i="1"/>
  <c r="S57" i="1"/>
  <c r="AL57" i="1"/>
  <c r="D59" i="1"/>
  <c r="C59" i="1" s="1"/>
  <c r="K59" i="1" s="1"/>
  <c r="S66" i="1"/>
  <c r="W66" i="1" s="1"/>
  <c r="J67" i="1"/>
  <c r="AD74" i="1"/>
  <c r="AL75" i="1"/>
  <c r="T76" i="1"/>
  <c r="O74" i="1"/>
  <c r="V80" i="1"/>
  <c r="J81" i="1"/>
  <c r="R81" i="1"/>
  <c r="U81" i="1" s="1"/>
  <c r="AL82" i="1"/>
  <c r="J96" i="1"/>
  <c r="AC13" i="2"/>
  <c r="AI13" i="2"/>
  <c r="AV13" i="2"/>
  <c r="AZ18" i="2"/>
  <c r="AZ21" i="2"/>
  <c r="J24" i="2"/>
  <c r="AD13" i="2"/>
  <c r="AW26" i="2"/>
  <c r="T27" i="2"/>
  <c r="N29" i="2"/>
  <c r="AW30" i="2"/>
  <c r="AO35" i="2"/>
  <c r="Z38" i="2"/>
  <c r="J39" i="2"/>
  <c r="AZ40" i="2"/>
  <c r="Z41" i="2"/>
  <c r="AZ41" i="2"/>
  <c r="J42" i="2"/>
  <c r="AO43" i="2"/>
  <c r="D47" i="2"/>
  <c r="C47" i="2" s="1"/>
  <c r="AO49" i="2"/>
  <c r="E52" i="2"/>
  <c r="AO54" i="2"/>
  <c r="AW57" i="2"/>
  <c r="AO59" i="2"/>
  <c r="AQ60" i="2"/>
  <c r="T61" i="2"/>
  <c r="AZ64" i="2"/>
  <c r="N65" i="2"/>
  <c r="N66" i="2"/>
  <c r="T68" i="2"/>
  <c r="AW68" i="2"/>
  <c r="D71" i="2"/>
  <c r="M71" i="2" s="1"/>
  <c r="D72" i="2"/>
  <c r="M72" i="2" s="1"/>
  <c r="J72" i="2"/>
  <c r="Z75" i="2"/>
  <c r="AZ75" i="2"/>
  <c r="AO79" i="2"/>
  <c r="T84" i="2"/>
  <c r="D88" i="2"/>
  <c r="M88" i="2" s="1"/>
  <c r="J101" i="2"/>
  <c r="D17" i="3"/>
  <c r="C17" i="3" s="1"/>
  <c r="K17" i="3" s="1"/>
  <c r="D19" i="3"/>
  <c r="C19" i="3" s="1"/>
  <c r="D24" i="3"/>
  <c r="M24" i="3" s="1"/>
  <c r="H31" i="3"/>
  <c r="N31" i="3" s="1"/>
  <c r="J51" i="3"/>
  <c r="D66" i="3"/>
  <c r="M66" i="3" s="1"/>
  <c r="J107" i="3"/>
  <c r="D110" i="3"/>
  <c r="C110" i="3" s="1"/>
  <c r="K110" i="3" s="1"/>
  <c r="J14" i="4"/>
  <c r="AA19" i="4"/>
  <c r="U40" i="4"/>
  <c r="AD40" i="4"/>
  <c r="U41" i="4"/>
  <c r="AD41" i="4"/>
  <c r="J60" i="4"/>
  <c r="F31" i="6"/>
  <c r="J43" i="6"/>
  <c r="AW40" i="7"/>
  <c r="BI44" i="7"/>
  <c r="X63" i="4"/>
  <c r="J66" i="4"/>
  <c r="D82" i="4"/>
  <c r="C82" i="4" s="1"/>
  <c r="G89" i="4"/>
  <c r="D106" i="4"/>
  <c r="C106" i="4" s="1"/>
  <c r="K106" i="4" s="1"/>
  <c r="J106" i="4"/>
  <c r="J112" i="4"/>
  <c r="D27" i="5"/>
  <c r="M27" i="5" s="1"/>
  <c r="D55" i="5"/>
  <c r="M55" i="5" s="1"/>
  <c r="D57" i="5"/>
  <c r="D63" i="5"/>
  <c r="C63" i="5" s="1"/>
  <c r="K63" i="5" s="1"/>
  <c r="J73" i="5"/>
  <c r="J80" i="5"/>
  <c r="J86" i="5"/>
  <c r="J93" i="5"/>
  <c r="D95" i="5"/>
  <c r="C95" i="5" s="1"/>
  <c r="K95" i="5" s="1"/>
  <c r="N97" i="5"/>
  <c r="D109" i="5"/>
  <c r="C109" i="5" s="1"/>
  <c r="K109" i="5" s="1"/>
  <c r="D16" i="6"/>
  <c r="C16" i="6" s="1"/>
  <c r="D18" i="6"/>
  <c r="M18" i="6" s="1"/>
  <c r="D26" i="6"/>
  <c r="C26" i="6" s="1"/>
  <c r="T28" i="6"/>
  <c r="D34" i="6"/>
  <c r="C34" i="6" s="1"/>
  <c r="J36" i="6"/>
  <c r="T37" i="6"/>
  <c r="N38" i="6"/>
  <c r="T43" i="6"/>
  <c r="N44" i="6"/>
  <c r="T49" i="6"/>
  <c r="N50" i="6"/>
  <c r="T54" i="6"/>
  <c r="D58" i="6"/>
  <c r="C58" i="6" s="1"/>
  <c r="D60" i="6"/>
  <c r="C60" i="6" s="1"/>
  <c r="T62" i="6"/>
  <c r="D64" i="6"/>
  <c r="C64" i="6" s="1"/>
  <c r="D77" i="6"/>
  <c r="C77" i="6" s="1"/>
  <c r="D79" i="6"/>
  <c r="C79" i="6" s="1"/>
  <c r="D81" i="6"/>
  <c r="M81" i="6" s="1"/>
  <c r="D83" i="6"/>
  <c r="C83" i="6" s="1"/>
  <c r="D85" i="6"/>
  <c r="M85" i="6" s="1"/>
  <c r="T87" i="6"/>
  <c r="F89" i="6"/>
  <c r="F10" i="6" s="1"/>
  <c r="F9" i="6" s="1"/>
  <c r="D96" i="6"/>
  <c r="C96" i="6" s="1"/>
  <c r="K96" i="6" s="1"/>
  <c r="D111" i="6"/>
  <c r="M111" i="6" s="1"/>
  <c r="J112" i="6"/>
  <c r="BA13" i="7"/>
  <c r="W14" i="7"/>
  <c r="T15" i="7"/>
  <c r="BL15" i="7"/>
  <c r="BU15" i="7"/>
  <c r="BL17" i="7"/>
  <c r="AI19" i="7"/>
  <c r="AC20" i="7"/>
  <c r="D21" i="7"/>
  <c r="C21" i="7" s="1"/>
  <c r="N23" i="7"/>
  <c r="AC23" i="7"/>
  <c r="BI23" i="7"/>
  <c r="BL24" i="7"/>
  <c r="BU25" i="7"/>
  <c r="X26" i="7"/>
  <c r="D27" i="7"/>
  <c r="C27" i="7" s="1"/>
  <c r="K27" i="7" s="1"/>
  <c r="CD27" i="7"/>
  <c r="D28" i="7"/>
  <c r="C28" i="7" s="1"/>
  <c r="T29" i="7"/>
  <c r="AW29" i="7"/>
  <c r="N30" i="7"/>
  <c r="AC30" i="7"/>
  <c r="BL33" i="7"/>
  <c r="D34" i="7"/>
  <c r="M34" i="7" s="1"/>
  <c r="N35" i="7"/>
  <c r="AC35" i="7"/>
  <c r="AO36" i="7"/>
  <c r="X37" i="7"/>
  <c r="N38" i="7"/>
  <c r="T38" i="7"/>
  <c r="T39" i="7"/>
  <c r="AC39" i="7"/>
  <c r="BU39" i="7"/>
  <c r="X40" i="7"/>
  <c r="AI40" i="7"/>
  <c r="BO40" i="7"/>
  <c r="BX40" i="7"/>
  <c r="AC42" i="7"/>
  <c r="AC43" i="7"/>
  <c r="BR43" i="7"/>
  <c r="BC44" i="7"/>
  <c r="W45" i="7"/>
  <c r="AF45" i="7"/>
  <c r="BL45" i="7"/>
  <c r="T47" i="7"/>
  <c r="T48" i="7"/>
  <c r="AT48" i="7"/>
  <c r="BC48" i="7"/>
  <c r="BU50" i="7"/>
  <c r="T51" i="7"/>
  <c r="G52" i="7"/>
  <c r="P52" i="7" s="1"/>
  <c r="J58" i="7"/>
  <c r="AI69" i="7"/>
  <c r="J77" i="8"/>
  <c r="J87" i="8"/>
  <c r="AG86" i="9"/>
  <c r="AE86" i="9"/>
  <c r="J61" i="4"/>
  <c r="D62" i="4"/>
  <c r="C62" i="4" s="1"/>
  <c r="K62" i="4" s="1"/>
  <c r="D63" i="4"/>
  <c r="M63" i="4" s="1"/>
  <c r="D79" i="4"/>
  <c r="M79" i="4" s="1"/>
  <c r="N88" i="4"/>
  <c r="T17" i="5"/>
  <c r="D19" i="5"/>
  <c r="N20" i="5"/>
  <c r="D36" i="5"/>
  <c r="M36" i="5" s="1"/>
  <c r="N37" i="5"/>
  <c r="D59" i="5"/>
  <c r="J65" i="5"/>
  <c r="D67" i="5"/>
  <c r="J69" i="5"/>
  <c r="D82" i="5"/>
  <c r="M82" i="5" s="1"/>
  <c r="D84" i="5"/>
  <c r="C84" i="5" s="1"/>
  <c r="K84" i="5" s="1"/>
  <c r="O89" i="5"/>
  <c r="O10" i="5" s="1"/>
  <c r="O9" i="5" s="1"/>
  <c r="N43" i="6"/>
  <c r="N49" i="6"/>
  <c r="J71" i="4"/>
  <c r="D98" i="4"/>
  <c r="M98" i="4" s="1"/>
  <c r="N11" i="5"/>
  <c r="D21" i="5"/>
  <c r="C21" i="5" s="1"/>
  <c r="K21" i="5" s="1"/>
  <c r="D49" i="5"/>
  <c r="C49" i="5" s="1"/>
  <c r="K49" i="5" s="1"/>
  <c r="D51" i="5"/>
  <c r="M51" i="5" s="1"/>
  <c r="D62" i="5"/>
  <c r="M62" i="5" s="1"/>
  <c r="L74" i="5"/>
  <c r="J88" i="5"/>
  <c r="D93" i="5"/>
  <c r="M93" i="5" s="1"/>
  <c r="D99" i="5"/>
  <c r="D100" i="5"/>
  <c r="C100" i="5" s="1"/>
  <c r="K100" i="5" s="1"/>
  <c r="N104" i="5"/>
  <c r="J116" i="5"/>
  <c r="N22" i="6"/>
  <c r="S31" i="6"/>
  <c r="J33" i="6"/>
  <c r="T36" i="6"/>
  <c r="T41" i="6"/>
  <c r="N42" i="6"/>
  <c r="N48" i="6"/>
  <c r="N54" i="6"/>
  <c r="N62" i="6"/>
  <c r="T66" i="6"/>
  <c r="J70" i="6"/>
  <c r="J72" i="6"/>
  <c r="G74" i="6"/>
  <c r="P74" i="6" s="1"/>
  <c r="N77" i="6"/>
  <c r="J78" i="6"/>
  <c r="N79" i="6"/>
  <c r="J80" i="6"/>
  <c r="N81" i="6"/>
  <c r="J82" i="6"/>
  <c r="J84" i="6"/>
  <c r="J86" i="6"/>
  <c r="J92" i="6"/>
  <c r="J94" i="6"/>
  <c r="J97" i="6"/>
  <c r="D102" i="6"/>
  <c r="M102" i="6" s="1"/>
  <c r="J103" i="6"/>
  <c r="N116" i="6"/>
  <c r="BI14" i="7"/>
  <c r="AF15" i="7"/>
  <c r="BO15" i="7"/>
  <c r="BX15" i="7"/>
  <c r="D16" i="7"/>
  <c r="M16" i="7" s="1"/>
  <c r="AO17" i="7"/>
  <c r="AI18" i="7"/>
  <c r="BI18" i="7"/>
  <c r="BR18" i="7"/>
  <c r="AC19" i="7"/>
  <c r="AO20" i="7"/>
  <c r="BU20" i="7"/>
  <c r="CM20" i="7"/>
  <c r="J23" i="7"/>
  <c r="D24" i="7"/>
  <c r="C24" i="7" s="1"/>
  <c r="AI24" i="7"/>
  <c r="AO25" i="7"/>
  <c r="AC26" i="7"/>
  <c r="BI27" i="7"/>
  <c r="T28" i="7"/>
  <c r="BI28" i="7"/>
  <c r="BI29" i="7"/>
  <c r="BR29" i="7"/>
  <c r="AO30" i="7"/>
  <c r="T32" i="7"/>
  <c r="N33" i="7"/>
  <c r="BI38" i="7"/>
  <c r="W41" i="7"/>
  <c r="AO41" i="7"/>
  <c r="AW41" i="7"/>
  <c r="W42" i="7"/>
  <c r="BR42" i="7"/>
  <c r="BL43" i="7"/>
  <c r="J44" i="7"/>
  <c r="AW44" i="7"/>
  <c r="BU44" i="7"/>
  <c r="BR47" i="7"/>
  <c r="W48" i="7"/>
  <c r="AF48" i="7"/>
  <c r="AL49" i="7"/>
  <c r="W51" i="7"/>
  <c r="AI76" i="7"/>
  <c r="J24" i="8"/>
  <c r="D36" i="8"/>
  <c r="C36" i="8" s="1"/>
  <c r="J62" i="8"/>
  <c r="Q82" i="4"/>
  <c r="J96" i="4"/>
  <c r="D103" i="4"/>
  <c r="C103" i="4" s="1"/>
  <c r="K103" i="4" s="1"/>
  <c r="J107" i="4"/>
  <c r="D16" i="5"/>
  <c r="C16" i="5" s="1"/>
  <c r="K16" i="5" s="1"/>
  <c r="D18" i="5"/>
  <c r="M18" i="5" s="1"/>
  <c r="J20" i="5"/>
  <c r="D33" i="5"/>
  <c r="M33" i="5" s="1"/>
  <c r="T42" i="5"/>
  <c r="J44" i="5"/>
  <c r="N57" i="5"/>
  <c r="J58" i="5"/>
  <c r="N63" i="5"/>
  <c r="D81" i="5"/>
  <c r="C81" i="5" s="1"/>
  <c r="K81" i="5" s="1"/>
  <c r="J81" i="5"/>
  <c r="D33" i="6"/>
  <c r="M33" i="6" s="1"/>
  <c r="T40" i="6"/>
  <c r="T46" i="6"/>
  <c r="T57" i="6"/>
  <c r="N69" i="6"/>
  <c r="X20" i="7"/>
  <c r="AC22" i="7"/>
  <c r="AO23" i="7"/>
  <c r="BF23" i="7"/>
  <c r="BX23" i="7"/>
  <c r="AC24" i="7"/>
  <c r="BI26" i="7"/>
  <c r="CA27" i="7"/>
  <c r="BL28" i="7"/>
  <c r="AF29" i="7"/>
  <c r="AT29" i="7"/>
  <c r="BL29" i="7"/>
  <c r="W32" i="7"/>
  <c r="BL37" i="7"/>
  <c r="BI39" i="7"/>
  <c r="J41" i="7"/>
  <c r="AZ41" i="7"/>
  <c r="BU42" i="7"/>
  <c r="X43" i="7"/>
  <c r="T45" i="7"/>
  <c r="W46" i="7"/>
  <c r="BC46" i="7"/>
  <c r="BL46" i="7"/>
  <c r="BU46" i="7"/>
  <c r="AL47" i="7"/>
  <c r="AW49" i="7"/>
  <c r="BL49" i="7"/>
  <c r="BU49" i="7"/>
  <c r="D24" i="8"/>
  <c r="C24" i="8" s="1"/>
  <c r="J59" i="4"/>
  <c r="U63" i="4"/>
  <c r="J82" i="4"/>
  <c r="J84" i="4"/>
  <c r="D87" i="4"/>
  <c r="M87" i="4" s="1"/>
  <c r="J88" i="4"/>
  <c r="D91" i="4"/>
  <c r="J97" i="4"/>
  <c r="D100" i="4"/>
  <c r="M100" i="4" s="1"/>
  <c r="D107" i="4"/>
  <c r="M107" i="4" s="1"/>
  <c r="D111" i="4"/>
  <c r="C111" i="4" s="1"/>
  <c r="K111" i="4" s="1"/>
  <c r="J116" i="4"/>
  <c r="J11" i="5"/>
  <c r="D20" i="5"/>
  <c r="C20" i="5" s="1"/>
  <c r="J22" i="5"/>
  <c r="T23" i="5"/>
  <c r="J25" i="5"/>
  <c r="T30" i="5"/>
  <c r="D37" i="5"/>
  <c r="D46" i="5"/>
  <c r="M46" i="5" s="1"/>
  <c r="J46" i="5"/>
  <c r="J50" i="5"/>
  <c r="D66" i="5"/>
  <c r="C66" i="5" s="1"/>
  <c r="K66" i="5" s="1"/>
  <c r="J66" i="5"/>
  <c r="N67" i="5"/>
  <c r="D71" i="5"/>
  <c r="J71" i="5"/>
  <c r="J78" i="5"/>
  <c r="D85" i="5"/>
  <c r="M85" i="5" s="1"/>
  <c r="J92" i="5"/>
  <c r="J95" i="5"/>
  <c r="J102" i="5"/>
  <c r="D105" i="5"/>
  <c r="C105" i="5" s="1"/>
  <c r="J114" i="5"/>
  <c r="V7" i="6"/>
  <c r="J16" i="6"/>
  <c r="J24" i="6"/>
  <c r="J26" i="6"/>
  <c r="T33" i="6"/>
  <c r="T39" i="6"/>
  <c r="T45" i="6"/>
  <c r="T51" i="6"/>
  <c r="J56" i="6"/>
  <c r="J58" i="6"/>
  <c r="J60" i="6"/>
  <c r="J64" i="6"/>
  <c r="T68" i="6"/>
  <c r="T82" i="6"/>
  <c r="T84" i="6"/>
  <c r="T86" i="6"/>
  <c r="J87" i="6"/>
  <c r="T88" i="6"/>
  <c r="J90" i="6"/>
  <c r="D92" i="6"/>
  <c r="M92" i="6" s="1"/>
  <c r="J109" i="6"/>
  <c r="J111" i="6"/>
  <c r="T14" i="7"/>
  <c r="BB13" i="7"/>
  <c r="BU14" i="7"/>
  <c r="J15" i="7"/>
  <c r="BI15" i="7"/>
  <c r="BR15" i="7"/>
  <c r="T16" i="7"/>
  <c r="BL18" i="7"/>
  <c r="BO20" i="7"/>
  <c r="CG20" i="7"/>
  <c r="BR21" i="7"/>
  <c r="BI24" i="7"/>
  <c r="W26" i="7"/>
  <c r="AO27" i="7"/>
  <c r="AO28" i="7"/>
  <c r="BU30" i="7"/>
  <c r="J33" i="7"/>
  <c r="BR33" i="7"/>
  <c r="AF34" i="7"/>
  <c r="AO35" i="7"/>
  <c r="AC36" i="7"/>
  <c r="BL36" i="7"/>
  <c r="BU36" i="7"/>
  <c r="AF38" i="7"/>
  <c r="BC38" i="7"/>
  <c r="BU38" i="7"/>
  <c r="D39" i="7"/>
  <c r="C39" i="7" s="1"/>
  <c r="X39" i="7"/>
  <c r="W40" i="7"/>
  <c r="BU40" i="7"/>
  <c r="BR41" i="7"/>
  <c r="X42" i="7"/>
  <c r="AI42" i="7"/>
  <c r="BX43" i="7"/>
  <c r="T44" i="7"/>
  <c r="J46" i="7"/>
  <c r="BL47" i="7"/>
  <c r="BI48" i="7"/>
  <c r="BR48" i="7"/>
  <c r="BF49" i="7"/>
  <c r="J57" i="8"/>
  <c r="CD51" i="7"/>
  <c r="P53" i="7"/>
  <c r="W54" i="7"/>
  <c r="D56" i="7"/>
  <c r="M56" i="7" s="1"/>
  <c r="BI56" i="7"/>
  <c r="AF66" i="7"/>
  <c r="BL67" i="7"/>
  <c r="BU67" i="7"/>
  <c r="W70" i="7"/>
  <c r="BX70" i="7"/>
  <c r="D71" i="7"/>
  <c r="C71" i="7" s="1"/>
  <c r="AC72" i="7"/>
  <c r="T76" i="7"/>
  <c r="CI74" i="7"/>
  <c r="X77" i="7"/>
  <c r="X79" i="7"/>
  <c r="BL82" i="7"/>
  <c r="X85" i="7"/>
  <c r="T86" i="7"/>
  <c r="AC86" i="7"/>
  <c r="AT86" i="7"/>
  <c r="J87" i="7"/>
  <c r="BU88" i="7"/>
  <c r="J94" i="7"/>
  <c r="D97" i="7"/>
  <c r="C97" i="7" s="1"/>
  <c r="K97" i="7" s="1"/>
  <c r="J98" i="7"/>
  <c r="D109" i="7"/>
  <c r="M109" i="7" s="1"/>
  <c r="N11" i="8"/>
  <c r="D17" i="8"/>
  <c r="M17" i="8" s="1"/>
  <c r="J19" i="8"/>
  <c r="T20" i="8"/>
  <c r="T21" i="8"/>
  <c r="D23" i="8"/>
  <c r="C23" i="8" s="1"/>
  <c r="J23" i="8"/>
  <c r="D27" i="8"/>
  <c r="M27" i="8" s="1"/>
  <c r="D29" i="8"/>
  <c r="C29" i="8" s="1"/>
  <c r="D33" i="8"/>
  <c r="M33" i="8" s="1"/>
  <c r="J35" i="8"/>
  <c r="D39" i="8"/>
  <c r="M39" i="8" s="1"/>
  <c r="J42" i="8"/>
  <c r="D46" i="8"/>
  <c r="C46" i="8" s="1"/>
  <c r="D49" i="8"/>
  <c r="T50" i="8"/>
  <c r="J51" i="8"/>
  <c r="T54" i="8"/>
  <c r="D56" i="8"/>
  <c r="M56" i="8" s="1"/>
  <c r="J61" i="8"/>
  <c r="J64" i="8"/>
  <c r="D65" i="8"/>
  <c r="C65" i="8" s="1"/>
  <c r="K65" i="8" s="1"/>
  <c r="D69" i="8"/>
  <c r="M69" i="8" s="1"/>
  <c r="T72" i="8"/>
  <c r="J75" i="8"/>
  <c r="G74" i="8"/>
  <c r="P74" i="8" s="1"/>
  <c r="J85" i="8"/>
  <c r="P35" i="9"/>
  <c r="Y21" i="10"/>
  <c r="U21" i="10"/>
  <c r="AF54" i="7"/>
  <c r="AW54" i="7"/>
  <c r="CG54" i="7"/>
  <c r="AW55" i="7"/>
  <c r="BF55" i="7"/>
  <c r="BL56" i="7"/>
  <c r="X57" i="7"/>
  <c r="N58" i="7"/>
  <c r="CG60" i="7"/>
  <c r="AF61" i="7"/>
  <c r="AC62" i="7"/>
  <c r="AF63" i="7"/>
  <c r="BI68" i="7"/>
  <c r="N69" i="7"/>
  <c r="AC82" i="7"/>
  <c r="BU82" i="7"/>
  <c r="AB73" i="9"/>
  <c r="Z73" i="9"/>
  <c r="Y83" i="10"/>
  <c r="W83" i="10"/>
  <c r="BK74" i="7"/>
  <c r="N79" i="7"/>
  <c r="N80" i="7"/>
  <c r="AF84" i="7"/>
  <c r="AO84" i="7"/>
  <c r="N86" i="7"/>
  <c r="AF86" i="7"/>
  <c r="AW86" i="7"/>
  <c r="AO88" i="7"/>
  <c r="D94" i="7"/>
  <c r="M94" i="7" s="1"/>
  <c r="N104" i="7"/>
  <c r="D110" i="7"/>
  <c r="M110" i="7" s="1"/>
  <c r="J16" i="8"/>
  <c r="T24" i="8"/>
  <c r="J37" i="8"/>
  <c r="N39" i="8"/>
  <c r="J40" i="8"/>
  <c r="N43" i="8"/>
  <c r="T43" i="8"/>
  <c r="J48" i="8"/>
  <c r="J58" i="8"/>
  <c r="N59" i="8"/>
  <c r="N86" i="8"/>
  <c r="J92" i="8"/>
  <c r="J95" i="8"/>
  <c r="N96" i="8"/>
  <c r="AG67" i="9"/>
  <c r="Q104" i="9"/>
  <c r="I11" i="9"/>
  <c r="Q11" i="9" s="1"/>
  <c r="Y26" i="10"/>
  <c r="W26" i="10"/>
  <c r="AB26" i="10"/>
  <c r="U26" i="10"/>
  <c r="M77" i="10"/>
  <c r="C77" i="10"/>
  <c r="K77" i="10" s="1"/>
  <c r="AO51" i="7"/>
  <c r="AT53" i="7"/>
  <c r="BZ52" i="7"/>
  <c r="D55" i="7"/>
  <c r="C55" i="7" s="1"/>
  <c r="BR55" i="7"/>
  <c r="CG55" i="7"/>
  <c r="BO56" i="7"/>
  <c r="BX56" i="7"/>
  <c r="N57" i="7"/>
  <c r="BR57" i="7"/>
  <c r="W58" i="7"/>
  <c r="AO58" i="7"/>
  <c r="D61" i="7"/>
  <c r="M61" i="7" s="1"/>
  <c r="N62" i="7"/>
  <c r="D64" i="7"/>
  <c r="M64" i="7" s="1"/>
  <c r="CM64" i="7"/>
  <c r="T65" i="7"/>
  <c r="N66" i="7"/>
  <c r="BC69" i="7"/>
  <c r="BL69" i="7"/>
  <c r="BU69" i="7"/>
  <c r="CD69" i="7"/>
  <c r="CM69" i="7"/>
  <c r="AI70" i="7"/>
  <c r="W71" i="7"/>
  <c r="BL71" i="7"/>
  <c r="D72" i="7"/>
  <c r="C72" i="7" s="1"/>
  <c r="J72" i="7"/>
  <c r="W75" i="7"/>
  <c r="AO76" i="7"/>
  <c r="AW76" i="7"/>
  <c r="BF76" i="7"/>
  <c r="BO76" i="7"/>
  <c r="BX76" i="7"/>
  <c r="AF77" i="7"/>
  <c r="AO77" i="7"/>
  <c r="BU77" i="7"/>
  <c r="BU80" i="7"/>
  <c r="J82" i="7"/>
  <c r="AO82" i="7"/>
  <c r="J83" i="7"/>
  <c r="AI87" i="7"/>
  <c r="BI87" i="7"/>
  <c r="BR87" i="7"/>
  <c r="D88" i="7"/>
  <c r="C88" i="7" s="1"/>
  <c r="K88" i="7" s="1"/>
  <c r="X88" i="7"/>
  <c r="AI88" i="7"/>
  <c r="J113" i="7"/>
  <c r="T17" i="8"/>
  <c r="J21" i="8"/>
  <c r="N23" i="8"/>
  <c r="N26" i="8"/>
  <c r="D28" i="8"/>
  <c r="C28" i="8" s="1"/>
  <c r="J30" i="8"/>
  <c r="N35" i="8"/>
  <c r="D40" i="8"/>
  <c r="C40" i="8" s="1"/>
  <c r="D44" i="8"/>
  <c r="C44" i="8" s="1"/>
  <c r="D45" i="8"/>
  <c r="M45" i="8" s="1"/>
  <c r="J47" i="8"/>
  <c r="D48" i="8"/>
  <c r="C48" i="8" s="1"/>
  <c r="T58" i="8"/>
  <c r="J60" i="8"/>
  <c r="T61" i="8"/>
  <c r="J63" i="8"/>
  <c r="T65" i="8"/>
  <c r="J66" i="8"/>
  <c r="J70" i="8"/>
  <c r="J91" i="8"/>
  <c r="D98" i="8"/>
  <c r="C98" i="8" s="1"/>
  <c r="K98" i="8" s="1"/>
  <c r="N111" i="9"/>
  <c r="U29" i="10"/>
  <c r="AI51" i="7"/>
  <c r="AW53" i="7"/>
  <c r="CD53" i="7"/>
  <c r="T55" i="7"/>
  <c r="AT55" i="7"/>
  <c r="CJ55" i="7"/>
  <c r="X58" i="7"/>
  <c r="AZ58" i="7"/>
  <c r="BI58" i="7"/>
  <c r="BR58" i="7"/>
  <c r="CD59" i="7"/>
  <c r="AC61" i="7"/>
  <c r="AI63" i="7"/>
  <c r="CG64" i="7"/>
  <c r="BI65" i="7"/>
  <c r="W66" i="7"/>
  <c r="BI67" i="7"/>
  <c r="BU68" i="7"/>
  <c r="J71" i="7"/>
  <c r="J73" i="7"/>
  <c r="AZ78" i="7"/>
  <c r="BI78" i="7"/>
  <c r="BR78" i="7"/>
  <c r="CA78" i="7"/>
  <c r="CJ78" i="7"/>
  <c r="BO80" i="7"/>
  <c r="AI81" i="7"/>
  <c r="BI81" i="7"/>
  <c r="BR81" i="7"/>
  <c r="D82" i="7"/>
  <c r="X82" i="7"/>
  <c r="AI84" i="7"/>
  <c r="BI84" i="7"/>
  <c r="BR84" i="7"/>
  <c r="W85" i="7"/>
  <c r="D96" i="7"/>
  <c r="C96" i="7" s="1"/>
  <c r="K96" i="7" s="1"/>
  <c r="J114" i="7"/>
  <c r="J20" i="8"/>
  <c r="T28" i="8"/>
  <c r="D30" i="8"/>
  <c r="C30" i="8" s="1"/>
  <c r="J43" i="8"/>
  <c r="D47" i="8"/>
  <c r="C47" i="8" s="1"/>
  <c r="K47" i="8" s="1"/>
  <c r="D50" i="8"/>
  <c r="C50" i="8" s="1"/>
  <c r="J53" i="8"/>
  <c r="J59" i="8"/>
  <c r="D60" i="8"/>
  <c r="C60" i="8" s="1"/>
  <c r="D63" i="8"/>
  <c r="M63" i="8" s="1"/>
  <c r="D66" i="8"/>
  <c r="N68" i="8"/>
  <c r="D70" i="8"/>
  <c r="C70" i="8" s="1"/>
  <c r="K70" i="8" s="1"/>
  <c r="N73" i="8"/>
  <c r="J76" i="8"/>
  <c r="J83" i="8"/>
  <c r="D91" i="8"/>
  <c r="C91" i="8" s="1"/>
  <c r="K91" i="8" s="1"/>
  <c r="J99" i="8"/>
  <c r="D102" i="8"/>
  <c r="M102" i="8" s="1"/>
  <c r="J105" i="8"/>
  <c r="D112" i="8"/>
  <c r="J113" i="8"/>
  <c r="D15" i="9"/>
  <c r="C15" i="9" s="1"/>
  <c r="T16" i="9"/>
  <c r="AE17" i="9"/>
  <c r="T18" i="9"/>
  <c r="N21" i="9"/>
  <c r="AE22" i="9"/>
  <c r="W23" i="9"/>
  <c r="W24" i="9"/>
  <c r="J25" i="9"/>
  <c r="J26" i="9"/>
  <c r="W29" i="9"/>
  <c r="AE29" i="9"/>
  <c r="Z30" i="9"/>
  <c r="D33" i="9"/>
  <c r="C33" i="9" s="1"/>
  <c r="AB33" i="9"/>
  <c r="Z34" i="9"/>
  <c r="W35" i="9"/>
  <c r="D39" i="9"/>
  <c r="M39" i="9" s="1"/>
  <c r="T41" i="9"/>
  <c r="Z45" i="9"/>
  <c r="J50" i="9"/>
  <c r="W51" i="9"/>
  <c r="D54" i="9"/>
  <c r="C54" i="9" s="1"/>
  <c r="K54" i="9" s="1"/>
  <c r="W56" i="9"/>
  <c r="J58" i="9"/>
  <c r="AE58" i="9"/>
  <c r="AG59" i="9"/>
  <c r="AE60" i="9"/>
  <c r="J62" i="9"/>
  <c r="J68" i="9"/>
  <c r="AE73" i="9"/>
  <c r="J84" i="9"/>
  <c r="N92" i="9"/>
  <c r="J96" i="9"/>
  <c r="D99" i="9"/>
  <c r="C99" i="9" s="1"/>
  <c r="K99" i="9" s="1"/>
  <c r="D111" i="9"/>
  <c r="M111" i="9" s="1"/>
  <c r="D114" i="9"/>
  <c r="C114" i="9" s="1"/>
  <c r="K114" i="9" s="1"/>
  <c r="U14" i="10"/>
  <c r="D15" i="10"/>
  <c r="C15" i="10" s="1"/>
  <c r="J32" i="10"/>
  <c r="N33" i="10"/>
  <c r="U33" i="10"/>
  <c r="D34" i="10"/>
  <c r="C34" i="10" s="1"/>
  <c r="K34" i="10" s="1"/>
  <c r="N42" i="10"/>
  <c r="J46" i="10"/>
  <c r="J58" i="10"/>
  <c r="D61" i="10"/>
  <c r="C61" i="10" s="1"/>
  <c r="K61" i="10" s="1"/>
  <c r="W61" i="10"/>
  <c r="J63" i="10"/>
  <c r="D73" i="10"/>
  <c r="C73" i="10" s="1"/>
  <c r="K73" i="10" s="1"/>
  <c r="J76" i="10"/>
  <c r="D82" i="10"/>
  <c r="C82" i="10" s="1"/>
  <c r="W27" i="12"/>
  <c r="T36" i="12"/>
  <c r="J110" i="8"/>
  <c r="AB15" i="9"/>
  <c r="AG23" i="9"/>
  <c r="J24" i="9"/>
  <c r="Z28" i="9"/>
  <c r="AB30" i="9"/>
  <c r="T45" i="9"/>
  <c r="T47" i="9"/>
  <c r="J49" i="9"/>
  <c r="J51" i="9"/>
  <c r="J57" i="9"/>
  <c r="D58" i="9"/>
  <c r="N59" i="9"/>
  <c r="D60" i="9"/>
  <c r="M60" i="9" s="1"/>
  <c r="J80" i="9"/>
  <c r="D82" i="9"/>
  <c r="M82" i="9" s="1"/>
  <c r="J112" i="9"/>
  <c r="AB17" i="10"/>
  <c r="J29" i="10"/>
  <c r="D41" i="10"/>
  <c r="M41" i="10" s="1"/>
  <c r="J49" i="10"/>
  <c r="AB50" i="10"/>
  <c r="N53" i="10"/>
  <c r="Y59" i="10"/>
  <c r="AB59" i="10"/>
  <c r="W62" i="10"/>
  <c r="D63" i="10"/>
  <c r="C63" i="10" s="1"/>
  <c r="Y63" i="10"/>
  <c r="D65" i="10"/>
  <c r="M65" i="10" s="1"/>
  <c r="J67" i="10"/>
  <c r="J69" i="10"/>
  <c r="N70" i="10"/>
  <c r="W70" i="10"/>
  <c r="D71" i="10"/>
  <c r="M71" i="10" s="1"/>
  <c r="N72" i="10"/>
  <c r="J78" i="10"/>
  <c r="J85" i="10"/>
  <c r="D34" i="12"/>
  <c r="J78" i="12"/>
  <c r="N45" i="9"/>
  <c r="T53" i="9"/>
  <c r="J56" i="9"/>
  <c r="D57" i="9"/>
  <c r="C57" i="9" s="1"/>
  <c r="K57" i="9" s="1"/>
  <c r="D69" i="9"/>
  <c r="M69" i="9" s="1"/>
  <c r="AB76" i="9"/>
  <c r="J78" i="9"/>
  <c r="U17" i="10"/>
  <c r="U30" i="10"/>
  <c r="Y50" i="10"/>
  <c r="P17" i="11"/>
  <c r="AG16" i="9"/>
  <c r="AB18" i="9"/>
  <c r="D20" i="9"/>
  <c r="C20" i="9" s="1"/>
  <c r="J21" i="9"/>
  <c r="Z21" i="9"/>
  <c r="Z35" i="9"/>
  <c r="AG37" i="9"/>
  <c r="AG46" i="9"/>
  <c r="N72" i="9"/>
  <c r="O74" i="9"/>
  <c r="D80" i="9"/>
  <c r="C80" i="9" s="1"/>
  <c r="K80" i="9" s="1"/>
  <c r="J86" i="9"/>
  <c r="N93" i="9"/>
  <c r="D116" i="9"/>
  <c r="C116" i="9" s="1"/>
  <c r="K116" i="9" s="1"/>
  <c r="D26" i="10"/>
  <c r="C26" i="10" s="1"/>
  <c r="K26" i="10" s="1"/>
  <c r="U50" i="10"/>
  <c r="N76" i="12"/>
  <c r="J76" i="12"/>
  <c r="J103" i="8"/>
  <c r="D114" i="8"/>
  <c r="C114" i="8" s="1"/>
  <c r="K114" i="8" s="1"/>
  <c r="Z16" i="9"/>
  <c r="D17" i="9"/>
  <c r="M17" i="9" s="1"/>
  <c r="J18" i="9"/>
  <c r="T22" i="9"/>
  <c r="AB22" i="9"/>
  <c r="T35" i="9"/>
  <c r="T36" i="9"/>
  <c r="W37" i="9"/>
  <c r="AE37" i="9"/>
  <c r="D41" i="9"/>
  <c r="C41" i="9" s="1"/>
  <c r="D42" i="9"/>
  <c r="M42" i="9" s="1"/>
  <c r="W42" i="9"/>
  <c r="D44" i="9"/>
  <c r="C44" i="9" s="1"/>
  <c r="W45" i="9"/>
  <c r="W46" i="9"/>
  <c r="AG47" i="9"/>
  <c r="W53" i="9"/>
  <c r="Z54" i="9"/>
  <c r="AA52" i="9"/>
  <c r="AE59" i="9"/>
  <c r="D66" i="9"/>
  <c r="M66" i="9" s="1"/>
  <c r="W67" i="9"/>
  <c r="AE67" i="9"/>
  <c r="J71" i="9"/>
  <c r="AE71" i="9"/>
  <c r="AG72" i="9"/>
  <c r="Z76" i="9"/>
  <c r="Z85" i="9"/>
  <c r="J95" i="9"/>
  <c r="D102" i="9"/>
  <c r="C102" i="9" s="1"/>
  <c r="K102" i="9" s="1"/>
  <c r="J110" i="9"/>
  <c r="D17" i="10"/>
  <c r="M17" i="10" s="1"/>
  <c r="J17" i="10"/>
  <c r="D23" i="10"/>
  <c r="C23" i="10" s="1"/>
  <c r="J23" i="10"/>
  <c r="Y29" i="10"/>
  <c r="Y30" i="10"/>
  <c r="J38" i="10"/>
  <c r="W38" i="10"/>
  <c r="W50" i="10"/>
  <c r="W53" i="10"/>
  <c r="AB56" i="10"/>
  <c r="W59" i="10"/>
  <c r="D72" i="10"/>
  <c r="C72" i="10" s="1"/>
  <c r="Y85" i="10"/>
  <c r="W85" i="10"/>
  <c r="D54" i="11"/>
  <c r="C54" i="11" s="1"/>
  <c r="K54" i="11" s="1"/>
  <c r="N55" i="11"/>
  <c r="H52" i="11"/>
  <c r="N75" i="11"/>
  <c r="H74" i="11"/>
  <c r="J44" i="12"/>
  <c r="Q44" i="12"/>
  <c r="W51" i="12"/>
  <c r="Y87" i="10"/>
  <c r="N88" i="10"/>
  <c r="T16" i="11"/>
  <c r="J20" i="11"/>
  <c r="J26" i="11"/>
  <c r="J29" i="11"/>
  <c r="J34" i="11"/>
  <c r="J37" i="11"/>
  <c r="J40" i="11"/>
  <c r="J59" i="11"/>
  <c r="D63" i="11"/>
  <c r="C63" i="11" s="1"/>
  <c r="K63" i="11" s="1"/>
  <c r="J68" i="11"/>
  <c r="D76" i="11"/>
  <c r="M76" i="11" s="1"/>
  <c r="J79" i="11"/>
  <c r="J81" i="11"/>
  <c r="D93" i="11"/>
  <c r="C93" i="11" s="1"/>
  <c r="K93" i="11" s="1"/>
  <c r="D102" i="11"/>
  <c r="C102" i="11" s="1"/>
  <c r="K102" i="11" s="1"/>
  <c r="N15" i="12"/>
  <c r="J16" i="12"/>
  <c r="T17" i="12"/>
  <c r="W18" i="12"/>
  <c r="D22" i="12"/>
  <c r="D24" i="12"/>
  <c r="M24" i="12" s="1"/>
  <c r="W32" i="12"/>
  <c r="W41" i="12"/>
  <c r="N43" i="12"/>
  <c r="D44" i="12"/>
  <c r="M44" i="12" s="1"/>
  <c r="N45" i="12"/>
  <c r="W50" i="12"/>
  <c r="Q56" i="12"/>
  <c r="AA57" i="12"/>
  <c r="AB57" i="12" s="1"/>
  <c r="AA60" i="12"/>
  <c r="AB60" i="12" s="1"/>
  <c r="W68" i="12"/>
  <c r="D69" i="12"/>
  <c r="C69" i="12" s="1"/>
  <c r="W70" i="12"/>
  <c r="T73" i="12"/>
  <c r="V74" i="12"/>
  <c r="T78" i="12"/>
  <c r="T79" i="12"/>
  <c r="N82" i="12"/>
  <c r="T85" i="12"/>
  <c r="J29" i="13"/>
  <c r="AL52" i="13"/>
  <c r="AJ76" i="13"/>
  <c r="D92" i="10"/>
  <c r="C92" i="10" s="1"/>
  <c r="K92" i="10" s="1"/>
  <c r="J55" i="11"/>
  <c r="D70" i="11"/>
  <c r="M70" i="11" s="1"/>
  <c r="J73" i="11"/>
  <c r="D79" i="11"/>
  <c r="C79" i="11" s="1"/>
  <c r="K79" i="11" s="1"/>
  <c r="D81" i="11"/>
  <c r="C81" i="11" s="1"/>
  <c r="K81" i="11" s="1"/>
  <c r="J108" i="11"/>
  <c r="T22" i="12"/>
  <c r="T42" i="12"/>
  <c r="T44" i="12"/>
  <c r="J62" i="12"/>
  <c r="AA65" i="12"/>
  <c r="AB65" i="12" s="1"/>
  <c r="J66" i="12"/>
  <c r="T67" i="12"/>
  <c r="J75" i="12"/>
  <c r="T76" i="12"/>
  <c r="T81" i="12"/>
  <c r="AA83" i="12"/>
  <c r="AB83" i="12" s="1"/>
  <c r="AA85" i="12"/>
  <c r="AB85" i="12" s="1"/>
  <c r="J90" i="12"/>
  <c r="D29" i="13"/>
  <c r="M29" i="13" s="1"/>
  <c r="J33" i="13"/>
  <c r="J97" i="10"/>
  <c r="S74" i="11"/>
  <c r="J116" i="11"/>
  <c r="N92" i="10"/>
  <c r="D28" i="11"/>
  <c r="M28" i="11" s="1"/>
  <c r="J35" i="11"/>
  <c r="D51" i="11"/>
  <c r="C51" i="11" s="1"/>
  <c r="K51" i="11" s="1"/>
  <c r="I52" i="11"/>
  <c r="Q52" i="11" s="1"/>
  <c r="D77" i="11"/>
  <c r="C77" i="11" s="1"/>
  <c r="K77" i="11" s="1"/>
  <c r="J80" i="11"/>
  <c r="D95" i="11"/>
  <c r="M95" i="11" s="1"/>
  <c r="D100" i="11"/>
  <c r="C100" i="11" s="1"/>
  <c r="K100" i="11" s="1"/>
  <c r="N14" i="12"/>
  <c r="D15" i="12"/>
  <c r="C15" i="12" s="1"/>
  <c r="J19" i="12"/>
  <c r="N22" i="12"/>
  <c r="W25" i="12"/>
  <c r="N27" i="12"/>
  <c r="D32" i="12"/>
  <c r="C32" i="12" s="1"/>
  <c r="W35" i="12"/>
  <c r="T37" i="12"/>
  <c r="D41" i="12"/>
  <c r="C41" i="12" s="1"/>
  <c r="J45" i="12"/>
  <c r="W49" i="12"/>
  <c r="D50" i="12"/>
  <c r="C50" i="12" s="1"/>
  <c r="N51" i="12"/>
  <c r="N61" i="12"/>
  <c r="T62" i="12"/>
  <c r="J63" i="12"/>
  <c r="T66" i="12"/>
  <c r="N67" i="12"/>
  <c r="W67" i="12"/>
  <c r="J71" i="12"/>
  <c r="W76" i="12"/>
  <c r="Z74" i="12"/>
  <c r="T80" i="12"/>
  <c r="T84" i="12"/>
  <c r="Q85" i="12"/>
  <c r="T86" i="12"/>
  <c r="J87" i="12"/>
  <c r="W31" i="13"/>
  <c r="D45" i="13"/>
  <c r="M45" i="13" s="1"/>
  <c r="AV65" i="13"/>
  <c r="Q75" i="13"/>
  <c r="Y75" i="13"/>
  <c r="BD81" i="13"/>
  <c r="AB86" i="10"/>
  <c r="Y88" i="10"/>
  <c r="D95" i="10"/>
  <c r="D101" i="10"/>
  <c r="C101" i="10" s="1"/>
  <c r="K101" i="10" s="1"/>
  <c r="J102" i="10"/>
  <c r="J107" i="10"/>
  <c r="D112" i="10"/>
  <c r="M112" i="10" s="1"/>
  <c r="D16" i="11"/>
  <c r="M16" i="11" s="1"/>
  <c r="J32" i="11"/>
  <c r="J38" i="11"/>
  <c r="J41" i="11"/>
  <c r="J57" i="11"/>
  <c r="J71" i="11"/>
  <c r="G74" i="11"/>
  <c r="T75" i="11"/>
  <c r="D80" i="11"/>
  <c r="C80" i="11" s="1"/>
  <c r="K80" i="11" s="1"/>
  <c r="J97" i="11"/>
  <c r="J101" i="11"/>
  <c r="J114" i="11"/>
  <c r="AA15" i="12"/>
  <c r="AB15" i="12" s="1"/>
  <c r="D19" i="12"/>
  <c r="M19" i="12" s="1"/>
  <c r="T23" i="12"/>
  <c r="D28" i="12"/>
  <c r="M28" i="12" s="1"/>
  <c r="T29" i="12"/>
  <c r="J42" i="12"/>
  <c r="AA46" i="12"/>
  <c r="AB46" i="12" s="1"/>
  <c r="J49" i="12"/>
  <c r="P56" i="12"/>
  <c r="D57" i="12"/>
  <c r="M57" i="12" s="1"/>
  <c r="D60" i="12"/>
  <c r="M60" i="12" s="1"/>
  <c r="AA77" i="12"/>
  <c r="AB77" i="12" s="1"/>
  <c r="D78" i="12"/>
  <c r="C78" i="12" s="1"/>
  <c r="AA80" i="12"/>
  <c r="AB80" i="12" s="1"/>
  <c r="T82" i="12"/>
  <c r="J85" i="12"/>
  <c r="D26" i="13"/>
  <c r="M26" i="13" s="1"/>
  <c r="P33" i="13"/>
  <c r="J40" i="13"/>
  <c r="N40" i="13"/>
  <c r="AR79" i="13"/>
  <c r="W88" i="12"/>
  <c r="D111" i="12"/>
  <c r="M111" i="12" s="1"/>
  <c r="N11" i="13"/>
  <c r="Y15" i="13"/>
  <c r="AV15" i="13"/>
  <c r="AF18" i="13"/>
  <c r="Q19" i="13"/>
  <c r="P22" i="13"/>
  <c r="AR22" i="13"/>
  <c r="P29" i="13"/>
  <c r="Q30" i="13"/>
  <c r="F31" i="13"/>
  <c r="AR38" i="13"/>
  <c r="J42" i="13"/>
  <c r="AZ45" i="13"/>
  <c r="BD50" i="13"/>
  <c r="AV55" i="13"/>
  <c r="D57" i="13"/>
  <c r="M57" i="13" s="1"/>
  <c r="AR57" i="13"/>
  <c r="J58" i="13"/>
  <c r="J62" i="13"/>
  <c r="Y62" i="13"/>
  <c r="AN62" i="13"/>
  <c r="P68" i="13"/>
  <c r="Y72" i="13"/>
  <c r="AF72" i="13"/>
  <c r="BD75" i="13"/>
  <c r="AC77" i="13"/>
  <c r="Q79" i="13"/>
  <c r="BD83" i="13"/>
  <c r="AH74" i="13"/>
  <c r="U85" i="13"/>
  <c r="AV86" i="13"/>
  <c r="BD86" i="13"/>
  <c r="AC88" i="13"/>
  <c r="D91" i="13"/>
  <c r="M91" i="13" s="1"/>
  <c r="J92" i="13"/>
  <c r="N93" i="13"/>
  <c r="D94" i="13"/>
  <c r="J95" i="13"/>
  <c r="D98" i="13"/>
  <c r="C98" i="13" s="1"/>
  <c r="J99" i="13"/>
  <c r="N101" i="13"/>
  <c r="D102" i="13"/>
  <c r="M102" i="13" s="1"/>
  <c r="N104" i="13"/>
  <c r="J114" i="13"/>
  <c r="AA87" i="12"/>
  <c r="AB87" i="12" s="1"/>
  <c r="J92" i="12"/>
  <c r="D112" i="12"/>
  <c r="C112" i="12" s="1"/>
  <c r="K112" i="12" s="1"/>
  <c r="J113" i="12"/>
  <c r="AZ15" i="13"/>
  <c r="AZ16" i="13"/>
  <c r="Y17" i="13"/>
  <c r="BD19" i="13"/>
  <c r="AN21" i="13"/>
  <c r="BD21" i="13"/>
  <c r="N22" i="13"/>
  <c r="D23" i="13"/>
  <c r="C23" i="13" s="1"/>
  <c r="AJ23" i="13"/>
  <c r="BD25" i="13"/>
  <c r="N26" i="13"/>
  <c r="BD28" i="13"/>
  <c r="AV30" i="13"/>
  <c r="S31" i="13"/>
  <c r="X31" i="13"/>
  <c r="AZ36" i="13"/>
  <c r="AN37" i="13"/>
  <c r="N38" i="13"/>
  <c r="AR39" i="13"/>
  <c r="AZ39" i="13"/>
  <c r="AZ41" i="13"/>
  <c r="D42" i="13"/>
  <c r="C42" i="13" s="1"/>
  <c r="Y43" i="13"/>
  <c r="AF43" i="13"/>
  <c r="N45" i="13"/>
  <c r="P46" i="13"/>
  <c r="N47" i="13"/>
  <c r="U47" i="13"/>
  <c r="D50" i="13"/>
  <c r="M50" i="13" s="1"/>
  <c r="AV58" i="13"/>
  <c r="N60" i="13"/>
  <c r="N64" i="13"/>
  <c r="C66" i="13"/>
  <c r="AJ68" i="13"/>
  <c r="P69" i="13"/>
  <c r="P75" i="13"/>
  <c r="AT74" i="13"/>
  <c r="AV76" i="13"/>
  <c r="Q78" i="13"/>
  <c r="U80" i="13"/>
  <c r="AJ81" i="13"/>
  <c r="Q83" i="13"/>
  <c r="U87" i="13"/>
  <c r="AV87" i="13"/>
  <c r="N88" i="13"/>
  <c r="W87" i="12"/>
  <c r="D88" i="12"/>
  <c r="N104" i="12"/>
  <c r="Q20" i="13"/>
  <c r="Q21" i="13"/>
  <c r="Q22" i="13"/>
  <c r="AV22" i="13"/>
  <c r="AF25" i="13"/>
  <c r="U27" i="13"/>
  <c r="AJ27" i="13"/>
  <c r="AF28" i="13"/>
  <c r="BD30" i="13"/>
  <c r="AJ34" i="13"/>
  <c r="AR34" i="13"/>
  <c r="AN35" i="13"/>
  <c r="AV35" i="13"/>
  <c r="AV38" i="13"/>
  <c r="N41" i="13"/>
  <c r="AJ44" i="13"/>
  <c r="BD45" i="13"/>
  <c r="BD47" i="13"/>
  <c r="P49" i="13"/>
  <c r="AN51" i="13"/>
  <c r="I52" i="13"/>
  <c r="AN54" i="13"/>
  <c r="AZ55" i="13"/>
  <c r="N57" i="13"/>
  <c r="AZ58" i="13"/>
  <c r="Q59" i="13"/>
  <c r="D62" i="13"/>
  <c r="C62" i="13" s="1"/>
  <c r="AJ62" i="13"/>
  <c r="AZ62" i="13"/>
  <c r="Q64" i="13"/>
  <c r="U66" i="13"/>
  <c r="Q68" i="13"/>
  <c r="Y68" i="13"/>
  <c r="BD68" i="13"/>
  <c r="N69" i="13"/>
  <c r="AJ70" i="13"/>
  <c r="D72" i="13"/>
  <c r="C72" i="13" s="1"/>
  <c r="Q73" i="13"/>
  <c r="AJ75" i="13"/>
  <c r="AV79" i="13"/>
  <c r="BD79" i="13"/>
  <c r="AR81" i="13"/>
  <c r="D82" i="13"/>
  <c r="M82" i="13" s="1"/>
  <c r="AR82" i="13"/>
  <c r="Y83" i="13"/>
  <c r="BD84" i="13"/>
  <c r="U86" i="13"/>
  <c r="J87" i="13"/>
  <c r="Y87" i="13"/>
  <c r="BD88" i="13"/>
  <c r="D96" i="13"/>
  <c r="C96" i="13" s="1"/>
  <c r="K96" i="13" s="1"/>
  <c r="J108" i="13"/>
  <c r="N110" i="13"/>
  <c r="W13" i="13"/>
  <c r="BD14" i="13"/>
  <c r="AC16" i="13"/>
  <c r="AJ16" i="13"/>
  <c r="U17" i="13"/>
  <c r="U19" i="13"/>
  <c r="J20" i="13"/>
  <c r="J21" i="13"/>
  <c r="AV21" i="13"/>
  <c r="U24" i="13"/>
  <c r="AR25" i="13"/>
  <c r="AZ25" i="13"/>
  <c r="N27" i="13"/>
  <c r="D28" i="13"/>
  <c r="C28" i="13" s="1"/>
  <c r="AZ28" i="13"/>
  <c r="AB31" i="13"/>
  <c r="AV33" i="13"/>
  <c r="N34" i="13"/>
  <c r="U37" i="13"/>
  <c r="AR37" i="13"/>
  <c r="AZ37" i="13"/>
  <c r="AV39" i="13"/>
  <c r="BD39" i="13"/>
  <c r="AZ40" i="13"/>
  <c r="BD41" i="13"/>
  <c r="AR44" i="13"/>
  <c r="N49" i="13"/>
  <c r="U50" i="13"/>
  <c r="D51" i="13"/>
  <c r="M51" i="13" s="1"/>
  <c r="AJ55" i="13"/>
  <c r="Q57" i="13"/>
  <c r="AJ58" i="13"/>
  <c r="U62" i="13"/>
  <c r="AC62" i="13"/>
  <c r="AV63" i="13"/>
  <c r="N65" i="13"/>
  <c r="J68" i="13"/>
  <c r="AF68" i="13"/>
  <c r="AN69" i="13"/>
  <c r="BD69" i="13"/>
  <c r="N70" i="13"/>
  <c r="AN70" i="13"/>
  <c r="AV70" i="13"/>
  <c r="AV77" i="13"/>
  <c r="U79" i="13"/>
  <c r="U82" i="13"/>
  <c r="Q85" i="13"/>
  <c r="AN85" i="13"/>
  <c r="N91" i="13"/>
  <c r="N94" i="13"/>
  <c r="D112" i="13"/>
  <c r="C112" i="13" s="1"/>
  <c r="K112" i="13" s="1"/>
  <c r="BD15" i="13"/>
  <c r="AR19" i="13"/>
  <c r="D20" i="13"/>
  <c r="C20" i="13" s="1"/>
  <c r="AR20" i="13"/>
  <c r="AZ20" i="13"/>
  <c r="D21" i="13"/>
  <c r="C21" i="13" s="1"/>
  <c r="AR21" i="13"/>
  <c r="AZ21" i="13"/>
  <c r="AN23" i="13"/>
  <c r="AC25" i="13"/>
  <c r="AR30" i="13"/>
  <c r="Y32" i="13"/>
  <c r="AD31" i="13"/>
  <c r="E31" i="13"/>
  <c r="AF35" i="13"/>
  <c r="D38" i="13"/>
  <c r="M38" i="13" s="1"/>
  <c r="P38" i="13"/>
  <c r="AF38" i="13"/>
  <c r="AN39" i="13"/>
  <c r="BD42" i="13"/>
  <c r="AZ43" i="13"/>
  <c r="Y46" i="13"/>
  <c r="AF46" i="13"/>
  <c r="AN46" i="13"/>
  <c r="J48" i="13"/>
  <c r="AF49" i="13"/>
  <c r="AR51" i="13"/>
  <c r="J57" i="13"/>
  <c r="AC63" i="13"/>
  <c r="AR63" i="13"/>
  <c r="AZ63" i="13"/>
  <c r="AR67" i="13"/>
  <c r="AZ67" i="13"/>
  <c r="D68" i="13"/>
  <c r="M68" i="13" s="1"/>
  <c r="J69" i="13"/>
  <c r="Y69" i="13"/>
  <c r="AF70" i="13"/>
  <c r="Y77" i="13"/>
  <c r="AC79" i="13"/>
  <c r="Y80" i="13"/>
  <c r="AN81" i="13"/>
  <c r="AC83" i="13"/>
  <c r="BD85" i="13"/>
  <c r="AR87" i="13"/>
  <c r="J90" i="13"/>
  <c r="J105" i="13"/>
  <c r="M17" i="2"/>
  <c r="C17" i="2"/>
  <c r="O31" i="2"/>
  <c r="AA52" i="2"/>
  <c r="Q76" i="4"/>
  <c r="P76" i="4"/>
  <c r="Q93" i="5"/>
  <c r="I89" i="5"/>
  <c r="Q89" i="5" s="1"/>
  <c r="T14" i="1"/>
  <c r="R14" i="1"/>
  <c r="U14" i="1" s="1"/>
  <c r="J15" i="1"/>
  <c r="T16" i="1"/>
  <c r="R16" i="1"/>
  <c r="U16" i="1" s="1"/>
  <c r="J17" i="1"/>
  <c r="D18" i="1"/>
  <c r="N18" i="1"/>
  <c r="R18" i="1"/>
  <c r="J19" i="1"/>
  <c r="S23" i="1"/>
  <c r="D27" i="1"/>
  <c r="M27" i="1" s="1"/>
  <c r="D28" i="1"/>
  <c r="S29" i="1"/>
  <c r="W29" i="1" s="1"/>
  <c r="G31" i="1"/>
  <c r="P31" i="1" s="1"/>
  <c r="Q33" i="1"/>
  <c r="S37" i="1"/>
  <c r="W37" i="1" s="1"/>
  <c r="D41" i="1"/>
  <c r="D42" i="1"/>
  <c r="S43" i="1"/>
  <c r="W43" i="1" s="1"/>
  <c r="N47" i="1"/>
  <c r="D48" i="1"/>
  <c r="M48" i="1" s="1"/>
  <c r="S49" i="1"/>
  <c r="R56" i="1"/>
  <c r="U56" i="1" s="1"/>
  <c r="J57" i="1"/>
  <c r="T57" i="1"/>
  <c r="R57" i="1"/>
  <c r="J58" i="1"/>
  <c r="R62" i="1"/>
  <c r="U62" i="1" s="1"/>
  <c r="J63" i="1"/>
  <c r="T63" i="1"/>
  <c r="R63" i="1"/>
  <c r="U63" i="1" s="1"/>
  <c r="J64" i="1"/>
  <c r="R68" i="1"/>
  <c r="J69" i="1"/>
  <c r="T69" i="1"/>
  <c r="R69" i="1"/>
  <c r="J70" i="1"/>
  <c r="S75" i="1"/>
  <c r="AE74" i="1"/>
  <c r="AK74" i="1"/>
  <c r="Q77" i="1"/>
  <c r="T78" i="1"/>
  <c r="R78" i="1"/>
  <c r="U78" i="1" s="1"/>
  <c r="T81" i="1"/>
  <c r="T84" i="1"/>
  <c r="P90" i="1"/>
  <c r="J99" i="1"/>
  <c r="D102" i="1"/>
  <c r="J105" i="1"/>
  <c r="J107" i="1"/>
  <c r="D110" i="1"/>
  <c r="M110" i="1" s="1"/>
  <c r="N111" i="1"/>
  <c r="J113" i="1"/>
  <c r="D116" i="1"/>
  <c r="C116" i="1" s="1"/>
  <c r="K116" i="1" s="1"/>
  <c r="AU13" i="2"/>
  <c r="G13" i="2"/>
  <c r="P13" i="2" s="1"/>
  <c r="T14" i="2"/>
  <c r="AA13" i="2"/>
  <c r="AG13" i="2"/>
  <c r="AW15" i="2"/>
  <c r="N16" i="2"/>
  <c r="T16" i="2"/>
  <c r="X17" i="2"/>
  <c r="AO18" i="2"/>
  <c r="J19" i="2"/>
  <c r="T20" i="2"/>
  <c r="AQ20" i="2"/>
  <c r="AO21" i="2"/>
  <c r="J22" i="2"/>
  <c r="AO23" i="2"/>
  <c r="D24" i="2"/>
  <c r="AZ24" i="2"/>
  <c r="J26" i="2"/>
  <c r="AZ26" i="2"/>
  <c r="J27" i="2"/>
  <c r="N28" i="2"/>
  <c r="T28" i="2"/>
  <c r="Z29" i="2"/>
  <c r="D32" i="2"/>
  <c r="M32" i="2" s="1"/>
  <c r="AE31" i="2"/>
  <c r="AK31" i="2"/>
  <c r="AS31" i="2"/>
  <c r="D33" i="2"/>
  <c r="X33" i="2"/>
  <c r="AZ33" i="2"/>
  <c r="AN31" i="2"/>
  <c r="AO36" i="2"/>
  <c r="J40" i="2"/>
  <c r="AQ40" i="2"/>
  <c r="AW40" i="2"/>
  <c r="D41" i="2"/>
  <c r="M41" i="2" s="1"/>
  <c r="AW42" i="2"/>
  <c r="D43" i="2"/>
  <c r="M43" i="2" s="1"/>
  <c r="N45" i="2"/>
  <c r="T45" i="2"/>
  <c r="D48" i="2"/>
  <c r="C48" i="2" s="1"/>
  <c r="T49" i="2"/>
  <c r="D50" i="2"/>
  <c r="C50" i="2" s="1"/>
  <c r="D51" i="2"/>
  <c r="C51" i="2" s="1"/>
  <c r="AZ51" i="2"/>
  <c r="D53" i="2"/>
  <c r="C53" i="2" s="1"/>
  <c r="D54" i="2"/>
  <c r="C54" i="2" s="1"/>
  <c r="X54" i="2"/>
  <c r="AZ54" i="2"/>
  <c r="Z58" i="2"/>
  <c r="N64" i="2"/>
  <c r="X65" i="2"/>
  <c r="AW65" i="2"/>
  <c r="AW66" i="2"/>
  <c r="Z67" i="2"/>
  <c r="N68" i="2"/>
  <c r="J69" i="2"/>
  <c r="AO69" i="2"/>
  <c r="X70" i="2"/>
  <c r="J71" i="2"/>
  <c r="Z71" i="2"/>
  <c r="AQ71" i="2"/>
  <c r="N72" i="2"/>
  <c r="N73" i="2"/>
  <c r="S74" i="2"/>
  <c r="AH74" i="2"/>
  <c r="AW75" i="2"/>
  <c r="X82" i="2"/>
  <c r="Z84" i="2"/>
  <c r="Z86" i="2"/>
  <c r="P36" i="3"/>
  <c r="AC13" i="4"/>
  <c r="X23" i="4"/>
  <c r="P45" i="4"/>
  <c r="O74" i="4"/>
  <c r="P77" i="4"/>
  <c r="G74" i="4"/>
  <c r="D101" i="4"/>
  <c r="C101" i="4" s="1"/>
  <c r="K101" i="4" s="1"/>
  <c r="T32" i="6"/>
  <c r="R31" i="6"/>
  <c r="CL13" i="7"/>
  <c r="J90" i="2"/>
  <c r="L89" i="2"/>
  <c r="I13" i="3"/>
  <c r="Q14" i="3"/>
  <c r="H13" i="4"/>
  <c r="N14" i="4"/>
  <c r="I13" i="1"/>
  <c r="AJ13" i="1"/>
  <c r="J14" i="1"/>
  <c r="V14" i="1"/>
  <c r="D15" i="1"/>
  <c r="R15" i="1"/>
  <c r="J16" i="1"/>
  <c r="D17" i="1"/>
  <c r="C17" i="1" s="1"/>
  <c r="K17" i="1" s="1"/>
  <c r="V18" i="1"/>
  <c r="W18" i="1" s="1"/>
  <c r="D19" i="1"/>
  <c r="C19" i="1" s="1"/>
  <c r="T23" i="1"/>
  <c r="R23" i="1"/>
  <c r="J24" i="1"/>
  <c r="R28" i="1"/>
  <c r="T29" i="1"/>
  <c r="R29" i="1"/>
  <c r="U29" i="1" s="1"/>
  <c r="J30" i="1"/>
  <c r="Z31" i="1"/>
  <c r="AF31" i="1"/>
  <c r="R36" i="1"/>
  <c r="U36" i="1" s="1"/>
  <c r="T37" i="1"/>
  <c r="R37" i="1"/>
  <c r="U37" i="1" s="1"/>
  <c r="J38" i="1"/>
  <c r="R42" i="1"/>
  <c r="T43" i="1"/>
  <c r="R43" i="1"/>
  <c r="U43" i="1" s="1"/>
  <c r="R48" i="1"/>
  <c r="T49" i="1"/>
  <c r="R49" i="1"/>
  <c r="I52" i="1"/>
  <c r="Q52" i="1" s="1"/>
  <c r="S53" i="1"/>
  <c r="W53" i="1" s="1"/>
  <c r="AE52" i="1"/>
  <c r="AK52" i="1"/>
  <c r="D57" i="1"/>
  <c r="D58" i="1"/>
  <c r="S59" i="1"/>
  <c r="W59" i="1" s="1"/>
  <c r="D63" i="1"/>
  <c r="C63" i="1" s="1"/>
  <c r="K63" i="1" s="1"/>
  <c r="D64" i="1"/>
  <c r="C64" i="1" s="1"/>
  <c r="N64" i="1"/>
  <c r="S65" i="1"/>
  <c r="W65" i="1" s="1"/>
  <c r="D69" i="1"/>
  <c r="C69" i="1" s="1"/>
  <c r="D70" i="1"/>
  <c r="C70" i="1" s="1"/>
  <c r="K70" i="1" s="1"/>
  <c r="S71" i="1"/>
  <c r="W71" i="1" s="1"/>
  <c r="AJ74" i="1"/>
  <c r="T75" i="1"/>
  <c r="R75" i="1"/>
  <c r="D79" i="1"/>
  <c r="D82" i="1"/>
  <c r="D85" i="1"/>
  <c r="S86" i="1"/>
  <c r="W86" i="1" s="1"/>
  <c r="V86" i="1"/>
  <c r="S88" i="1"/>
  <c r="D94" i="1"/>
  <c r="J97" i="1"/>
  <c r="D105" i="1"/>
  <c r="C105" i="1" s="1"/>
  <c r="D107" i="1"/>
  <c r="J108" i="1"/>
  <c r="D113" i="1"/>
  <c r="J114" i="1"/>
  <c r="G11" i="2"/>
  <c r="P11" i="2" s="1"/>
  <c r="AB13" i="2"/>
  <c r="AH13" i="2"/>
  <c r="AN13" i="2"/>
  <c r="AR13" i="2"/>
  <c r="AZ15" i="2"/>
  <c r="D19" i="2"/>
  <c r="C19" i="2" s="1"/>
  <c r="X19" i="2"/>
  <c r="D22" i="2"/>
  <c r="Z24" i="2"/>
  <c r="J25" i="2"/>
  <c r="D27" i="2"/>
  <c r="C27" i="2" s="1"/>
  <c r="X27" i="2"/>
  <c r="AZ27" i="2"/>
  <c r="AW28" i="2"/>
  <c r="J30" i="2"/>
  <c r="Z33" i="2"/>
  <c r="J34" i="2"/>
  <c r="J36" i="2"/>
  <c r="D40" i="2"/>
  <c r="M40" i="2" s="1"/>
  <c r="AO42" i="2"/>
  <c r="T44" i="2"/>
  <c r="AW45" i="2"/>
  <c r="AW46" i="2"/>
  <c r="T48" i="2"/>
  <c r="Z51" i="2"/>
  <c r="Z54" i="2"/>
  <c r="J55" i="2"/>
  <c r="AZ55" i="2"/>
  <c r="T60" i="2"/>
  <c r="AZ60" i="2"/>
  <c r="X66" i="2"/>
  <c r="AQ69" i="2"/>
  <c r="AV52" i="2"/>
  <c r="AZ71" i="2"/>
  <c r="T72" i="2"/>
  <c r="D75" i="2"/>
  <c r="M75" i="2" s="1"/>
  <c r="J87" i="2"/>
  <c r="J34" i="3"/>
  <c r="L31" i="3"/>
  <c r="H74" i="3"/>
  <c r="N74" i="3" s="1"/>
  <c r="S13" i="4"/>
  <c r="T52" i="4"/>
  <c r="E52" i="6"/>
  <c r="F74" i="6"/>
  <c r="BY13" i="7"/>
  <c r="CA16" i="7"/>
  <c r="J19" i="7"/>
  <c r="L13" i="7"/>
  <c r="BU53" i="7"/>
  <c r="BS52" i="7"/>
  <c r="L31" i="1"/>
  <c r="N32" i="1"/>
  <c r="N92" i="1"/>
  <c r="AG52" i="2"/>
  <c r="AB52" i="2"/>
  <c r="AA74" i="2"/>
  <c r="E89" i="3"/>
  <c r="E10" i="3" s="1"/>
  <c r="E9" i="3" s="1"/>
  <c r="J75" i="6"/>
  <c r="L74" i="6"/>
  <c r="T20" i="1"/>
  <c r="R20" i="1"/>
  <c r="J21" i="1"/>
  <c r="T22" i="1"/>
  <c r="R22" i="1"/>
  <c r="N23" i="1"/>
  <c r="R24" i="1"/>
  <c r="U24" i="1" s="1"/>
  <c r="J25" i="1"/>
  <c r="T25" i="1"/>
  <c r="R25" i="1"/>
  <c r="U25" i="1" s="1"/>
  <c r="J26" i="1"/>
  <c r="R30" i="1"/>
  <c r="R32" i="1"/>
  <c r="U32" i="1" s="1"/>
  <c r="J33" i="1"/>
  <c r="T33" i="1"/>
  <c r="R33" i="1"/>
  <c r="J34" i="1"/>
  <c r="R38" i="1"/>
  <c r="J39" i="1"/>
  <c r="T39" i="1"/>
  <c r="R39" i="1"/>
  <c r="J40" i="1"/>
  <c r="R44" i="1"/>
  <c r="J45" i="1"/>
  <c r="T45" i="1"/>
  <c r="R45" i="1"/>
  <c r="J46" i="1"/>
  <c r="R50" i="1"/>
  <c r="J51" i="1"/>
  <c r="T51" i="1"/>
  <c r="R51" i="1"/>
  <c r="S55" i="1"/>
  <c r="W55" i="1" s="1"/>
  <c r="S61" i="1"/>
  <c r="W61" i="1" s="1"/>
  <c r="D65" i="1"/>
  <c r="M65" i="1" s="1"/>
  <c r="D66" i="1"/>
  <c r="S67" i="1"/>
  <c r="W67" i="1" s="1"/>
  <c r="D71" i="1"/>
  <c r="C71" i="1" s="1"/>
  <c r="K71" i="1" s="1"/>
  <c r="S73" i="1"/>
  <c r="W73" i="1" s="1"/>
  <c r="R76" i="1"/>
  <c r="J77" i="1"/>
  <c r="T77" i="1"/>
  <c r="R77" i="1"/>
  <c r="U77" i="1" s="1"/>
  <c r="T80" i="1"/>
  <c r="T83" i="1"/>
  <c r="R85" i="1"/>
  <c r="U85" i="1" s="1"/>
  <c r="J86" i="1"/>
  <c r="D87" i="1"/>
  <c r="C87" i="1" s="1"/>
  <c r="K87" i="1" s="1"/>
  <c r="R87" i="1"/>
  <c r="U87" i="1" s="1"/>
  <c r="J88" i="1"/>
  <c r="V88" i="1"/>
  <c r="D98" i="1"/>
  <c r="M98" i="1" s="1"/>
  <c r="J100" i="1"/>
  <c r="N116" i="1"/>
  <c r="Z14" i="2"/>
  <c r="AO17" i="2"/>
  <c r="X18" i="2"/>
  <c r="T19" i="2"/>
  <c r="Z20" i="2"/>
  <c r="X21" i="2"/>
  <c r="X23" i="2"/>
  <c r="N24" i="2"/>
  <c r="T24" i="2"/>
  <c r="X25" i="2"/>
  <c r="N26" i="2"/>
  <c r="T26" i="2"/>
  <c r="D28" i="2"/>
  <c r="C28" i="2" s="1"/>
  <c r="Z28" i="2"/>
  <c r="AQ29" i="2"/>
  <c r="Z30" i="2"/>
  <c r="AO30" i="2"/>
  <c r="AW32" i="2"/>
  <c r="H31" i="2"/>
  <c r="T33" i="2"/>
  <c r="AG31" i="2"/>
  <c r="AQ35" i="2"/>
  <c r="D36" i="2"/>
  <c r="C36" i="2" s="1"/>
  <c r="X37" i="2"/>
  <c r="AZ37" i="2"/>
  <c r="J38" i="2"/>
  <c r="Z39" i="2"/>
  <c r="AW41" i="2"/>
  <c r="Z42" i="2"/>
  <c r="Z45" i="2"/>
  <c r="X46" i="2"/>
  <c r="AO48" i="2"/>
  <c r="AW48" i="2"/>
  <c r="Z49" i="2"/>
  <c r="AW50" i="2"/>
  <c r="N51" i="2"/>
  <c r="T51" i="2"/>
  <c r="L52" i="2"/>
  <c r="AW53" i="2"/>
  <c r="N54" i="2"/>
  <c r="T54" i="2"/>
  <c r="AU52" i="2"/>
  <c r="T58" i="2"/>
  <c r="AQ58" i="2"/>
  <c r="Z62" i="2"/>
  <c r="AQ67" i="2"/>
  <c r="J73" i="2"/>
  <c r="AE74" i="2"/>
  <c r="N77" i="2"/>
  <c r="AQ84" i="2"/>
  <c r="AQ85" i="2"/>
  <c r="J36" i="3"/>
  <c r="S52" i="3"/>
  <c r="D78" i="3"/>
  <c r="C78" i="3" s="1"/>
  <c r="D100" i="3"/>
  <c r="L11" i="3"/>
  <c r="J11" i="3" s="1"/>
  <c r="J104" i="3"/>
  <c r="P23" i="4"/>
  <c r="AD33" i="4"/>
  <c r="AB31" i="4"/>
  <c r="E13" i="5"/>
  <c r="T79" i="5"/>
  <c r="R74" i="5"/>
  <c r="L13" i="1"/>
  <c r="N11" i="2"/>
  <c r="N15" i="2"/>
  <c r="AF13" i="2"/>
  <c r="AA31" i="2"/>
  <c r="AI31" i="2"/>
  <c r="Z68" i="2"/>
  <c r="N70" i="2"/>
  <c r="Z73" i="2"/>
  <c r="AD74" i="2"/>
  <c r="C103" i="2"/>
  <c r="K103" i="2" s="1"/>
  <c r="P18" i="4"/>
  <c r="Q18" i="4"/>
  <c r="Q104" i="5"/>
  <c r="I11" i="5"/>
  <c r="Q11" i="5" s="1"/>
  <c r="Q16" i="6"/>
  <c r="I13" i="6"/>
  <c r="Q13" i="6" s="1"/>
  <c r="N77" i="9"/>
  <c r="H74" i="9"/>
  <c r="U74" i="9"/>
  <c r="W77" i="9"/>
  <c r="AG85" i="9"/>
  <c r="AE85" i="9"/>
  <c r="N15" i="1"/>
  <c r="S17" i="1"/>
  <c r="W17" i="1" s="1"/>
  <c r="N19" i="1"/>
  <c r="D21" i="1"/>
  <c r="C21" i="1" s="1"/>
  <c r="K21" i="1" s="1"/>
  <c r="R21" i="1"/>
  <c r="U21" i="1" s="1"/>
  <c r="J22" i="1"/>
  <c r="D25" i="1"/>
  <c r="C25" i="1" s="1"/>
  <c r="K25" i="1" s="1"/>
  <c r="D26" i="1"/>
  <c r="C26" i="1" s="1"/>
  <c r="K26" i="1" s="1"/>
  <c r="S27" i="1"/>
  <c r="E31" i="1"/>
  <c r="D33" i="1"/>
  <c r="C33" i="1" s="1"/>
  <c r="D34" i="1"/>
  <c r="S35" i="1"/>
  <c r="D39" i="1"/>
  <c r="C39" i="1" s="1"/>
  <c r="N39" i="1"/>
  <c r="D40" i="1"/>
  <c r="C40" i="1" s="1"/>
  <c r="N40" i="1"/>
  <c r="S41" i="1"/>
  <c r="D45" i="1"/>
  <c r="C45" i="1" s="1"/>
  <c r="D46" i="1"/>
  <c r="M46" i="1" s="1"/>
  <c r="S47" i="1"/>
  <c r="D51" i="1"/>
  <c r="C51" i="1" s="1"/>
  <c r="E52" i="1"/>
  <c r="R54" i="1"/>
  <c r="U54" i="1" s="1"/>
  <c r="T55" i="1"/>
  <c r="R55" i="1"/>
  <c r="U55" i="1" s="1"/>
  <c r="J56" i="1"/>
  <c r="R60" i="1"/>
  <c r="U60" i="1" s="1"/>
  <c r="T61" i="1"/>
  <c r="R61" i="1"/>
  <c r="U61" i="1" s="1"/>
  <c r="J62" i="1"/>
  <c r="R66" i="1"/>
  <c r="U66" i="1" s="1"/>
  <c r="T67" i="1"/>
  <c r="R67" i="1"/>
  <c r="U67" i="1" s="1"/>
  <c r="R72" i="1"/>
  <c r="T73" i="1"/>
  <c r="R73" i="1"/>
  <c r="U73" i="1" s="1"/>
  <c r="D77" i="1"/>
  <c r="C77" i="1" s="1"/>
  <c r="K77" i="1" s="1"/>
  <c r="D78" i="1"/>
  <c r="M78" i="1" s="1"/>
  <c r="H74" i="1"/>
  <c r="D80" i="1"/>
  <c r="C80" i="1" s="1"/>
  <c r="K80" i="1" s="1"/>
  <c r="D81" i="1"/>
  <c r="M81" i="1" s="1"/>
  <c r="D83" i="1"/>
  <c r="C83" i="1" s="1"/>
  <c r="K83" i="1" s="1"/>
  <c r="D84" i="1"/>
  <c r="M84" i="1" s="1"/>
  <c r="D86" i="1"/>
  <c r="C86" i="1" s="1"/>
  <c r="K86" i="1" s="1"/>
  <c r="D88" i="1"/>
  <c r="C88" i="1" s="1"/>
  <c r="D90" i="1"/>
  <c r="C90" i="1" s="1"/>
  <c r="K90" i="1" s="1"/>
  <c r="D100" i="1"/>
  <c r="J109" i="1"/>
  <c r="D112" i="1"/>
  <c r="M112" i="1" s="1"/>
  <c r="J115" i="1"/>
  <c r="X16" i="2"/>
  <c r="AZ16" i="2"/>
  <c r="T17" i="2"/>
  <c r="J20" i="2"/>
  <c r="AZ20" i="2"/>
  <c r="J21" i="2"/>
  <c r="T22" i="2"/>
  <c r="AQ22" i="2"/>
  <c r="Z23" i="2"/>
  <c r="C26" i="2"/>
  <c r="X28" i="2"/>
  <c r="J32" i="2"/>
  <c r="AQ32" i="2"/>
  <c r="AC31" i="2"/>
  <c r="X39" i="2"/>
  <c r="N42" i="2"/>
  <c r="X42" i="2"/>
  <c r="AV31" i="2"/>
  <c r="X45" i="2"/>
  <c r="N47" i="2"/>
  <c r="T47" i="2"/>
  <c r="J48" i="2"/>
  <c r="Z48" i="2"/>
  <c r="AQ48" i="2"/>
  <c r="X49" i="2"/>
  <c r="J50" i="2"/>
  <c r="AQ50" i="2"/>
  <c r="AZ50" i="2"/>
  <c r="J53" i="2"/>
  <c r="AQ53" i="2"/>
  <c r="AC52" i="2"/>
  <c r="AQ57" i="2"/>
  <c r="AZ57" i="2"/>
  <c r="Z59" i="2"/>
  <c r="J60" i="2"/>
  <c r="AO61" i="2"/>
  <c r="O52" i="2"/>
  <c r="Z63" i="2"/>
  <c r="D66" i="2"/>
  <c r="C66" i="2" s="1"/>
  <c r="T69" i="2"/>
  <c r="G74" i="2"/>
  <c r="P74" i="2" s="1"/>
  <c r="N75" i="2"/>
  <c r="Y74" i="2"/>
  <c r="D80" i="2"/>
  <c r="M80" i="2" s="1"/>
  <c r="AT74" i="2"/>
  <c r="AV74" i="2"/>
  <c r="J45" i="3"/>
  <c r="F13" i="7"/>
  <c r="AP74" i="2"/>
  <c r="AZ77" i="2"/>
  <c r="X79" i="2"/>
  <c r="D83" i="2"/>
  <c r="M83" i="2" s="1"/>
  <c r="AZ83" i="2"/>
  <c r="N84" i="2"/>
  <c r="AO88" i="2"/>
  <c r="D91" i="2"/>
  <c r="M91" i="2" s="1"/>
  <c r="J94" i="2"/>
  <c r="D108" i="2"/>
  <c r="C108" i="2" s="1"/>
  <c r="K108" i="2" s="1"/>
  <c r="J24" i="3"/>
  <c r="D64" i="3"/>
  <c r="P78" i="3"/>
  <c r="J94" i="3"/>
  <c r="F89" i="3"/>
  <c r="F10" i="3" s="1"/>
  <c r="F9" i="3" s="1"/>
  <c r="P15" i="4"/>
  <c r="D18" i="4"/>
  <c r="M18" i="4" s="1"/>
  <c r="U23" i="4"/>
  <c r="N24" i="4"/>
  <c r="U24" i="4"/>
  <c r="AD24" i="4"/>
  <c r="D26" i="4"/>
  <c r="C26" i="4" s="1"/>
  <c r="K26" i="4" s="1"/>
  <c r="D29" i="4"/>
  <c r="M29" i="4" s="1"/>
  <c r="T31" i="4"/>
  <c r="G31" i="4"/>
  <c r="R31" i="4"/>
  <c r="J35" i="4"/>
  <c r="D43" i="4"/>
  <c r="C43" i="4" s="1"/>
  <c r="Q45" i="4"/>
  <c r="U45" i="4"/>
  <c r="J50" i="4"/>
  <c r="D68" i="4"/>
  <c r="M68" i="4" s="1"/>
  <c r="D70" i="4"/>
  <c r="C70" i="4" s="1"/>
  <c r="K70" i="4" s="1"/>
  <c r="D73" i="4"/>
  <c r="C73" i="4" s="1"/>
  <c r="K73" i="4" s="1"/>
  <c r="T74" i="4"/>
  <c r="Z74" i="4"/>
  <c r="P78" i="4"/>
  <c r="N86" i="4"/>
  <c r="D95" i="4"/>
  <c r="D99" i="4"/>
  <c r="C99" i="4" s="1"/>
  <c r="K99" i="4" s="1"/>
  <c r="D105" i="4"/>
  <c r="C105" i="4" s="1"/>
  <c r="N111" i="4"/>
  <c r="G13" i="5"/>
  <c r="P13" i="5" s="1"/>
  <c r="N18" i="5"/>
  <c r="J21" i="5"/>
  <c r="H31" i="5"/>
  <c r="J34" i="5"/>
  <c r="P35" i="5"/>
  <c r="E52" i="5"/>
  <c r="C68" i="5"/>
  <c r="M68" i="5"/>
  <c r="O52" i="6"/>
  <c r="N75" i="6"/>
  <c r="BN13" i="7"/>
  <c r="BC35" i="7"/>
  <c r="BB31" i="7"/>
  <c r="Z42" i="9"/>
  <c r="AB42" i="9"/>
  <c r="AJ74" i="2"/>
  <c r="J78" i="2"/>
  <c r="AO78" i="2"/>
  <c r="N85" i="2"/>
  <c r="T85" i="2"/>
  <c r="D87" i="2"/>
  <c r="C87" i="2" s="1"/>
  <c r="J88" i="2"/>
  <c r="AW88" i="2"/>
  <c r="D105" i="2"/>
  <c r="C105" i="2" s="1"/>
  <c r="D107" i="2"/>
  <c r="M107" i="2" s="1"/>
  <c r="P19" i="3"/>
  <c r="D27" i="3"/>
  <c r="C27" i="3" s="1"/>
  <c r="K27" i="3" s="1"/>
  <c r="J27" i="3"/>
  <c r="P28" i="3"/>
  <c r="D33" i="3"/>
  <c r="C33" i="3" s="1"/>
  <c r="K33" i="3" s="1"/>
  <c r="F31" i="3"/>
  <c r="D38" i="3"/>
  <c r="C38" i="3" s="1"/>
  <c r="K38" i="3" s="1"/>
  <c r="D47" i="3"/>
  <c r="M47" i="3" s="1"/>
  <c r="J67" i="3"/>
  <c r="P69" i="3"/>
  <c r="J71" i="3"/>
  <c r="D80" i="3"/>
  <c r="M80" i="3" s="1"/>
  <c r="O74" i="3"/>
  <c r="D88" i="3"/>
  <c r="M88" i="3" s="1"/>
  <c r="D99" i="3"/>
  <c r="C99" i="3" s="1"/>
  <c r="K99" i="3" s="1"/>
  <c r="J101" i="3"/>
  <c r="D108" i="3"/>
  <c r="M108" i="3" s="1"/>
  <c r="D113" i="3"/>
  <c r="M113" i="3" s="1"/>
  <c r="AA18" i="4"/>
  <c r="N19" i="4"/>
  <c r="D23" i="4"/>
  <c r="M23" i="4" s="1"/>
  <c r="D37" i="4"/>
  <c r="M37" i="4" s="1"/>
  <c r="U39" i="4"/>
  <c r="J40" i="4"/>
  <c r="P43" i="4"/>
  <c r="J45" i="4"/>
  <c r="X45" i="4"/>
  <c r="D55" i="4"/>
  <c r="M55" i="4" s="1"/>
  <c r="AD63" i="4"/>
  <c r="J64" i="4"/>
  <c r="D66" i="4"/>
  <c r="M66" i="4" s="1"/>
  <c r="J72" i="4"/>
  <c r="AA78" i="4"/>
  <c r="D85" i="4"/>
  <c r="C85" i="4" s="1"/>
  <c r="K85" i="4" s="1"/>
  <c r="X86" i="4"/>
  <c r="AA88" i="4"/>
  <c r="D94" i="4"/>
  <c r="C94" i="4" s="1"/>
  <c r="K94" i="4" s="1"/>
  <c r="E31" i="5"/>
  <c r="D34" i="5"/>
  <c r="M34" i="5" s="1"/>
  <c r="E13" i="6"/>
  <c r="BJ13" i="7"/>
  <c r="CH13" i="7"/>
  <c r="CJ14" i="7"/>
  <c r="V13" i="7"/>
  <c r="CO74" i="7"/>
  <c r="J81" i="7"/>
  <c r="N81" i="7"/>
  <c r="AK74" i="2"/>
  <c r="J80" i="2"/>
  <c r="N81" i="2"/>
  <c r="X85" i="2"/>
  <c r="D86" i="2"/>
  <c r="F89" i="2"/>
  <c r="F10" i="2" s="1"/>
  <c r="F9" i="2" s="1"/>
  <c r="O89" i="2"/>
  <c r="O10" i="2" s="1"/>
  <c r="O9" i="2" s="1"/>
  <c r="J93" i="2"/>
  <c r="J109" i="2"/>
  <c r="J113" i="2"/>
  <c r="H13" i="3"/>
  <c r="D15" i="3"/>
  <c r="C15" i="3" s="1"/>
  <c r="K15" i="3" s="1"/>
  <c r="J20" i="3"/>
  <c r="D21" i="3"/>
  <c r="M21" i="3" s="1"/>
  <c r="J32" i="3"/>
  <c r="D37" i="3"/>
  <c r="D41" i="3"/>
  <c r="M41" i="3" s="1"/>
  <c r="P41" i="3"/>
  <c r="D50" i="3"/>
  <c r="M50" i="3" s="1"/>
  <c r="H52" i="3"/>
  <c r="N52" i="3" s="1"/>
  <c r="J53" i="3"/>
  <c r="D59" i="3"/>
  <c r="C59" i="3" s="1"/>
  <c r="K59" i="3" s="1"/>
  <c r="D65" i="3"/>
  <c r="M65" i="3" s="1"/>
  <c r="D67" i="3"/>
  <c r="M67" i="3" s="1"/>
  <c r="J70" i="3"/>
  <c r="J85" i="3"/>
  <c r="J93" i="3"/>
  <c r="I89" i="3"/>
  <c r="D101" i="3"/>
  <c r="M101" i="3" s="1"/>
  <c r="J102" i="3"/>
  <c r="J112" i="3"/>
  <c r="J114" i="3"/>
  <c r="U18" i="4"/>
  <c r="AD18" i="4"/>
  <c r="J19" i="4"/>
  <c r="AD19" i="4"/>
  <c r="D24" i="4"/>
  <c r="M24" i="4" s="1"/>
  <c r="D28" i="4"/>
  <c r="C28" i="4" s="1"/>
  <c r="K28" i="4" s="1"/>
  <c r="P30" i="4"/>
  <c r="J34" i="4"/>
  <c r="AA36" i="4"/>
  <c r="D40" i="4"/>
  <c r="C40" i="4" s="1"/>
  <c r="J42" i="4"/>
  <c r="D45" i="4"/>
  <c r="C45" i="4" s="1"/>
  <c r="J49" i="4"/>
  <c r="D64" i="4"/>
  <c r="M64" i="4" s="1"/>
  <c r="D72" i="4"/>
  <c r="M72" i="4" s="1"/>
  <c r="F74" i="4"/>
  <c r="N78" i="4"/>
  <c r="U78" i="4"/>
  <c r="J86" i="4"/>
  <c r="H13" i="5"/>
  <c r="H52" i="5"/>
  <c r="M56" i="5"/>
  <c r="N62" i="5"/>
  <c r="G89" i="5"/>
  <c r="G31" i="6"/>
  <c r="P31" i="6" s="1"/>
  <c r="P32" i="6"/>
  <c r="M38" i="6"/>
  <c r="C38" i="6"/>
  <c r="E74" i="6"/>
  <c r="D75" i="6"/>
  <c r="C75" i="6" s="1"/>
  <c r="K75" i="6" s="1"/>
  <c r="P76" i="6"/>
  <c r="AD13" i="7"/>
  <c r="AP13" i="7"/>
  <c r="AG31" i="7"/>
  <c r="AI32" i="7"/>
  <c r="T42" i="7"/>
  <c r="R31" i="7"/>
  <c r="BK52" i="7"/>
  <c r="BL53" i="7"/>
  <c r="T35" i="8"/>
  <c r="R31" i="8"/>
  <c r="G13" i="9"/>
  <c r="P13" i="9" s="1"/>
  <c r="P14" i="9"/>
  <c r="T14" i="9"/>
  <c r="R13" i="9"/>
  <c r="AW76" i="2"/>
  <c r="T79" i="2"/>
  <c r="D82" i="2"/>
  <c r="M82" i="2" s="1"/>
  <c r="D85" i="2"/>
  <c r="M85" i="2" s="1"/>
  <c r="N87" i="2"/>
  <c r="D93" i="2"/>
  <c r="C93" i="2" s="1"/>
  <c r="D98" i="2"/>
  <c r="M98" i="2" s="1"/>
  <c r="J98" i="2"/>
  <c r="N105" i="2"/>
  <c r="D106" i="2"/>
  <c r="C106" i="2" s="1"/>
  <c r="K106" i="2" s="1"/>
  <c r="J108" i="2"/>
  <c r="D110" i="2"/>
  <c r="J114" i="2"/>
  <c r="D26" i="3"/>
  <c r="M26" i="3" s="1"/>
  <c r="D32" i="3"/>
  <c r="M32" i="3" s="1"/>
  <c r="D35" i="3"/>
  <c r="M35" i="3" s="1"/>
  <c r="J40" i="3"/>
  <c r="S31" i="3"/>
  <c r="J49" i="3"/>
  <c r="J58" i="3"/>
  <c r="J64" i="3"/>
  <c r="J77" i="3"/>
  <c r="D93" i="3"/>
  <c r="M93" i="3" s="1"/>
  <c r="D102" i="3"/>
  <c r="C102" i="3" s="1"/>
  <c r="K102" i="3" s="1"/>
  <c r="D112" i="3"/>
  <c r="M112" i="3" s="1"/>
  <c r="D114" i="3"/>
  <c r="C114" i="3" s="1"/>
  <c r="K114" i="3" s="1"/>
  <c r="J16" i="4"/>
  <c r="D19" i="4"/>
  <c r="C19" i="4" s="1"/>
  <c r="X19" i="4"/>
  <c r="T13" i="4"/>
  <c r="Q23" i="4"/>
  <c r="D27" i="4"/>
  <c r="M27" i="4" s="1"/>
  <c r="W31" i="4"/>
  <c r="D39" i="4"/>
  <c r="C39" i="4" s="1"/>
  <c r="P40" i="4"/>
  <c r="P41" i="4"/>
  <c r="J43" i="4"/>
  <c r="AC52" i="4"/>
  <c r="U55" i="4"/>
  <c r="J57" i="4"/>
  <c r="D59" i="4"/>
  <c r="C59" i="4" s="1"/>
  <c r="K59" i="4" s="1"/>
  <c r="D65" i="4"/>
  <c r="C65" i="4" s="1"/>
  <c r="K65" i="4" s="1"/>
  <c r="J73" i="4"/>
  <c r="J76" i="4"/>
  <c r="AD76" i="4"/>
  <c r="X78" i="4"/>
  <c r="J80" i="4"/>
  <c r="D84" i="4"/>
  <c r="M84" i="4" s="1"/>
  <c r="D92" i="4"/>
  <c r="J102" i="4"/>
  <c r="J109" i="4"/>
  <c r="F74" i="5"/>
  <c r="C80" i="5"/>
  <c r="K80" i="5" s="1"/>
  <c r="M80" i="5"/>
  <c r="D86" i="5"/>
  <c r="J111" i="5"/>
  <c r="O13" i="6"/>
  <c r="N34" i="6"/>
  <c r="Q53" i="6"/>
  <c r="I52" i="6"/>
  <c r="Q52" i="6" s="1"/>
  <c r="CL31" i="7"/>
  <c r="J44" i="8"/>
  <c r="L31" i="8"/>
  <c r="D17" i="5"/>
  <c r="O13" i="5"/>
  <c r="N23" i="5"/>
  <c r="N24" i="5"/>
  <c r="J26" i="5"/>
  <c r="J28" i="5"/>
  <c r="N36" i="5"/>
  <c r="D38" i="5"/>
  <c r="M38" i="5" s="1"/>
  <c r="D41" i="5"/>
  <c r="J54" i="5"/>
  <c r="J61" i="5"/>
  <c r="N72" i="5"/>
  <c r="J76" i="5"/>
  <c r="N87" i="5"/>
  <c r="N92" i="5"/>
  <c r="N96" i="5"/>
  <c r="J99" i="5"/>
  <c r="N106" i="5"/>
  <c r="J112" i="5"/>
  <c r="N15" i="6"/>
  <c r="J18" i="6"/>
  <c r="D19" i="6"/>
  <c r="C19" i="6" s="1"/>
  <c r="D21" i="6"/>
  <c r="M21" i="6" s="1"/>
  <c r="N24" i="6"/>
  <c r="J27" i="6"/>
  <c r="D28" i="6"/>
  <c r="M28" i="6" s="1"/>
  <c r="D30" i="6"/>
  <c r="C30" i="6" s="1"/>
  <c r="E31" i="6"/>
  <c r="J35" i="6"/>
  <c r="J37" i="6"/>
  <c r="R52" i="6"/>
  <c r="D55" i="6"/>
  <c r="N56" i="6"/>
  <c r="J57" i="6"/>
  <c r="J59" i="6"/>
  <c r="J63" i="6"/>
  <c r="N66" i="6"/>
  <c r="D69" i="6"/>
  <c r="C69" i="6" s="1"/>
  <c r="N70" i="6"/>
  <c r="J71" i="6"/>
  <c r="D73" i="6"/>
  <c r="C73" i="6" s="1"/>
  <c r="K73" i="6" s="1"/>
  <c r="O74" i="6"/>
  <c r="O89" i="6"/>
  <c r="O10" i="6" s="1"/>
  <c r="O9" i="6" s="1"/>
  <c r="D105" i="6"/>
  <c r="C105" i="6" s="1"/>
  <c r="K105" i="6" s="1"/>
  <c r="D107" i="6"/>
  <c r="M107" i="6" s="1"/>
  <c r="N109" i="6"/>
  <c r="J113" i="6"/>
  <c r="BP13" i="7"/>
  <c r="AV13" i="7"/>
  <c r="J18" i="7"/>
  <c r="N19" i="7"/>
  <c r="BZ13" i="7"/>
  <c r="J20" i="7"/>
  <c r="X23" i="7"/>
  <c r="BX48" i="7"/>
  <c r="O52" i="7"/>
  <c r="CK52" i="7"/>
  <c r="CM56" i="7"/>
  <c r="AC58" i="7"/>
  <c r="BC59" i="7"/>
  <c r="BA52" i="7"/>
  <c r="BR59" i="7"/>
  <c r="J60" i="7"/>
  <c r="M28" i="9"/>
  <c r="C28" i="9"/>
  <c r="D109" i="4"/>
  <c r="C109" i="4" s="1"/>
  <c r="K109" i="4" s="1"/>
  <c r="J30" i="5"/>
  <c r="T38" i="5"/>
  <c r="J40" i="5"/>
  <c r="J45" i="5"/>
  <c r="J47" i="5"/>
  <c r="D48" i="5"/>
  <c r="M48" i="5" s="1"/>
  <c r="J53" i="5"/>
  <c r="D54" i="5"/>
  <c r="C54" i="5" s="1"/>
  <c r="K54" i="5" s="1"/>
  <c r="N55" i="5"/>
  <c r="J67" i="5"/>
  <c r="H74" i="5"/>
  <c r="J79" i="5"/>
  <c r="J82" i="5"/>
  <c r="D102" i="5"/>
  <c r="D111" i="5"/>
  <c r="D114" i="5"/>
  <c r="C114" i="5" s="1"/>
  <c r="K114" i="5" s="1"/>
  <c r="D116" i="5"/>
  <c r="M116" i="5" s="1"/>
  <c r="J20" i="6"/>
  <c r="J22" i="6"/>
  <c r="D23" i="6"/>
  <c r="C23" i="6" s="1"/>
  <c r="T23" i="6"/>
  <c r="J29" i="6"/>
  <c r="H52" i="6"/>
  <c r="J54" i="6"/>
  <c r="N58" i="6"/>
  <c r="N61" i="6"/>
  <c r="J62" i="6"/>
  <c r="N65" i="6"/>
  <c r="T65" i="6"/>
  <c r="J67" i="6"/>
  <c r="D68" i="6"/>
  <c r="M68" i="6" s="1"/>
  <c r="D72" i="6"/>
  <c r="D97" i="6"/>
  <c r="M97" i="6" s="1"/>
  <c r="J99" i="6"/>
  <c r="J101" i="6"/>
  <c r="N104" i="6"/>
  <c r="D106" i="6"/>
  <c r="C106" i="6" s="1"/>
  <c r="D108" i="6"/>
  <c r="AB13" i="7"/>
  <c r="AN13" i="7"/>
  <c r="CN13" i="7"/>
  <c r="Z13" i="7"/>
  <c r="AC16" i="7"/>
  <c r="AZ16" i="7"/>
  <c r="CJ16" i="7"/>
  <c r="J17" i="7"/>
  <c r="BU17" i="7"/>
  <c r="D18" i="7"/>
  <c r="AL18" i="7"/>
  <c r="BU19" i="7"/>
  <c r="CD19" i="7"/>
  <c r="BI20" i="7"/>
  <c r="CA20" i="7"/>
  <c r="AF21" i="7"/>
  <c r="AZ23" i="7"/>
  <c r="BR23" i="7"/>
  <c r="N24" i="7"/>
  <c r="W24" i="7"/>
  <c r="N28" i="7"/>
  <c r="W28" i="7"/>
  <c r="BR28" i="7"/>
  <c r="AZ29" i="7"/>
  <c r="AY31" i="7"/>
  <c r="BW31" i="7"/>
  <c r="X34" i="7"/>
  <c r="AI34" i="7"/>
  <c r="W36" i="7"/>
  <c r="AL36" i="7"/>
  <c r="AJ31" i="7"/>
  <c r="AF37" i="7"/>
  <c r="AD31" i="7"/>
  <c r="J39" i="7"/>
  <c r="AO42" i="7"/>
  <c r="AT47" i="7"/>
  <c r="AZ48" i="7"/>
  <c r="D53" i="7"/>
  <c r="M53" i="7" s="1"/>
  <c r="AQ52" i="7"/>
  <c r="X56" i="7"/>
  <c r="AI56" i="7"/>
  <c r="BF58" i="7"/>
  <c r="J61" i="7"/>
  <c r="D63" i="7"/>
  <c r="M63" i="7" s="1"/>
  <c r="BL65" i="7"/>
  <c r="D67" i="7"/>
  <c r="C67" i="7" s="1"/>
  <c r="BR67" i="7"/>
  <c r="X69" i="7"/>
  <c r="W72" i="7"/>
  <c r="N28" i="5"/>
  <c r="N32" i="5"/>
  <c r="D44" i="5"/>
  <c r="D47" i="5"/>
  <c r="M47" i="5" s="1"/>
  <c r="D50" i="5"/>
  <c r="N54" i="5"/>
  <c r="T62" i="5"/>
  <c r="N76" i="5"/>
  <c r="J98" i="5"/>
  <c r="J106" i="5"/>
  <c r="H13" i="6"/>
  <c r="D20" i="6"/>
  <c r="C20" i="6" s="1"/>
  <c r="D22" i="6"/>
  <c r="M22" i="6" s="1"/>
  <c r="D29" i="6"/>
  <c r="C29" i="6" s="1"/>
  <c r="N32" i="6"/>
  <c r="N35" i="6"/>
  <c r="N37" i="6"/>
  <c r="J53" i="6"/>
  <c r="D54" i="6"/>
  <c r="M54" i="6" s="1"/>
  <c r="N60" i="6"/>
  <c r="D62" i="6"/>
  <c r="M62" i="6" s="1"/>
  <c r="N64" i="6"/>
  <c r="J65" i="6"/>
  <c r="D67" i="6"/>
  <c r="C67" i="6" s="1"/>
  <c r="N68" i="6"/>
  <c r="N72" i="6"/>
  <c r="J93" i="6"/>
  <c r="D94" i="6"/>
  <c r="J95" i="6"/>
  <c r="D99" i="6"/>
  <c r="C99" i="6" s="1"/>
  <c r="K99" i="6" s="1"/>
  <c r="D101" i="6"/>
  <c r="J102" i="6"/>
  <c r="D103" i="6"/>
  <c r="J115" i="6"/>
  <c r="CI13" i="7"/>
  <c r="N16" i="7"/>
  <c r="N22" i="7"/>
  <c r="V31" i="7"/>
  <c r="AI41" i="7"/>
  <c r="W43" i="7"/>
  <c r="CO52" i="7"/>
  <c r="D65" i="7"/>
  <c r="C65" i="7" s="1"/>
  <c r="X66" i="7"/>
  <c r="O31" i="8"/>
  <c r="J32" i="8"/>
  <c r="I52" i="8"/>
  <c r="Q52" i="8" s="1"/>
  <c r="Q53" i="8"/>
  <c r="N56" i="8"/>
  <c r="H52" i="8"/>
  <c r="D58" i="8"/>
  <c r="M58" i="8" s="1"/>
  <c r="F52" i="8"/>
  <c r="N76" i="8"/>
  <c r="H74" i="8"/>
  <c r="Z60" i="9"/>
  <c r="AB60" i="9"/>
  <c r="D15" i="5"/>
  <c r="N16" i="5"/>
  <c r="D23" i="5"/>
  <c r="N27" i="5"/>
  <c r="D29" i="5"/>
  <c r="M29" i="5" s="1"/>
  <c r="N30" i="5"/>
  <c r="J38" i="5"/>
  <c r="D39" i="5"/>
  <c r="C39" i="5" s="1"/>
  <c r="K39" i="5" s="1"/>
  <c r="J41" i="5"/>
  <c r="J49" i="5"/>
  <c r="J55" i="5"/>
  <c r="T65" i="5"/>
  <c r="T68" i="5"/>
  <c r="J72" i="5"/>
  <c r="S74" i="5"/>
  <c r="J87" i="5"/>
  <c r="D92" i="5"/>
  <c r="M92" i="5" s="1"/>
  <c r="D96" i="5"/>
  <c r="M96" i="5" s="1"/>
  <c r="D101" i="5"/>
  <c r="D108" i="5"/>
  <c r="C108" i="5" s="1"/>
  <c r="K108" i="5" s="1"/>
  <c r="J108" i="5"/>
  <c r="D110" i="5"/>
  <c r="C110" i="5" s="1"/>
  <c r="K110" i="5" s="1"/>
  <c r="D15" i="6"/>
  <c r="N18" i="6"/>
  <c r="J19" i="6"/>
  <c r="J21" i="6"/>
  <c r="D24" i="6"/>
  <c r="N27" i="6"/>
  <c r="J30" i="6"/>
  <c r="H31" i="6"/>
  <c r="J55" i="6"/>
  <c r="D56" i="6"/>
  <c r="M56" i="6" s="1"/>
  <c r="T63" i="6"/>
  <c r="D66" i="6"/>
  <c r="J69" i="6"/>
  <c r="D70" i="6"/>
  <c r="M70" i="6" s="1"/>
  <c r="N71" i="6"/>
  <c r="T71" i="6"/>
  <c r="J73" i="6"/>
  <c r="N83" i="6"/>
  <c r="N84" i="6"/>
  <c r="N85" i="6"/>
  <c r="D91" i="6"/>
  <c r="N92" i="6"/>
  <c r="J105" i="6"/>
  <c r="J107" i="6"/>
  <c r="N108" i="6"/>
  <c r="D109" i="6"/>
  <c r="D114" i="6"/>
  <c r="D115" i="6"/>
  <c r="X14" i="7"/>
  <c r="AF16" i="7"/>
  <c r="AO16" i="7"/>
  <c r="T17" i="7"/>
  <c r="BI17" i="7"/>
  <c r="BR17" i="7"/>
  <c r="N18" i="7"/>
  <c r="AL19" i="7"/>
  <c r="AF22" i="7"/>
  <c r="AO22" i="7"/>
  <c r="N26" i="7"/>
  <c r="X30" i="7"/>
  <c r="AI30" i="7"/>
  <c r="AM31" i="7"/>
  <c r="AO32" i="7"/>
  <c r="D33" i="7"/>
  <c r="C33" i="7" s="1"/>
  <c r="AT35" i="7"/>
  <c r="BL35" i="7"/>
  <c r="BH31" i="7"/>
  <c r="BX36" i="7"/>
  <c r="BN31" i="7"/>
  <c r="T41" i="7"/>
  <c r="J43" i="7"/>
  <c r="CD45" i="7"/>
  <c r="CM45" i="7"/>
  <c r="BR46" i="7"/>
  <c r="AZ51" i="7"/>
  <c r="BI51" i="7"/>
  <c r="BR51" i="7"/>
  <c r="CA51" i="7"/>
  <c r="CJ51" i="7"/>
  <c r="CJ53" i="7"/>
  <c r="J54" i="7"/>
  <c r="BI62" i="7"/>
  <c r="T66" i="7"/>
  <c r="AF67" i="7"/>
  <c r="AT76" i="7"/>
  <c r="BC76" i="7"/>
  <c r="BL76" i="7"/>
  <c r="BU76" i="7"/>
  <c r="AC81" i="7"/>
  <c r="AA74" i="7"/>
  <c r="J15" i="8"/>
  <c r="D95" i="8"/>
  <c r="M95" i="8" s="1"/>
  <c r="J32" i="7"/>
  <c r="BR32" i="7"/>
  <c r="Z31" i="7"/>
  <c r="AN31" i="7"/>
  <c r="J35" i="7"/>
  <c r="BF35" i="7"/>
  <c r="BU35" i="7"/>
  <c r="D36" i="7"/>
  <c r="C36" i="7" s="1"/>
  <c r="BR36" i="7"/>
  <c r="D37" i="7"/>
  <c r="C37" i="7" s="1"/>
  <c r="AO37" i="7"/>
  <c r="AZ38" i="7"/>
  <c r="BR38" i="7"/>
  <c r="AC41" i="7"/>
  <c r="BI41" i="7"/>
  <c r="D43" i="7"/>
  <c r="C43" i="7" s="1"/>
  <c r="AO43" i="7"/>
  <c r="CG45" i="7"/>
  <c r="AI46" i="7"/>
  <c r="N48" i="7"/>
  <c r="X51" i="7"/>
  <c r="CM51" i="7"/>
  <c r="AC56" i="7"/>
  <c r="BU59" i="7"/>
  <c r="CJ59" i="7"/>
  <c r="T61" i="7"/>
  <c r="X67" i="7"/>
  <c r="J69" i="7"/>
  <c r="I74" i="7"/>
  <c r="Q74" i="7" s="1"/>
  <c r="Q75" i="7"/>
  <c r="F13" i="8"/>
  <c r="T15" i="8"/>
  <c r="R13" i="8"/>
  <c r="N30" i="8"/>
  <c r="N33" i="8"/>
  <c r="I31" i="8"/>
  <c r="Q31" i="8" s="1"/>
  <c r="N42" i="8"/>
  <c r="N46" i="8"/>
  <c r="N49" i="8"/>
  <c r="O52" i="8"/>
  <c r="T77" i="8"/>
  <c r="S74" i="8"/>
  <c r="M22" i="9"/>
  <c r="C22" i="9"/>
  <c r="C24" i="9"/>
  <c r="M24" i="9"/>
  <c r="AE40" i="9"/>
  <c r="AG40" i="9"/>
  <c r="AE84" i="9"/>
  <c r="AG84" i="9"/>
  <c r="Y35" i="10"/>
  <c r="U35" i="10"/>
  <c r="AB35" i="10"/>
  <c r="W19" i="7"/>
  <c r="BH13" i="7"/>
  <c r="BL20" i="7"/>
  <c r="CD20" i="7"/>
  <c r="X21" i="7"/>
  <c r="D22" i="7"/>
  <c r="M22" i="7" s="1"/>
  <c r="BC23" i="7"/>
  <c r="BU23" i="7"/>
  <c r="D26" i="7"/>
  <c r="C26" i="7" s="1"/>
  <c r="J26" i="7"/>
  <c r="BR26" i="7"/>
  <c r="N27" i="7"/>
  <c r="X29" i="7"/>
  <c r="CO31" i="7"/>
  <c r="AH31" i="7"/>
  <c r="T34" i="7"/>
  <c r="D35" i="7"/>
  <c r="M35" i="7" s="1"/>
  <c r="AP31" i="7"/>
  <c r="AV31" i="7"/>
  <c r="CF31" i="7"/>
  <c r="T40" i="7"/>
  <c r="D41" i="7"/>
  <c r="M41" i="7" s="1"/>
  <c r="BF44" i="7"/>
  <c r="BR45" i="7"/>
  <c r="BU47" i="7"/>
  <c r="X50" i="7"/>
  <c r="AI50" i="7"/>
  <c r="N53" i="7"/>
  <c r="AK52" i="7"/>
  <c r="D59" i="7"/>
  <c r="M59" i="7" s="1"/>
  <c r="AI59" i="7"/>
  <c r="BI60" i="7"/>
  <c r="BR60" i="7"/>
  <c r="CA60" i="7"/>
  <c r="CJ60" i="7"/>
  <c r="AC65" i="7"/>
  <c r="D66" i="7"/>
  <c r="C66" i="7" s="1"/>
  <c r="J66" i="7"/>
  <c r="CG66" i="7"/>
  <c r="N67" i="7"/>
  <c r="AI67" i="7"/>
  <c r="D68" i="7"/>
  <c r="M68" i="7" s="1"/>
  <c r="T68" i="7"/>
  <c r="AC68" i="7"/>
  <c r="D69" i="7"/>
  <c r="M69" i="7" s="1"/>
  <c r="AW69" i="7"/>
  <c r="BF69" i="7"/>
  <c r="CG69" i="7"/>
  <c r="T73" i="7"/>
  <c r="AI78" i="7"/>
  <c r="AG74" i="7"/>
  <c r="D25" i="8"/>
  <c r="C25" i="8" s="1"/>
  <c r="F31" i="8"/>
  <c r="T32" i="8"/>
  <c r="N40" i="8"/>
  <c r="T41" i="8"/>
  <c r="T53" i="8"/>
  <c r="R52" i="8"/>
  <c r="J56" i="8"/>
  <c r="L52" i="8"/>
  <c r="N64" i="8"/>
  <c r="N69" i="8"/>
  <c r="N75" i="8"/>
  <c r="AA31" i="9"/>
  <c r="AB34" i="9"/>
  <c r="AG49" i="9"/>
  <c r="AE49" i="9"/>
  <c r="I52" i="9"/>
  <c r="Q52" i="9" s="1"/>
  <c r="Q54" i="9"/>
  <c r="P50" i="11"/>
  <c r="G31" i="11"/>
  <c r="P31" i="11" s="1"/>
  <c r="D19" i="7"/>
  <c r="C19" i="7" s="1"/>
  <c r="AO19" i="7"/>
  <c r="N20" i="7"/>
  <c r="N21" i="7"/>
  <c r="AC25" i="7"/>
  <c r="AC28" i="7"/>
  <c r="J29" i="7"/>
  <c r="BC29" i="7"/>
  <c r="J30" i="7"/>
  <c r="G31" i="7"/>
  <c r="P31" i="7" s="1"/>
  <c r="BL32" i="7"/>
  <c r="N34" i="7"/>
  <c r="W34" i="7"/>
  <c r="AZ35" i="7"/>
  <c r="T37" i="7"/>
  <c r="AI37" i="7"/>
  <c r="BZ31" i="7"/>
  <c r="AT38" i="7"/>
  <c r="BL38" i="7"/>
  <c r="N40" i="7"/>
  <c r="BC41" i="7"/>
  <c r="J42" i="7"/>
  <c r="T43" i="7"/>
  <c r="AI43" i="7"/>
  <c r="BU43" i="7"/>
  <c r="AO48" i="7"/>
  <c r="AW48" i="7"/>
  <c r="BU48" i="7"/>
  <c r="T49" i="7"/>
  <c r="AT49" i="7"/>
  <c r="CG53" i="7"/>
  <c r="N54" i="7"/>
  <c r="BC54" i="7"/>
  <c r="BU54" i="7"/>
  <c r="CM54" i="7"/>
  <c r="AF55" i="7"/>
  <c r="J56" i="7"/>
  <c r="CG56" i="7"/>
  <c r="N60" i="7"/>
  <c r="S52" i="7"/>
  <c r="O74" i="7"/>
  <c r="BE74" i="7"/>
  <c r="N20" i="8"/>
  <c r="N29" i="8"/>
  <c r="N44" i="8"/>
  <c r="N51" i="8"/>
  <c r="O74" i="8"/>
  <c r="AG42" i="9"/>
  <c r="AE42" i="9"/>
  <c r="AE43" i="9"/>
  <c r="AG43" i="9"/>
  <c r="AB65" i="9"/>
  <c r="Z65" i="9"/>
  <c r="CF13" i="7"/>
  <c r="BX20" i="7"/>
  <c r="AC21" i="7"/>
  <c r="T22" i="7"/>
  <c r="D23" i="7"/>
  <c r="M23" i="7" s="1"/>
  <c r="AW23" i="7"/>
  <c r="BO23" i="7"/>
  <c r="W25" i="7"/>
  <c r="AF25" i="7"/>
  <c r="BL26" i="7"/>
  <c r="D29" i="7"/>
  <c r="M29" i="7" s="1"/>
  <c r="BF29" i="7"/>
  <c r="D30" i="7"/>
  <c r="C30" i="7" s="1"/>
  <c r="N32" i="7"/>
  <c r="X32" i="7"/>
  <c r="AQ31" i="7"/>
  <c r="AO34" i="7"/>
  <c r="BR35" i="7"/>
  <c r="N36" i="7"/>
  <c r="AL37" i="7"/>
  <c r="D38" i="7"/>
  <c r="C38" i="7" s="1"/>
  <c r="AW38" i="7"/>
  <c r="W39" i="7"/>
  <c r="AF40" i="7"/>
  <c r="AO40" i="7"/>
  <c r="BR40" i="7"/>
  <c r="BF41" i="7"/>
  <c r="D42" i="7"/>
  <c r="C42" i="7" s="1"/>
  <c r="AL43" i="7"/>
  <c r="D44" i="7"/>
  <c r="C44" i="7" s="1"/>
  <c r="W44" i="7"/>
  <c r="D46" i="7"/>
  <c r="C46" i="7" s="1"/>
  <c r="BI46" i="7"/>
  <c r="BI47" i="7"/>
  <c r="AI48" i="7"/>
  <c r="BF48" i="7"/>
  <c r="BO48" i="7"/>
  <c r="W49" i="7"/>
  <c r="D50" i="7"/>
  <c r="M50" i="7" s="1"/>
  <c r="AC50" i="7"/>
  <c r="AT50" i="7"/>
  <c r="D51" i="7"/>
  <c r="M51" i="7" s="1"/>
  <c r="J53" i="7"/>
  <c r="V52" i="7"/>
  <c r="Y52" i="7"/>
  <c r="AI55" i="7"/>
  <c r="AN52" i="7"/>
  <c r="AE52" i="7"/>
  <c r="J57" i="7"/>
  <c r="BX57" i="7"/>
  <c r="AI58" i="7"/>
  <c r="AC59" i="7"/>
  <c r="X60" i="7"/>
  <c r="BL60" i="7"/>
  <c r="BU60" i="7"/>
  <c r="CD60" i="7"/>
  <c r="CM60" i="7"/>
  <c r="X61" i="7"/>
  <c r="AI61" i="7"/>
  <c r="D62" i="7"/>
  <c r="M62" i="7" s="1"/>
  <c r="T62" i="7"/>
  <c r="J63" i="7"/>
  <c r="N64" i="7"/>
  <c r="X64" i="7"/>
  <c r="J65" i="7"/>
  <c r="AF65" i="7"/>
  <c r="AO65" i="7"/>
  <c r="BI66" i="7"/>
  <c r="BR66" i="7"/>
  <c r="CA66" i="7"/>
  <c r="CJ66" i="7"/>
  <c r="AB52" i="7"/>
  <c r="N68" i="7"/>
  <c r="W68" i="7"/>
  <c r="AF68" i="7"/>
  <c r="AO68" i="7"/>
  <c r="AZ69" i="7"/>
  <c r="BI69" i="7"/>
  <c r="BR69" i="7"/>
  <c r="CA69" i="7"/>
  <c r="CJ69" i="7"/>
  <c r="D70" i="7"/>
  <c r="M70" i="7" s="1"/>
  <c r="T71" i="7"/>
  <c r="AC76" i="7"/>
  <c r="AY74" i="7"/>
  <c r="BW74" i="7"/>
  <c r="N87" i="7"/>
  <c r="D111" i="7"/>
  <c r="M111" i="7" s="1"/>
  <c r="N14" i="8"/>
  <c r="N17" i="8"/>
  <c r="N67" i="8"/>
  <c r="P77" i="8"/>
  <c r="R74" i="8"/>
  <c r="Q81" i="8"/>
  <c r="I74" i="8"/>
  <c r="Q74" i="8" s="1"/>
  <c r="AD31" i="9"/>
  <c r="AG54" i="9"/>
  <c r="AE54" i="9"/>
  <c r="J101" i="9"/>
  <c r="O89" i="9"/>
  <c r="O10" i="9" s="1"/>
  <c r="O9" i="9" s="1"/>
  <c r="Y68" i="10"/>
  <c r="W68" i="10"/>
  <c r="U68" i="10"/>
  <c r="Y77" i="10"/>
  <c r="W77" i="10"/>
  <c r="AB77" i="10"/>
  <c r="U77" i="10"/>
  <c r="AJ74" i="7"/>
  <c r="BI75" i="7"/>
  <c r="D76" i="7"/>
  <c r="M76" i="7" s="1"/>
  <c r="V74" i="7"/>
  <c r="AQ74" i="7"/>
  <c r="AC77" i="7"/>
  <c r="J78" i="7"/>
  <c r="BF78" i="7"/>
  <c r="D80" i="7"/>
  <c r="M80" i="7" s="1"/>
  <c r="N84" i="7"/>
  <c r="E89" i="7"/>
  <c r="E10" i="7" s="1"/>
  <c r="E9" i="7" s="1"/>
  <c r="D103" i="7"/>
  <c r="M103" i="7" s="1"/>
  <c r="J104" i="7"/>
  <c r="D106" i="7"/>
  <c r="M106" i="7" s="1"/>
  <c r="N108" i="7"/>
  <c r="J11" i="8"/>
  <c r="T18" i="8"/>
  <c r="T39" i="8"/>
  <c r="T45" i="8"/>
  <c r="T80" i="8"/>
  <c r="T85" i="8"/>
  <c r="X13" i="9"/>
  <c r="J28" i="9"/>
  <c r="J36" i="9"/>
  <c r="W36" i="9"/>
  <c r="J53" i="9"/>
  <c r="N53" i="9"/>
  <c r="AB53" i="9"/>
  <c r="Z53" i="9"/>
  <c r="AA74" i="9"/>
  <c r="N15" i="11"/>
  <c r="H13" i="11"/>
  <c r="W73" i="7"/>
  <c r="H74" i="7"/>
  <c r="R74" i="7"/>
  <c r="BZ74" i="7"/>
  <c r="AF76" i="7"/>
  <c r="AK74" i="7"/>
  <c r="W77" i="7"/>
  <c r="BI77" i="7"/>
  <c r="AS74" i="7"/>
  <c r="BX80" i="7"/>
  <c r="CC74" i="7"/>
  <c r="D83" i="7"/>
  <c r="M83" i="7" s="1"/>
  <c r="X84" i="7"/>
  <c r="BL84" i="7"/>
  <c r="BU84" i="7"/>
  <c r="J86" i="7"/>
  <c r="X86" i="7"/>
  <c r="AI86" i="7"/>
  <c r="BF86" i="7"/>
  <c r="X87" i="7"/>
  <c r="BL87" i="7"/>
  <c r="BU87" i="7"/>
  <c r="BL88" i="7"/>
  <c r="J97" i="7"/>
  <c r="J100" i="7"/>
  <c r="D107" i="7"/>
  <c r="C107" i="7" s="1"/>
  <c r="N113" i="7"/>
  <c r="D116" i="7"/>
  <c r="M116" i="7" s="1"/>
  <c r="N15" i="8"/>
  <c r="D18" i="8"/>
  <c r="M18" i="8" s="1"/>
  <c r="T19" i="8"/>
  <c r="N25" i="8"/>
  <c r="N27" i="8"/>
  <c r="T30" i="8"/>
  <c r="T46" i="8"/>
  <c r="N48" i="8"/>
  <c r="T51" i="8"/>
  <c r="N53" i="8"/>
  <c r="N60" i="8"/>
  <c r="N61" i="8"/>
  <c r="N63" i="8"/>
  <c r="T66" i="8"/>
  <c r="T67" i="8"/>
  <c r="T68" i="8"/>
  <c r="T69" i="8"/>
  <c r="T70" i="8"/>
  <c r="T75" i="8"/>
  <c r="T76" i="8"/>
  <c r="D81" i="8"/>
  <c r="C81" i="8" s="1"/>
  <c r="N83" i="8"/>
  <c r="T84" i="8"/>
  <c r="T86" i="8"/>
  <c r="T87" i="8"/>
  <c r="T88" i="8"/>
  <c r="J90" i="8"/>
  <c r="J102" i="8"/>
  <c r="AB16" i="9"/>
  <c r="AB21" i="9"/>
  <c r="N24" i="9"/>
  <c r="T26" i="9"/>
  <c r="M29" i="9"/>
  <c r="C29" i="9"/>
  <c r="J47" i="9"/>
  <c r="N47" i="9"/>
  <c r="Z47" i="9"/>
  <c r="D51" i="9"/>
  <c r="C51" i="9" s="1"/>
  <c r="O52" i="9"/>
  <c r="V52" i="9"/>
  <c r="AB59" i="9"/>
  <c r="Z59" i="9"/>
  <c r="D65" i="9"/>
  <c r="M65" i="9" s="1"/>
  <c r="J66" i="9"/>
  <c r="D67" i="9"/>
  <c r="J98" i="9"/>
  <c r="J16" i="10"/>
  <c r="Q32" i="11"/>
  <c r="I31" i="11"/>
  <c r="Q31" i="11" s="1"/>
  <c r="X73" i="7"/>
  <c r="T75" i="7"/>
  <c r="BT74" i="7"/>
  <c r="AN74" i="7"/>
  <c r="N78" i="7"/>
  <c r="BQ74" i="7"/>
  <c r="J84" i="7"/>
  <c r="N85" i="7"/>
  <c r="D86" i="7"/>
  <c r="M86" i="7" s="1"/>
  <c r="D87" i="7"/>
  <c r="M87" i="7" s="1"/>
  <c r="N92" i="7"/>
  <c r="D95" i="7"/>
  <c r="M95" i="7" s="1"/>
  <c r="D100" i="7"/>
  <c r="M100" i="7" s="1"/>
  <c r="J101" i="7"/>
  <c r="D105" i="7"/>
  <c r="C105" i="7" s="1"/>
  <c r="J105" i="7"/>
  <c r="J109" i="7"/>
  <c r="D112" i="7"/>
  <c r="D114" i="7"/>
  <c r="J115" i="7"/>
  <c r="D26" i="8"/>
  <c r="C26" i="8" s="1"/>
  <c r="T27" i="8"/>
  <c r="D32" i="8"/>
  <c r="C32" i="8" s="1"/>
  <c r="D35" i="8"/>
  <c r="C35" i="8" s="1"/>
  <c r="N36" i="8"/>
  <c r="N37" i="8"/>
  <c r="N38" i="8"/>
  <c r="D41" i="8"/>
  <c r="T48" i="8"/>
  <c r="N54" i="8"/>
  <c r="N55" i="8"/>
  <c r="N57" i="8"/>
  <c r="T60" i="8"/>
  <c r="D62" i="8"/>
  <c r="M62" i="8" s="1"/>
  <c r="T63" i="8"/>
  <c r="N65" i="8"/>
  <c r="D72" i="8"/>
  <c r="C72" i="8" s="1"/>
  <c r="D73" i="8"/>
  <c r="C73" i="8" s="1"/>
  <c r="D78" i="8"/>
  <c r="C78" i="8" s="1"/>
  <c r="D79" i="8"/>
  <c r="F89" i="8"/>
  <c r="F10" i="8" s="1"/>
  <c r="F9" i="8" s="1"/>
  <c r="D93" i="8"/>
  <c r="M93" i="8" s="1"/>
  <c r="N105" i="8"/>
  <c r="D107" i="8"/>
  <c r="C107" i="8" s="1"/>
  <c r="K107" i="8" s="1"/>
  <c r="N28" i="9"/>
  <c r="AG28" i="9"/>
  <c r="S31" i="9"/>
  <c r="AG61" i="9"/>
  <c r="N73" i="7"/>
  <c r="D75" i="7"/>
  <c r="N75" i="7"/>
  <c r="BO75" i="7"/>
  <c r="CN74" i="7"/>
  <c r="D77" i="7"/>
  <c r="C77" i="7" s="1"/>
  <c r="AI77" i="7"/>
  <c r="X78" i="7"/>
  <c r="AT78" i="7"/>
  <c r="BC78" i="7"/>
  <c r="BL78" i="7"/>
  <c r="BU78" i="7"/>
  <c r="CD78" i="7"/>
  <c r="CM78" i="7"/>
  <c r="X80" i="7"/>
  <c r="AI80" i="7"/>
  <c r="X81" i="7"/>
  <c r="BL81" i="7"/>
  <c r="BU81" i="7"/>
  <c r="W83" i="7"/>
  <c r="AC85" i="7"/>
  <c r="W88" i="7"/>
  <c r="BI88" i="7"/>
  <c r="F89" i="7"/>
  <c r="F10" i="7" s="1"/>
  <c r="F9" i="7" s="1"/>
  <c r="J103" i="7"/>
  <c r="N107" i="7"/>
  <c r="M108" i="7"/>
  <c r="D113" i="7"/>
  <c r="C113" i="7" s="1"/>
  <c r="K113" i="7" s="1"/>
  <c r="J14" i="8"/>
  <c r="D61" i="8"/>
  <c r="C61" i="8" s="1"/>
  <c r="J104" i="8"/>
  <c r="AB17" i="9"/>
  <c r="Z17" i="9"/>
  <c r="AB24" i="9"/>
  <c r="T33" i="9"/>
  <c r="N35" i="9"/>
  <c r="AG36" i="9"/>
  <c r="AE36" i="9"/>
  <c r="W41" i="9"/>
  <c r="AE41" i="9"/>
  <c r="N42" i="9"/>
  <c r="T43" i="9"/>
  <c r="AE46" i="9"/>
  <c r="AE64" i="9"/>
  <c r="AG64" i="9"/>
  <c r="N68" i="9"/>
  <c r="E89" i="11"/>
  <c r="E10" i="11" s="1"/>
  <c r="E9" i="11" s="1"/>
  <c r="J114" i="8"/>
  <c r="J116" i="8"/>
  <c r="F13" i="9"/>
  <c r="T15" i="9"/>
  <c r="J19" i="9"/>
  <c r="J20" i="9"/>
  <c r="N22" i="9"/>
  <c r="D27" i="9"/>
  <c r="C27" i="9" s="1"/>
  <c r="K27" i="9" s="1"/>
  <c r="J32" i="9"/>
  <c r="D37" i="9"/>
  <c r="C37" i="9" s="1"/>
  <c r="T40" i="9"/>
  <c r="D43" i="9"/>
  <c r="M43" i="9" s="1"/>
  <c r="T46" i="9"/>
  <c r="D47" i="9"/>
  <c r="M47" i="9" s="1"/>
  <c r="T51" i="9"/>
  <c r="D53" i="9"/>
  <c r="M53" i="9" s="1"/>
  <c r="N55" i="9"/>
  <c r="W55" i="9"/>
  <c r="T56" i="9"/>
  <c r="D59" i="9"/>
  <c r="D62" i="9"/>
  <c r="C62" i="9" s="1"/>
  <c r="K62" i="9" s="1"/>
  <c r="J65" i="9"/>
  <c r="J67" i="9"/>
  <c r="AE68" i="9"/>
  <c r="T72" i="9"/>
  <c r="W75" i="9"/>
  <c r="D92" i="9"/>
  <c r="D105" i="9"/>
  <c r="C105" i="9" s="1"/>
  <c r="Y20" i="10"/>
  <c r="U20" i="10"/>
  <c r="AB29" i="10"/>
  <c r="Y32" i="10"/>
  <c r="AB32" i="10"/>
  <c r="U32" i="10"/>
  <c r="Y41" i="10"/>
  <c r="W41" i="10"/>
  <c r="U41" i="10"/>
  <c r="Y55" i="10"/>
  <c r="W55" i="10"/>
  <c r="Y81" i="10"/>
  <c r="U81" i="10"/>
  <c r="S31" i="11"/>
  <c r="J53" i="11"/>
  <c r="L52" i="11"/>
  <c r="AR35" i="13"/>
  <c r="AP31" i="13"/>
  <c r="D33" i="10"/>
  <c r="M33" i="10" s="1"/>
  <c r="W35" i="10"/>
  <c r="U39" i="10"/>
  <c r="Y39" i="10"/>
  <c r="J43" i="10"/>
  <c r="J47" i="10"/>
  <c r="D110" i="10"/>
  <c r="M110" i="10" s="1"/>
  <c r="D14" i="11"/>
  <c r="M14" i="11" s="1"/>
  <c r="P15" i="11"/>
  <c r="G13" i="11"/>
  <c r="H31" i="11"/>
  <c r="J45" i="11"/>
  <c r="D49" i="11"/>
  <c r="C49" i="11" s="1"/>
  <c r="K49" i="11" s="1"/>
  <c r="O52" i="11"/>
  <c r="D57" i="11"/>
  <c r="C57" i="11" s="1"/>
  <c r="K57" i="11" s="1"/>
  <c r="J60" i="11"/>
  <c r="J103" i="11"/>
  <c r="D107" i="11"/>
  <c r="C107" i="11" s="1"/>
  <c r="K107" i="11" s="1"/>
  <c r="D115" i="11"/>
  <c r="C115" i="11" s="1"/>
  <c r="K115" i="11" s="1"/>
  <c r="W60" i="12"/>
  <c r="W63" i="12"/>
  <c r="N79" i="8"/>
  <c r="D87" i="8"/>
  <c r="C87" i="8" s="1"/>
  <c r="D88" i="8"/>
  <c r="C88" i="8" s="1"/>
  <c r="J97" i="8"/>
  <c r="AG18" i="9"/>
  <c r="S13" i="9"/>
  <c r="T21" i="9"/>
  <c r="J22" i="9"/>
  <c r="D25" i="9"/>
  <c r="W30" i="9"/>
  <c r="AB41" i="9"/>
  <c r="AG41" i="9"/>
  <c r="T48" i="9"/>
  <c r="J61" i="9"/>
  <c r="AG65" i="9"/>
  <c r="AG80" i="9"/>
  <c r="AE80" i="9"/>
  <c r="AG83" i="9"/>
  <c r="AE83" i="9"/>
  <c r="AB86" i="9"/>
  <c r="N15" i="10"/>
  <c r="R13" i="10"/>
  <c r="W32" i="10"/>
  <c r="W34" i="10"/>
  <c r="F31" i="10"/>
  <c r="U42" i="10"/>
  <c r="P65" i="10"/>
  <c r="Y86" i="10"/>
  <c r="W86" i="10"/>
  <c r="U86" i="10"/>
  <c r="O89" i="10"/>
  <c r="O10" i="10" s="1"/>
  <c r="O9" i="10" s="1"/>
  <c r="D56" i="11"/>
  <c r="C56" i="11" s="1"/>
  <c r="AA51" i="12"/>
  <c r="AB51" i="12" s="1"/>
  <c r="T51" i="12"/>
  <c r="N80" i="8"/>
  <c r="N81" i="8"/>
  <c r="N82" i="8"/>
  <c r="D100" i="8"/>
  <c r="C100" i="8" s="1"/>
  <c r="K100" i="8" s="1"/>
  <c r="N104" i="8"/>
  <c r="D108" i="8"/>
  <c r="M108" i="8" s="1"/>
  <c r="J109" i="8"/>
  <c r="D111" i="8"/>
  <c r="C111" i="8" s="1"/>
  <c r="K111" i="8" s="1"/>
  <c r="D113" i="8"/>
  <c r="C113" i="8" s="1"/>
  <c r="K113" i="8" s="1"/>
  <c r="N15" i="9"/>
  <c r="Z15" i="9"/>
  <c r="AE16" i="9"/>
  <c r="N17" i="9"/>
  <c r="W18" i="9"/>
  <c r="N19" i="9"/>
  <c r="W19" i="9"/>
  <c r="T20" i="9"/>
  <c r="J23" i="9"/>
  <c r="T28" i="9"/>
  <c r="AB28" i="9"/>
  <c r="T32" i="9"/>
  <c r="AB35" i="9"/>
  <c r="AG35" i="9"/>
  <c r="Z36" i="9"/>
  <c r="J37" i="9"/>
  <c r="X31" i="9"/>
  <c r="J38" i="9"/>
  <c r="Z40" i="9"/>
  <c r="J43" i="9"/>
  <c r="T44" i="9"/>
  <c r="Z46" i="9"/>
  <c r="D49" i="9"/>
  <c r="M49" i="9" s="1"/>
  <c r="D50" i="9"/>
  <c r="C50" i="9" s="1"/>
  <c r="N51" i="9"/>
  <c r="Z51" i="9"/>
  <c r="N67" i="9"/>
  <c r="AB72" i="9"/>
  <c r="Z72" i="9"/>
  <c r="F74" i="9"/>
  <c r="F89" i="9"/>
  <c r="F10" i="9" s="1"/>
  <c r="F9" i="9" s="1"/>
  <c r="Y16" i="10"/>
  <c r="N18" i="10"/>
  <c r="W19" i="10"/>
  <c r="Y19" i="10"/>
  <c r="D39" i="10"/>
  <c r="C39" i="10" s="1"/>
  <c r="K39" i="10" s="1"/>
  <c r="X52" i="10"/>
  <c r="Y56" i="10"/>
  <c r="U56" i="10"/>
  <c r="D64" i="10"/>
  <c r="M64" i="10" s="1"/>
  <c r="Y67" i="10"/>
  <c r="W67" i="10"/>
  <c r="Y71" i="10"/>
  <c r="W71" i="10"/>
  <c r="AB71" i="10"/>
  <c r="U71" i="10"/>
  <c r="D75" i="10"/>
  <c r="Y80" i="10"/>
  <c r="W80" i="10"/>
  <c r="AB80" i="10"/>
  <c r="U80" i="10"/>
  <c r="J94" i="10"/>
  <c r="D107" i="10"/>
  <c r="C107" i="10" s="1"/>
  <c r="K107" i="10" s="1"/>
  <c r="J112" i="10"/>
  <c r="S13" i="11"/>
  <c r="J18" i="11"/>
  <c r="O31" i="11"/>
  <c r="D44" i="11"/>
  <c r="M44" i="11" s="1"/>
  <c r="J47" i="11"/>
  <c r="D48" i="11"/>
  <c r="C48" i="11" s="1"/>
  <c r="K48" i="11" s="1"/>
  <c r="J51" i="11"/>
  <c r="G52" i="11"/>
  <c r="P52" i="11" s="1"/>
  <c r="D58" i="11"/>
  <c r="C58" i="11" s="1"/>
  <c r="K58" i="11" s="1"/>
  <c r="D84" i="11"/>
  <c r="C84" i="11" s="1"/>
  <c r="K84" i="11" s="1"/>
  <c r="T18" i="12"/>
  <c r="T69" i="9"/>
  <c r="D73" i="9"/>
  <c r="C73" i="9" s="1"/>
  <c r="K73" i="9" s="1"/>
  <c r="J77" i="9"/>
  <c r="V74" i="9"/>
  <c r="D79" i="9"/>
  <c r="M79" i="9" s="1"/>
  <c r="J79" i="9"/>
  <c r="D84" i="9"/>
  <c r="M84" i="9" s="1"/>
  <c r="D96" i="9"/>
  <c r="C96" i="9" s="1"/>
  <c r="J99" i="9"/>
  <c r="D103" i="9"/>
  <c r="M103" i="9" s="1"/>
  <c r="D106" i="9"/>
  <c r="M106" i="9" s="1"/>
  <c r="D112" i="9"/>
  <c r="C112" i="9" s="1"/>
  <c r="K112" i="9" s="1"/>
  <c r="Y14" i="10"/>
  <c r="T13" i="10"/>
  <c r="D21" i="10"/>
  <c r="N23" i="10"/>
  <c r="Y23" i="10"/>
  <c r="J26" i="10"/>
  <c r="D27" i="10"/>
  <c r="M27" i="10" s="1"/>
  <c r="D30" i="10"/>
  <c r="M30" i="10" s="1"/>
  <c r="J34" i="10"/>
  <c r="D36" i="10"/>
  <c r="M36" i="10" s="1"/>
  <c r="AB41" i="10"/>
  <c r="Y44" i="10"/>
  <c r="M50" i="10"/>
  <c r="J50" i="10"/>
  <c r="J59" i="10"/>
  <c r="AB68" i="10"/>
  <c r="J71" i="10"/>
  <c r="J77" i="10"/>
  <c r="N11" i="10"/>
  <c r="J115" i="10"/>
  <c r="D18" i="11"/>
  <c r="C18" i="11" s="1"/>
  <c r="K18" i="11" s="1"/>
  <c r="F52" i="11"/>
  <c r="O74" i="11"/>
  <c r="H13" i="12"/>
  <c r="AB44" i="10"/>
  <c r="Y51" i="10"/>
  <c r="Y53" i="10"/>
  <c r="J80" i="10"/>
  <c r="J98" i="10"/>
  <c r="J103" i="10"/>
  <c r="P115" i="10"/>
  <c r="I13" i="11"/>
  <c r="D23" i="11"/>
  <c r="C23" i="11" s="1"/>
  <c r="K23" i="11" s="1"/>
  <c r="D25" i="11"/>
  <c r="C25" i="11" s="1"/>
  <c r="K25" i="11" s="1"/>
  <c r="D35" i="11"/>
  <c r="C35" i="11" s="1"/>
  <c r="K35" i="11" s="1"/>
  <c r="T56" i="11"/>
  <c r="D65" i="11"/>
  <c r="C65" i="11" s="1"/>
  <c r="K65" i="11" s="1"/>
  <c r="D67" i="11"/>
  <c r="M67" i="11" s="1"/>
  <c r="I74" i="11"/>
  <c r="J76" i="11"/>
  <c r="L74" i="11"/>
  <c r="D83" i="11"/>
  <c r="C83" i="11" s="1"/>
  <c r="K83" i="11" s="1"/>
  <c r="F74" i="11"/>
  <c r="D85" i="11"/>
  <c r="C85" i="11" s="1"/>
  <c r="K85" i="11" s="1"/>
  <c r="J94" i="11"/>
  <c r="D113" i="11"/>
  <c r="C113" i="11" s="1"/>
  <c r="K113" i="11" s="1"/>
  <c r="AA22" i="12"/>
  <c r="AB22" i="12" s="1"/>
  <c r="AA27" i="12"/>
  <c r="AB27" i="12" s="1"/>
  <c r="J35" i="12"/>
  <c r="Y31" i="12"/>
  <c r="AA50" i="12"/>
  <c r="AB50" i="12" s="1"/>
  <c r="W69" i="9"/>
  <c r="D72" i="9"/>
  <c r="M72" i="9" s="1"/>
  <c r="J76" i="9"/>
  <c r="AG88" i="9"/>
  <c r="D93" i="9"/>
  <c r="D97" i="9"/>
  <c r="M97" i="9" s="1"/>
  <c r="N114" i="9"/>
  <c r="W16" i="10"/>
  <c r="N17" i="10"/>
  <c r="Y18" i="10"/>
  <c r="X13" i="10"/>
  <c r="J24" i="10"/>
  <c r="J28" i="10"/>
  <c r="W29" i="10"/>
  <c r="X31" i="10"/>
  <c r="J37" i="10"/>
  <c r="Y38" i="10"/>
  <c r="J40" i="10"/>
  <c r="D42" i="10"/>
  <c r="U44" i="10"/>
  <c r="J45" i="10"/>
  <c r="N51" i="10"/>
  <c r="J54" i="10"/>
  <c r="W56" i="10"/>
  <c r="J65" i="10"/>
  <c r="U65" i="10"/>
  <c r="AB65" i="10"/>
  <c r="J70" i="10"/>
  <c r="D81" i="10"/>
  <c r="U83" i="10"/>
  <c r="AB83" i="10"/>
  <c r="J92" i="10"/>
  <c r="J104" i="10"/>
  <c r="J109" i="10"/>
  <c r="D15" i="11"/>
  <c r="M15" i="11" s="1"/>
  <c r="D22" i="11"/>
  <c r="C22" i="11" s="1"/>
  <c r="K22" i="11" s="1"/>
  <c r="N30" i="11"/>
  <c r="L31" i="11"/>
  <c r="F31" i="11"/>
  <c r="J50" i="11"/>
  <c r="J62" i="11"/>
  <c r="J64" i="11"/>
  <c r="J69" i="11"/>
  <c r="J82" i="11"/>
  <c r="J87" i="11"/>
  <c r="J99" i="11"/>
  <c r="D26" i="12"/>
  <c r="C26" i="12" s="1"/>
  <c r="D35" i="12"/>
  <c r="C35" i="12" s="1"/>
  <c r="O31" i="12"/>
  <c r="X31" i="12"/>
  <c r="D81" i="12"/>
  <c r="M81" i="12" s="1"/>
  <c r="AY13" i="13"/>
  <c r="AG68" i="9"/>
  <c r="AE72" i="9"/>
  <c r="AB75" i="9"/>
  <c r="D76" i="9"/>
  <c r="M76" i="9" s="1"/>
  <c r="D78" i="9"/>
  <c r="M78" i="9" s="1"/>
  <c r="D81" i="9"/>
  <c r="M81" i="9" s="1"/>
  <c r="D83" i="9"/>
  <c r="D86" i="9"/>
  <c r="C86" i="9" s="1"/>
  <c r="K86" i="9" s="1"/>
  <c r="J88" i="9"/>
  <c r="D90" i="9"/>
  <c r="M90" i="9" s="1"/>
  <c r="J92" i="9"/>
  <c r="J102" i="9"/>
  <c r="J105" i="9"/>
  <c r="D107" i="9"/>
  <c r="C107" i="9" s="1"/>
  <c r="K107" i="9" s="1"/>
  <c r="D109" i="9"/>
  <c r="M109" i="9" s="1"/>
  <c r="J111" i="9"/>
  <c r="D113" i="9"/>
  <c r="C113" i="9" s="1"/>
  <c r="K113" i="9" s="1"/>
  <c r="D115" i="9"/>
  <c r="C115" i="9" s="1"/>
  <c r="K115" i="9" s="1"/>
  <c r="J116" i="9"/>
  <c r="Y17" i="10"/>
  <c r="J22" i="10"/>
  <c r="D24" i="10"/>
  <c r="D28" i="10"/>
  <c r="C28" i="10" s="1"/>
  <c r="N30" i="10"/>
  <c r="N35" i="10"/>
  <c r="Y36" i="10"/>
  <c r="AB38" i="10"/>
  <c r="J39" i="10"/>
  <c r="Y40" i="10"/>
  <c r="J44" i="10"/>
  <c r="W44" i="10"/>
  <c r="D45" i="10"/>
  <c r="N46" i="10"/>
  <c r="N50" i="10"/>
  <c r="D53" i="10"/>
  <c r="C53" i="10" s="1"/>
  <c r="U53" i="10"/>
  <c r="D54" i="10"/>
  <c r="M54" i="10" s="1"/>
  <c r="N57" i="10"/>
  <c r="N59" i="10"/>
  <c r="J61" i="10"/>
  <c r="D62" i="10"/>
  <c r="M62" i="10" s="1"/>
  <c r="N63" i="10"/>
  <c r="J64" i="10"/>
  <c r="J66" i="10"/>
  <c r="N68" i="10"/>
  <c r="D70" i="10"/>
  <c r="C70" i="10" s="1"/>
  <c r="Y70" i="10"/>
  <c r="J73" i="10"/>
  <c r="J75" i="10"/>
  <c r="D79" i="10"/>
  <c r="C79" i="10" s="1"/>
  <c r="K79" i="10" s="1"/>
  <c r="N82" i="10"/>
  <c r="D83" i="10"/>
  <c r="M83" i="10" s="1"/>
  <c r="D84" i="10"/>
  <c r="M84" i="10" s="1"/>
  <c r="N86" i="10"/>
  <c r="J88" i="10"/>
  <c r="N96" i="10"/>
  <c r="D97" i="10"/>
  <c r="M97" i="10" s="1"/>
  <c r="J101" i="10"/>
  <c r="N104" i="10"/>
  <c r="N106" i="10"/>
  <c r="J110" i="10"/>
  <c r="J14" i="11"/>
  <c r="D19" i="11"/>
  <c r="C19" i="11" s="1"/>
  <c r="K19" i="11" s="1"/>
  <c r="O13" i="11"/>
  <c r="T30" i="11"/>
  <c r="N36" i="11"/>
  <c r="J44" i="11"/>
  <c r="J46" i="11"/>
  <c r="D47" i="11"/>
  <c r="M47" i="11" s="1"/>
  <c r="J49" i="11"/>
  <c r="D50" i="11"/>
  <c r="M50" i="11" s="1"/>
  <c r="J56" i="11"/>
  <c r="J58" i="11"/>
  <c r="D59" i="11"/>
  <c r="C59" i="11" s="1"/>
  <c r="K59" i="11" s="1"/>
  <c r="J61" i="11"/>
  <c r="D62" i="11"/>
  <c r="C62" i="11" s="1"/>
  <c r="K62" i="11" s="1"/>
  <c r="J66" i="11"/>
  <c r="D69" i="11"/>
  <c r="C69" i="11" s="1"/>
  <c r="J84" i="11"/>
  <c r="Q86" i="11"/>
  <c r="D87" i="11"/>
  <c r="C87" i="11" s="1"/>
  <c r="K87" i="11" s="1"/>
  <c r="D99" i="11"/>
  <c r="M99" i="11" s="1"/>
  <c r="T21" i="12"/>
  <c r="D25" i="12"/>
  <c r="M25" i="12" s="1"/>
  <c r="J28" i="12"/>
  <c r="T38" i="12"/>
  <c r="T43" i="12"/>
  <c r="C46" i="12"/>
  <c r="M46" i="12"/>
  <c r="J48" i="12"/>
  <c r="N49" i="12"/>
  <c r="P53" i="12"/>
  <c r="G52" i="12"/>
  <c r="N94" i="12"/>
  <c r="H89" i="12"/>
  <c r="H10" i="12" s="1"/>
  <c r="H9" i="12" s="1"/>
  <c r="J98" i="12"/>
  <c r="D90" i="11"/>
  <c r="J91" i="11"/>
  <c r="D101" i="11"/>
  <c r="J18" i="12"/>
  <c r="AA19" i="12"/>
  <c r="AB19" i="12" s="1"/>
  <c r="J20" i="12"/>
  <c r="D21" i="12"/>
  <c r="C21" i="12" s="1"/>
  <c r="N24" i="12"/>
  <c r="AA24" i="12"/>
  <c r="AB24" i="12" s="1"/>
  <c r="N28" i="12"/>
  <c r="I31" i="12"/>
  <c r="AA33" i="12"/>
  <c r="AB33" i="12" s="1"/>
  <c r="J34" i="12"/>
  <c r="AA42" i="12"/>
  <c r="AB42" i="12" s="1"/>
  <c r="AA47" i="12"/>
  <c r="AB47" i="12" s="1"/>
  <c r="N48" i="12"/>
  <c r="AA53" i="12"/>
  <c r="AB53" i="12" s="1"/>
  <c r="N54" i="12"/>
  <c r="AA54" i="12"/>
  <c r="AB54" i="12" s="1"/>
  <c r="AA56" i="12"/>
  <c r="AB56" i="12" s="1"/>
  <c r="J57" i="12"/>
  <c r="AA67" i="12"/>
  <c r="AB67" i="12" s="1"/>
  <c r="S74" i="12"/>
  <c r="AA82" i="12"/>
  <c r="AB82" i="12" s="1"/>
  <c r="AA86" i="12"/>
  <c r="AB86" i="12" s="1"/>
  <c r="O89" i="12"/>
  <c r="O10" i="12" s="1"/>
  <c r="BB31" i="13"/>
  <c r="AI31" i="13"/>
  <c r="N69" i="11"/>
  <c r="T86" i="11"/>
  <c r="N88" i="11"/>
  <c r="T88" i="11"/>
  <c r="J100" i="11"/>
  <c r="D18" i="12"/>
  <c r="C18" i="12" s="1"/>
  <c r="J23" i="12"/>
  <c r="T24" i="12"/>
  <c r="J27" i="12"/>
  <c r="AA28" i="12"/>
  <c r="AB28" i="12" s="1"/>
  <c r="J29" i="12"/>
  <c r="J30" i="12"/>
  <c r="D37" i="12"/>
  <c r="AA39" i="12"/>
  <c r="AB39" i="12" s="1"/>
  <c r="W40" i="12"/>
  <c r="W43" i="12"/>
  <c r="D45" i="12"/>
  <c r="M45" i="12" s="1"/>
  <c r="D49" i="12"/>
  <c r="J60" i="12"/>
  <c r="D63" i="12"/>
  <c r="M63" i="12" s="1"/>
  <c r="N64" i="12"/>
  <c r="T70" i="12"/>
  <c r="J110" i="12"/>
  <c r="D113" i="12"/>
  <c r="D15" i="13"/>
  <c r="M15" i="13" s="1"/>
  <c r="AF17" i="13"/>
  <c r="R31" i="13"/>
  <c r="J43" i="13"/>
  <c r="P75" i="11"/>
  <c r="N97" i="11"/>
  <c r="J17" i="12"/>
  <c r="AA18" i="12"/>
  <c r="AB18" i="12" s="1"/>
  <c r="AA21" i="12"/>
  <c r="AB21" i="12" s="1"/>
  <c r="D23" i="12"/>
  <c r="C23" i="12" s="1"/>
  <c r="N32" i="12"/>
  <c r="N33" i="12"/>
  <c r="T33" i="12"/>
  <c r="T34" i="12"/>
  <c r="T35" i="12"/>
  <c r="AA37" i="12"/>
  <c r="AB37" i="12" s="1"/>
  <c r="J47" i="12"/>
  <c r="W62" i="12"/>
  <c r="J65" i="12"/>
  <c r="BA31" i="13"/>
  <c r="BD33" i="13"/>
  <c r="J65" i="11"/>
  <c r="J67" i="11"/>
  <c r="D68" i="11"/>
  <c r="C68" i="11" s="1"/>
  <c r="K68" i="11" s="1"/>
  <c r="J70" i="11"/>
  <c r="D71" i="11"/>
  <c r="C71" i="11" s="1"/>
  <c r="K71" i="11" s="1"/>
  <c r="T76" i="11"/>
  <c r="J83" i="11"/>
  <c r="J85" i="11"/>
  <c r="D86" i="11"/>
  <c r="C86" i="11" s="1"/>
  <c r="J88" i="11"/>
  <c r="J92" i="11"/>
  <c r="D96" i="11"/>
  <c r="M96" i="11" s="1"/>
  <c r="J96" i="11"/>
  <c r="D98" i="11"/>
  <c r="M98" i="11" s="1"/>
  <c r="J105" i="11"/>
  <c r="J107" i="11"/>
  <c r="J109" i="11"/>
  <c r="J111" i="11"/>
  <c r="J113" i="11"/>
  <c r="J115" i="11"/>
  <c r="W16" i="12"/>
  <c r="D17" i="12"/>
  <c r="M17" i="12" s="1"/>
  <c r="AA25" i="12"/>
  <c r="AB25" i="12" s="1"/>
  <c r="J26" i="12"/>
  <c r="D30" i="12"/>
  <c r="C30" i="12" s="1"/>
  <c r="AA30" i="12"/>
  <c r="AB30" i="12" s="1"/>
  <c r="AA40" i="12"/>
  <c r="AB40" i="12" s="1"/>
  <c r="AA43" i="12"/>
  <c r="AB43" i="12" s="1"/>
  <c r="W46" i="12"/>
  <c r="D47" i="12"/>
  <c r="C47" i="12" s="1"/>
  <c r="W57" i="12"/>
  <c r="W66" i="12"/>
  <c r="J69" i="12"/>
  <c r="W75" i="12"/>
  <c r="T77" i="12"/>
  <c r="J81" i="12"/>
  <c r="F74" i="12"/>
  <c r="D93" i="12"/>
  <c r="C93" i="12" s="1"/>
  <c r="K93" i="12" s="1"/>
  <c r="D106" i="12"/>
  <c r="M106" i="12" s="1"/>
  <c r="D115" i="12"/>
  <c r="M115" i="12" s="1"/>
  <c r="Y14" i="13"/>
  <c r="AR27" i="13"/>
  <c r="L31" i="13"/>
  <c r="Y36" i="13"/>
  <c r="AF36" i="13"/>
  <c r="P55" i="12"/>
  <c r="Z52" i="12"/>
  <c r="J56" i="12"/>
  <c r="D58" i="12"/>
  <c r="M58" i="12" s="1"/>
  <c r="AA61" i="12"/>
  <c r="AB61" i="12" s="1"/>
  <c r="D64" i="12"/>
  <c r="AA76" i="12"/>
  <c r="AB76" i="12" s="1"/>
  <c r="AV17" i="13"/>
  <c r="J38" i="13"/>
  <c r="AN38" i="13"/>
  <c r="AN42" i="13"/>
  <c r="U44" i="13"/>
  <c r="AC44" i="13"/>
  <c r="AM52" i="13"/>
  <c r="Y76" i="13"/>
  <c r="AF76" i="13"/>
  <c r="AD74" i="13"/>
  <c r="D56" i="12"/>
  <c r="C56" i="12" s="1"/>
  <c r="W61" i="12"/>
  <c r="N63" i="12"/>
  <c r="N66" i="12"/>
  <c r="AA69" i="12"/>
  <c r="AB69" i="12" s="1"/>
  <c r="D70" i="12"/>
  <c r="M70" i="12" s="1"/>
  <c r="N75" i="12"/>
  <c r="N84" i="12"/>
  <c r="E89" i="12"/>
  <c r="E10" i="12" s="1"/>
  <c r="E9" i="12" s="1"/>
  <c r="D116" i="12"/>
  <c r="M116" i="12" s="1"/>
  <c r="Y16" i="13"/>
  <c r="P17" i="13"/>
  <c r="O13" i="13"/>
  <c r="Y22" i="13"/>
  <c r="P25" i="13"/>
  <c r="AU31" i="13"/>
  <c r="P43" i="13"/>
  <c r="W74" i="13"/>
  <c r="Q55" i="12"/>
  <c r="W55" i="12"/>
  <c r="N57" i="12"/>
  <c r="N58" i="12"/>
  <c r="W58" i="12"/>
  <c r="N60" i="12"/>
  <c r="D67" i="12"/>
  <c r="J70" i="12"/>
  <c r="AA72" i="12"/>
  <c r="AB72" i="12" s="1"/>
  <c r="D73" i="12"/>
  <c r="M73" i="12" s="1"/>
  <c r="AA79" i="12"/>
  <c r="AB79" i="12" s="1"/>
  <c r="W80" i="12"/>
  <c r="W82" i="12"/>
  <c r="D83" i="12"/>
  <c r="M83" i="12" s="1"/>
  <c r="W86" i="12"/>
  <c r="D87" i="12"/>
  <c r="C87" i="12" s="1"/>
  <c r="J96" i="12"/>
  <c r="J104" i="12"/>
  <c r="J105" i="12"/>
  <c r="S13" i="13"/>
  <c r="N17" i="13"/>
  <c r="P23" i="13"/>
  <c r="N24" i="13"/>
  <c r="AV24" i="13"/>
  <c r="N25" i="13"/>
  <c r="U25" i="13"/>
  <c r="AW31" i="13"/>
  <c r="BC31" i="13"/>
  <c r="N33" i="13"/>
  <c r="U33" i="13"/>
  <c r="AO31" i="13"/>
  <c r="AR33" i="13"/>
  <c r="P36" i="13"/>
  <c r="P42" i="13"/>
  <c r="J55" i="12"/>
  <c r="T59" i="12"/>
  <c r="N62" i="12"/>
  <c r="I74" i="12"/>
  <c r="Q76" i="12"/>
  <c r="N78" i="12"/>
  <c r="D82" i="12"/>
  <c r="C82" i="12" s="1"/>
  <c r="J84" i="12"/>
  <c r="D86" i="12"/>
  <c r="C86" i="12" s="1"/>
  <c r="J93" i="12"/>
  <c r="D96" i="12"/>
  <c r="C96" i="12" s="1"/>
  <c r="K96" i="12" s="1"/>
  <c r="J101" i="12"/>
  <c r="J106" i="12"/>
  <c r="J108" i="12"/>
  <c r="N14" i="13"/>
  <c r="J15" i="13"/>
  <c r="AN15" i="13"/>
  <c r="U16" i="13"/>
  <c r="Q17" i="13"/>
  <c r="P18" i="13"/>
  <c r="AC18" i="13"/>
  <c r="AJ18" i="13"/>
  <c r="AR18" i="13"/>
  <c r="D19" i="13"/>
  <c r="C19" i="13" s="1"/>
  <c r="U20" i="13"/>
  <c r="AL13" i="13"/>
  <c r="AV20" i="13"/>
  <c r="U21" i="13"/>
  <c r="U22" i="13"/>
  <c r="AC22" i="13"/>
  <c r="N23" i="13"/>
  <c r="Y24" i="13"/>
  <c r="N29" i="13"/>
  <c r="AR29" i="13"/>
  <c r="AZ29" i="13"/>
  <c r="AN36" i="13"/>
  <c r="N39" i="13"/>
  <c r="BD44" i="13"/>
  <c r="Y23" i="13"/>
  <c r="AV23" i="13"/>
  <c r="BD23" i="13"/>
  <c r="AJ24" i="13"/>
  <c r="AR24" i="13"/>
  <c r="Y25" i="13"/>
  <c r="J26" i="13"/>
  <c r="AN26" i="13"/>
  <c r="AV26" i="13"/>
  <c r="AZ27" i="13"/>
  <c r="Q28" i="13"/>
  <c r="AC28" i="13"/>
  <c r="AJ28" i="13"/>
  <c r="Y29" i="13"/>
  <c r="U30" i="13"/>
  <c r="AQ31" i="13"/>
  <c r="Q34" i="13"/>
  <c r="AC35" i="13"/>
  <c r="AJ35" i="13"/>
  <c r="AV36" i="13"/>
  <c r="J37" i="13"/>
  <c r="Y37" i="13"/>
  <c r="Q38" i="13"/>
  <c r="AC38" i="13"/>
  <c r="AJ38" i="13"/>
  <c r="AC39" i="13"/>
  <c r="AJ39" i="13"/>
  <c r="AN40" i="13"/>
  <c r="AV40" i="13"/>
  <c r="N42" i="13"/>
  <c r="AJ42" i="13"/>
  <c r="AN43" i="13"/>
  <c r="AV43" i="13"/>
  <c r="U45" i="13"/>
  <c r="Y47" i="13"/>
  <c r="U48" i="13"/>
  <c r="AZ48" i="13"/>
  <c r="Q49" i="13"/>
  <c r="U49" i="13"/>
  <c r="Y50" i="13"/>
  <c r="AF50" i="13"/>
  <c r="AB52" i="13"/>
  <c r="AY52" i="13"/>
  <c r="AG52" i="13"/>
  <c r="AV61" i="13"/>
  <c r="AS52" i="13"/>
  <c r="Q71" i="13"/>
  <c r="AJ83" i="13"/>
  <c r="D84" i="13"/>
  <c r="M84" i="13" s="1"/>
  <c r="E74" i="13"/>
  <c r="M86" i="13"/>
  <c r="D99" i="13"/>
  <c r="C99" i="13" s="1"/>
  <c r="AN27" i="13"/>
  <c r="U28" i="13"/>
  <c r="Y30" i="13"/>
  <c r="AJ32" i="13"/>
  <c r="N36" i="13"/>
  <c r="AV37" i="13"/>
  <c r="Y41" i="13"/>
  <c r="Q46" i="13"/>
  <c r="Y48" i="13"/>
  <c r="Y49" i="13"/>
  <c r="AR54" i="13"/>
  <c r="AC56" i="13"/>
  <c r="Y66" i="13"/>
  <c r="AF77" i="13"/>
  <c r="AE74" i="13"/>
  <c r="AJ40" i="13"/>
  <c r="N43" i="13"/>
  <c r="AJ43" i="13"/>
  <c r="P44" i="13"/>
  <c r="J45" i="13"/>
  <c r="AV47" i="13"/>
  <c r="AV48" i="13"/>
  <c r="J49" i="13"/>
  <c r="AV49" i="13"/>
  <c r="BD51" i="13"/>
  <c r="AC57" i="13"/>
  <c r="Q72" i="13"/>
  <c r="AB74" i="13"/>
  <c r="AZ26" i="13"/>
  <c r="AF27" i="13"/>
  <c r="J28" i="13"/>
  <c r="AJ29" i="13"/>
  <c r="AJ30" i="13"/>
  <c r="AF33" i="13"/>
  <c r="AN34" i="13"/>
  <c r="AV34" i="13"/>
  <c r="Y35" i="13"/>
  <c r="AZ35" i="13"/>
  <c r="N37" i="13"/>
  <c r="AJ37" i="13"/>
  <c r="Y38" i="13"/>
  <c r="Y39" i="13"/>
  <c r="AV41" i="13"/>
  <c r="Y42" i="13"/>
  <c r="AZ42" i="13"/>
  <c r="Q43" i="13"/>
  <c r="AV44" i="13"/>
  <c r="AV45" i="13"/>
  <c r="U46" i="13"/>
  <c r="AC47" i="13"/>
  <c r="AJ47" i="13"/>
  <c r="P48" i="13"/>
  <c r="AC65" i="13"/>
  <c r="AC70" i="13"/>
  <c r="F74" i="13"/>
  <c r="AL74" i="13"/>
  <c r="Y82" i="13"/>
  <c r="V74" i="13"/>
  <c r="AN53" i="13"/>
  <c r="AZ54" i="13"/>
  <c r="AJ57" i="13"/>
  <c r="AZ57" i="13"/>
  <c r="D59" i="13"/>
  <c r="C59" i="13" s="1"/>
  <c r="P60" i="13"/>
  <c r="P61" i="13"/>
  <c r="AJ65" i="13"/>
  <c r="AQ52" i="13"/>
  <c r="U69" i="13"/>
  <c r="P76" i="13"/>
  <c r="P77" i="13"/>
  <c r="P78" i="13"/>
  <c r="P80" i="13"/>
  <c r="AF80" i="13"/>
  <c r="J82" i="13"/>
  <c r="AN82" i="13"/>
  <c r="AI74" i="13"/>
  <c r="D85" i="13"/>
  <c r="Y85" i="13"/>
  <c r="AF87" i="13"/>
  <c r="Q88" i="13"/>
  <c r="U88" i="13"/>
  <c r="AC50" i="13"/>
  <c r="O52" i="13"/>
  <c r="J55" i="13"/>
  <c r="AN55" i="13"/>
  <c r="Y56" i="13"/>
  <c r="AJ56" i="13"/>
  <c r="D58" i="13"/>
  <c r="C58" i="13" s="1"/>
  <c r="P59" i="13"/>
  <c r="N61" i="13"/>
  <c r="AJ63" i="13"/>
  <c r="P66" i="13"/>
  <c r="AV69" i="13"/>
  <c r="J70" i="13"/>
  <c r="P71" i="13"/>
  <c r="P72" i="13"/>
  <c r="U72" i="13"/>
  <c r="BB74" i="13"/>
  <c r="BD78" i="13"/>
  <c r="O74" i="13"/>
  <c r="Y84" i="13"/>
  <c r="AN84" i="13"/>
  <c r="AF85" i="13"/>
  <c r="AF86" i="13"/>
  <c r="J88" i="13"/>
  <c r="D92" i="13"/>
  <c r="M92" i="13" s="1"/>
  <c r="N97" i="13"/>
  <c r="N99" i="13"/>
  <c r="J100" i="13"/>
  <c r="N51" i="13"/>
  <c r="U51" i="13"/>
  <c r="AZ51" i="13"/>
  <c r="Q53" i="13"/>
  <c r="AJ53" i="13"/>
  <c r="AV54" i="13"/>
  <c r="N59" i="13"/>
  <c r="D64" i="13"/>
  <c r="M64" i="13" s="1"/>
  <c r="D65" i="13"/>
  <c r="Y65" i="13"/>
  <c r="AF65" i="13"/>
  <c r="AJ67" i="13"/>
  <c r="BD70" i="13"/>
  <c r="N72" i="13"/>
  <c r="P73" i="13"/>
  <c r="AC76" i="13"/>
  <c r="AC78" i="13"/>
  <c r="J79" i="13"/>
  <c r="Q80" i="13"/>
  <c r="N86" i="13"/>
  <c r="Q87" i="13"/>
  <c r="AC87" i="13"/>
  <c r="D88" i="13"/>
  <c r="C88" i="13" s="1"/>
  <c r="O89" i="13"/>
  <c r="O10" i="13" s="1"/>
  <c r="O9" i="13" s="1"/>
  <c r="D106" i="13"/>
  <c r="C106" i="13" s="1"/>
  <c r="K106" i="13" s="1"/>
  <c r="D109" i="13"/>
  <c r="M109" i="13" s="1"/>
  <c r="Y51" i="13"/>
  <c r="AA52" i="13"/>
  <c r="AC54" i="13"/>
  <c r="AJ54" i="13"/>
  <c r="AT52" i="13"/>
  <c r="AC55" i="13"/>
  <c r="N56" i="13"/>
  <c r="X52" i="13"/>
  <c r="G52" i="13"/>
  <c r="N58" i="13"/>
  <c r="U58" i="13"/>
  <c r="J60" i="13"/>
  <c r="J61" i="13"/>
  <c r="AF62" i="13"/>
  <c r="AF63" i="13"/>
  <c r="AZ66" i="13"/>
  <c r="D67" i="13"/>
  <c r="M67" i="13" s="1"/>
  <c r="AN67" i="13"/>
  <c r="BD67" i="13"/>
  <c r="N68" i="13"/>
  <c r="AV68" i="13"/>
  <c r="D75" i="13"/>
  <c r="M75" i="13" s="1"/>
  <c r="J76" i="13"/>
  <c r="T74" i="13"/>
  <c r="AZ76" i="13"/>
  <c r="J77" i="13"/>
  <c r="J78" i="13"/>
  <c r="AZ78" i="13"/>
  <c r="D79" i="13"/>
  <c r="C79" i="13" s="1"/>
  <c r="J80" i="13"/>
  <c r="AA74" i="13"/>
  <c r="U83" i="13"/>
  <c r="AV83" i="13"/>
  <c r="N85" i="13"/>
  <c r="Q86" i="13"/>
  <c r="AU74" i="13"/>
  <c r="N92" i="13"/>
  <c r="J93" i="13"/>
  <c r="D100" i="13"/>
  <c r="C100" i="13" s="1"/>
  <c r="J101" i="13"/>
  <c r="D103" i="13"/>
  <c r="M103" i="13" s="1"/>
  <c r="D115" i="13"/>
  <c r="M115" i="13" s="1"/>
  <c r="J59" i="13"/>
  <c r="AZ59" i="13"/>
  <c r="BD63" i="13"/>
  <c r="J66" i="13"/>
  <c r="AR68" i="13"/>
  <c r="AZ68" i="13"/>
  <c r="P70" i="13"/>
  <c r="U70" i="13"/>
  <c r="J71" i="13"/>
  <c r="J72" i="13"/>
  <c r="X74" i="13"/>
  <c r="AX74" i="13"/>
  <c r="N76" i="13"/>
  <c r="AQ74" i="13"/>
  <c r="D77" i="13"/>
  <c r="C77" i="13" s="1"/>
  <c r="AN77" i="13"/>
  <c r="D78" i="13"/>
  <c r="C78" i="13" s="1"/>
  <c r="AN80" i="13"/>
  <c r="AY74" i="13"/>
  <c r="AC81" i="13"/>
  <c r="N82" i="13"/>
  <c r="AZ83" i="13"/>
  <c r="J86" i="13"/>
  <c r="D87" i="13"/>
  <c r="AN87" i="13"/>
  <c r="P88" i="13"/>
  <c r="AR88" i="13"/>
  <c r="AZ88" i="13"/>
  <c r="D101" i="13"/>
  <c r="C101" i="13" s="1"/>
  <c r="D107" i="13"/>
  <c r="C107" i="13" s="1"/>
  <c r="K107" i="13" s="1"/>
  <c r="J113" i="13"/>
  <c r="AQ14" i="2"/>
  <c r="AM13" i="2"/>
  <c r="J55" i="3"/>
  <c r="L52" i="3"/>
  <c r="T19" i="7"/>
  <c r="R13" i="7"/>
  <c r="Y13" i="1"/>
  <c r="V17" i="1"/>
  <c r="V20" i="1"/>
  <c r="W20" i="1" s="1"/>
  <c r="V23" i="1"/>
  <c r="V25" i="1"/>
  <c r="V27" i="1"/>
  <c r="V29" i="1"/>
  <c r="V33" i="1"/>
  <c r="V35" i="1"/>
  <c r="V37" i="1"/>
  <c r="V39" i="1"/>
  <c r="V41" i="1"/>
  <c r="V43" i="1"/>
  <c r="V45" i="1"/>
  <c r="V47" i="1"/>
  <c r="V49" i="1"/>
  <c r="V51" i="1"/>
  <c r="V53" i="1"/>
  <c r="V55" i="1"/>
  <c r="V57" i="1"/>
  <c r="V59" i="1"/>
  <c r="V61" i="1"/>
  <c r="V63" i="1"/>
  <c r="V65" i="1"/>
  <c r="V67" i="1"/>
  <c r="V69" i="1"/>
  <c r="V71" i="1"/>
  <c r="C72" i="1"/>
  <c r="V73" i="1"/>
  <c r="V75" i="1"/>
  <c r="N79" i="1"/>
  <c r="H89" i="1"/>
  <c r="O89" i="1"/>
  <c r="O10" i="1" s="1"/>
  <c r="O9" i="1" s="1"/>
  <c r="J94" i="1"/>
  <c r="N96" i="1"/>
  <c r="J104" i="1"/>
  <c r="L11" i="1"/>
  <c r="S13" i="2"/>
  <c r="E31" i="2"/>
  <c r="AX31" i="2"/>
  <c r="AZ32" i="2"/>
  <c r="AU31" i="2"/>
  <c r="AP31" i="2"/>
  <c r="J37" i="2"/>
  <c r="N37" i="2"/>
  <c r="C42" i="2"/>
  <c r="M42" i="2"/>
  <c r="AE52" i="2"/>
  <c r="AK52" i="2"/>
  <c r="AS52" i="2"/>
  <c r="R52" i="2"/>
  <c r="T55" i="2"/>
  <c r="D56" i="2"/>
  <c r="F52" i="2"/>
  <c r="N58" i="2"/>
  <c r="J62" i="2"/>
  <c r="AO67" i="2"/>
  <c r="AF74" i="2"/>
  <c r="AO77" i="2"/>
  <c r="AL74" i="2"/>
  <c r="AS74" i="2"/>
  <c r="AY74" i="2"/>
  <c r="AR74" i="2"/>
  <c r="J79" i="2"/>
  <c r="L74" i="2"/>
  <c r="AG74" i="2"/>
  <c r="AQ80" i="2"/>
  <c r="AM74" i="2"/>
  <c r="J91" i="2"/>
  <c r="E13" i="3"/>
  <c r="O89" i="3"/>
  <c r="O10" i="3" s="1"/>
  <c r="O9" i="3" s="1"/>
  <c r="J90" i="3"/>
  <c r="P53" i="4"/>
  <c r="G52" i="4"/>
  <c r="J14" i="3"/>
  <c r="L13" i="3"/>
  <c r="O13" i="3"/>
  <c r="G13" i="1"/>
  <c r="Z13" i="1"/>
  <c r="AF13" i="1"/>
  <c r="Y52" i="1"/>
  <c r="Y74" i="1"/>
  <c r="R80" i="1"/>
  <c r="U80" i="1" s="1"/>
  <c r="R83" i="1"/>
  <c r="U83" i="1" s="1"/>
  <c r="L89" i="1"/>
  <c r="J93" i="1"/>
  <c r="D106" i="1"/>
  <c r="I13" i="2"/>
  <c r="Q14" i="2"/>
  <c r="U13" i="2"/>
  <c r="X14" i="2"/>
  <c r="L31" i="2"/>
  <c r="AR31" i="2"/>
  <c r="AT31" i="2"/>
  <c r="Y52" i="2"/>
  <c r="Z53" i="2"/>
  <c r="AF52" i="2"/>
  <c r="AT52" i="2"/>
  <c r="R74" i="2"/>
  <c r="T76" i="2"/>
  <c r="F74" i="2"/>
  <c r="D77" i="2"/>
  <c r="I89" i="2"/>
  <c r="Q94" i="2"/>
  <c r="C116" i="2"/>
  <c r="K116" i="2" s="1"/>
  <c r="M116" i="2"/>
  <c r="D14" i="3"/>
  <c r="F13" i="3"/>
  <c r="J18" i="3"/>
  <c r="E52" i="3"/>
  <c r="D53" i="3"/>
  <c r="M21" i="4"/>
  <c r="C21" i="4"/>
  <c r="K21" i="4" s="1"/>
  <c r="H13" i="1"/>
  <c r="AF52" i="1"/>
  <c r="R31" i="2"/>
  <c r="T34" i="2"/>
  <c r="S52" i="2"/>
  <c r="T53" i="2"/>
  <c r="AM52" i="2"/>
  <c r="AQ59" i="2"/>
  <c r="G13" i="3"/>
  <c r="P26" i="3"/>
  <c r="V24" i="1"/>
  <c r="V26" i="1"/>
  <c r="V28" i="1"/>
  <c r="C29" i="1"/>
  <c r="K29" i="1" s="1"/>
  <c r="V30" i="1"/>
  <c r="W30" i="1" s="1"/>
  <c r="V32" i="1"/>
  <c r="V34" i="1"/>
  <c r="V36" i="1"/>
  <c r="V38" i="1"/>
  <c r="V40" i="1"/>
  <c r="V42" i="1"/>
  <c r="W42" i="1" s="1"/>
  <c r="V44" i="1"/>
  <c r="V46" i="1"/>
  <c r="V48" i="1"/>
  <c r="C49" i="1"/>
  <c r="V50" i="1"/>
  <c r="W50" i="1" s="1"/>
  <c r="V54" i="1"/>
  <c r="V56" i="1"/>
  <c r="V58" i="1"/>
  <c r="V60" i="1"/>
  <c r="V62" i="1"/>
  <c r="V64" i="1"/>
  <c r="V66" i="1"/>
  <c r="V68" i="1"/>
  <c r="V70" i="1"/>
  <c r="V72" i="1"/>
  <c r="R79" i="1"/>
  <c r="U79" i="1" s="1"/>
  <c r="R82" i="1"/>
  <c r="F89" i="1"/>
  <c r="F10" i="1" s="1"/>
  <c r="F9" i="1" s="1"/>
  <c r="D93" i="1"/>
  <c r="J103" i="1"/>
  <c r="J14" i="2"/>
  <c r="O13" i="2"/>
  <c r="AE13" i="2"/>
  <c r="AK13" i="2"/>
  <c r="AS13" i="2"/>
  <c r="AY13" i="2"/>
  <c r="AZ14" i="2"/>
  <c r="C30" i="2"/>
  <c r="M30" i="2"/>
  <c r="Y31" i="2"/>
  <c r="Z32" i="2"/>
  <c r="AF31" i="2"/>
  <c r="D35" i="2"/>
  <c r="F31" i="2"/>
  <c r="X38" i="2"/>
  <c r="U31" i="2"/>
  <c r="AB31" i="2"/>
  <c r="N48" i="2"/>
  <c r="N50" i="2"/>
  <c r="M55" i="2"/>
  <c r="C55" i="2"/>
  <c r="AP52" i="2"/>
  <c r="AZ56" i="2"/>
  <c r="AZ58" i="2"/>
  <c r="AW69" i="2"/>
  <c r="AX74" i="2"/>
  <c r="AN74" i="2"/>
  <c r="J85" i="2"/>
  <c r="M90" i="2"/>
  <c r="P39" i="3"/>
  <c r="G31" i="3"/>
  <c r="Q46" i="3"/>
  <c r="I31" i="3"/>
  <c r="M58" i="3"/>
  <c r="C58" i="3"/>
  <c r="K58" i="3" s="1"/>
  <c r="C69" i="3"/>
  <c r="M69" i="3"/>
  <c r="X15" i="4"/>
  <c r="W13" i="4"/>
  <c r="U35" i="4"/>
  <c r="S31" i="4"/>
  <c r="M16" i="1"/>
  <c r="G52" i="1"/>
  <c r="P52" i="1" s="1"/>
  <c r="Z52" i="1"/>
  <c r="G74" i="1"/>
  <c r="P74" i="1" s="1"/>
  <c r="Z74" i="1"/>
  <c r="AF74" i="1"/>
  <c r="I89" i="1"/>
  <c r="C16" i="2"/>
  <c r="M16" i="2"/>
  <c r="M79" i="2"/>
  <c r="C79" i="2"/>
  <c r="T80" i="3"/>
  <c r="R74" i="3"/>
  <c r="T74" i="3" s="1"/>
  <c r="X16" i="4"/>
  <c r="V13" i="4"/>
  <c r="V16" i="1"/>
  <c r="V19" i="1"/>
  <c r="V22" i="1"/>
  <c r="E89" i="1"/>
  <c r="E10" i="1" s="1"/>
  <c r="E9" i="1" s="1"/>
  <c r="E13" i="2"/>
  <c r="W13" i="2"/>
  <c r="Y13" i="2"/>
  <c r="S31" i="2"/>
  <c r="T32" i="2"/>
  <c r="J43" i="2"/>
  <c r="AX52" i="2"/>
  <c r="AZ53" i="2"/>
  <c r="U52" i="2"/>
  <c r="X59" i="2"/>
  <c r="AI52" i="2"/>
  <c r="J83" i="2"/>
  <c r="N91" i="2"/>
  <c r="H89" i="2"/>
  <c r="S13" i="3"/>
  <c r="J15" i="3"/>
  <c r="J21" i="3"/>
  <c r="M33" i="4"/>
  <c r="O52" i="5"/>
  <c r="AQ61" i="2"/>
  <c r="H74" i="2"/>
  <c r="O74" i="2"/>
  <c r="V74" i="2"/>
  <c r="AQ82" i="2"/>
  <c r="AW85" i="2"/>
  <c r="E89" i="2"/>
  <c r="E10" i="2" s="1"/>
  <c r="E9" i="2" s="1"/>
  <c r="N92" i="2"/>
  <c r="D96" i="2"/>
  <c r="J96" i="2"/>
  <c r="M103" i="2"/>
  <c r="R13" i="3"/>
  <c r="D29" i="3"/>
  <c r="J29" i="3"/>
  <c r="O31" i="3"/>
  <c r="D34" i="3"/>
  <c r="Q41" i="3"/>
  <c r="J44" i="3"/>
  <c r="D49" i="3"/>
  <c r="O52" i="3"/>
  <c r="D55" i="3"/>
  <c r="J68" i="3"/>
  <c r="P75" i="3"/>
  <c r="G74" i="3"/>
  <c r="D76" i="3"/>
  <c r="F74" i="3"/>
  <c r="M86" i="3"/>
  <c r="C86" i="3"/>
  <c r="K86" i="3" s="1"/>
  <c r="J86" i="3"/>
  <c r="G89" i="3"/>
  <c r="P90" i="3"/>
  <c r="C94" i="3"/>
  <c r="K94" i="3" s="1"/>
  <c r="M94" i="3"/>
  <c r="J99" i="3"/>
  <c r="M14" i="4"/>
  <c r="C14" i="4"/>
  <c r="K14" i="4" s="1"/>
  <c r="D15" i="4"/>
  <c r="F13" i="4"/>
  <c r="J24" i="4"/>
  <c r="Z31" i="4"/>
  <c r="N36" i="4"/>
  <c r="P47" i="4"/>
  <c r="J47" i="4"/>
  <c r="S52" i="4"/>
  <c r="H52" i="4"/>
  <c r="R52" i="4"/>
  <c r="Z52" i="4"/>
  <c r="E52" i="4"/>
  <c r="D57" i="4"/>
  <c r="J75" i="4"/>
  <c r="L74" i="4"/>
  <c r="P86" i="4"/>
  <c r="AD86" i="4"/>
  <c r="AB74" i="4"/>
  <c r="L89" i="4"/>
  <c r="C110" i="4"/>
  <c r="K110" i="4" s="1"/>
  <c r="M110" i="4"/>
  <c r="J14" i="5"/>
  <c r="L13" i="5"/>
  <c r="S13" i="5"/>
  <c r="O31" i="5"/>
  <c r="S31" i="5"/>
  <c r="AH13" i="7"/>
  <c r="N33" i="2"/>
  <c r="V31" i="2"/>
  <c r="G31" i="2"/>
  <c r="AQ37" i="2"/>
  <c r="AO47" i="2"/>
  <c r="H52" i="2"/>
  <c r="V52" i="2"/>
  <c r="G52" i="2"/>
  <c r="P52" i="2" s="1"/>
  <c r="N55" i="2"/>
  <c r="AW61" i="2"/>
  <c r="AO68" i="2"/>
  <c r="I74" i="2"/>
  <c r="Q74" i="2" s="1"/>
  <c r="AW82" i="2"/>
  <c r="G89" i="2"/>
  <c r="D99" i="2"/>
  <c r="D46" i="3"/>
  <c r="I52" i="3"/>
  <c r="P54" i="3"/>
  <c r="G52" i="3"/>
  <c r="J65" i="3"/>
  <c r="J83" i="3"/>
  <c r="L89" i="3"/>
  <c r="AA16" i="4"/>
  <c r="Y13" i="4"/>
  <c r="P24" i="4"/>
  <c r="Q24" i="4"/>
  <c r="F31" i="4"/>
  <c r="C32" i="4"/>
  <c r="K32" i="4" s="1"/>
  <c r="M32" i="4"/>
  <c r="N33" i="4"/>
  <c r="H31" i="4"/>
  <c r="AA34" i="4"/>
  <c r="Y31" i="4"/>
  <c r="AB52" i="4"/>
  <c r="M60" i="4"/>
  <c r="C60" i="4"/>
  <c r="K60" i="4" s="1"/>
  <c r="J68" i="4"/>
  <c r="E74" i="4"/>
  <c r="D75" i="4"/>
  <c r="V74" i="4"/>
  <c r="AA76" i="4"/>
  <c r="Y74" i="4"/>
  <c r="O89" i="4"/>
  <c r="O10" i="4" s="1"/>
  <c r="O9" i="4" s="1"/>
  <c r="S52" i="5"/>
  <c r="P14" i="6"/>
  <c r="G13" i="6"/>
  <c r="H13" i="2"/>
  <c r="AL13" i="2"/>
  <c r="AX13" i="2"/>
  <c r="I31" i="2"/>
  <c r="Q31" i="2" s="1"/>
  <c r="W31" i="2"/>
  <c r="AL31" i="2"/>
  <c r="AQ34" i="2"/>
  <c r="AW37" i="2"/>
  <c r="AO44" i="2"/>
  <c r="I52" i="2"/>
  <c r="Q52" i="2" s="1"/>
  <c r="W52" i="2"/>
  <c r="AL52" i="2"/>
  <c r="AQ55" i="2"/>
  <c r="AW58" i="2"/>
  <c r="AQ73" i="2"/>
  <c r="AQ76" i="2"/>
  <c r="AW79" i="2"/>
  <c r="D102" i="2"/>
  <c r="J102" i="2"/>
  <c r="R31" i="3"/>
  <c r="T31" i="3" s="1"/>
  <c r="C39" i="3"/>
  <c r="J41" i="3"/>
  <c r="D43" i="3"/>
  <c r="T53" i="3"/>
  <c r="R52" i="3"/>
  <c r="T52" i="3" s="1"/>
  <c r="J62" i="3"/>
  <c r="S74" i="3"/>
  <c r="J80" i="3"/>
  <c r="AB13" i="4"/>
  <c r="L31" i="4"/>
  <c r="C58" i="4"/>
  <c r="K58" i="4" s="1"/>
  <c r="M58" i="4"/>
  <c r="D90" i="4"/>
  <c r="F89" i="4"/>
  <c r="F10" i="4" s="1"/>
  <c r="F9" i="4" s="1"/>
  <c r="M14" i="5"/>
  <c r="C14" i="5"/>
  <c r="K14" i="5" s="1"/>
  <c r="J35" i="5"/>
  <c r="L31" i="5"/>
  <c r="AM31" i="2"/>
  <c r="AO41" i="2"/>
  <c r="AQ49" i="2"/>
  <c r="E74" i="2"/>
  <c r="W74" i="2"/>
  <c r="AC74" i="2"/>
  <c r="AI74" i="2"/>
  <c r="AU74" i="2"/>
  <c r="J26" i="3"/>
  <c r="Q76" i="3"/>
  <c r="I74" i="3"/>
  <c r="P14" i="4"/>
  <c r="G13" i="4"/>
  <c r="O31" i="4"/>
  <c r="N39" i="4"/>
  <c r="L52" i="4"/>
  <c r="X53" i="4"/>
  <c r="V52" i="4"/>
  <c r="N55" i="4"/>
  <c r="W52" i="4"/>
  <c r="J28" i="6"/>
  <c r="AU31" i="7"/>
  <c r="AW32" i="7"/>
  <c r="BS31" i="7"/>
  <c r="BU32" i="7"/>
  <c r="V13" i="2"/>
  <c r="AW49" i="2"/>
  <c r="AN52" i="2"/>
  <c r="X75" i="2"/>
  <c r="AQ88" i="2"/>
  <c r="J35" i="3"/>
  <c r="M39" i="3"/>
  <c r="D40" i="3"/>
  <c r="C48" i="3"/>
  <c r="J50" i="3"/>
  <c r="J56" i="3"/>
  <c r="E74" i="3"/>
  <c r="J76" i="3"/>
  <c r="L74" i="3"/>
  <c r="R13" i="4"/>
  <c r="L13" i="4"/>
  <c r="J15" i="4"/>
  <c r="N15" i="4"/>
  <c r="N18" i="4"/>
  <c r="J18" i="4"/>
  <c r="J27" i="4"/>
  <c r="AC31" i="4"/>
  <c r="D54" i="4"/>
  <c r="F52" i="4"/>
  <c r="C76" i="4"/>
  <c r="M76" i="4"/>
  <c r="C114" i="4"/>
  <c r="K114" i="4" s="1"/>
  <c r="J100" i="6"/>
  <c r="L89" i="6"/>
  <c r="C67" i="4"/>
  <c r="K67" i="4" s="1"/>
  <c r="P92" i="4"/>
  <c r="N22" i="5"/>
  <c r="T32" i="5"/>
  <c r="R31" i="5"/>
  <c r="E89" i="5"/>
  <c r="E10" i="5" s="1"/>
  <c r="E9" i="5" s="1"/>
  <c r="D94" i="5"/>
  <c r="C113" i="5"/>
  <c r="K113" i="5" s="1"/>
  <c r="M113" i="5"/>
  <c r="J14" i="6"/>
  <c r="L13" i="6"/>
  <c r="M36" i="6"/>
  <c r="C110" i="6"/>
  <c r="K110" i="6" s="1"/>
  <c r="M110" i="6"/>
  <c r="J37" i="7"/>
  <c r="L31" i="7"/>
  <c r="N90" i="3"/>
  <c r="H89" i="3"/>
  <c r="O13" i="4"/>
  <c r="Y52" i="4"/>
  <c r="R74" i="4"/>
  <c r="J87" i="4"/>
  <c r="J90" i="4"/>
  <c r="N92" i="4"/>
  <c r="J93" i="4"/>
  <c r="Q14" i="5"/>
  <c r="I13" i="5"/>
  <c r="T14" i="5"/>
  <c r="R13" i="5"/>
  <c r="N25" i="5"/>
  <c r="N26" i="5"/>
  <c r="G31" i="5"/>
  <c r="P31" i="5" s="1"/>
  <c r="Q32" i="5"/>
  <c r="I31" i="5"/>
  <c r="Q31" i="5" s="1"/>
  <c r="N34" i="5"/>
  <c r="C17" i="6"/>
  <c r="K17" i="6" s="1"/>
  <c r="M17" i="6"/>
  <c r="N28" i="6"/>
  <c r="O31" i="6"/>
  <c r="J32" i="6"/>
  <c r="CM26" i="7"/>
  <c r="CK13" i="7"/>
  <c r="Q11" i="4"/>
  <c r="Q14" i="4"/>
  <c r="I13" i="4"/>
  <c r="Q30" i="4"/>
  <c r="V31" i="4"/>
  <c r="AD36" i="4"/>
  <c r="AD39" i="4"/>
  <c r="AD45" i="4"/>
  <c r="M50" i="4"/>
  <c r="AA55" i="4"/>
  <c r="N63" i="4"/>
  <c r="M67" i="4"/>
  <c r="Q78" i="4"/>
  <c r="N82" i="4"/>
  <c r="I89" i="4"/>
  <c r="E89" i="4"/>
  <c r="E10" i="4" s="1"/>
  <c r="E9" i="4" s="1"/>
  <c r="D93" i="4"/>
  <c r="N93" i="4"/>
  <c r="D96" i="4"/>
  <c r="J98" i="4"/>
  <c r="P15" i="5"/>
  <c r="T18" i="5"/>
  <c r="T27" i="5"/>
  <c r="T36" i="5"/>
  <c r="N38" i="5"/>
  <c r="L52" i="5"/>
  <c r="D53" i="5"/>
  <c r="F52" i="5"/>
  <c r="T57" i="5"/>
  <c r="P75" i="5"/>
  <c r="G74" i="5"/>
  <c r="O74" i="5"/>
  <c r="H89" i="5"/>
  <c r="M91" i="5"/>
  <c r="C91" i="5"/>
  <c r="K91" i="5" s="1"/>
  <c r="C115" i="5"/>
  <c r="K115" i="5" s="1"/>
  <c r="M115" i="5"/>
  <c r="J11" i="6"/>
  <c r="D14" i="6"/>
  <c r="F13" i="6"/>
  <c r="R13" i="6"/>
  <c r="T14" i="6"/>
  <c r="M16" i="6"/>
  <c r="T22" i="6"/>
  <c r="N25" i="6"/>
  <c r="T60" i="6"/>
  <c r="T69" i="6"/>
  <c r="D90" i="6"/>
  <c r="E89" i="6"/>
  <c r="E10" i="6" s="1"/>
  <c r="E9" i="6" s="1"/>
  <c r="J104" i="6"/>
  <c r="M116" i="6"/>
  <c r="C116" i="6"/>
  <c r="K116" i="6" s="1"/>
  <c r="I13" i="7"/>
  <c r="Q14" i="7"/>
  <c r="P34" i="4"/>
  <c r="N41" i="4"/>
  <c r="N47" i="4"/>
  <c r="O52" i="4"/>
  <c r="H74" i="4"/>
  <c r="J78" i="4"/>
  <c r="F13" i="5"/>
  <c r="D32" i="5"/>
  <c r="F31" i="5"/>
  <c r="N44" i="5"/>
  <c r="N53" i="5"/>
  <c r="T53" i="5"/>
  <c r="R52" i="5"/>
  <c r="M70" i="5"/>
  <c r="C70" i="5"/>
  <c r="C90" i="5"/>
  <c r="K90" i="5" s="1"/>
  <c r="M90" i="5"/>
  <c r="N19" i="6"/>
  <c r="P53" i="6"/>
  <c r="G52" i="6"/>
  <c r="P52" i="6" s="1"/>
  <c r="Z13" i="4"/>
  <c r="E13" i="4"/>
  <c r="Q17" i="4"/>
  <c r="Q32" i="4"/>
  <c r="I31" i="4"/>
  <c r="Q41" i="4"/>
  <c r="AA41" i="4"/>
  <c r="Q47" i="4"/>
  <c r="AA47" i="4"/>
  <c r="I74" i="4"/>
  <c r="S74" i="4"/>
  <c r="D81" i="4"/>
  <c r="J81" i="4"/>
  <c r="AA82" i="4"/>
  <c r="C86" i="4"/>
  <c r="Q86" i="4"/>
  <c r="J91" i="4"/>
  <c r="H89" i="4"/>
  <c r="N17" i="5"/>
  <c r="T45" i="5"/>
  <c r="G52" i="5"/>
  <c r="P52" i="5" s="1"/>
  <c r="Q53" i="5"/>
  <c r="I52" i="5"/>
  <c r="Q52" i="5" s="1"/>
  <c r="T72" i="5"/>
  <c r="I74" i="5"/>
  <c r="Q74" i="5" s="1"/>
  <c r="J75" i="5"/>
  <c r="L89" i="5"/>
  <c r="P104" i="5"/>
  <c r="G11" i="5"/>
  <c r="P11" i="5" s="1"/>
  <c r="W13" i="6"/>
  <c r="U8" i="6"/>
  <c r="N16" i="6"/>
  <c r="I31" i="6"/>
  <c r="Q31" i="6" s="1"/>
  <c r="Q32" i="6"/>
  <c r="S52" i="6"/>
  <c r="BD74" i="7"/>
  <c r="BF75" i="7"/>
  <c r="BV74" i="7"/>
  <c r="BX75" i="7"/>
  <c r="D96" i="3"/>
  <c r="J96" i="3"/>
  <c r="U19" i="4"/>
  <c r="Q53" i="4"/>
  <c r="I52" i="4"/>
  <c r="W74" i="4"/>
  <c r="AC74" i="4"/>
  <c r="T25" i="5"/>
  <c r="T28" i="5"/>
  <c r="T37" i="5"/>
  <c r="T55" i="5"/>
  <c r="T64" i="5"/>
  <c r="T67" i="5"/>
  <c r="T70" i="5"/>
  <c r="T76" i="5"/>
  <c r="T88" i="5"/>
  <c r="F89" i="5"/>
  <c r="F10" i="5" s="1"/>
  <c r="F9" i="5" s="1"/>
  <c r="J96" i="5"/>
  <c r="T15" i="6"/>
  <c r="T18" i="6"/>
  <c r="T21" i="6"/>
  <c r="T24" i="6"/>
  <c r="T27" i="6"/>
  <c r="T30" i="6"/>
  <c r="M45" i="6"/>
  <c r="T55" i="6"/>
  <c r="T58" i="6"/>
  <c r="T64" i="6"/>
  <c r="T70" i="6"/>
  <c r="I74" i="6"/>
  <c r="Q74" i="6" s="1"/>
  <c r="C93" i="6"/>
  <c r="K93" i="6" s="1"/>
  <c r="S13" i="6"/>
  <c r="N17" i="6"/>
  <c r="N20" i="6"/>
  <c r="N23" i="6"/>
  <c r="N26" i="6"/>
  <c r="N29" i="6"/>
  <c r="T61" i="6"/>
  <c r="C65" i="6"/>
  <c r="T67" i="6"/>
  <c r="C84" i="6"/>
  <c r="K84" i="6" s="1"/>
  <c r="M84" i="6"/>
  <c r="J116" i="6"/>
  <c r="BL14" i="7"/>
  <c r="BK13" i="7"/>
  <c r="CB13" i="7"/>
  <c r="N90" i="5"/>
  <c r="N14" i="6"/>
  <c r="N53" i="6"/>
  <c r="T53" i="6"/>
  <c r="H74" i="6"/>
  <c r="Q75" i="6"/>
  <c r="N87" i="6"/>
  <c r="G89" i="6"/>
  <c r="J91" i="6"/>
  <c r="P104" i="6"/>
  <c r="N11" i="7"/>
  <c r="AU13" i="7"/>
  <c r="BG13" i="7"/>
  <c r="BS13" i="7"/>
  <c r="CE13" i="7"/>
  <c r="AE13" i="7"/>
  <c r="AK13" i="7"/>
  <c r="AQ13" i="7"/>
  <c r="BE13" i="7"/>
  <c r="BV13" i="7"/>
  <c r="CC13" i="7"/>
  <c r="AL17" i="7"/>
  <c r="C20" i="7"/>
  <c r="M20" i="7"/>
  <c r="F31" i="7"/>
  <c r="CI31" i="7"/>
  <c r="AB31" i="7"/>
  <c r="N43" i="7"/>
  <c r="N51" i="7"/>
  <c r="R52" i="7"/>
  <c r="T53" i="7"/>
  <c r="AH52" i="7"/>
  <c r="BE52" i="7"/>
  <c r="BF53" i="7"/>
  <c r="W86" i="7"/>
  <c r="U74" i="7"/>
  <c r="AO86" i="7"/>
  <c r="AM74" i="7"/>
  <c r="F52" i="6"/>
  <c r="L52" i="6"/>
  <c r="D88" i="6"/>
  <c r="J88" i="6"/>
  <c r="H89" i="6"/>
  <c r="BT13" i="7"/>
  <c r="S13" i="7"/>
  <c r="AY13" i="7"/>
  <c r="BW13" i="7"/>
  <c r="W15" i="7"/>
  <c r="AR13" i="7"/>
  <c r="AX13" i="7"/>
  <c r="BD13" i="7"/>
  <c r="AT16" i="7"/>
  <c r="CD16" i="7"/>
  <c r="D17" i="7"/>
  <c r="BI19" i="7"/>
  <c r="W21" i="7"/>
  <c r="BX22" i="7"/>
  <c r="BI25" i="7"/>
  <c r="AI27" i="7"/>
  <c r="I31" i="7"/>
  <c r="Q31" i="7" s="1"/>
  <c r="AE31" i="7"/>
  <c r="AK31" i="7"/>
  <c r="BE31" i="7"/>
  <c r="BM31" i="7"/>
  <c r="BO32" i="7"/>
  <c r="CC31" i="7"/>
  <c r="W33" i="7"/>
  <c r="AR31" i="7"/>
  <c r="AX31" i="7"/>
  <c r="BD31" i="7"/>
  <c r="BJ31" i="7"/>
  <c r="BP31" i="7"/>
  <c r="BV31" i="7"/>
  <c r="CB31" i="7"/>
  <c r="CH31" i="7"/>
  <c r="CN31" i="7"/>
  <c r="AF36" i="7"/>
  <c r="AW37" i="7"/>
  <c r="AO39" i="7"/>
  <c r="J40" i="7"/>
  <c r="BL40" i="7"/>
  <c r="AF42" i="7"/>
  <c r="BO43" i="7"/>
  <c r="AZ44" i="7"/>
  <c r="BL48" i="7"/>
  <c r="AZ54" i="7"/>
  <c r="AX52" i="7"/>
  <c r="BI54" i="7"/>
  <c r="BG52" i="7"/>
  <c r="BR54" i="7"/>
  <c r="BP52" i="7"/>
  <c r="CA54" i="7"/>
  <c r="BY52" i="7"/>
  <c r="CJ54" i="7"/>
  <c r="CH52" i="7"/>
  <c r="I89" i="6"/>
  <c r="AA13" i="7"/>
  <c r="AG13" i="7"/>
  <c r="AM13" i="7"/>
  <c r="AS13" i="7"/>
  <c r="T18" i="7"/>
  <c r="CM19" i="7"/>
  <c r="BR22" i="7"/>
  <c r="T24" i="7"/>
  <c r="AC27" i="7"/>
  <c r="S31" i="7"/>
  <c r="CK31" i="7"/>
  <c r="CM32" i="7"/>
  <c r="BR34" i="7"/>
  <c r="AI39" i="7"/>
  <c r="BF40" i="7"/>
  <c r="BI43" i="7"/>
  <c r="AT44" i="7"/>
  <c r="I13" i="8"/>
  <c r="Q14" i="8"/>
  <c r="E13" i="7"/>
  <c r="BM13" i="7"/>
  <c r="G13" i="7"/>
  <c r="O13" i="7"/>
  <c r="U13" i="7"/>
  <c r="BR14" i="7"/>
  <c r="BQ13" i="7"/>
  <c r="H13" i="7"/>
  <c r="X15" i="7"/>
  <c r="AO15" i="7"/>
  <c r="C16" i="7"/>
  <c r="J16" i="7"/>
  <c r="BR16" i="7"/>
  <c r="CG19" i="7"/>
  <c r="AO21" i="7"/>
  <c r="J22" i="7"/>
  <c r="BL22" i="7"/>
  <c r="C25" i="7"/>
  <c r="M25" i="7"/>
  <c r="D32" i="7"/>
  <c r="E31" i="7"/>
  <c r="AA31" i="7"/>
  <c r="AS31" i="7"/>
  <c r="BG31" i="7"/>
  <c r="BI32" i="7"/>
  <c r="CE31" i="7"/>
  <c r="CG32" i="7"/>
  <c r="AO33" i="7"/>
  <c r="J34" i="7"/>
  <c r="BL34" i="7"/>
  <c r="T36" i="7"/>
  <c r="N37" i="7"/>
  <c r="BU37" i="7"/>
  <c r="D87" i="6"/>
  <c r="CO13" i="7"/>
  <c r="AI15" i="7"/>
  <c r="BL16" i="7"/>
  <c r="CA19" i="7"/>
  <c r="AI21" i="7"/>
  <c r="W27" i="7"/>
  <c r="AF30" i="7"/>
  <c r="U31" i="7"/>
  <c r="BA31" i="7"/>
  <c r="BC32" i="7"/>
  <c r="BY31" i="7"/>
  <c r="CA32" i="7"/>
  <c r="AI33" i="7"/>
  <c r="AT40" i="7"/>
  <c r="AW43" i="7"/>
  <c r="BR44" i="7"/>
  <c r="Y13" i="7"/>
  <c r="Y31" i="7"/>
  <c r="AO44" i="7"/>
  <c r="N46" i="7"/>
  <c r="BC47" i="7"/>
  <c r="Q53" i="7"/>
  <c r="I52" i="7"/>
  <c r="Q52" i="7" s="1"/>
  <c r="AC53" i="7"/>
  <c r="AA52" i="7"/>
  <c r="AJ52" i="7"/>
  <c r="AL53" i="7"/>
  <c r="AY52" i="7"/>
  <c r="BT52" i="7"/>
  <c r="CI52" i="7"/>
  <c r="AC55" i="7"/>
  <c r="BI57" i="7"/>
  <c r="T58" i="7"/>
  <c r="N59" i="7"/>
  <c r="CG59" i="7"/>
  <c r="W67" i="7"/>
  <c r="BR68" i="7"/>
  <c r="BU71" i="7"/>
  <c r="F74" i="7"/>
  <c r="AV74" i="7"/>
  <c r="BN74" i="7"/>
  <c r="CF74" i="7"/>
  <c r="S74" i="7"/>
  <c r="AH74" i="7"/>
  <c r="W79" i="7"/>
  <c r="BR80" i="7"/>
  <c r="BL86" i="7"/>
  <c r="O89" i="7"/>
  <c r="O10" i="7" s="1"/>
  <c r="O9" i="7" s="1"/>
  <c r="I89" i="7"/>
  <c r="Q91" i="7"/>
  <c r="H31" i="7"/>
  <c r="AI44" i="7"/>
  <c r="D45" i="7"/>
  <c r="J45" i="7"/>
  <c r="AW47" i="7"/>
  <c r="X49" i="7"/>
  <c r="AO49" i="7"/>
  <c r="J50" i="7"/>
  <c r="AF50" i="7"/>
  <c r="BR50" i="7"/>
  <c r="AW51" i="7"/>
  <c r="AU52" i="7"/>
  <c r="CE52" i="7"/>
  <c r="W53" i="7"/>
  <c r="U52" i="7"/>
  <c r="AS52" i="7"/>
  <c r="BI53" i="7"/>
  <c r="BN52" i="7"/>
  <c r="CC52" i="7"/>
  <c r="X54" i="7"/>
  <c r="Z52" i="7"/>
  <c r="AT54" i="7"/>
  <c r="AR52" i="7"/>
  <c r="BL54" i="7"/>
  <c r="BJ52" i="7"/>
  <c r="CD54" i="7"/>
  <c r="CB52" i="7"/>
  <c r="T56" i="7"/>
  <c r="CJ56" i="7"/>
  <c r="BI59" i="7"/>
  <c r="W61" i="7"/>
  <c r="N71" i="7"/>
  <c r="AD74" i="7"/>
  <c r="AP74" i="7"/>
  <c r="AX74" i="7"/>
  <c r="AZ75" i="7"/>
  <c r="BP74" i="7"/>
  <c r="BR75" i="7"/>
  <c r="CH74" i="7"/>
  <c r="CJ75" i="7"/>
  <c r="AB74" i="7"/>
  <c r="N83" i="7"/>
  <c r="C15" i="8"/>
  <c r="O31" i="7"/>
  <c r="BK31" i="7"/>
  <c r="BQ31" i="7"/>
  <c r="AC44" i="7"/>
  <c r="AF46" i="7"/>
  <c r="AI49" i="7"/>
  <c r="BL50" i="7"/>
  <c r="L52" i="7"/>
  <c r="AD52" i="7"/>
  <c r="AF53" i="7"/>
  <c r="AO53" i="7"/>
  <c r="AM52" i="7"/>
  <c r="BC53" i="7"/>
  <c r="BH52" i="7"/>
  <c r="BW52" i="7"/>
  <c r="CM53" i="7"/>
  <c r="W55" i="7"/>
  <c r="N56" i="7"/>
  <c r="AL56" i="7"/>
  <c r="CD56" i="7"/>
  <c r="D57" i="7"/>
  <c r="BU57" i="7"/>
  <c r="AF58" i="7"/>
  <c r="J59" i="7"/>
  <c r="CA59" i="7"/>
  <c r="C60" i="7"/>
  <c r="M60" i="7"/>
  <c r="AO61" i="7"/>
  <c r="J62" i="7"/>
  <c r="BL62" i="7"/>
  <c r="N65" i="7"/>
  <c r="AO67" i="7"/>
  <c r="J68" i="7"/>
  <c r="AF70" i="7"/>
  <c r="BI71" i="7"/>
  <c r="BH74" i="7"/>
  <c r="N77" i="7"/>
  <c r="BO77" i="7"/>
  <c r="J80" i="7"/>
  <c r="AF82" i="7"/>
  <c r="AI85" i="7"/>
  <c r="AZ86" i="7"/>
  <c r="F52" i="7"/>
  <c r="BB52" i="7"/>
  <c r="BQ52" i="7"/>
  <c r="CL52" i="7"/>
  <c r="BF54" i="7"/>
  <c r="BD52" i="7"/>
  <c r="BX54" i="7"/>
  <c r="BV52" i="7"/>
  <c r="CN52" i="7"/>
  <c r="Z74" i="7"/>
  <c r="X75" i="7"/>
  <c r="AR74" i="7"/>
  <c r="AT75" i="7"/>
  <c r="BJ74" i="7"/>
  <c r="BL74" i="7" s="1"/>
  <c r="BL75" i="7"/>
  <c r="CB74" i="7"/>
  <c r="CD75" i="7"/>
  <c r="G74" i="7"/>
  <c r="P74" i="7" s="1"/>
  <c r="P76" i="7"/>
  <c r="D16" i="8"/>
  <c r="E13" i="8"/>
  <c r="Y13" i="9"/>
  <c r="Z18" i="9"/>
  <c r="T50" i="7"/>
  <c r="AZ50" i="7"/>
  <c r="BM52" i="7"/>
  <c r="AI53" i="7"/>
  <c r="AG52" i="7"/>
  <c r="AP52" i="7"/>
  <c r="AV52" i="7"/>
  <c r="BR53" i="7"/>
  <c r="CA53" i="7"/>
  <c r="CF52" i="7"/>
  <c r="H52" i="7"/>
  <c r="X55" i="7"/>
  <c r="AO55" i="7"/>
  <c r="AF56" i="7"/>
  <c r="BR56" i="7"/>
  <c r="BO57" i="7"/>
  <c r="CM59" i="7"/>
  <c r="AC67" i="7"/>
  <c r="T70" i="7"/>
  <c r="L74" i="7"/>
  <c r="BB74" i="7"/>
  <c r="CL74" i="7"/>
  <c r="X76" i="7"/>
  <c r="Y74" i="7"/>
  <c r="AE74" i="7"/>
  <c r="T82" i="7"/>
  <c r="P106" i="7"/>
  <c r="H13" i="8"/>
  <c r="T33" i="8"/>
  <c r="S31" i="8"/>
  <c r="N88" i="7"/>
  <c r="L89" i="7"/>
  <c r="J90" i="7"/>
  <c r="D91" i="7"/>
  <c r="N105" i="7"/>
  <c r="J110" i="7"/>
  <c r="O13" i="8"/>
  <c r="H31" i="8"/>
  <c r="AG15" i="9"/>
  <c r="AE15" i="9"/>
  <c r="V31" i="9"/>
  <c r="W33" i="9"/>
  <c r="AD74" i="9"/>
  <c r="Z83" i="9"/>
  <c r="AB83" i="9"/>
  <c r="E74" i="7"/>
  <c r="AU74" i="7"/>
  <c r="BA74" i="7"/>
  <c r="BG74" i="7"/>
  <c r="BM74" i="7"/>
  <c r="BS74" i="7"/>
  <c r="BY74" i="7"/>
  <c r="CE74" i="7"/>
  <c r="CG74" i="7" s="1"/>
  <c r="CK74" i="7"/>
  <c r="J75" i="7"/>
  <c r="D101" i="7"/>
  <c r="C108" i="7"/>
  <c r="J108" i="7"/>
  <c r="D53" i="8"/>
  <c r="E52" i="8"/>
  <c r="V13" i="9"/>
  <c r="W15" i="9"/>
  <c r="AB25" i="9"/>
  <c r="Z25" i="9"/>
  <c r="J44" i="9"/>
  <c r="L31" i="9"/>
  <c r="AG44" i="9"/>
  <c r="AE44" i="9"/>
  <c r="AG62" i="9"/>
  <c r="AE62" i="9"/>
  <c r="AF88" i="7"/>
  <c r="H89" i="7"/>
  <c r="P90" i="7"/>
  <c r="G89" i="7"/>
  <c r="D92" i="7"/>
  <c r="J92" i="7"/>
  <c r="J106" i="7"/>
  <c r="E31" i="8"/>
  <c r="G52" i="8"/>
  <c r="P52" i="8" s="1"/>
  <c r="D97" i="8"/>
  <c r="E89" i="8"/>
  <c r="E10" i="8" s="1"/>
  <c r="E9" i="8" s="1"/>
  <c r="AG77" i="9"/>
  <c r="AE77" i="9"/>
  <c r="AG82" i="9"/>
  <c r="AE82" i="9"/>
  <c r="J104" i="9"/>
  <c r="L11" i="9"/>
  <c r="J11" i="9" s="1"/>
  <c r="J116" i="7"/>
  <c r="C76" i="8"/>
  <c r="M76" i="8"/>
  <c r="J14" i="9"/>
  <c r="L13" i="9"/>
  <c r="AC13" i="9"/>
  <c r="AG14" i="9"/>
  <c r="AE14" i="9"/>
  <c r="AD13" i="9"/>
  <c r="AE19" i="9"/>
  <c r="F31" i="9"/>
  <c r="AB67" i="9"/>
  <c r="Z67" i="9"/>
  <c r="W15" i="10"/>
  <c r="AB15" i="10"/>
  <c r="U15" i="10"/>
  <c r="Y15" i="10"/>
  <c r="S13" i="10"/>
  <c r="D98" i="7"/>
  <c r="N106" i="7"/>
  <c r="N109" i="7"/>
  <c r="G13" i="8"/>
  <c r="G31" i="8"/>
  <c r="P31" i="8" s="1"/>
  <c r="S52" i="8"/>
  <c r="T55" i="8"/>
  <c r="M99" i="8"/>
  <c r="C99" i="8"/>
  <c r="K99" i="8" s="1"/>
  <c r="D14" i="9"/>
  <c r="E13" i="9"/>
  <c r="O13" i="9"/>
  <c r="J16" i="9"/>
  <c r="W64" i="9"/>
  <c r="U52" i="9"/>
  <c r="AF74" i="9"/>
  <c r="AG75" i="9"/>
  <c r="C77" i="8"/>
  <c r="M77" i="8"/>
  <c r="C92" i="8"/>
  <c r="J106" i="8"/>
  <c r="N20" i="9"/>
  <c r="AB20" i="9"/>
  <c r="Z20" i="9"/>
  <c r="C21" i="9"/>
  <c r="M21" i="9"/>
  <c r="J29" i="9"/>
  <c r="AF31" i="9"/>
  <c r="AG33" i="9"/>
  <c r="AE33" i="9"/>
  <c r="O31" i="9"/>
  <c r="AG39" i="9"/>
  <c r="AE39" i="9"/>
  <c r="N43" i="9"/>
  <c r="AB47" i="9"/>
  <c r="AG48" i="9"/>
  <c r="AG50" i="9"/>
  <c r="AE50" i="9"/>
  <c r="AG51" i="9"/>
  <c r="AE51" i="9"/>
  <c r="H52" i="9"/>
  <c r="S52" i="9"/>
  <c r="Y52" i="9"/>
  <c r="AD52" i="9"/>
  <c r="AG57" i="9"/>
  <c r="AE57" i="9"/>
  <c r="N75" i="9"/>
  <c r="S74" i="9"/>
  <c r="Y74" i="9"/>
  <c r="N88" i="9"/>
  <c r="G89" i="9"/>
  <c r="C91" i="9"/>
  <c r="K91" i="9" s="1"/>
  <c r="M91" i="9"/>
  <c r="P109" i="9"/>
  <c r="L13" i="10"/>
  <c r="F13" i="10"/>
  <c r="M35" i="10"/>
  <c r="C35" i="10"/>
  <c r="K35" i="10" s="1"/>
  <c r="P67" i="10"/>
  <c r="G52" i="10"/>
  <c r="P52" i="10" s="1"/>
  <c r="W69" i="10"/>
  <c r="AB69" i="10"/>
  <c r="U69" i="10"/>
  <c r="Y69" i="10"/>
  <c r="S13" i="8"/>
  <c r="E74" i="8"/>
  <c r="L89" i="8"/>
  <c r="I89" i="8"/>
  <c r="Q93" i="8"/>
  <c r="D94" i="8"/>
  <c r="D103" i="8"/>
  <c r="J108" i="8"/>
  <c r="D115" i="8"/>
  <c r="AF13" i="9"/>
  <c r="AA13" i="9"/>
  <c r="J17" i="9"/>
  <c r="AB19" i="9"/>
  <c r="Z19" i="9"/>
  <c r="W22" i="9"/>
  <c r="AB23" i="9"/>
  <c r="AG24" i="9"/>
  <c r="D26" i="9"/>
  <c r="AG26" i="9"/>
  <c r="AE26" i="9"/>
  <c r="W28" i="9"/>
  <c r="G31" i="9"/>
  <c r="P31" i="9" s="1"/>
  <c r="Y31" i="9"/>
  <c r="N32" i="9"/>
  <c r="AB32" i="9"/>
  <c r="Z32" i="9"/>
  <c r="N38" i="9"/>
  <c r="AB38" i="9"/>
  <c r="Z38" i="9"/>
  <c r="AG45" i="9"/>
  <c r="AE45" i="9"/>
  <c r="J55" i="9"/>
  <c r="L52" i="9"/>
  <c r="AE55" i="9"/>
  <c r="N56" i="9"/>
  <c r="AB56" i="9"/>
  <c r="Z56" i="9"/>
  <c r="AG63" i="9"/>
  <c r="AE63" i="9"/>
  <c r="T67" i="9"/>
  <c r="D68" i="9"/>
  <c r="G74" i="9"/>
  <c r="P74" i="9" s="1"/>
  <c r="T75" i="9"/>
  <c r="Z75" i="9"/>
  <c r="AB78" i="9"/>
  <c r="Z78" i="9"/>
  <c r="AB87" i="9"/>
  <c r="Z87" i="9"/>
  <c r="E89" i="9"/>
  <c r="E10" i="9" s="1"/>
  <c r="E9" i="9" s="1"/>
  <c r="M51" i="10"/>
  <c r="C101" i="8"/>
  <c r="K101" i="8" s="1"/>
  <c r="D105" i="8"/>
  <c r="C110" i="8"/>
  <c r="K110" i="8" s="1"/>
  <c r="N111" i="8"/>
  <c r="N14" i="9"/>
  <c r="AB14" i="9"/>
  <c r="Z14" i="9"/>
  <c r="I13" i="9"/>
  <c r="Q16" i="9"/>
  <c r="AB29" i="9"/>
  <c r="AG30" i="9"/>
  <c r="AB37" i="9"/>
  <c r="Z37" i="9"/>
  <c r="N44" i="9"/>
  <c r="AB44" i="9"/>
  <c r="Z44" i="9"/>
  <c r="C48" i="9"/>
  <c r="K48" i="9" s="1"/>
  <c r="G52" i="9"/>
  <c r="P52" i="9" s="1"/>
  <c r="P54" i="9"/>
  <c r="AB55" i="9"/>
  <c r="X52" i="9"/>
  <c r="Z55" i="9"/>
  <c r="AB62" i="9"/>
  <c r="Z62" i="9"/>
  <c r="AG69" i="9"/>
  <c r="AE69" i="9"/>
  <c r="J75" i="9"/>
  <c r="L74" i="9"/>
  <c r="T78" i="9"/>
  <c r="R74" i="9"/>
  <c r="J90" i="9"/>
  <c r="L89" i="9"/>
  <c r="AB49" i="10"/>
  <c r="U49" i="10"/>
  <c r="W49" i="10"/>
  <c r="Y49" i="10"/>
  <c r="S31" i="10"/>
  <c r="P90" i="8"/>
  <c r="G89" i="8"/>
  <c r="J112" i="8"/>
  <c r="U13" i="9"/>
  <c r="W16" i="9"/>
  <c r="AG20" i="9"/>
  <c r="AE20" i="9"/>
  <c r="AG21" i="9"/>
  <c r="AE21" i="9"/>
  <c r="AG27" i="9"/>
  <c r="AE27" i="9"/>
  <c r="I31" i="9"/>
  <c r="Q31" i="9" s="1"/>
  <c r="Q34" i="9"/>
  <c r="J35" i="9"/>
  <c r="J41" i="9"/>
  <c r="AB43" i="9"/>
  <c r="Z43" i="9"/>
  <c r="AB50" i="9"/>
  <c r="Z50" i="9"/>
  <c r="D55" i="9"/>
  <c r="F52" i="9"/>
  <c r="J59" i="9"/>
  <c r="AB61" i="9"/>
  <c r="Z61" i="9"/>
  <c r="D75" i="9"/>
  <c r="E74" i="9"/>
  <c r="AG81" i="9"/>
  <c r="AE81" i="9"/>
  <c r="H89" i="8"/>
  <c r="O89" i="8"/>
  <c r="O10" i="8" s="1"/>
  <c r="O9" i="8" s="1"/>
  <c r="D109" i="8"/>
  <c r="AB26" i="9"/>
  <c r="Z26" i="9"/>
  <c r="R31" i="9"/>
  <c r="D32" i="9"/>
  <c r="E31" i="9"/>
  <c r="AC31" i="9"/>
  <c r="AG32" i="9"/>
  <c r="AE32" i="9"/>
  <c r="U31" i="9"/>
  <c r="W34" i="9"/>
  <c r="T37" i="9"/>
  <c r="D38" i="9"/>
  <c r="AG38" i="9"/>
  <c r="AE38" i="9"/>
  <c r="W40" i="9"/>
  <c r="AB49" i="9"/>
  <c r="Z49" i="9"/>
  <c r="AF52" i="9"/>
  <c r="R52" i="9"/>
  <c r="T55" i="9"/>
  <c r="D56" i="9"/>
  <c r="AG56" i="9"/>
  <c r="AE56" i="9"/>
  <c r="T68" i="9"/>
  <c r="AG70" i="9"/>
  <c r="AE70" i="9"/>
  <c r="Z71" i="9"/>
  <c r="AB71" i="9"/>
  <c r="AE78" i="9"/>
  <c r="AG78" i="9"/>
  <c r="AG79" i="9"/>
  <c r="AE79" i="9"/>
  <c r="C88" i="9"/>
  <c r="AB88" i="9"/>
  <c r="Z88" i="9"/>
  <c r="C22" i="10"/>
  <c r="K22" i="10" s="1"/>
  <c r="M22" i="10"/>
  <c r="E13" i="10"/>
  <c r="P33" i="10"/>
  <c r="AB46" i="10"/>
  <c r="U46" i="10"/>
  <c r="W46" i="10"/>
  <c r="J55" i="10"/>
  <c r="L52" i="10"/>
  <c r="BD17" i="13"/>
  <c r="BA13" i="13"/>
  <c r="H13" i="9"/>
  <c r="H31" i="9"/>
  <c r="E52" i="9"/>
  <c r="AC52" i="9"/>
  <c r="I74" i="9"/>
  <c r="Q74" i="9" s="1"/>
  <c r="X74" i="9"/>
  <c r="D87" i="9"/>
  <c r="J87" i="9"/>
  <c r="I89" i="9"/>
  <c r="J103" i="9"/>
  <c r="J15" i="10"/>
  <c r="W27" i="10"/>
  <c r="AB27" i="10"/>
  <c r="U27" i="10"/>
  <c r="Z31" i="10"/>
  <c r="R31" i="10"/>
  <c r="D40" i="10"/>
  <c r="W48" i="10"/>
  <c r="AB48" i="10"/>
  <c r="Y48" i="10"/>
  <c r="U48" i="10"/>
  <c r="M68" i="10"/>
  <c r="M78" i="10"/>
  <c r="M114" i="11"/>
  <c r="C114" i="11"/>
  <c r="K114" i="11" s="1"/>
  <c r="W68" i="9"/>
  <c r="AB69" i="9"/>
  <c r="AC74" i="9"/>
  <c r="AG76" i="9"/>
  <c r="H89" i="9"/>
  <c r="O13" i="10"/>
  <c r="V13" i="10"/>
  <c r="W14" i="10"/>
  <c r="W18" i="10"/>
  <c r="AB18" i="10"/>
  <c r="AB25" i="10"/>
  <c r="U25" i="10"/>
  <c r="W25" i="10"/>
  <c r="D32" i="10"/>
  <c r="E31" i="10"/>
  <c r="T31" i="10"/>
  <c r="AA31" i="10"/>
  <c r="W45" i="10"/>
  <c r="AB45" i="10"/>
  <c r="Y45" i="10"/>
  <c r="U45" i="10"/>
  <c r="V52" i="10"/>
  <c r="AB58" i="10"/>
  <c r="U58" i="10"/>
  <c r="Y58" i="10"/>
  <c r="W58" i="10"/>
  <c r="D94" i="10"/>
  <c r="E89" i="10"/>
  <c r="E10" i="10" s="1"/>
  <c r="E9" i="10" s="1"/>
  <c r="J69" i="9"/>
  <c r="J81" i="9"/>
  <c r="J109" i="9"/>
  <c r="Z13" i="10"/>
  <c r="AB22" i="10"/>
  <c r="U22" i="10"/>
  <c r="Y22" i="10"/>
  <c r="W24" i="10"/>
  <c r="AB24" i="10"/>
  <c r="Y24" i="10"/>
  <c r="U24" i="10"/>
  <c r="P30" i="10"/>
  <c r="P36" i="10"/>
  <c r="AB64" i="10"/>
  <c r="U64" i="10"/>
  <c r="Y64" i="10"/>
  <c r="W64" i="10"/>
  <c r="Z69" i="9"/>
  <c r="AE75" i="9"/>
  <c r="AE76" i="9"/>
  <c r="Z81" i="9"/>
  <c r="J11" i="10"/>
  <c r="G13" i="10"/>
  <c r="AB16" i="10"/>
  <c r="U16" i="10"/>
  <c r="U18" i="10"/>
  <c r="D19" i="10"/>
  <c r="G31" i="10"/>
  <c r="P31" i="10" s="1"/>
  <c r="AB43" i="10"/>
  <c r="U43" i="10"/>
  <c r="Y43" i="10"/>
  <c r="W43" i="10"/>
  <c r="Y46" i="10"/>
  <c r="W57" i="10"/>
  <c r="AB57" i="10"/>
  <c r="U57" i="10"/>
  <c r="Y57" i="10"/>
  <c r="V13" i="12"/>
  <c r="O13" i="12"/>
  <c r="J22" i="12"/>
  <c r="N96" i="9"/>
  <c r="J100" i="9"/>
  <c r="N104" i="9"/>
  <c r="J107" i="9"/>
  <c r="AA13" i="10"/>
  <c r="H13" i="10"/>
  <c r="N16" i="10"/>
  <c r="D25" i="10"/>
  <c r="J27" i="10"/>
  <c r="AB28" i="10"/>
  <c r="U28" i="10"/>
  <c r="W30" i="10"/>
  <c r="AB30" i="10"/>
  <c r="L31" i="10"/>
  <c r="O31" i="10"/>
  <c r="W33" i="10"/>
  <c r="AB33" i="10"/>
  <c r="D46" i="10"/>
  <c r="D49" i="10"/>
  <c r="C50" i="10"/>
  <c r="I52" i="10"/>
  <c r="Q52" i="10" s="1"/>
  <c r="J57" i="10"/>
  <c r="F52" i="10"/>
  <c r="F74" i="10"/>
  <c r="O74" i="10"/>
  <c r="Z74" i="10"/>
  <c r="P84" i="10"/>
  <c r="C106" i="10"/>
  <c r="M106" i="10"/>
  <c r="E31" i="11"/>
  <c r="D32" i="11"/>
  <c r="P47" i="13"/>
  <c r="J47" i="13"/>
  <c r="J30" i="10"/>
  <c r="V31" i="10"/>
  <c r="J33" i="10"/>
  <c r="AB34" i="10"/>
  <c r="U34" i="10"/>
  <c r="W36" i="10"/>
  <c r="AB36" i="10"/>
  <c r="N40" i="10"/>
  <c r="W51" i="10"/>
  <c r="AB51" i="10"/>
  <c r="Z52" i="10"/>
  <c r="N55" i="10"/>
  <c r="R52" i="10"/>
  <c r="AB67" i="10"/>
  <c r="U67" i="10"/>
  <c r="AB73" i="10"/>
  <c r="U73" i="10"/>
  <c r="Y73" i="10"/>
  <c r="AA74" i="10"/>
  <c r="AB76" i="10"/>
  <c r="U76" i="10"/>
  <c r="Y76" i="10"/>
  <c r="W76" i="10"/>
  <c r="W78" i="10"/>
  <c r="AB78" i="10"/>
  <c r="Y78" i="10"/>
  <c r="W84" i="10"/>
  <c r="AB84" i="10"/>
  <c r="Y84" i="10"/>
  <c r="U84" i="10"/>
  <c r="E52" i="11"/>
  <c r="D53" i="11"/>
  <c r="I31" i="10"/>
  <c r="Q31" i="10" s="1"/>
  <c r="Q32" i="10"/>
  <c r="J36" i="10"/>
  <c r="AB37" i="10"/>
  <c r="U37" i="10"/>
  <c r="W39" i="10"/>
  <c r="AB39" i="10"/>
  <c r="T52" i="10"/>
  <c r="AA52" i="10"/>
  <c r="W54" i="10"/>
  <c r="AB54" i="10"/>
  <c r="AB55" i="10"/>
  <c r="U55" i="10"/>
  <c r="N64" i="10"/>
  <c r="W66" i="10"/>
  <c r="AB66" i="10"/>
  <c r="U66" i="10"/>
  <c r="Y66" i="10"/>
  <c r="W75" i="10"/>
  <c r="S74" i="10"/>
  <c r="AB75" i="10"/>
  <c r="U75" i="10"/>
  <c r="Y75" i="10"/>
  <c r="J90" i="10"/>
  <c r="L89" i="10"/>
  <c r="J54" i="12"/>
  <c r="O52" i="12"/>
  <c r="I13" i="10"/>
  <c r="Q14" i="10"/>
  <c r="D16" i="10"/>
  <c r="AB19" i="10"/>
  <c r="U19" i="10"/>
  <c r="W21" i="10"/>
  <c r="AB21" i="10"/>
  <c r="U36" i="10"/>
  <c r="D37" i="10"/>
  <c r="AB40" i="10"/>
  <c r="U40" i="10"/>
  <c r="W42" i="10"/>
  <c r="AB42" i="10"/>
  <c r="J51" i="10"/>
  <c r="U51" i="10"/>
  <c r="E52" i="10"/>
  <c r="S52" i="10"/>
  <c r="O52" i="10"/>
  <c r="J53" i="10"/>
  <c r="AB53" i="10"/>
  <c r="W60" i="10"/>
  <c r="AB60" i="10"/>
  <c r="J72" i="10"/>
  <c r="E74" i="10"/>
  <c r="Q75" i="10"/>
  <c r="I74" i="10"/>
  <c r="Q74" i="10" s="1"/>
  <c r="T74" i="10"/>
  <c r="U78" i="10"/>
  <c r="AB82" i="10"/>
  <c r="U82" i="10"/>
  <c r="Y82" i="10"/>
  <c r="W82" i="10"/>
  <c r="M79" i="11"/>
  <c r="Q19" i="12"/>
  <c r="I13" i="12"/>
  <c r="G74" i="10"/>
  <c r="P74" i="10" s="1"/>
  <c r="P75" i="10"/>
  <c r="X74" i="10"/>
  <c r="J84" i="10"/>
  <c r="AB85" i="10"/>
  <c r="U85" i="10"/>
  <c r="W87" i="10"/>
  <c r="AB87" i="10"/>
  <c r="I89" i="10"/>
  <c r="T14" i="11"/>
  <c r="R13" i="11"/>
  <c r="C30" i="11"/>
  <c r="M30" i="11"/>
  <c r="C33" i="11"/>
  <c r="K33" i="11" s="1"/>
  <c r="M33" i="11"/>
  <c r="R74" i="11"/>
  <c r="N76" i="11"/>
  <c r="F89" i="11"/>
  <c r="F10" i="11" s="1"/>
  <c r="F9" i="11" s="1"/>
  <c r="D109" i="11"/>
  <c r="U13" i="12"/>
  <c r="N20" i="12"/>
  <c r="T26" i="12"/>
  <c r="V31" i="12"/>
  <c r="W33" i="12"/>
  <c r="AA36" i="12"/>
  <c r="AB36" i="12" s="1"/>
  <c r="Z31" i="12"/>
  <c r="C40" i="12"/>
  <c r="M40" i="12"/>
  <c r="H74" i="12"/>
  <c r="N83" i="12"/>
  <c r="N16" i="13"/>
  <c r="H13" i="13"/>
  <c r="P41" i="13"/>
  <c r="J41" i="13"/>
  <c r="D58" i="10"/>
  <c r="J60" i="10"/>
  <c r="AB61" i="10"/>
  <c r="U61" i="10"/>
  <c r="W63" i="10"/>
  <c r="AB63" i="10"/>
  <c r="N67" i="10"/>
  <c r="H74" i="10"/>
  <c r="R74" i="10"/>
  <c r="N76" i="10"/>
  <c r="D85" i="10"/>
  <c r="J87" i="10"/>
  <c r="AB88" i="10"/>
  <c r="U88" i="10"/>
  <c r="D90" i="10"/>
  <c r="F89" i="10"/>
  <c r="F10" i="10" s="1"/>
  <c r="F9" i="10" s="1"/>
  <c r="Q19" i="11"/>
  <c r="D34" i="11"/>
  <c r="D43" i="11"/>
  <c r="D55" i="11"/>
  <c r="D64" i="11"/>
  <c r="D73" i="11"/>
  <c r="E74" i="11"/>
  <c r="D82" i="11"/>
  <c r="H89" i="11"/>
  <c r="N90" i="11"/>
  <c r="J14" i="12"/>
  <c r="L13" i="12"/>
  <c r="S13" i="12"/>
  <c r="AA14" i="12"/>
  <c r="Y13" i="12"/>
  <c r="N26" i="12"/>
  <c r="AA26" i="12"/>
  <c r="AB26" i="12" s="1"/>
  <c r="W37" i="12"/>
  <c r="U31" i="12"/>
  <c r="AA38" i="12"/>
  <c r="AB38" i="12" s="1"/>
  <c r="P40" i="12"/>
  <c r="C51" i="12"/>
  <c r="J68" i="12"/>
  <c r="N68" i="12"/>
  <c r="D88" i="10"/>
  <c r="P90" i="10"/>
  <c r="G89" i="10"/>
  <c r="E13" i="11"/>
  <c r="J15" i="11"/>
  <c r="C36" i="11"/>
  <c r="I89" i="11"/>
  <c r="Q90" i="11"/>
  <c r="L89" i="11"/>
  <c r="J104" i="11"/>
  <c r="O11" i="11"/>
  <c r="J11" i="11" s="1"/>
  <c r="D14" i="12"/>
  <c r="T14" i="12"/>
  <c r="Z13" i="12"/>
  <c r="D27" i="12"/>
  <c r="N55" i="12"/>
  <c r="H52" i="12"/>
  <c r="AA55" i="12"/>
  <c r="T55" i="12"/>
  <c r="D90" i="12"/>
  <c r="C94" i="12"/>
  <c r="K94" i="12" s="1"/>
  <c r="C107" i="12"/>
  <c r="K107" i="12" s="1"/>
  <c r="AP13" i="13"/>
  <c r="AR15" i="13"/>
  <c r="H89" i="10"/>
  <c r="G11" i="10"/>
  <c r="P11" i="10" s="1"/>
  <c r="P104" i="10"/>
  <c r="F13" i="11"/>
  <c r="L13" i="11"/>
  <c r="F13" i="12"/>
  <c r="T32" i="12"/>
  <c r="R31" i="12"/>
  <c r="I52" i="12"/>
  <c r="Q54" i="12"/>
  <c r="AI13" i="13"/>
  <c r="AJ15" i="13"/>
  <c r="J39" i="13"/>
  <c r="P39" i="13"/>
  <c r="D67" i="10"/>
  <c r="AB70" i="10"/>
  <c r="U70" i="10"/>
  <c r="W72" i="10"/>
  <c r="AB72" i="10"/>
  <c r="D76" i="10"/>
  <c r="AB79" i="10"/>
  <c r="U79" i="10"/>
  <c r="W81" i="10"/>
  <c r="AB81" i="10"/>
  <c r="P111" i="10"/>
  <c r="C116" i="10"/>
  <c r="K116" i="10" s="1"/>
  <c r="M116" i="10"/>
  <c r="J19" i="11"/>
  <c r="T32" i="11"/>
  <c r="R31" i="11"/>
  <c r="T53" i="11"/>
  <c r="R52" i="11"/>
  <c r="D94" i="11"/>
  <c r="D103" i="11"/>
  <c r="N17" i="12"/>
  <c r="AA17" i="12"/>
  <c r="AB17" i="12" s="1"/>
  <c r="W22" i="12"/>
  <c r="AA23" i="12"/>
  <c r="AB23" i="12" s="1"/>
  <c r="N34" i="12"/>
  <c r="H31" i="12"/>
  <c r="AA34" i="12"/>
  <c r="AB34" i="12" s="1"/>
  <c r="D53" i="12"/>
  <c r="E52" i="12"/>
  <c r="J53" i="12"/>
  <c r="L52" i="12"/>
  <c r="U52" i="12"/>
  <c r="W54" i="12"/>
  <c r="T56" i="12"/>
  <c r="D71" i="12"/>
  <c r="D72" i="12"/>
  <c r="AF21" i="13"/>
  <c r="AX13" i="13"/>
  <c r="J32" i="13"/>
  <c r="O31" i="13"/>
  <c r="AE31" i="13"/>
  <c r="AF31" i="13" s="1"/>
  <c r="AF32" i="13"/>
  <c r="AZ33" i="13"/>
  <c r="AX31" i="13"/>
  <c r="P93" i="13"/>
  <c r="G89" i="13"/>
  <c r="AC72" i="13"/>
  <c r="Z52" i="13"/>
  <c r="Q104" i="13"/>
  <c r="I11" i="13"/>
  <c r="Q11" i="13" s="1"/>
  <c r="H31" i="10"/>
  <c r="H52" i="10"/>
  <c r="L74" i="10"/>
  <c r="J98" i="11"/>
  <c r="G13" i="12"/>
  <c r="P14" i="12"/>
  <c r="E31" i="12"/>
  <c r="AA35" i="12"/>
  <c r="AB35" i="12" s="1"/>
  <c r="S31" i="12"/>
  <c r="P37" i="12"/>
  <c r="G31" i="12"/>
  <c r="AA44" i="12"/>
  <c r="AB44" i="12" s="1"/>
  <c r="J77" i="12"/>
  <c r="L74" i="12"/>
  <c r="J80" i="12"/>
  <c r="N80" i="12"/>
  <c r="Q16" i="13"/>
  <c r="I13" i="13"/>
  <c r="AK31" i="13"/>
  <c r="AN33" i="13"/>
  <c r="U34" i="13"/>
  <c r="T31" i="13"/>
  <c r="AC36" i="13"/>
  <c r="Z31" i="13"/>
  <c r="AJ36" i="13"/>
  <c r="AG31" i="13"/>
  <c r="AT31" i="13"/>
  <c r="N14" i="11"/>
  <c r="N16" i="11"/>
  <c r="N32" i="11"/>
  <c r="N53" i="11"/>
  <c r="N56" i="11"/>
  <c r="N86" i="11"/>
  <c r="D97" i="11"/>
  <c r="Q104" i="11"/>
  <c r="D105" i="11"/>
  <c r="C110" i="11"/>
  <c r="K110" i="11" s="1"/>
  <c r="D111" i="11"/>
  <c r="W19" i="12"/>
  <c r="AA20" i="12"/>
  <c r="AB20" i="12" s="1"/>
  <c r="N21" i="12"/>
  <c r="W28" i="12"/>
  <c r="AA29" i="12"/>
  <c r="AB29" i="12" s="1"/>
  <c r="N30" i="12"/>
  <c r="F31" i="12"/>
  <c r="L31" i="12"/>
  <c r="T41" i="12"/>
  <c r="S52" i="12"/>
  <c r="R52" i="12"/>
  <c r="T53" i="12"/>
  <c r="Y52" i="12"/>
  <c r="E74" i="12"/>
  <c r="T75" i="12"/>
  <c r="R74" i="12"/>
  <c r="Y74" i="12"/>
  <c r="D77" i="12"/>
  <c r="W77" i="12"/>
  <c r="U74" i="12"/>
  <c r="D98" i="12"/>
  <c r="M100" i="12"/>
  <c r="C100" i="12"/>
  <c r="K100" i="12" s="1"/>
  <c r="D114" i="12"/>
  <c r="AQ13" i="13"/>
  <c r="D99" i="10"/>
  <c r="J99" i="10"/>
  <c r="P90" i="11"/>
  <c r="G89" i="11"/>
  <c r="O89" i="11"/>
  <c r="O10" i="11" s="1"/>
  <c r="J95" i="11"/>
  <c r="R13" i="12"/>
  <c r="X13" i="12"/>
  <c r="D20" i="12"/>
  <c r="D29" i="12"/>
  <c r="AA58" i="12"/>
  <c r="AB58" i="12" s="1"/>
  <c r="T58" i="12"/>
  <c r="J72" i="12"/>
  <c r="P83" i="12"/>
  <c r="G74" i="12"/>
  <c r="P74" i="12" s="1"/>
  <c r="AD13" i="13"/>
  <c r="E13" i="12"/>
  <c r="AA32" i="12"/>
  <c r="N47" i="12"/>
  <c r="F52" i="12"/>
  <c r="V52" i="12"/>
  <c r="J58" i="12"/>
  <c r="AA59" i="12"/>
  <c r="AB59" i="12" s="1"/>
  <c r="N65" i="12"/>
  <c r="G89" i="12"/>
  <c r="C92" i="12"/>
  <c r="K92" i="12" s="1"/>
  <c r="M92" i="12"/>
  <c r="G13" i="13"/>
  <c r="AE13" i="13"/>
  <c r="P32" i="13"/>
  <c r="G31" i="13"/>
  <c r="N35" i="12"/>
  <c r="N38" i="12"/>
  <c r="Q40" i="12"/>
  <c r="N41" i="12"/>
  <c r="N44" i="12"/>
  <c r="T47" i="12"/>
  <c r="N50" i="12"/>
  <c r="D59" i="12"/>
  <c r="J61" i="12"/>
  <c r="T61" i="12"/>
  <c r="AA62" i="12"/>
  <c r="AB62" i="12" s="1"/>
  <c r="T65" i="12"/>
  <c r="N69" i="12"/>
  <c r="N72" i="12"/>
  <c r="D99" i="12"/>
  <c r="AK13" i="13"/>
  <c r="U14" i="13"/>
  <c r="R13" i="13"/>
  <c r="AF14" i="13"/>
  <c r="AV14" i="13"/>
  <c r="AS13" i="13"/>
  <c r="AM13" i="13"/>
  <c r="AA13" i="13"/>
  <c r="AC17" i="13"/>
  <c r="AC19" i="13"/>
  <c r="P26" i="13"/>
  <c r="AN30" i="13"/>
  <c r="H31" i="13"/>
  <c r="N32" i="13"/>
  <c r="M66" i="13"/>
  <c r="W34" i="12"/>
  <c r="J37" i="12"/>
  <c r="J40" i="12"/>
  <c r="J43" i="12"/>
  <c r="J46" i="12"/>
  <c r="T50" i="12"/>
  <c r="N53" i="12"/>
  <c r="X52" i="12"/>
  <c r="D62" i="12"/>
  <c r="J64" i="12"/>
  <c r="W69" i="12"/>
  <c r="AA70" i="12"/>
  <c r="AB70" i="12" s="1"/>
  <c r="W72" i="12"/>
  <c r="AA73" i="12"/>
  <c r="AB73" i="12" s="1"/>
  <c r="X74" i="12"/>
  <c r="J82" i="12"/>
  <c r="O74" i="12"/>
  <c r="Q91" i="12"/>
  <c r="I89" i="12"/>
  <c r="D95" i="12"/>
  <c r="D102" i="12"/>
  <c r="AC14" i="13"/>
  <c r="Z13" i="13"/>
  <c r="AG13" i="13"/>
  <c r="AR16" i="13"/>
  <c r="J19" i="13"/>
  <c r="N19" i="13"/>
  <c r="AZ22" i="13"/>
  <c r="D24" i="13"/>
  <c r="AM31" i="13"/>
  <c r="AA75" i="12"/>
  <c r="AA78" i="12"/>
  <c r="AB78" i="12" s="1"/>
  <c r="AA81" i="12"/>
  <c r="AB81" i="12" s="1"/>
  <c r="N87" i="12"/>
  <c r="F89" i="12"/>
  <c r="F10" i="12" s="1"/>
  <c r="F9" i="12" s="1"/>
  <c r="L89" i="12"/>
  <c r="N95" i="12"/>
  <c r="T13" i="13"/>
  <c r="BC13" i="13"/>
  <c r="N15" i="13"/>
  <c r="Q25" i="13"/>
  <c r="AJ25" i="13"/>
  <c r="AH13" i="13"/>
  <c r="V31" i="13"/>
  <c r="AS31" i="13"/>
  <c r="M44" i="13"/>
  <c r="C44" i="13"/>
  <c r="K44" i="13" s="1"/>
  <c r="Q47" i="13"/>
  <c r="J50" i="13"/>
  <c r="P50" i="13"/>
  <c r="M71" i="13"/>
  <c r="AX52" i="13"/>
  <c r="J83" i="12"/>
  <c r="T83" i="12"/>
  <c r="AA84" i="12"/>
  <c r="AB84" i="12" s="1"/>
  <c r="T87" i="12"/>
  <c r="J116" i="12"/>
  <c r="D14" i="13"/>
  <c r="E13" i="13"/>
  <c r="J14" i="13"/>
  <c r="L13" i="13"/>
  <c r="AZ14" i="13"/>
  <c r="AW13" i="13"/>
  <c r="AN19" i="13"/>
  <c r="J25" i="13"/>
  <c r="AB13" i="13"/>
  <c r="AY31" i="13"/>
  <c r="Q33" i="13"/>
  <c r="I31" i="13"/>
  <c r="J51" i="13"/>
  <c r="P51" i="13"/>
  <c r="T52" i="13"/>
  <c r="AH52" i="13"/>
  <c r="P57" i="13"/>
  <c r="T69" i="12"/>
  <c r="T72" i="12"/>
  <c r="D84" i="12"/>
  <c r="J86" i="12"/>
  <c r="D110" i="12"/>
  <c r="F13" i="13"/>
  <c r="AO13" i="13"/>
  <c r="AU13" i="13"/>
  <c r="BB13" i="13"/>
  <c r="AV18" i="13"/>
  <c r="BD18" i="13"/>
  <c r="AN20" i="13"/>
  <c r="U23" i="13"/>
  <c r="AC23" i="13"/>
  <c r="AC24" i="13"/>
  <c r="D25" i="13"/>
  <c r="V13" i="13"/>
  <c r="Y26" i="13"/>
  <c r="AC27" i="13"/>
  <c r="AZ30" i="13"/>
  <c r="AL31" i="13"/>
  <c r="AN32" i="13"/>
  <c r="P35" i="13"/>
  <c r="J35" i="13"/>
  <c r="N55" i="13"/>
  <c r="H52" i="13"/>
  <c r="BD56" i="13"/>
  <c r="BA52" i="13"/>
  <c r="P14" i="13"/>
  <c r="D16" i="13"/>
  <c r="J16" i="13"/>
  <c r="AN16" i="13"/>
  <c r="AZ17" i="13"/>
  <c r="P20" i="13"/>
  <c r="D22" i="13"/>
  <c r="J22" i="13"/>
  <c r="AN29" i="13"/>
  <c r="Q41" i="13"/>
  <c r="P15" i="13"/>
  <c r="D17" i="13"/>
  <c r="J17" i="13"/>
  <c r="AN17" i="13"/>
  <c r="AZ18" i="13"/>
  <c r="P21" i="13"/>
  <c r="AZ24" i="13"/>
  <c r="AN25" i="13"/>
  <c r="Q26" i="13"/>
  <c r="AC33" i="13"/>
  <c r="C35" i="13"/>
  <c r="Q35" i="13"/>
  <c r="AC48" i="13"/>
  <c r="Q50" i="13"/>
  <c r="AN68" i="13"/>
  <c r="AK52" i="13"/>
  <c r="AN75" i="13"/>
  <c r="AK74" i="13"/>
  <c r="D76" i="13"/>
  <c r="AP74" i="13"/>
  <c r="AR76" i="13"/>
  <c r="P16" i="13"/>
  <c r="D18" i="13"/>
  <c r="J18" i="13"/>
  <c r="AN18" i="13"/>
  <c r="AZ19" i="13"/>
  <c r="AZ23" i="13"/>
  <c r="AN24" i="13"/>
  <c r="AV25" i="13"/>
  <c r="AT13" i="13"/>
  <c r="AC30" i="13"/>
  <c r="AA31" i="13"/>
  <c r="AH31" i="13"/>
  <c r="AC42" i="13"/>
  <c r="J54" i="13"/>
  <c r="P54" i="13"/>
  <c r="Y58" i="13"/>
  <c r="U75" i="13"/>
  <c r="R74" i="13"/>
  <c r="AC26" i="13"/>
  <c r="Q29" i="13"/>
  <c r="AC32" i="13"/>
  <c r="AC34" i="13"/>
  <c r="Q39" i="13"/>
  <c r="AC40" i="13"/>
  <c r="Q45" i="13"/>
  <c r="AC46" i="13"/>
  <c r="Q51" i="13"/>
  <c r="Q55" i="13"/>
  <c r="E52" i="13"/>
  <c r="AU52" i="13"/>
  <c r="BB52" i="13"/>
  <c r="BD57" i="13"/>
  <c r="C60" i="13"/>
  <c r="N90" i="13"/>
  <c r="H89" i="13"/>
  <c r="M112" i="13"/>
  <c r="AC51" i="13"/>
  <c r="Q54" i="13"/>
  <c r="F52" i="13"/>
  <c r="L52" i="13"/>
  <c r="AI52" i="13"/>
  <c r="AR56" i="13"/>
  <c r="AO52" i="13"/>
  <c r="BC52" i="13"/>
  <c r="BD58" i="13"/>
  <c r="M62" i="13"/>
  <c r="AR62" i="13"/>
  <c r="AE52" i="13"/>
  <c r="AP52" i="13"/>
  <c r="AZ56" i="13"/>
  <c r="AW52" i="13"/>
  <c r="AC29" i="13"/>
  <c r="Q32" i="13"/>
  <c r="Q36" i="13"/>
  <c r="AC37" i="13"/>
  <c r="Q42" i="13"/>
  <c r="AC43" i="13"/>
  <c r="Q48" i="13"/>
  <c r="AC49" i="13"/>
  <c r="V52" i="13"/>
  <c r="AC53" i="13"/>
  <c r="W52" i="13"/>
  <c r="AF56" i="13"/>
  <c r="AD52" i="13"/>
  <c r="Y57" i="13"/>
  <c r="AR58" i="13"/>
  <c r="Y63" i="13"/>
  <c r="AR65" i="13"/>
  <c r="S52" i="13"/>
  <c r="AR66" i="13"/>
  <c r="AF69" i="13"/>
  <c r="AW74" i="13"/>
  <c r="BC74" i="13"/>
  <c r="U56" i="13"/>
  <c r="N71" i="13"/>
  <c r="G74" i="13"/>
  <c r="N75" i="13"/>
  <c r="H74" i="13"/>
  <c r="S74" i="13"/>
  <c r="AC75" i="13"/>
  <c r="Z74" i="13"/>
  <c r="M98" i="13"/>
  <c r="R52" i="13"/>
  <c r="BD65" i="13"/>
  <c r="N66" i="13"/>
  <c r="AF66" i="13"/>
  <c r="D69" i="13"/>
  <c r="AR69" i="13"/>
  <c r="AZ72" i="13"/>
  <c r="AZ81" i="13"/>
  <c r="I74" i="13"/>
  <c r="Q82" i="13"/>
  <c r="AJ84" i="13"/>
  <c r="AR84" i="13"/>
  <c r="AO74" i="13"/>
  <c r="AZ84" i="13"/>
  <c r="AZ85" i="13"/>
  <c r="BD66" i="13"/>
  <c r="N67" i="13"/>
  <c r="AF67" i="13"/>
  <c r="D70" i="13"/>
  <c r="AR70" i="13"/>
  <c r="AN72" i="13"/>
  <c r="D73" i="13"/>
  <c r="J73" i="13"/>
  <c r="N73" i="13"/>
  <c r="J75" i="13"/>
  <c r="L74" i="13"/>
  <c r="N77" i="13"/>
  <c r="AN79" i="13"/>
  <c r="D80" i="13"/>
  <c r="D81" i="13"/>
  <c r="J81" i="13"/>
  <c r="N81" i="13"/>
  <c r="AV88" i="13"/>
  <c r="Q97" i="13"/>
  <c r="I89" i="13"/>
  <c r="AV80" i="13"/>
  <c r="AS74" i="13"/>
  <c r="BD80" i="13"/>
  <c r="BA74" i="13"/>
  <c r="P91" i="13"/>
  <c r="D95" i="13"/>
  <c r="E89" i="13"/>
  <c r="E10" i="13" s="1"/>
  <c r="E9" i="13" s="1"/>
  <c r="M96" i="13"/>
  <c r="N98" i="13"/>
  <c r="U76" i="13"/>
  <c r="U78" i="13"/>
  <c r="AM74" i="13"/>
  <c r="U81" i="13"/>
  <c r="AZ82" i="13"/>
  <c r="AR83" i="13"/>
  <c r="N95" i="13"/>
  <c r="J109" i="13"/>
  <c r="AZ75" i="13"/>
  <c r="AZ77" i="13"/>
  <c r="AZ79" i="13"/>
  <c r="AC80" i="13"/>
  <c r="AJ80" i="13"/>
  <c r="AG74" i="13"/>
  <c r="AF82" i="13"/>
  <c r="AN86" i="13"/>
  <c r="J83" i="13"/>
  <c r="AN83" i="13"/>
  <c r="J85" i="13"/>
  <c r="AV85" i="13"/>
  <c r="AJ87" i="13"/>
  <c r="J104" i="13"/>
  <c r="J110" i="13"/>
  <c r="J116" i="13"/>
  <c r="P82" i="13"/>
  <c r="J84" i="13"/>
  <c r="AV84" i="13"/>
  <c r="P86" i="13"/>
  <c r="AJ86" i="13"/>
  <c r="AZ87" i="13"/>
  <c r="F89" i="13"/>
  <c r="F10" i="13" s="1"/>
  <c r="F9" i="13" s="1"/>
  <c r="L89" i="13"/>
  <c r="J91" i="13"/>
  <c r="D110" i="13"/>
  <c r="D116" i="13"/>
  <c r="AZ80" i="13"/>
  <c r="P83" i="13"/>
  <c r="P85" i="13"/>
  <c r="AJ85" i="13"/>
  <c r="AZ86" i="13"/>
  <c r="AN88" i="13"/>
  <c r="N105" i="13"/>
  <c r="J106" i="13"/>
  <c r="N111" i="13"/>
  <c r="J112" i="13"/>
  <c r="C58" i="5" l="1"/>
  <c r="K58" i="5" s="1"/>
  <c r="M78" i="6"/>
  <c r="C88" i="5"/>
  <c r="K88" i="5" s="1"/>
  <c r="C57" i="2"/>
  <c r="M100" i="10"/>
  <c r="K77" i="8"/>
  <c r="C49" i="4"/>
  <c r="K49" i="4" s="1"/>
  <c r="C60" i="3"/>
  <c r="K60" i="3" s="1"/>
  <c r="M69" i="12"/>
  <c r="M38" i="4"/>
  <c r="M23" i="1"/>
  <c r="M37" i="1"/>
  <c r="C98" i="5"/>
  <c r="K98" i="5" s="1"/>
  <c r="C58" i="2"/>
  <c r="K58" i="2" s="1"/>
  <c r="C101" i="2"/>
  <c r="K101" i="2" s="1"/>
  <c r="W51" i="1"/>
  <c r="C20" i="2"/>
  <c r="M93" i="11"/>
  <c r="C111" i="1"/>
  <c r="K111" i="1" s="1"/>
  <c r="M73" i="3"/>
  <c r="C46" i="11"/>
  <c r="K46" i="11" s="1"/>
  <c r="M85" i="8"/>
  <c r="M108" i="1"/>
  <c r="U82" i="1"/>
  <c r="M110" i="3"/>
  <c r="M21" i="5"/>
  <c r="M56" i="4"/>
  <c r="U38" i="1"/>
  <c r="U41" i="1"/>
  <c r="C33" i="5"/>
  <c r="K33" i="5" s="1"/>
  <c r="K56" i="13"/>
  <c r="K49" i="2"/>
  <c r="M112" i="5"/>
  <c r="M69" i="1"/>
  <c r="M70" i="2"/>
  <c r="K50" i="8"/>
  <c r="C116" i="12"/>
  <c r="K116" i="12" s="1"/>
  <c r="C45" i="8"/>
  <c r="K45" i="8" s="1"/>
  <c r="C17" i="8"/>
  <c r="K17" i="8" s="1"/>
  <c r="C53" i="6"/>
  <c r="K53" i="6" s="1"/>
  <c r="AV52" i="13"/>
  <c r="M105" i="10"/>
  <c r="Z31" i="9"/>
  <c r="C65" i="1"/>
  <c r="K65" i="1" s="1"/>
  <c r="C40" i="9"/>
  <c r="K40" i="9" s="1"/>
  <c r="C26" i="13"/>
  <c r="K26" i="13" s="1"/>
  <c r="M61" i="11"/>
  <c r="M23" i="10"/>
  <c r="M40" i="1"/>
  <c r="K46" i="12"/>
  <c r="C44" i="12"/>
  <c r="K44" i="12" s="1"/>
  <c r="M102" i="10"/>
  <c r="C76" i="9"/>
  <c r="M72" i="8"/>
  <c r="C71" i="6"/>
  <c r="K71" i="6" s="1"/>
  <c r="C43" i="5"/>
  <c r="K43" i="5" s="1"/>
  <c r="C75" i="3"/>
  <c r="K75" i="3" s="1"/>
  <c r="M53" i="1"/>
  <c r="K72" i="1"/>
  <c r="C106" i="8"/>
  <c r="K106" i="8" s="1"/>
  <c r="K102" i="7"/>
  <c r="C63" i="13"/>
  <c r="K63" i="13" s="1"/>
  <c r="M61" i="12"/>
  <c r="C36" i="12"/>
  <c r="K36" i="12" s="1"/>
  <c r="C91" i="12"/>
  <c r="K91" i="12" s="1"/>
  <c r="C92" i="11"/>
  <c r="K92" i="11" s="1"/>
  <c r="M86" i="8"/>
  <c r="M20" i="8"/>
  <c r="M115" i="7"/>
  <c r="AL31" i="7"/>
  <c r="M86" i="6"/>
  <c r="C41" i="6"/>
  <c r="K41" i="6" s="1"/>
  <c r="C79" i="5"/>
  <c r="K79" i="5" s="1"/>
  <c r="C54" i="3"/>
  <c r="K54" i="3" s="1"/>
  <c r="C73" i="2"/>
  <c r="K73" i="2" s="1"/>
  <c r="C40" i="2"/>
  <c r="K40" i="2" s="1"/>
  <c r="M97" i="2"/>
  <c r="M105" i="1"/>
  <c r="M27" i="6"/>
  <c r="C100" i="7"/>
  <c r="K100" i="7" s="1"/>
  <c r="C33" i="13"/>
  <c r="K33" i="13" s="1"/>
  <c r="M75" i="12"/>
  <c r="M100" i="9"/>
  <c r="M71" i="9"/>
  <c r="K25" i="7"/>
  <c r="M39" i="6"/>
  <c r="M16" i="4"/>
  <c r="M97" i="3"/>
  <c r="C37" i="2"/>
  <c r="K37" i="2" s="1"/>
  <c r="M67" i="1"/>
  <c r="M51" i="1"/>
  <c r="C103" i="3"/>
  <c r="K103" i="3" s="1"/>
  <c r="W69" i="1"/>
  <c r="M92" i="1"/>
  <c r="K21" i="12"/>
  <c r="M48" i="12"/>
  <c r="C115" i="3"/>
  <c r="K115" i="3" s="1"/>
  <c r="C23" i="2"/>
  <c r="K23" i="2" s="1"/>
  <c r="K23" i="13"/>
  <c r="M35" i="11"/>
  <c r="M69" i="10"/>
  <c r="M65" i="7"/>
  <c r="C116" i="4"/>
  <c r="K116" i="4" s="1"/>
  <c r="M106" i="5"/>
  <c r="K48" i="3"/>
  <c r="C18" i="2"/>
  <c r="U28" i="1"/>
  <c r="K80" i="8"/>
  <c r="M81" i="8"/>
  <c r="M48" i="2"/>
  <c r="C42" i="9"/>
  <c r="K42" i="9" s="1"/>
  <c r="C24" i="12"/>
  <c r="K24" i="12" s="1"/>
  <c r="C70" i="11"/>
  <c r="K70" i="11" s="1"/>
  <c r="C28" i="11"/>
  <c r="K28" i="11" s="1"/>
  <c r="M54" i="2"/>
  <c r="M54" i="11"/>
  <c r="M102" i="11"/>
  <c r="U64" i="1"/>
  <c r="M42" i="11"/>
  <c r="C93" i="10"/>
  <c r="K93" i="10" s="1"/>
  <c r="M20" i="13"/>
  <c r="K107" i="7"/>
  <c r="K36" i="8"/>
  <c r="C110" i="10"/>
  <c r="K110" i="10" s="1"/>
  <c r="C66" i="12"/>
  <c r="K66" i="12" s="1"/>
  <c r="M43" i="10"/>
  <c r="M82" i="8"/>
  <c r="C81" i="7"/>
  <c r="K81" i="7" s="1"/>
  <c r="M78" i="7"/>
  <c r="M38" i="8"/>
  <c r="M38" i="11"/>
  <c r="C47" i="6"/>
  <c r="K47" i="6" s="1"/>
  <c r="M63" i="6"/>
  <c r="C48" i="10"/>
  <c r="K48" i="10" s="1"/>
  <c r="M30" i="12"/>
  <c r="C14" i="11"/>
  <c r="M48" i="13"/>
  <c r="C44" i="10"/>
  <c r="K44" i="10" s="1"/>
  <c r="K15" i="7"/>
  <c r="M108" i="10"/>
  <c r="M24" i="11"/>
  <c r="M49" i="11"/>
  <c r="C27" i="8"/>
  <c r="K27" i="8" s="1"/>
  <c r="M73" i="7"/>
  <c r="M64" i="6"/>
  <c r="C97" i="6"/>
  <c r="K97" i="6" s="1"/>
  <c r="C56" i="3"/>
  <c r="K56" i="3" s="1"/>
  <c r="M39" i="2"/>
  <c r="J13" i="2"/>
  <c r="C81" i="2"/>
  <c r="K81" i="2" s="1"/>
  <c r="M36" i="9"/>
  <c r="C83" i="4"/>
  <c r="K83" i="4" s="1"/>
  <c r="M27" i="11"/>
  <c r="M40" i="11"/>
  <c r="M80" i="8"/>
  <c r="M84" i="8"/>
  <c r="K20" i="8"/>
  <c r="K38" i="8"/>
  <c r="M71" i="7"/>
  <c r="M15" i="7"/>
  <c r="K70" i="5"/>
  <c r="C44" i="3"/>
  <c r="K44" i="3" s="1"/>
  <c r="C115" i="10"/>
  <c r="K115" i="10" s="1"/>
  <c r="M67" i="8"/>
  <c r="M107" i="3"/>
  <c r="K32" i="12"/>
  <c r="M85" i="12"/>
  <c r="M66" i="11"/>
  <c r="M24" i="8"/>
  <c r="K60" i="7"/>
  <c r="C69" i="4"/>
  <c r="K69" i="4" s="1"/>
  <c r="C48" i="4"/>
  <c r="K48" i="4" s="1"/>
  <c r="M21" i="2"/>
  <c r="K105" i="5"/>
  <c r="C54" i="13"/>
  <c r="K54" i="13" s="1"/>
  <c r="M55" i="8"/>
  <c r="M97" i="5"/>
  <c r="M22" i="4"/>
  <c r="C84" i="3"/>
  <c r="K84" i="3" s="1"/>
  <c r="W19" i="1"/>
  <c r="C77" i="4"/>
  <c r="K77" i="4" s="1"/>
  <c r="K78" i="3"/>
  <c r="U44" i="1"/>
  <c r="K19" i="3"/>
  <c r="C108" i="11"/>
  <c r="K108" i="11" s="1"/>
  <c r="M34" i="10"/>
  <c r="C59" i="10"/>
  <c r="K59" i="10" s="1"/>
  <c r="M46" i="8"/>
  <c r="AZ31" i="7"/>
  <c r="C71" i="4"/>
  <c r="K71" i="4" s="1"/>
  <c r="W64" i="1"/>
  <c r="W57" i="1"/>
  <c r="K19" i="13"/>
  <c r="M47" i="2"/>
  <c r="C97" i="1"/>
  <c r="K97" i="1" s="1"/>
  <c r="K48" i="6"/>
  <c r="C24" i="3"/>
  <c r="K24" i="3" s="1"/>
  <c r="C109" i="1"/>
  <c r="K109" i="1" s="1"/>
  <c r="C58" i="12"/>
  <c r="K58" i="12" s="1"/>
  <c r="M19" i="13"/>
  <c r="M23" i="12"/>
  <c r="C81" i="6"/>
  <c r="K81" i="6" s="1"/>
  <c r="M94" i="4"/>
  <c r="M87" i="3"/>
  <c r="C61" i="2"/>
  <c r="K61" i="2" s="1"/>
  <c r="M56" i="1"/>
  <c r="J13" i="1"/>
  <c r="C80" i="10"/>
  <c r="K80" i="10" s="1"/>
  <c r="C43" i="9"/>
  <c r="K43" i="9" s="1"/>
  <c r="K24" i="8"/>
  <c r="M46" i="7"/>
  <c r="C111" i="6"/>
  <c r="K111" i="6" s="1"/>
  <c r="M58" i="6"/>
  <c r="M20" i="3"/>
  <c r="G10" i="1"/>
  <c r="P10" i="1" s="1"/>
  <c r="K69" i="12"/>
  <c r="N31" i="13"/>
  <c r="J31" i="13"/>
  <c r="T31" i="9"/>
  <c r="C82" i="9"/>
  <c r="K82" i="9" s="1"/>
  <c r="C69" i="8"/>
  <c r="K69" i="8" s="1"/>
  <c r="K40" i="6"/>
  <c r="C27" i="10"/>
  <c r="K27" i="10" s="1"/>
  <c r="C84" i="9"/>
  <c r="K84" i="9" s="1"/>
  <c r="C35" i="5"/>
  <c r="K35" i="5" s="1"/>
  <c r="C78" i="5"/>
  <c r="K78" i="5" s="1"/>
  <c r="K71" i="8"/>
  <c r="K61" i="6"/>
  <c r="J74" i="6"/>
  <c r="K35" i="1"/>
  <c r="K60" i="13"/>
  <c r="C17" i="12"/>
  <c r="K17" i="12" s="1"/>
  <c r="AO52" i="7"/>
  <c r="C23" i="7"/>
  <c r="K23" i="7" s="1"/>
  <c r="M69" i="6"/>
  <c r="C55" i="4"/>
  <c r="K55" i="4" s="1"/>
  <c r="C81" i="12"/>
  <c r="K81" i="12" s="1"/>
  <c r="C29" i="7"/>
  <c r="K29" i="7" s="1"/>
  <c r="C37" i="4"/>
  <c r="K37" i="4" s="1"/>
  <c r="C112" i="3"/>
  <c r="K112" i="3" s="1"/>
  <c r="C72" i="4"/>
  <c r="K72" i="4" s="1"/>
  <c r="M107" i="13"/>
  <c r="C83" i="12"/>
  <c r="M48" i="11"/>
  <c r="M28" i="10"/>
  <c r="C101" i="3"/>
  <c r="K101" i="3" s="1"/>
  <c r="C98" i="1"/>
  <c r="K98" i="1" s="1"/>
  <c r="C98" i="2"/>
  <c r="K98" i="2" s="1"/>
  <c r="M51" i="9"/>
  <c r="C39" i="9"/>
  <c r="K39" i="9" s="1"/>
  <c r="M39" i="5"/>
  <c r="M81" i="11"/>
  <c r="M108" i="5"/>
  <c r="M101" i="10"/>
  <c r="C45" i="11"/>
  <c r="K45" i="11" s="1"/>
  <c r="M19" i="11"/>
  <c r="C58" i="8"/>
  <c r="K58" i="8" s="1"/>
  <c r="M47" i="7"/>
  <c r="M100" i="6"/>
  <c r="C25" i="6"/>
  <c r="K25" i="6" s="1"/>
  <c r="M90" i="3"/>
  <c r="C48" i="1"/>
  <c r="K48" i="1" s="1"/>
  <c r="K99" i="13"/>
  <c r="C91" i="13"/>
  <c r="K91" i="13" s="1"/>
  <c r="M15" i="12"/>
  <c r="M80" i="11"/>
  <c r="K21" i="9"/>
  <c r="C63" i="9"/>
  <c r="K63" i="9" s="1"/>
  <c r="C56" i="8"/>
  <c r="K56" i="8" s="1"/>
  <c r="M99" i="7"/>
  <c r="M48" i="8"/>
  <c r="C85" i="5"/>
  <c r="K85" i="5" s="1"/>
  <c r="C34" i="5"/>
  <c r="K34" i="5" s="1"/>
  <c r="C35" i="4"/>
  <c r="K35" i="4" s="1"/>
  <c r="C84" i="2"/>
  <c r="K84" i="2" s="1"/>
  <c r="C43" i="1"/>
  <c r="K43" i="1" s="1"/>
  <c r="C95" i="2"/>
  <c r="K95" i="2" s="1"/>
  <c r="C24" i="1"/>
  <c r="K24" i="1" s="1"/>
  <c r="C57" i="13"/>
  <c r="K57" i="13" s="1"/>
  <c r="T74" i="11"/>
  <c r="C64" i="8"/>
  <c r="K64" i="8" s="1"/>
  <c r="M111" i="4"/>
  <c r="M46" i="4"/>
  <c r="C110" i="1"/>
  <c r="K110" i="1" s="1"/>
  <c r="C72" i="2"/>
  <c r="C56" i="7"/>
  <c r="K56" i="7" s="1"/>
  <c r="C45" i="12"/>
  <c r="K45" i="12" s="1"/>
  <c r="C86" i="10"/>
  <c r="K86" i="10" s="1"/>
  <c r="C47" i="11"/>
  <c r="K47" i="11" s="1"/>
  <c r="C108" i="4"/>
  <c r="K108" i="4" s="1"/>
  <c r="C83" i="3"/>
  <c r="K83" i="3" s="1"/>
  <c r="M49" i="2"/>
  <c r="C25" i="5"/>
  <c r="K25" i="5" s="1"/>
  <c r="C17" i="10"/>
  <c r="K17" i="10" s="1"/>
  <c r="M90" i="7"/>
  <c r="K23" i="6"/>
  <c r="K54" i="8"/>
  <c r="M39" i="11"/>
  <c r="M43" i="8"/>
  <c r="K71" i="7"/>
  <c r="M62" i="2"/>
  <c r="M66" i="10"/>
  <c r="C109" i="12"/>
  <c r="K109" i="12" s="1"/>
  <c r="C101" i="12"/>
  <c r="K101" i="12" s="1"/>
  <c r="C73" i="12"/>
  <c r="K73" i="12" s="1"/>
  <c r="C91" i="10"/>
  <c r="K91" i="10" s="1"/>
  <c r="M65" i="8"/>
  <c r="M62" i="9"/>
  <c r="CA74" i="7"/>
  <c r="BI31" i="7"/>
  <c r="C33" i="6"/>
  <c r="K33" i="6" s="1"/>
  <c r="C76" i="5"/>
  <c r="K76" i="5" s="1"/>
  <c r="BU31" i="7"/>
  <c r="C62" i="3"/>
  <c r="K62" i="3" s="1"/>
  <c r="M34" i="4"/>
  <c r="C105" i="3"/>
  <c r="K105" i="3" s="1"/>
  <c r="M35" i="1"/>
  <c r="M76" i="1"/>
  <c r="K58" i="13"/>
  <c r="M57" i="10"/>
  <c r="K78" i="8"/>
  <c r="K26" i="8"/>
  <c r="C72" i="5"/>
  <c r="K72" i="5" s="1"/>
  <c r="K33" i="9"/>
  <c r="K75" i="11"/>
  <c r="C32" i="13"/>
  <c r="AQ8" i="13"/>
  <c r="AQ7" i="13" s="1"/>
  <c r="C116" i="11"/>
  <c r="K116" i="11" s="1"/>
  <c r="M37" i="11"/>
  <c r="K36" i="11"/>
  <c r="M21" i="11"/>
  <c r="C38" i="10"/>
  <c r="K38" i="10" s="1"/>
  <c r="M83" i="8"/>
  <c r="C87" i="7"/>
  <c r="K87" i="7" s="1"/>
  <c r="C42" i="5"/>
  <c r="K42" i="5" s="1"/>
  <c r="M45" i="5"/>
  <c r="W22" i="1"/>
  <c r="K49" i="1"/>
  <c r="K73" i="8"/>
  <c r="C87" i="5"/>
  <c r="K87" i="5" s="1"/>
  <c r="K66" i="2"/>
  <c r="C97" i="13"/>
  <c r="K97" i="13" s="1"/>
  <c r="C95" i="9"/>
  <c r="K95" i="9" s="1"/>
  <c r="C93" i="13"/>
  <c r="K93" i="13" s="1"/>
  <c r="C61" i="13"/>
  <c r="K61" i="13" s="1"/>
  <c r="M91" i="11"/>
  <c r="C64" i="9"/>
  <c r="K64" i="9" s="1"/>
  <c r="C62" i="8"/>
  <c r="K62" i="8" s="1"/>
  <c r="M40" i="6"/>
  <c r="M22" i="5"/>
  <c r="M20" i="1"/>
  <c r="M68" i="2"/>
  <c r="M68" i="1"/>
  <c r="M50" i="1"/>
  <c r="M44" i="1"/>
  <c r="K98" i="13"/>
  <c r="K50" i="12"/>
  <c r="M105" i="12"/>
  <c r="M63" i="11"/>
  <c r="C33" i="12"/>
  <c r="K33" i="12" s="1"/>
  <c r="C21" i="8"/>
  <c r="K21" i="8" s="1"/>
  <c r="M54" i="8"/>
  <c r="M113" i="7"/>
  <c r="C116" i="7"/>
  <c r="K116" i="7" s="1"/>
  <c r="C113" i="4"/>
  <c r="K113" i="4" s="1"/>
  <c r="M63" i="2"/>
  <c r="M36" i="1"/>
  <c r="C111" i="13"/>
  <c r="K111" i="13" s="1"/>
  <c r="K77" i="7"/>
  <c r="K24" i="7"/>
  <c r="K21" i="7"/>
  <c r="AV31" i="13"/>
  <c r="M113" i="10"/>
  <c r="M97" i="7"/>
  <c r="AO74" i="7"/>
  <c r="C92" i="3"/>
  <c r="K92" i="3" s="1"/>
  <c r="M87" i="8"/>
  <c r="C21" i="3"/>
  <c r="K21" i="3" s="1"/>
  <c r="U47" i="1"/>
  <c r="M26" i="10"/>
  <c r="M93" i="12"/>
  <c r="C97" i="10"/>
  <c r="K97" i="10" s="1"/>
  <c r="C83" i="7"/>
  <c r="K83" i="7" s="1"/>
  <c r="C75" i="13"/>
  <c r="K75" i="13" s="1"/>
  <c r="C65" i="9"/>
  <c r="K65" i="9" s="1"/>
  <c r="P31" i="12"/>
  <c r="M87" i="11"/>
  <c r="K45" i="4"/>
  <c r="K88" i="9"/>
  <c r="C93" i="8"/>
  <c r="K93" i="8" s="1"/>
  <c r="C111" i="7"/>
  <c r="K111" i="7" s="1"/>
  <c r="C18" i="8"/>
  <c r="K18" i="8" s="1"/>
  <c r="M29" i="6"/>
  <c r="K51" i="1"/>
  <c r="K40" i="1"/>
  <c r="M29" i="2"/>
  <c r="K22" i="8"/>
  <c r="BR74" i="7"/>
  <c r="C109" i="13"/>
  <c r="K109" i="13" s="1"/>
  <c r="AQ74" i="2"/>
  <c r="C19" i="9"/>
  <c r="K19" i="9" s="1"/>
  <c r="P31" i="4"/>
  <c r="C64" i="13"/>
  <c r="K64" i="13" s="1"/>
  <c r="M83" i="11"/>
  <c r="C62" i="10"/>
  <c r="K62" i="10" s="1"/>
  <c r="C41" i="7"/>
  <c r="K41" i="7" s="1"/>
  <c r="C28" i="6"/>
  <c r="K28" i="6" s="1"/>
  <c r="C76" i="6"/>
  <c r="K76" i="6" s="1"/>
  <c r="C65" i="3"/>
  <c r="K65" i="3" s="1"/>
  <c r="C51" i="4"/>
  <c r="K51" i="4" s="1"/>
  <c r="M102" i="4"/>
  <c r="U74" i="13"/>
  <c r="M113" i="9"/>
  <c r="M73" i="9"/>
  <c r="M93" i="7"/>
  <c r="AC74" i="7"/>
  <c r="BL13" i="7"/>
  <c r="K65" i="6"/>
  <c r="M116" i="3"/>
  <c r="M85" i="4"/>
  <c r="M39" i="1"/>
  <c r="M28" i="13"/>
  <c r="K76" i="9"/>
  <c r="C79" i="12"/>
  <c r="K79" i="12" s="1"/>
  <c r="C56" i="10"/>
  <c r="K56" i="10" s="1"/>
  <c r="M100" i="8"/>
  <c r="M96" i="9"/>
  <c r="M36" i="7"/>
  <c r="M105" i="6"/>
  <c r="N13" i="6"/>
  <c r="C41" i="3"/>
  <c r="K41" i="3" s="1"/>
  <c r="C112" i="1"/>
  <c r="K112" i="1" s="1"/>
  <c r="M77" i="1"/>
  <c r="K32" i="8"/>
  <c r="C115" i="13"/>
  <c r="K115" i="13" s="1"/>
  <c r="AV74" i="13"/>
  <c r="N89" i="12"/>
  <c r="C42" i="12"/>
  <c r="K42" i="12" s="1"/>
  <c r="K53" i="10"/>
  <c r="C50" i="11"/>
  <c r="K50" i="11" s="1"/>
  <c r="C56" i="6"/>
  <c r="K56" i="6" s="1"/>
  <c r="M32" i="6"/>
  <c r="C38" i="5"/>
  <c r="K38" i="5" s="1"/>
  <c r="C70" i="3"/>
  <c r="K70" i="3" s="1"/>
  <c r="C46" i="1"/>
  <c r="K46" i="1" s="1"/>
  <c r="K26" i="12"/>
  <c r="U76" i="1"/>
  <c r="T52" i="11"/>
  <c r="C33" i="10"/>
  <c r="K33" i="10" s="1"/>
  <c r="M111" i="8"/>
  <c r="M61" i="6"/>
  <c r="I10" i="5"/>
  <c r="I9" i="5" s="1"/>
  <c r="Q9" i="5" s="1"/>
  <c r="C82" i="2"/>
  <c r="K82" i="2" s="1"/>
  <c r="W45" i="1"/>
  <c r="C35" i="6"/>
  <c r="K35" i="6" s="1"/>
  <c r="C55" i="13"/>
  <c r="K55" i="13" s="1"/>
  <c r="M16" i="12"/>
  <c r="C15" i="11"/>
  <c r="K15" i="11" s="1"/>
  <c r="C76" i="12"/>
  <c r="K76" i="12" s="1"/>
  <c r="M21" i="12"/>
  <c r="K68" i="10"/>
  <c r="K51" i="9"/>
  <c r="C49" i="9"/>
  <c r="K49" i="9" s="1"/>
  <c r="AZ74" i="7"/>
  <c r="K43" i="8"/>
  <c r="K36" i="7"/>
  <c r="M21" i="7"/>
  <c r="C46" i="6"/>
  <c r="K46" i="6" s="1"/>
  <c r="C40" i="5"/>
  <c r="K40" i="5" s="1"/>
  <c r="C61" i="5"/>
  <c r="K61" i="5" s="1"/>
  <c r="M105" i="5"/>
  <c r="M105" i="4"/>
  <c r="C77" i="3"/>
  <c r="K77" i="3" s="1"/>
  <c r="AW74" i="2"/>
  <c r="M45" i="4"/>
  <c r="C66" i="3"/>
  <c r="K66" i="3" s="1"/>
  <c r="C113" i="2"/>
  <c r="K113" i="2" s="1"/>
  <c r="M47" i="4"/>
  <c r="C47" i="3"/>
  <c r="K47" i="3" s="1"/>
  <c r="M27" i="3"/>
  <c r="K55" i="2"/>
  <c r="C55" i="1"/>
  <c r="K55" i="1" s="1"/>
  <c r="M88" i="1"/>
  <c r="C71" i="3"/>
  <c r="K71" i="3" s="1"/>
  <c r="M87" i="1"/>
  <c r="M21" i="1"/>
  <c r="K28" i="13"/>
  <c r="K55" i="12"/>
  <c r="M55" i="12"/>
  <c r="W74" i="9"/>
  <c r="C49" i="13"/>
  <c r="K49" i="13" s="1"/>
  <c r="C30" i="9"/>
  <c r="K30" i="9" s="1"/>
  <c r="N74" i="8"/>
  <c r="C109" i="3"/>
  <c r="K109" i="3" s="1"/>
  <c r="C67" i="2"/>
  <c r="K67" i="2" s="1"/>
  <c r="M37" i="6"/>
  <c r="M78" i="13"/>
  <c r="C30" i="13"/>
  <c r="K30" i="13" s="1"/>
  <c r="M26" i="12"/>
  <c r="M115" i="11"/>
  <c r="C103" i="10"/>
  <c r="K103" i="10" s="1"/>
  <c r="M71" i="8"/>
  <c r="C70" i="9"/>
  <c r="K70" i="9" s="1"/>
  <c r="M107" i="7"/>
  <c r="M55" i="7"/>
  <c r="M106" i="4"/>
  <c r="M28" i="4"/>
  <c r="C50" i="3"/>
  <c r="K50" i="3" s="1"/>
  <c r="C59" i="2"/>
  <c r="K59" i="2" s="1"/>
  <c r="C88" i="3"/>
  <c r="K88" i="3" s="1"/>
  <c r="C42" i="3"/>
  <c r="K42" i="3" s="1"/>
  <c r="M17" i="3"/>
  <c r="M91" i="1"/>
  <c r="M61" i="1"/>
  <c r="M87" i="2"/>
  <c r="M61" i="3"/>
  <c r="M64" i="2"/>
  <c r="AW31" i="2"/>
  <c r="T13" i="2"/>
  <c r="K44" i="1"/>
  <c r="M72" i="13"/>
  <c r="K35" i="8"/>
  <c r="M77" i="5"/>
  <c r="M34" i="6"/>
  <c r="C62" i="5"/>
  <c r="K62" i="5" s="1"/>
  <c r="C82" i="3"/>
  <c r="K82" i="3" s="1"/>
  <c r="M59" i="13"/>
  <c r="M78" i="12"/>
  <c r="C82" i="13"/>
  <c r="K82" i="13" s="1"/>
  <c r="M22" i="8"/>
  <c r="C84" i="13"/>
  <c r="K84" i="13" s="1"/>
  <c r="M86" i="12"/>
  <c r="M25" i="11"/>
  <c r="M82" i="10"/>
  <c r="C106" i="9"/>
  <c r="K106" i="9" s="1"/>
  <c r="M55" i="10"/>
  <c r="M86" i="9"/>
  <c r="C85" i="9"/>
  <c r="K85" i="9" s="1"/>
  <c r="K83" i="8"/>
  <c r="K72" i="8"/>
  <c r="K82" i="8"/>
  <c r="M30" i="7"/>
  <c r="AL13" i="7"/>
  <c r="C112" i="6"/>
  <c r="K112" i="6" s="1"/>
  <c r="M49" i="6"/>
  <c r="C103" i="5"/>
  <c r="K103" i="5" s="1"/>
  <c r="M24" i="7"/>
  <c r="M98" i="3"/>
  <c r="C42" i="4"/>
  <c r="K42" i="4" s="1"/>
  <c r="C24" i="4"/>
  <c r="K24" i="4" s="1"/>
  <c r="C30" i="3"/>
  <c r="K30" i="3" s="1"/>
  <c r="C101" i="1"/>
  <c r="K101" i="1" s="1"/>
  <c r="K96" i="9"/>
  <c r="C45" i="13"/>
  <c r="K45" i="13" s="1"/>
  <c r="M77" i="6"/>
  <c r="C32" i="3"/>
  <c r="K32" i="3" s="1"/>
  <c r="C71" i="10"/>
  <c r="K71" i="10" s="1"/>
  <c r="M60" i="10"/>
  <c r="M108" i="9"/>
  <c r="M99" i="9"/>
  <c r="C54" i="10"/>
  <c r="K54" i="10" s="1"/>
  <c r="C63" i="8"/>
  <c r="K63" i="8" s="1"/>
  <c r="M47" i="8"/>
  <c r="C100" i="4"/>
  <c r="K100" i="4" s="1"/>
  <c r="K76" i="4"/>
  <c r="M14" i="2"/>
  <c r="C14" i="1"/>
  <c r="K14" i="1" s="1"/>
  <c r="K14" i="2"/>
  <c r="M36" i="2"/>
  <c r="S74" i="1"/>
  <c r="K42" i="2"/>
  <c r="M35" i="9"/>
  <c r="M84" i="5"/>
  <c r="U30" i="1"/>
  <c r="J31" i="1"/>
  <c r="C84" i="1"/>
  <c r="K84" i="1" s="1"/>
  <c r="K55" i="8"/>
  <c r="C78" i="9"/>
  <c r="K78" i="9" s="1"/>
  <c r="C91" i="2"/>
  <c r="K91" i="2" s="1"/>
  <c r="M26" i="1"/>
  <c r="K78" i="10"/>
  <c r="M63" i="5"/>
  <c r="M43" i="12"/>
  <c r="C111" i="3"/>
  <c r="K111" i="3" s="1"/>
  <c r="AL13" i="1"/>
  <c r="K50" i="6"/>
  <c r="K48" i="8"/>
  <c r="K42" i="7"/>
  <c r="K93" i="2"/>
  <c r="K44" i="6"/>
  <c r="K30" i="1"/>
  <c r="U72" i="1"/>
  <c r="K101" i="13"/>
  <c r="K20" i="9"/>
  <c r="P74" i="13"/>
  <c r="M20" i="9"/>
  <c r="C33" i="8"/>
  <c r="K33" i="8" s="1"/>
  <c r="M19" i="7"/>
  <c r="M50" i="6"/>
  <c r="M73" i="6"/>
  <c r="M99" i="3"/>
  <c r="K58" i="6"/>
  <c r="C21" i="6"/>
  <c r="K21" i="6" s="1"/>
  <c r="M114" i="2"/>
  <c r="W33" i="1"/>
  <c r="C83" i="13"/>
  <c r="K83" i="13" s="1"/>
  <c r="O9" i="12"/>
  <c r="C47" i="10"/>
  <c r="K47" i="10" s="1"/>
  <c r="C111" i="9"/>
  <c r="K111" i="9" s="1"/>
  <c r="K46" i="7"/>
  <c r="J74" i="8"/>
  <c r="M78" i="11"/>
  <c r="K86" i="8"/>
  <c r="C37" i="8"/>
  <c r="K37" i="8" s="1"/>
  <c r="C59" i="6"/>
  <c r="K59" i="6" s="1"/>
  <c r="M114" i="5"/>
  <c r="M20" i="5"/>
  <c r="C46" i="5"/>
  <c r="K46" i="5" s="1"/>
  <c r="M23" i="3"/>
  <c r="M111" i="2"/>
  <c r="S52" i="1"/>
  <c r="M112" i="2"/>
  <c r="M62" i="1"/>
  <c r="W49" i="1"/>
  <c r="M30" i="1"/>
  <c r="M95" i="1"/>
  <c r="C53" i="13"/>
  <c r="K53" i="13" s="1"/>
  <c r="C14" i="7"/>
  <c r="K14" i="7" s="1"/>
  <c r="M102" i="7"/>
  <c r="K68" i="8"/>
  <c r="J11" i="12"/>
  <c r="C92" i="13"/>
  <c r="K92" i="13" s="1"/>
  <c r="M100" i="11"/>
  <c r="C76" i="11"/>
  <c r="K76" i="11" s="1"/>
  <c r="C83" i="10"/>
  <c r="K83" i="10" s="1"/>
  <c r="M20" i="11"/>
  <c r="C14" i="10"/>
  <c r="K14" i="10" s="1"/>
  <c r="M50" i="8"/>
  <c r="M44" i="9"/>
  <c r="K87" i="8"/>
  <c r="C85" i="6"/>
  <c r="K85" i="6" s="1"/>
  <c r="M100" i="5"/>
  <c r="M95" i="5"/>
  <c r="C79" i="3"/>
  <c r="K79" i="3" s="1"/>
  <c r="K69" i="1"/>
  <c r="K47" i="2"/>
  <c r="C43" i="13"/>
  <c r="K43" i="13" s="1"/>
  <c r="C112" i="11"/>
  <c r="K112" i="11" s="1"/>
  <c r="C77" i="9"/>
  <c r="K77" i="9" s="1"/>
  <c r="K68" i="5"/>
  <c r="C88" i="2"/>
  <c r="K88" i="2" s="1"/>
  <c r="C17" i="11"/>
  <c r="K17" i="11" s="1"/>
  <c r="K51" i="12"/>
  <c r="K106" i="10"/>
  <c r="C16" i="11"/>
  <c r="K16" i="11" s="1"/>
  <c r="M94" i="9"/>
  <c r="BU74" i="7"/>
  <c r="M110" i="9"/>
  <c r="C110" i="7"/>
  <c r="K110" i="7" s="1"/>
  <c r="M44" i="6"/>
  <c r="C73" i="5"/>
  <c r="K73" i="5" s="1"/>
  <c r="M97" i="4"/>
  <c r="K105" i="4"/>
  <c r="C51" i="5"/>
  <c r="K51" i="5" s="1"/>
  <c r="M67" i="6"/>
  <c r="M62" i="4"/>
  <c r="M73" i="1"/>
  <c r="M69" i="2"/>
  <c r="C43" i="2"/>
  <c r="K43" i="2" s="1"/>
  <c r="C38" i="13"/>
  <c r="K38" i="13" s="1"/>
  <c r="M18" i="9"/>
  <c r="K105" i="2"/>
  <c r="U50" i="1"/>
  <c r="M15" i="2"/>
  <c r="K15" i="12"/>
  <c r="K30" i="11"/>
  <c r="C44" i="4"/>
  <c r="K44" i="4" s="1"/>
  <c r="C23" i="4"/>
  <c r="K23" i="4" s="1"/>
  <c r="M51" i="2"/>
  <c r="W23" i="1"/>
  <c r="K34" i="13"/>
  <c r="CA13" i="7"/>
  <c r="U13" i="4"/>
  <c r="U40" i="1"/>
  <c r="U88" i="1"/>
  <c r="K20" i="5"/>
  <c r="K26" i="6"/>
  <c r="K88" i="11"/>
  <c r="K46" i="8"/>
  <c r="K23" i="1"/>
  <c r="K48" i="13"/>
  <c r="K25" i="2"/>
  <c r="K43" i="6"/>
  <c r="K45" i="9"/>
  <c r="K30" i="5"/>
  <c r="C60" i="12"/>
  <c r="K60" i="12" s="1"/>
  <c r="M38" i="12"/>
  <c r="M68" i="11"/>
  <c r="M61" i="10"/>
  <c r="M41" i="11"/>
  <c r="C46" i="9"/>
  <c r="K46" i="9" s="1"/>
  <c r="M114" i="8"/>
  <c r="AT74" i="7"/>
  <c r="M79" i="7"/>
  <c r="C40" i="7"/>
  <c r="K40" i="7" s="1"/>
  <c r="M43" i="6"/>
  <c r="M49" i="5"/>
  <c r="M30" i="5"/>
  <c r="C95" i="6"/>
  <c r="K95" i="6" s="1"/>
  <c r="M116" i="1"/>
  <c r="K68" i="2"/>
  <c r="K57" i="2"/>
  <c r="C54" i="12"/>
  <c r="K54" i="12" s="1"/>
  <c r="K25" i="8"/>
  <c r="K41" i="12"/>
  <c r="M105" i="13"/>
  <c r="AC74" i="13"/>
  <c r="M58" i="13"/>
  <c r="J74" i="13"/>
  <c r="M39" i="13"/>
  <c r="AY8" i="13"/>
  <c r="AY7" i="13" s="1"/>
  <c r="C103" i="12"/>
  <c r="K103" i="12" s="1"/>
  <c r="C70" i="12"/>
  <c r="K70" i="12" s="1"/>
  <c r="M35" i="12"/>
  <c r="C39" i="12"/>
  <c r="K39" i="12" s="1"/>
  <c r="M75" i="11"/>
  <c r="N13" i="12"/>
  <c r="M102" i="9"/>
  <c r="M116" i="9"/>
  <c r="M54" i="9"/>
  <c r="K85" i="8"/>
  <c r="M28" i="8"/>
  <c r="M80" i="6"/>
  <c r="K49" i="6"/>
  <c r="M26" i="6"/>
  <c r="C80" i="2"/>
  <c r="K80" i="2" s="1"/>
  <c r="Z31" i="2"/>
  <c r="M82" i="4"/>
  <c r="M75" i="1"/>
  <c r="W38" i="1"/>
  <c r="C18" i="3"/>
  <c r="K18" i="3" s="1"/>
  <c r="M100" i="2"/>
  <c r="K50" i="1"/>
  <c r="M25" i="4"/>
  <c r="C46" i="13"/>
  <c r="K46" i="13" s="1"/>
  <c r="K39" i="4"/>
  <c r="M65" i="5"/>
  <c r="K51" i="2"/>
  <c r="K17" i="4"/>
  <c r="C113" i="13"/>
  <c r="K113" i="13" s="1"/>
  <c r="C29" i="13"/>
  <c r="K29" i="13" s="1"/>
  <c r="Y31" i="13"/>
  <c r="C97" i="12"/>
  <c r="K97" i="12" s="1"/>
  <c r="C112" i="10"/>
  <c r="K112" i="10" s="1"/>
  <c r="M88" i="11"/>
  <c r="M91" i="8"/>
  <c r="M59" i="8"/>
  <c r="M29" i="8"/>
  <c r="M96" i="7"/>
  <c r="C58" i="7"/>
  <c r="K58" i="7" s="1"/>
  <c r="C49" i="7"/>
  <c r="K49" i="7" s="1"/>
  <c r="C98" i="6"/>
  <c r="K98" i="6" s="1"/>
  <c r="M48" i="6"/>
  <c r="M60" i="6"/>
  <c r="C63" i="7"/>
  <c r="K63" i="7" s="1"/>
  <c r="C55" i="5"/>
  <c r="K55" i="5" s="1"/>
  <c r="C53" i="4"/>
  <c r="K53" i="4" s="1"/>
  <c r="C68" i="3"/>
  <c r="K68" i="3" s="1"/>
  <c r="M99" i="1"/>
  <c r="M114" i="1"/>
  <c r="K18" i="2"/>
  <c r="M60" i="2"/>
  <c r="M66" i="2"/>
  <c r="M54" i="1"/>
  <c r="W39" i="1"/>
  <c r="C101" i="9"/>
  <c r="K101" i="9" s="1"/>
  <c r="M75" i="5"/>
  <c r="N74" i="1"/>
  <c r="U68" i="1"/>
  <c r="K64" i="2"/>
  <c r="C102" i="13"/>
  <c r="K102" i="13" s="1"/>
  <c r="M112" i="12"/>
  <c r="C95" i="11"/>
  <c r="K95" i="11" s="1"/>
  <c r="M113" i="11"/>
  <c r="K82" i="10"/>
  <c r="C98" i="9"/>
  <c r="K98" i="9" s="1"/>
  <c r="C97" i="9"/>
  <c r="K97" i="9" s="1"/>
  <c r="W52" i="9"/>
  <c r="M45" i="9"/>
  <c r="M83" i="6"/>
  <c r="C116" i="5"/>
  <c r="K116" i="5" s="1"/>
  <c r="T52" i="6"/>
  <c r="C95" i="3"/>
  <c r="K95" i="3" s="1"/>
  <c r="C76" i="2"/>
  <c r="K76" i="2" s="1"/>
  <c r="M17" i="1"/>
  <c r="K69" i="3"/>
  <c r="W68" i="1"/>
  <c r="M47" i="1"/>
  <c r="M53" i="2"/>
  <c r="M25" i="2"/>
  <c r="M64" i="1"/>
  <c r="K71" i="13"/>
  <c r="C47" i="13"/>
  <c r="K47" i="13" s="1"/>
  <c r="C96" i="8"/>
  <c r="K96" i="8" s="1"/>
  <c r="K66" i="7"/>
  <c r="K33" i="7"/>
  <c r="K67" i="7"/>
  <c r="U18" i="1"/>
  <c r="C71" i="2"/>
  <c r="K71" i="2" s="1"/>
  <c r="K105" i="13"/>
  <c r="C114" i="13"/>
  <c r="K114" i="13" s="1"/>
  <c r="Q74" i="13"/>
  <c r="AJ74" i="13"/>
  <c r="M65" i="12"/>
  <c r="K75" i="12"/>
  <c r="M105" i="7"/>
  <c r="C51" i="7"/>
  <c r="K51" i="7" s="1"/>
  <c r="C34" i="7"/>
  <c r="K34" i="7" s="1"/>
  <c r="C22" i="7"/>
  <c r="K22" i="7" s="1"/>
  <c r="M20" i="6"/>
  <c r="M103" i="4"/>
  <c r="M102" i="3"/>
  <c r="C37" i="13"/>
  <c r="K37" i="13" s="1"/>
  <c r="K65" i="12"/>
  <c r="M28" i="7"/>
  <c r="C44" i="2"/>
  <c r="K44" i="2" s="1"/>
  <c r="AL52" i="1"/>
  <c r="AW13" i="2"/>
  <c r="K28" i="9"/>
  <c r="K100" i="13"/>
  <c r="K19" i="4"/>
  <c r="K30" i="8"/>
  <c r="K79" i="6"/>
  <c r="J74" i="1"/>
  <c r="W15" i="1"/>
  <c r="K63" i="2"/>
  <c r="N11" i="4"/>
  <c r="K78" i="12"/>
  <c r="K68" i="1"/>
  <c r="K90" i="13"/>
  <c r="K75" i="8"/>
  <c r="K82" i="6"/>
  <c r="AF74" i="13"/>
  <c r="K23" i="10"/>
  <c r="K72" i="7"/>
  <c r="K39" i="7"/>
  <c r="C18" i="6"/>
  <c r="K18" i="6" s="1"/>
  <c r="AQ31" i="2"/>
  <c r="N31" i="11"/>
  <c r="K88" i="4"/>
  <c r="K51" i="6"/>
  <c r="C68" i="13"/>
  <c r="K68" i="13" s="1"/>
  <c r="C27" i="13"/>
  <c r="K27" i="13" s="1"/>
  <c r="M51" i="11"/>
  <c r="M70" i="10"/>
  <c r="C30" i="10"/>
  <c r="K30" i="10" s="1"/>
  <c r="C90" i="9"/>
  <c r="K90" i="9" s="1"/>
  <c r="C47" i="9"/>
  <c r="K47" i="9" s="1"/>
  <c r="M27" i="9"/>
  <c r="M66" i="7"/>
  <c r="C64" i="7"/>
  <c r="K64" i="7" s="1"/>
  <c r="CA52" i="7"/>
  <c r="M82" i="6"/>
  <c r="M99" i="4"/>
  <c r="N31" i="5"/>
  <c r="C85" i="3"/>
  <c r="K85" i="3" s="1"/>
  <c r="C34" i="2"/>
  <c r="K34" i="2" s="1"/>
  <c r="K64" i="1"/>
  <c r="M15" i="10"/>
  <c r="K38" i="7"/>
  <c r="M98" i="8"/>
  <c r="C69" i="5"/>
  <c r="K69" i="5" s="1"/>
  <c r="K54" i="2"/>
  <c r="M88" i="4"/>
  <c r="T31" i="11"/>
  <c r="C98" i="10"/>
  <c r="K98" i="10" s="1"/>
  <c r="M29" i="11"/>
  <c r="K51" i="10"/>
  <c r="M62" i="11"/>
  <c r="K50" i="10"/>
  <c r="K76" i="8"/>
  <c r="M44" i="8"/>
  <c r="K79" i="7"/>
  <c r="M51" i="6"/>
  <c r="K76" i="1"/>
  <c r="K35" i="12"/>
  <c r="K50" i="9"/>
  <c r="K81" i="8"/>
  <c r="C34" i="9"/>
  <c r="K34" i="9" s="1"/>
  <c r="M36" i="3"/>
  <c r="M81" i="3"/>
  <c r="W76" i="1"/>
  <c r="M90" i="13"/>
  <c r="M18" i="10"/>
  <c r="C29" i="10"/>
  <c r="K29" i="10" s="1"/>
  <c r="M75" i="8"/>
  <c r="M26" i="8"/>
  <c r="M30" i="8"/>
  <c r="M78" i="8"/>
  <c r="M39" i="7"/>
  <c r="M88" i="7"/>
  <c r="K45" i="6"/>
  <c r="T31" i="5"/>
  <c r="X74" i="2"/>
  <c r="C64" i="4"/>
  <c r="K64" i="4" s="1"/>
  <c r="C22" i="3"/>
  <c r="K22" i="3" s="1"/>
  <c r="W44" i="1"/>
  <c r="C32" i="2"/>
  <c r="K32" i="2" s="1"/>
  <c r="R52" i="1"/>
  <c r="C41" i="2"/>
  <c r="K41" i="2" s="1"/>
  <c r="M63" i="10"/>
  <c r="C116" i="8"/>
  <c r="K116" i="8" s="1"/>
  <c r="C23" i="9"/>
  <c r="K23" i="9" s="1"/>
  <c r="C14" i="8"/>
  <c r="K14" i="8" s="1"/>
  <c r="K38" i="6"/>
  <c r="C115" i="1"/>
  <c r="K115" i="1" s="1"/>
  <c r="AN52" i="13"/>
  <c r="M32" i="12"/>
  <c r="M68" i="12"/>
  <c r="M50" i="12"/>
  <c r="M114" i="10"/>
  <c r="M65" i="11"/>
  <c r="C106" i="7"/>
  <c r="K106" i="7" s="1"/>
  <c r="M72" i="7"/>
  <c r="C48" i="7"/>
  <c r="K48" i="7" s="1"/>
  <c r="K55" i="7"/>
  <c r="M42" i="7"/>
  <c r="M107" i="5"/>
  <c r="C64" i="5"/>
  <c r="K64" i="5" s="1"/>
  <c r="C54" i="6"/>
  <c r="K54" i="6" s="1"/>
  <c r="M59" i="3"/>
  <c r="C24" i="5"/>
  <c r="K24" i="5" s="1"/>
  <c r="C40" i="13"/>
  <c r="K40" i="13" s="1"/>
  <c r="C106" i="11"/>
  <c r="K106" i="11" s="1"/>
  <c r="C19" i="12"/>
  <c r="K19" i="12" s="1"/>
  <c r="M41" i="9"/>
  <c r="K44" i="7"/>
  <c r="C94" i="7"/>
  <c r="K94" i="7" s="1"/>
  <c r="K37" i="6"/>
  <c r="K26" i="2"/>
  <c r="U39" i="1"/>
  <c r="C109" i="10"/>
  <c r="K109" i="10" s="1"/>
  <c r="C115" i="2"/>
  <c r="K115" i="2" s="1"/>
  <c r="W8" i="13"/>
  <c r="W7" i="13" s="1"/>
  <c r="C111" i="10"/>
  <c r="K111" i="10" s="1"/>
  <c r="K68" i="12"/>
  <c r="K41" i="9"/>
  <c r="C90" i="8"/>
  <c r="K90" i="8" s="1"/>
  <c r="M60" i="8"/>
  <c r="C86" i="7"/>
  <c r="K86" i="7" s="1"/>
  <c r="M43" i="7"/>
  <c r="C102" i="6"/>
  <c r="K102" i="6" s="1"/>
  <c r="M109" i="4"/>
  <c r="W48" i="1"/>
  <c r="M101" i="13"/>
  <c r="C67" i="13"/>
  <c r="K67" i="13" s="1"/>
  <c r="C95" i="8"/>
  <c r="K95" i="8" s="1"/>
  <c r="C69" i="7"/>
  <c r="K69" i="7" s="1"/>
  <c r="M88" i="8"/>
  <c r="AI74" i="7"/>
  <c r="K20" i="7"/>
  <c r="C70" i="6"/>
  <c r="K70" i="6" s="1"/>
  <c r="C96" i="5"/>
  <c r="K96" i="5" s="1"/>
  <c r="J74" i="3"/>
  <c r="J74" i="11"/>
  <c r="M107" i="11"/>
  <c r="M71" i="11"/>
  <c r="N31" i="8"/>
  <c r="AV8" i="7"/>
  <c r="AV7" i="7" s="1"/>
  <c r="AA74" i="4"/>
  <c r="C67" i="3"/>
  <c r="K67" i="3" s="1"/>
  <c r="Z52" i="2"/>
  <c r="K47" i="12"/>
  <c r="M82" i="12"/>
  <c r="C53" i="9"/>
  <c r="K53" i="9" s="1"/>
  <c r="AC31" i="7"/>
  <c r="M106" i="6"/>
  <c r="K32" i="6"/>
  <c r="M65" i="4"/>
  <c r="C78" i="1"/>
  <c r="K78" i="1" s="1"/>
  <c r="AR31" i="13"/>
  <c r="U45" i="1"/>
  <c r="K29" i="2"/>
  <c r="M69" i="11"/>
  <c r="C63" i="12"/>
  <c r="K63" i="12" s="1"/>
  <c r="M37" i="9"/>
  <c r="W74" i="7"/>
  <c r="C84" i="4"/>
  <c r="K84" i="4" s="1"/>
  <c r="M93" i="2"/>
  <c r="W47" i="1"/>
  <c r="CD74" i="7"/>
  <c r="P52" i="3"/>
  <c r="M86" i="1"/>
  <c r="K48" i="2"/>
  <c r="W27" i="1"/>
  <c r="K26" i="7"/>
  <c r="AC8" i="1"/>
  <c r="AC7" i="1" s="1"/>
  <c r="K41" i="4"/>
  <c r="U19" i="1"/>
  <c r="C78" i="4"/>
  <c r="K78" i="4" s="1"/>
  <c r="K40" i="8"/>
  <c r="K36" i="2"/>
  <c r="U33" i="1"/>
  <c r="U22" i="1"/>
  <c r="J52" i="8"/>
  <c r="K23" i="8"/>
  <c r="U35" i="1"/>
  <c r="Q52" i="13"/>
  <c r="K66" i="13"/>
  <c r="K42" i="13"/>
  <c r="AL31" i="1"/>
  <c r="CJ13" i="7"/>
  <c r="K21" i="13"/>
  <c r="N31" i="6"/>
  <c r="K17" i="2"/>
  <c r="K78" i="6"/>
  <c r="K60" i="2"/>
  <c r="K37" i="7"/>
  <c r="AO31" i="7"/>
  <c r="K16" i="6"/>
  <c r="U15" i="1"/>
  <c r="M100" i="13"/>
  <c r="D89" i="13"/>
  <c r="M89" i="13" s="1"/>
  <c r="C115" i="12"/>
  <c r="K115" i="12" s="1"/>
  <c r="M96" i="12"/>
  <c r="T74" i="12"/>
  <c r="M42" i="13"/>
  <c r="M79" i="10"/>
  <c r="D104" i="10"/>
  <c r="M104" i="10" s="1"/>
  <c r="K29" i="9"/>
  <c r="C42" i="8"/>
  <c r="K42" i="8" s="1"/>
  <c r="M23" i="8"/>
  <c r="C34" i="8"/>
  <c r="K34" i="8" s="1"/>
  <c r="N31" i="7"/>
  <c r="M37" i="7"/>
  <c r="M36" i="4"/>
  <c r="C72" i="3"/>
  <c r="K72" i="3" s="1"/>
  <c r="C68" i="4"/>
  <c r="K68" i="4" s="1"/>
  <c r="M38" i="3"/>
  <c r="M39" i="4"/>
  <c r="D31" i="4"/>
  <c r="M31" i="4" s="1"/>
  <c r="M17" i="4"/>
  <c r="K75" i="1"/>
  <c r="M19" i="1"/>
  <c r="M15" i="3"/>
  <c r="K87" i="12"/>
  <c r="M60" i="5"/>
  <c r="C27" i="5"/>
  <c r="K27" i="5" s="1"/>
  <c r="C98" i="4"/>
  <c r="K98" i="4" s="1"/>
  <c r="R31" i="1"/>
  <c r="K20" i="13"/>
  <c r="C108" i="12"/>
  <c r="K108" i="12" s="1"/>
  <c r="C22" i="1"/>
  <c r="K22" i="1" s="1"/>
  <c r="W82" i="1"/>
  <c r="N74" i="11"/>
  <c r="M73" i="10"/>
  <c r="C96" i="10"/>
  <c r="K96" i="10" s="1"/>
  <c r="M107" i="10"/>
  <c r="M50" i="9"/>
  <c r="M113" i="8"/>
  <c r="D13" i="7"/>
  <c r="C13" i="7" s="1"/>
  <c r="M112" i="4"/>
  <c r="C66" i="4"/>
  <c r="K66" i="4" s="1"/>
  <c r="Q74" i="3"/>
  <c r="M40" i="4"/>
  <c r="C96" i="1"/>
  <c r="K96" i="1" s="1"/>
  <c r="M50" i="2"/>
  <c r="M25" i="3"/>
  <c r="M60" i="1"/>
  <c r="K30" i="12"/>
  <c r="S8" i="11"/>
  <c r="S7" i="11" s="1"/>
  <c r="K43" i="4"/>
  <c r="M51" i="3"/>
  <c r="C80" i="4"/>
  <c r="K80" i="4" s="1"/>
  <c r="K27" i="2"/>
  <c r="C41" i="13"/>
  <c r="K41" i="13" s="1"/>
  <c r="C69" i="9"/>
  <c r="K69" i="9" s="1"/>
  <c r="C61" i="9"/>
  <c r="K61" i="9" s="1"/>
  <c r="M107" i="9"/>
  <c r="K29" i="8"/>
  <c r="K88" i="8"/>
  <c r="K19" i="7"/>
  <c r="K39" i="6"/>
  <c r="K34" i="6"/>
  <c r="C107" i="4"/>
  <c r="K107" i="4" s="1"/>
  <c r="M78" i="3"/>
  <c r="K39" i="3"/>
  <c r="C85" i="2"/>
  <c r="K85" i="2" s="1"/>
  <c r="AY8" i="2"/>
  <c r="AY7" i="2" s="1"/>
  <c r="W40" i="1"/>
  <c r="AZ31" i="2"/>
  <c r="M21" i="13"/>
  <c r="K65" i="2"/>
  <c r="O8" i="1"/>
  <c r="O7" i="1" s="1"/>
  <c r="M60" i="11"/>
  <c r="F8" i="11"/>
  <c r="F7" i="11" s="1"/>
  <c r="M22" i="11"/>
  <c r="K38" i="12"/>
  <c r="C72" i="11"/>
  <c r="K72" i="11" s="1"/>
  <c r="M112" i="9"/>
  <c r="F8" i="9"/>
  <c r="F7" i="9" s="1"/>
  <c r="M68" i="8"/>
  <c r="C28" i="5"/>
  <c r="K28" i="5" s="1"/>
  <c r="M96" i="6"/>
  <c r="M41" i="4"/>
  <c r="AZ74" i="2"/>
  <c r="K30" i="2"/>
  <c r="C79" i="4"/>
  <c r="K79" i="4" s="1"/>
  <c r="K87" i="2"/>
  <c r="C80" i="12"/>
  <c r="K80" i="12" s="1"/>
  <c r="C87" i="4"/>
  <c r="K87" i="4" s="1"/>
  <c r="M65" i="2"/>
  <c r="U57" i="1"/>
  <c r="M110" i="5"/>
  <c r="AO31" i="2"/>
  <c r="P74" i="3"/>
  <c r="K70" i="2"/>
  <c r="K18" i="9"/>
  <c r="K33" i="1"/>
  <c r="D74" i="12"/>
  <c r="C74" i="12" s="1"/>
  <c r="AP8" i="7"/>
  <c r="AP7" i="7" s="1"/>
  <c r="Q52" i="3"/>
  <c r="K60" i="8"/>
  <c r="K45" i="2"/>
  <c r="K19" i="8"/>
  <c r="X8" i="1"/>
  <c r="X7" i="1" s="1"/>
  <c r="U52" i="13"/>
  <c r="T13" i="9"/>
  <c r="AB31" i="9"/>
  <c r="M66" i="5"/>
  <c r="K53" i="2"/>
  <c r="K39" i="2"/>
  <c r="K86" i="12"/>
  <c r="N74" i="2"/>
  <c r="AK8" i="2"/>
  <c r="AK7" i="2" s="1"/>
  <c r="U49" i="1"/>
  <c r="U27" i="1"/>
  <c r="AB8" i="1"/>
  <c r="AB7" i="1" s="1"/>
  <c r="K19" i="1"/>
  <c r="K28" i="8"/>
  <c r="J52" i="1"/>
  <c r="AZ52" i="7"/>
  <c r="AA31" i="4"/>
  <c r="K105" i="9"/>
  <c r="K28" i="7"/>
  <c r="AH8" i="1"/>
  <c r="AH7" i="1" s="1"/>
  <c r="P52" i="12"/>
  <c r="C95" i="4"/>
  <c r="K95" i="4" s="1"/>
  <c r="M95" i="4"/>
  <c r="M108" i="13"/>
  <c r="C108" i="13"/>
  <c r="K108" i="13" s="1"/>
  <c r="C84" i="7"/>
  <c r="K84" i="7" s="1"/>
  <c r="M84" i="7"/>
  <c r="M51" i="8"/>
  <c r="C51" i="8"/>
  <c r="K51" i="8" s="1"/>
  <c r="C113" i="6"/>
  <c r="K113" i="6" s="1"/>
  <c r="M113" i="6"/>
  <c r="M26" i="5"/>
  <c r="C26" i="5"/>
  <c r="K26" i="5" s="1"/>
  <c r="M20" i="4"/>
  <c r="C20" i="4"/>
  <c r="K20" i="4" s="1"/>
  <c r="C57" i="3"/>
  <c r="K57" i="3" s="1"/>
  <c r="M57" i="3"/>
  <c r="D31" i="6"/>
  <c r="C31" i="6" s="1"/>
  <c r="C42" i="6"/>
  <c r="K42" i="6" s="1"/>
  <c r="M42" i="6"/>
  <c r="M30" i="4"/>
  <c r="C30" i="4"/>
  <c r="K30" i="4" s="1"/>
  <c r="C28" i="3"/>
  <c r="K28" i="3" s="1"/>
  <c r="M28" i="3"/>
  <c r="C61" i="4"/>
  <c r="K61" i="4" s="1"/>
  <c r="M61" i="4"/>
  <c r="C106" i="3"/>
  <c r="K106" i="3" s="1"/>
  <c r="M106" i="3"/>
  <c r="M94" i="2"/>
  <c r="C94" i="2"/>
  <c r="K94" i="2" s="1"/>
  <c r="C38" i="1"/>
  <c r="K38" i="1" s="1"/>
  <c r="M38" i="1"/>
  <c r="C92" i="2"/>
  <c r="K92" i="2" s="1"/>
  <c r="M92" i="2"/>
  <c r="J52" i="12"/>
  <c r="M19" i="8"/>
  <c r="C93" i="3"/>
  <c r="K93" i="3" s="1"/>
  <c r="C65" i="10"/>
  <c r="K65" i="10" s="1"/>
  <c r="M83" i="5"/>
  <c r="C33" i="2"/>
  <c r="K33" i="2" s="1"/>
  <c r="M33" i="2"/>
  <c r="C24" i="2"/>
  <c r="K24" i="2" s="1"/>
  <c r="M24" i="2"/>
  <c r="M102" i="1"/>
  <c r="C102" i="1"/>
  <c r="K102" i="1" s="1"/>
  <c r="C42" i="1"/>
  <c r="K42" i="1" s="1"/>
  <c r="M42" i="1"/>
  <c r="C28" i="1"/>
  <c r="K28" i="1" s="1"/>
  <c r="M28" i="1"/>
  <c r="C18" i="1"/>
  <c r="K18" i="1" s="1"/>
  <c r="M18" i="1"/>
  <c r="M38" i="2"/>
  <c r="C38" i="2"/>
  <c r="K38" i="2" s="1"/>
  <c r="C98" i="11"/>
  <c r="K98" i="11" s="1"/>
  <c r="E8" i="11"/>
  <c r="E7" i="11" s="1"/>
  <c r="M26" i="11"/>
  <c r="C16" i="9"/>
  <c r="K16" i="9" s="1"/>
  <c r="N52" i="9"/>
  <c r="C54" i="7"/>
  <c r="K54" i="7" s="1"/>
  <c r="M34" i="13"/>
  <c r="C34" i="1"/>
  <c r="K34" i="1" s="1"/>
  <c r="M34" i="1"/>
  <c r="M94" i="1"/>
  <c r="C94" i="1"/>
  <c r="K94" i="1" s="1"/>
  <c r="C58" i="1"/>
  <c r="K58" i="1" s="1"/>
  <c r="M58" i="1"/>
  <c r="C15" i="1"/>
  <c r="K15" i="1" s="1"/>
  <c r="M15" i="1"/>
  <c r="M103" i="1"/>
  <c r="C103" i="1"/>
  <c r="K103" i="1" s="1"/>
  <c r="C91" i="3"/>
  <c r="K91" i="3" s="1"/>
  <c r="M91" i="3"/>
  <c r="C78" i="2"/>
  <c r="K78" i="2" s="1"/>
  <c r="M78" i="2"/>
  <c r="C15" i="13"/>
  <c r="K15" i="13" s="1"/>
  <c r="M85" i="7"/>
  <c r="BL52" i="7"/>
  <c r="K106" i="6"/>
  <c r="C45" i="3"/>
  <c r="K45" i="3" s="1"/>
  <c r="C20" i="10"/>
  <c r="K20" i="10" s="1"/>
  <c r="C114" i="6"/>
  <c r="K114" i="6" s="1"/>
  <c r="M114" i="6"/>
  <c r="M101" i="5"/>
  <c r="C101" i="5"/>
  <c r="K101" i="5" s="1"/>
  <c r="M94" i="6"/>
  <c r="C94" i="6"/>
  <c r="K94" i="6" s="1"/>
  <c r="M108" i="6"/>
  <c r="C108" i="6"/>
  <c r="K108" i="6" s="1"/>
  <c r="C111" i="5"/>
  <c r="K111" i="5" s="1"/>
  <c r="M111" i="5"/>
  <c r="C17" i="5"/>
  <c r="K17" i="5" s="1"/>
  <c r="M17" i="5"/>
  <c r="I10" i="3"/>
  <c r="Q10" i="3" s="1"/>
  <c r="Q89" i="3"/>
  <c r="C37" i="3"/>
  <c r="K37" i="3" s="1"/>
  <c r="M37" i="3"/>
  <c r="D52" i="1"/>
  <c r="C52" i="1" s="1"/>
  <c r="M95" i="10"/>
  <c r="C95" i="10"/>
  <c r="K95" i="10" s="1"/>
  <c r="M22" i="12"/>
  <c r="C22" i="12"/>
  <c r="K22" i="12" s="1"/>
  <c r="C66" i="8"/>
  <c r="K66" i="8" s="1"/>
  <c r="M66" i="8"/>
  <c r="M82" i="7"/>
  <c r="C82" i="7"/>
  <c r="K82" i="7" s="1"/>
  <c r="M49" i="8"/>
  <c r="C49" i="8"/>
  <c r="K49" i="8" s="1"/>
  <c r="M37" i="5"/>
  <c r="C37" i="5"/>
  <c r="K37" i="5" s="1"/>
  <c r="M91" i="4"/>
  <c r="C91" i="4"/>
  <c r="K91" i="4" s="1"/>
  <c r="M99" i="5"/>
  <c r="C99" i="5"/>
  <c r="K99" i="5" s="1"/>
  <c r="M67" i="5"/>
  <c r="C67" i="5"/>
  <c r="K67" i="5" s="1"/>
  <c r="C19" i="5"/>
  <c r="K19" i="5" s="1"/>
  <c r="M19" i="5"/>
  <c r="D89" i="5"/>
  <c r="C89" i="5" s="1"/>
  <c r="C57" i="5"/>
  <c r="K57" i="5" s="1"/>
  <c r="M57" i="5"/>
  <c r="G10" i="4"/>
  <c r="P10" i="4" s="1"/>
  <c r="P89" i="4"/>
  <c r="K15" i="2"/>
  <c r="M56" i="13"/>
  <c r="C36" i="13"/>
  <c r="K36" i="13" s="1"/>
  <c r="C57" i="8"/>
  <c r="K57" i="8" s="1"/>
  <c r="X31" i="7"/>
  <c r="AF13" i="7"/>
  <c r="C57" i="6"/>
  <c r="K57" i="6" s="1"/>
  <c r="M59" i="4"/>
  <c r="C83" i="9"/>
  <c r="K83" i="9" s="1"/>
  <c r="M83" i="9"/>
  <c r="M75" i="7"/>
  <c r="C75" i="7"/>
  <c r="K75" i="7" s="1"/>
  <c r="C79" i="8"/>
  <c r="K79" i="8" s="1"/>
  <c r="M79" i="8"/>
  <c r="C41" i="8"/>
  <c r="K41" i="8" s="1"/>
  <c r="M41" i="8"/>
  <c r="M88" i="12"/>
  <c r="C88" i="12"/>
  <c r="K88" i="12" s="1"/>
  <c r="M94" i="13"/>
  <c r="C94" i="13"/>
  <c r="K94" i="13" s="1"/>
  <c r="E8" i="12"/>
  <c r="E7" i="12" s="1"/>
  <c r="C87" i="10"/>
  <c r="K87" i="10" s="1"/>
  <c r="C115" i="4"/>
  <c r="K115" i="4" s="1"/>
  <c r="D89" i="9"/>
  <c r="M89" i="9" s="1"/>
  <c r="C66" i="1"/>
  <c r="K66" i="1" s="1"/>
  <c r="M66" i="1"/>
  <c r="U69" i="1"/>
  <c r="M109" i="2"/>
  <c r="C109" i="2"/>
  <c r="K109" i="2" s="1"/>
  <c r="BI74" i="7"/>
  <c r="BX52" i="7"/>
  <c r="T31" i="7"/>
  <c r="T52" i="7"/>
  <c r="M23" i="6"/>
  <c r="M80" i="1"/>
  <c r="M57" i="1"/>
  <c r="C47" i="5"/>
  <c r="K47" i="5" s="1"/>
  <c r="K79" i="13"/>
  <c r="K18" i="12"/>
  <c r="O8" i="11"/>
  <c r="K43" i="7"/>
  <c r="K65" i="7"/>
  <c r="K29" i="6"/>
  <c r="M81" i="5"/>
  <c r="E8" i="1"/>
  <c r="E7" i="1" s="1"/>
  <c r="F8" i="1"/>
  <c r="F7" i="1" s="1"/>
  <c r="K15" i="8"/>
  <c r="K105" i="7"/>
  <c r="CA31" i="7"/>
  <c r="C68" i="6"/>
  <c r="K68" i="6" s="1"/>
  <c r="D89" i="3"/>
  <c r="D10" i="3" s="1"/>
  <c r="K36" i="4"/>
  <c r="M19" i="4"/>
  <c r="C35" i="3"/>
  <c r="K35" i="3" s="1"/>
  <c r="R74" i="1"/>
  <c r="C57" i="1"/>
  <c r="K57" i="1" s="1"/>
  <c r="AR8" i="2"/>
  <c r="AR7" i="2" s="1"/>
  <c r="C83" i="2"/>
  <c r="K83" i="2" s="1"/>
  <c r="K21" i="2"/>
  <c r="M90" i="1"/>
  <c r="K62" i="13"/>
  <c r="K61" i="8"/>
  <c r="K24" i="9"/>
  <c r="AF31" i="7"/>
  <c r="K19" i="6"/>
  <c r="K27" i="6"/>
  <c r="AJ8" i="2"/>
  <c r="AJ7" i="2" s="1"/>
  <c r="C92" i="6"/>
  <c r="K92" i="6" s="1"/>
  <c r="N52" i="11"/>
  <c r="D31" i="12"/>
  <c r="C31" i="12" s="1"/>
  <c r="BC13" i="7"/>
  <c r="AG8" i="1"/>
  <c r="AG7" i="1" s="1"/>
  <c r="K44" i="9"/>
  <c r="C68" i="7"/>
  <c r="K68" i="7" s="1"/>
  <c r="C59" i="7"/>
  <c r="K59" i="7" s="1"/>
  <c r="CD52" i="7"/>
  <c r="W52" i="7"/>
  <c r="M33" i="7"/>
  <c r="K86" i="6"/>
  <c r="K83" i="6"/>
  <c r="J52" i="5"/>
  <c r="M70" i="4"/>
  <c r="AD74" i="4"/>
  <c r="M54" i="5"/>
  <c r="AZ52" i="2"/>
  <c r="M106" i="2"/>
  <c r="AB8" i="2"/>
  <c r="AB7" i="2" s="1"/>
  <c r="W72" i="1"/>
  <c r="M33" i="1"/>
  <c r="W28" i="1"/>
  <c r="M33" i="3"/>
  <c r="K72" i="2"/>
  <c r="P52" i="13"/>
  <c r="K88" i="13"/>
  <c r="C50" i="13"/>
  <c r="K50" i="13" s="1"/>
  <c r="AZ31" i="13"/>
  <c r="C111" i="12"/>
  <c r="K111" i="12" s="1"/>
  <c r="K65" i="5"/>
  <c r="C93" i="5"/>
  <c r="K93" i="5" s="1"/>
  <c r="AD8" i="2"/>
  <c r="AD7" i="2" s="1"/>
  <c r="K19" i="2"/>
  <c r="K20" i="2"/>
  <c r="C46" i="2"/>
  <c r="K46" i="2" s="1"/>
  <c r="K105" i="12"/>
  <c r="K15" i="9"/>
  <c r="K77" i="6"/>
  <c r="U48" i="1"/>
  <c r="N52" i="1"/>
  <c r="AE8" i="1"/>
  <c r="AE7" i="1" s="1"/>
  <c r="K20" i="1"/>
  <c r="C62" i="6"/>
  <c r="K62" i="6" s="1"/>
  <c r="BX74" i="7"/>
  <c r="C108" i="3"/>
  <c r="K108" i="3" s="1"/>
  <c r="K16" i="2"/>
  <c r="C27" i="1"/>
  <c r="K27" i="1" s="1"/>
  <c r="X8" i="13"/>
  <c r="X7" i="13" s="1"/>
  <c r="K86" i="11"/>
  <c r="P74" i="11"/>
  <c r="K56" i="11"/>
  <c r="Z13" i="9"/>
  <c r="AL74" i="7"/>
  <c r="F8" i="8"/>
  <c r="F7" i="8" s="1"/>
  <c r="K45" i="5"/>
  <c r="W35" i="1"/>
  <c r="K28" i="2"/>
  <c r="J31" i="3"/>
  <c r="AW52" i="2"/>
  <c r="U42" i="1"/>
  <c r="U23" i="1"/>
  <c r="T31" i="6"/>
  <c r="P74" i="4"/>
  <c r="M63" i="3"/>
  <c r="T74" i="6"/>
  <c r="I8" i="11"/>
  <c r="AN74" i="13"/>
  <c r="K16" i="12"/>
  <c r="C67" i="11"/>
  <c r="K67" i="11" s="1"/>
  <c r="CG31" i="7"/>
  <c r="M27" i="7"/>
  <c r="CM31" i="7"/>
  <c r="K80" i="6"/>
  <c r="BF74" i="7"/>
  <c r="T52" i="5"/>
  <c r="J74" i="5"/>
  <c r="M114" i="3"/>
  <c r="O8" i="6"/>
  <c r="O7" i="6" s="1"/>
  <c r="AA52" i="4"/>
  <c r="K36" i="6"/>
  <c r="C18" i="5"/>
  <c r="K18" i="5" s="1"/>
  <c r="D74" i="3"/>
  <c r="M74" i="3" s="1"/>
  <c r="D89" i="2"/>
  <c r="C89" i="2" s="1"/>
  <c r="M26" i="4"/>
  <c r="K105" i="1"/>
  <c r="M16" i="3"/>
  <c r="D89" i="1"/>
  <c r="D10" i="1" s="1"/>
  <c r="M63" i="1"/>
  <c r="M59" i="1"/>
  <c r="M16" i="5"/>
  <c r="K62" i="2"/>
  <c r="N31" i="2"/>
  <c r="M108" i="2"/>
  <c r="M70" i="1"/>
  <c r="W41" i="1"/>
  <c r="K92" i="1"/>
  <c r="K70" i="10"/>
  <c r="D13" i="5"/>
  <c r="M13" i="5" s="1"/>
  <c r="K67" i="6"/>
  <c r="K20" i="6"/>
  <c r="AN8" i="7"/>
  <c r="AN7" i="7" s="1"/>
  <c r="N74" i="5"/>
  <c r="K30" i="6"/>
  <c r="AI31" i="7"/>
  <c r="M58" i="9"/>
  <c r="C58" i="9"/>
  <c r="K58" i="9" s="1"/>
  <c r="M71" i="5"/>
  <c r="C71" i="5"/>
  <c r="K71" i="5" s="1"/>
  <c r="S31" i="1"/>
  <c r="AA8" i="1"/>
  <c r="AA7" i="1" s="1"/>
  <c r="X8" i="10"/>
  <c r="X7" i="10" s="1"/>
  <c r="C44" i="11"/>
  <c r="K44" i="11" s="1"/>
  <c r="C36" i="10"/>
  <c r="K36" i="10" s="1"/>
  <c r="M80" i="9"/>
  <c r="M33" i="9"/>
  <c r="M40" i="8"/>
  <c r="C95" i="7"/>
  <c r="K95" i="7" s="1"/>
  <c r="J74" i="7"/>
  <c r="X52" i="7"/>
  <c r="D13" i="8"/>
  <c r="C13" i="8" s="1"/>
  <c r="BF52" i="7"/>
  <c r="K78" i="7"/>
  <c r="J52" i="7"/>
  <c r="M38" i="7"/>
  <c r="AZ74" i="13"/>
  <c r="AL8" i="13"/>
  <c r="AL7" i="13" s="1"/>
  <c r="C106" i="12"/>
  <c r="K106" i="12" s="1"/>
  <c r="C57" i="12"/>
  <c r="K57" i="12" s="1"/>
  <c r="N52" i="10"/>
  <c r="C96" i="11"/>
  <c r="K96" i="11" s="1"/>
  <c r="M41" i="12"/>
  <c r="M58" i="11"/>
  <c r="K72" i="10"/>
  <c r="M77" i="11"/>
  <c r="M53" i="10"/>
  <c r="C99" i="11"/>
  <c r="K99" i="11" s="1"/>
  <c r="C84" i="10"/>
  <c r="K84" i="10" s="1"/>
  <c r="C81" i="9"/>
  <c r="K81" i="9" s="1"/>
  <c r="C103" i="9"/>
  <c r="K103" i="9" s="1"/>
  <c r="M23" i="11"/>
  <c r="C93" i="9"/>
  <c r="K93" i="9" s="1"/>
  <c r="C102" i="8"/>
  <c r="K102" i="8" s="1"/>
  <c r="M114" i="9"/>
  <c r="K92" i="8"/>
  <c r="M35" i="8"/>
  <c r="D74" i="8"/>
  <c r="C74" i="8" s="1"/>
  <c r="K59" i="8"/>
  <c r="M57" i="9"/>
  <c r="M70" i="8"/>
  <c r="K44" i="8"/>
  <c r="M15" i="9"/>
  <c r="C103" i="7"/>
  <c r="K103" i="7" s="1"/>
  <c r="C109" i="7"/>
  <c r="K109" i="7" s="1"/>
  <c r="C61" i="7"/>
  <c r="K61" i="7" s="1"/>
  <c r="M67" i="7"/>
  <c r="W31" i="7"/>
  <c r="BO31" i="7"/>
  <c r="M26" i="7"/>
  <c r="AQ8" i="7"/>
  <c r="AQ7" i="7" s="1"/>
  <c r="M79" i="6"/>
  <c r="C22" i="6"/>
  <c r="K22" i="6" s="1"/>
  <c r="C82" i="5"/>
  <c r="K82" i="5" s="1"/>
  <c r="Z8" i="4"/>
  <c r="Z7" i="4" s="1"/>
  <c r="X31" i="4"/>
  <c r="M75" i="6"/>
  <c r="M109" i="5"/>
  <c r="D104" i="4"/>
  <c r="D11" i="4" s="1"/>
  <c r="M73" i="4"/>
  <c r="C27" i="4"/>
  <c r="K27" i="4" s="1"/>
  <c r="AN8" i="2"/>
  <c r="AN7" i="2" s="1"/>
  <c r="AW31" i="7"/>
  <c r="C48" i="5"/>
  <c r="K48" i="5" s="1"/>
  <c r="AD52" i="4"/>
  <c r="K82" i="4"/>
  <c r="K47" i="1"/>
  <c r="M19" i="2"/>
  <c r="D104" i="1"/>
  <c r="D11" i="1" s="1"/>
  <c r="M19" i="3"/>
  <c r="M32" i="1"/>
  <c r="M23" i="13"/>
  <c r="K22" i="9"/>
  <c r="K69" i="6"/>
  <c r="C36" i="5"/>
  <c r="K36" i="5" s="1"/>
  <c r="J89" i="2"/>
  <c r="D31" i="1"/>
  <c r="C31" i="1" s="1"/>
  <c r="AA8" i="2"/>
  <c r="AA7" i="2" s="1"/>
  <c r="M112" i="8"/>
  <c r="C112" i="8"/>
  <c r="K112" i="8" s="1"/>
  <c r="BP8" i="7"/>
  <c r="BP7" i="7" s="1"/>
  <c r="K57" i="10"/>
  <c r="D52" i="9"/>
  <c r="M52" i="9" s="1"/>
  <c r="X8" i="9"/>
  <c r="X7" i="9" s="1"/>
  <c r="BH8" i="7"/>
  <c r="BH7" i="7" s="1"/>
  <c r="M88" i="13"/>
  <c r="K78" i="13"/>
  <c r="AJ52" i="13"/>
  <c r="D31" i="13"/>
  <c r="C31" i="13" s="1"/>
  <c r="C51" i="13"/>
  <c r="K51" i="13" s="1"/>
  <c r="M87" i="12"/>
  <c r="N31" i="10"/>
  <c r="K85" i="12"/>
  <c r="M47" i="12"/>
  <c r="M72" i="10"/>
  <c r="M18" i="12"/>
  <c r="R8" i="10"/>
  <c r="R7" i="10" s="1"/>
  <c r="M93" i="9"/>
  <c r="M105" i="9"/>
  <c r="K35" i="9"/>
  <c r="T74" i="9"/>
  <c r="C66" i="9"/>
  <c r="K66" i="9" s="1"/>
  <c r="C79" i="9"/>
  <c r="K79" i="9" s="1"/>
  <c r="C60" i="9"/>
  <c r="K60" i="9" s="1"/>
  <c r="C17" i="9"/>
  <c r="K17" i="9" s="1"/>
  <c r="M32" i="8"/>
  <c r="M36" i="8"/>
  <c r="K73" i="7"/>
  <c r="D31" i="8"/>
  <c r="C31" i="8" s="1"/>
  <c r="CM52" i="7"/>
  <c r="M115" i="9"/>
  <c r="CJ74" i="7"/>
  <c r="C50" i="7"/>
  <c r="K50" i="7" s="1"/>
  <c r="D104" i="7"/>
  <c r="C104" i="7" s="1"/>
  <c r="K104" i="7" s="1"/>
  <c r="C70" i="7"/>
  <c r="K70" i="7" s="1"/>
  <c r="CJ31" i="7"/>
  <c r="C92" i="5"/>
  <c r="K92" i="5" s="1"/>
  <c r="K64" i="6"/>
  <c r="M19" i="6"/>
  <c r="M43" i="4"/>
  <c r="C26" i="3"/>
  <c r="K26" i="3" s="1"/>
  <c r="H8" i="4"/>
  <c r="O8" i="5"/>
  <c r="O7" i="5" s="1"/>
  <c r="J74" i="4"/>
  <c r="C63" i="4"/>
  <c r="K63" i="4" s="1"/>
  <c r="AI8" i="2"/>
  <c r="AI7" i="2" s="1"/>
  <c r="M45" i="2"/>
  <c r="D31" i="2"/>
  <c r="C31" i="2" s="1"/>
  <c r="M28" i="2"/>
  <c r="M105" i="2"/>
  <c r="D52" i="2"/>
  <c r="C52" i="2" s="1"/>
  <c r="M27" i="2"/>
  <c r="C81" i="1"/>
  <c r="K81" i="1" s="1"/>
  <c r="AV8" i="2"/>
  <c r="AV7" i="2" s="1"/>
  <c r="K77" i="13"/>
  <c r="Q74" i="12"/>
  <c r="K56" i="12"/>
  <c r="C41" i="10"/>
  <c r="K41" i="10" s="1"/>
  <c r="T74" i="7"/>
  <c r="D74" i="7"/>
  <c r="M74" i="7" s="1"/>
  <c r="M92" i="10"/>
  <c r="L8" i="1"/>
  <c r="T8" i="4"/>
  <c r="T7" i="4" s="1"/>
  <c r="D13" i="2"/>
  <c r="C13" i="2" s="1"/>
  <c r="AH8" i="2"/>
  <c r="AH7" i="2" s="1"/>
  <c r="T31" i="1"/>
  <c r="T13" i="1"/>
  <c r="AD8" i="1"/>
  <c r="AD7" i="1" s="1"/>
  <c r="J52" i="13"/>
  <c r="W74" i="12"/>
  <c r="AC52" i="13"/>
  <c r="N13" i="11"/>
  <c r="C28" i="12"/>
  <c r="K28" i="12" s="1"/>
  <c r="C64" i="10"/>
  <c r="K64" i="10" s="1"/>
  <c r="AA8" i="9"/>
  <c r="AA7" i="9" s="1"/>
  <c r="C39" i="8"/>
  <c r="K39" i="8" s="1"/>
  <c r="BO74" i="7"/>
  <c r="T31" i="8"/>
  <c r="CO8" i="7"/>
  <c r="CO7" i="7" s="1"/>
  <c r="AT31" i="7"/>
  <c r="Q74" i="4"/>
  <c r="C29" i="5"/>
  <c r="K29" i="5" s="1"/>
  <c r="AC8" i="4"/>
  <c r="AC7" i="4" s="1"/>
  <c r="C113" i="3"/>
  <c r="K113" i="3" s="1"/>
  <c r="S8" i="5"/>
  <c r="S7" i="5" s="1"/>
  <c r="T74" i="2"/>
  <c r="K106" i="5"/>
  <c r="K60" i="6"/>
  <c r="J31" i="8"/>
  <c r="K63" i="10"/>
  <c r="M59" i="5"/>
  <c r="C59" i="5"/>
  <c r="K59" i="5" s="1"/>
  <c r="AI8" i="1"/>
  <c r="AI7" i="1" s="1"/>
  <c r="D13" i="11"/>
  <c r="M13" i="11" s="1"/>
  <c r="F8" i="7"/>
  <c r="F7" i="7" s="1"/>
  <c r="T52" i="1"/>
  <c r="K45" i="1"/>
  <c r="AF8" i="2"/>
  <c r="AF7" i="2" s="1"/>
  <c r="J52" i="2"/>
  <c r="U51" i="1"/>
  <c r="U20" i="1"/>
  <c r="M34" i="12"/>
  <c r="C34" i="12"/>
  <c r="K34" i="12" s="1"/>
  <c r="Z8" i="10"/>
  <c r="Z7" i="10" s="1"/>
  <c r="M42" i="10"/>
  <c r="C42" i="10"/>
  <c r="K42" i="10" s="1"/>
  <c r="D104" i="13"/>
  <c r="D11" i="13" s="1"/>
  <c r="M99" i="13"/>
  <c r="M106" i="13"/>
  <c r="K35" i="13"/>
  <c r="F8" i="13"/>
  <c r="F7" i="13" s="1"/>
  <c r="E8" i="13"/>
  <c r="E7" i="13" s="1"/>
  <c r="BC8" i="13"/>
  <c r="BC7" i="13" s="1"/>
  <c r="M85" i="11"/>
  <c r="M18" i="11"/>
  <c r="M56" i="11"/>
  <c r="N31" i="9"/>
  <c r="D89" i="8"/>
  <c r="C89" i="8" s="1"/>
  <c r="AI52" i="7"/>
  <c r="C80" i="7"/>
  <c r="K80" i="7" s="1"/>
  <c r="C62" i="7"/>
  <c r="K62" i="7" s="1"/>
  <c r="C76" i="7"/>
  <c r="K76" i="7" s="1"/>
  <c r="Z8" i="7"/>
  <c r="Z7" i="7" s="1"/>
  <c r="BN8" i="7"/>
  <c r="BN7" i="7" s="1"/>
  <c r="BU52" i="7"/>
  <c r="BJ8" i="7"/>
  <c r="BW8" i="7"/>
  <c r="BW7" i="7" s="1"/>
  <c r="CC8" i="7"/>
  <c r="CC7" i="7" s="1"/>
  <c r="C53" i="7"/>
  <c r="K53" i="7" s="1"/>
  <c r="D104" i="6"/>
  <c r="D11" i="6" s="1"/>
  <c r="U74" i="4"/>
  <c r="D52" i="6"/>
  <c r="M52" i="6" s="1"/>
  <c r="J31" i="4"/>
  <c r="Y8" i="2"/>
  <c r="Y7" i="2" s="1"/>
  <c r="V13" i="1"/>
  <c r="F8" i="2"/>
  <c r="F7" i="2" s="1"/>
  <c r="M22" i="2"/>
  <c r="AS8" i="2"/>
  <c r="AS7" i="2" s="1"/>
  <c r="M83" i="1"/>
  <c r="M71" i="1"/>
  <c r="L10" i="2"/>
  <c r="J10" i="2" s="1"/>
  <c r="D104" i="2"/>
  <c r="C104" i="2" s="1"/>
  <c r="K104" i="2" s="1"/>
  <c r="K59" i="13"/>
  <c r="K86" i="13"/>
  <c r="K72" i="13"/>
  <c r="Q31" i="12"/>
  <c r="M45" i="10"/>
  <c r="C45" i="10"/>
  <c r="K45" i="10" s="1"/>
  <c r="C114" i="7"/>
  <c r="K114" i="7" s="1"/>
  <c r="M114" i="7"/>
  <c r="M115" i="6"/>
  <c r="C115" i="6"/>
  <c r="K115" i="6" s="1"/>
  <c r="C55" i="6"/>
  <c r="K55" i="6" s="1"/>
  <c r="M55" i="6"/>
  <c r="M86" i="5"/>
  <c r="C86" i="5"/>
  <c r="K86" i="5" s="1"/>
  <c r="C110" i="2"/>
  <c r="K110" i="2" s="1"/>
  <c r="M110" i="2"/>
  <c r="D74" i="5"/>
  <c r="M74" i="5" s="1"/>
  <c r="M100" i="1"/>
  <c r="C100" i="1"/>
  <c r="K100" i="1" s="1"/>
  <c r="T74" i="5"/>
  <c r="AJ8" i="1"/>
  <c r="AL74" i="1"/>
  <c r="T8" i="10"/>
  <c r="T7" i="10" s="1"/>
  <c r="Y74" i="13"/>
  <c r="C67" i="9"/>
  <c r="K67" i="9" s="1"/>
  <c r="M67" i="9"/>
  <c r="C41" i="5"/>
  <c r="K41" i="5" s="1"/>
  <c r="M41" i="5"/>
  <c r="M92" i="4"/>
  <c r="C92" i="4"/>
  <c r="K92" i="4" s="1"/>
  <c r="M107" i="1"/>
  <c r="C107" i="1"/>
  <c r="K107" i="1" s="1"/>
  <c r="T74" i="1"/>
  <c r="M79" i="13"/>
  <c r="D74" i="13"/>
  <c r="M74" i="13" s="1"/>
  <c r="AT8" i="13"/>
  <c r="AT7" i="13" s="1"/>
  <c r="U31" i="13"/>
  <c r="J74" i="10"/>
  <c r="Q52" i="12"/>
  <c r="D13" i="10"/>
  <c r="C13" i="10" s="1"/>
  <c r="K14" i="11"/>
  <c r="O8" i="12"/>
  <c r="D104" i="9"/>
  <c r="C104" i="9" s="1"/>
  <c r="K104" i="9" s="1"/>
  <c r="K36" i="9"/>
  <c r="C109" i="9"/>
  <c r="K109" i="9" s="1"/>
  <c r="CF8" i="7"/>
  <c r="CF7" i="7" s="1"/>
  <c r="M77" i="7"/>
  <c r="K30" i="7"/>
  <c r="X13" i="7"/>
  <c r="M44" i="7"/>
  <c r="CN8" i="7"/>
  <c r="CN7" i="7" s="1"/>
  <c r="AY8" i="7"/>
  <c r="AY7" i="7" s="1"/>
  <c r="J52" i="6"/>
  <c r="CI8" i="7"/>
  <c r="CI7" i="7" s="1"/>
  <c r="K86" i="4"/>
  <c r="C107" i="6"/>
  <c r="K107" i="6" s="1"/>
  <c r="M99" i="6"/>
  <c r="X52" i="4"/>
  <c r="D104" i="3"/>
  <c r="C104" i="3" s="1"/>
  <c r="K104" i="3" s="1"/>
  <c r="W8" i="2"/>
  <c r="W7" i="2" s="1"/>
  <c r="W8" i="4"/>
  <c r="W7" i="4" s="1"/>
  <c r="C22" i="2"/>
  <c r="K22" i="2" s="1"/>
  <c r="K39" i="1"/>
  <c r="M25" i="1"/>
  <c r="K69" i="2"/>
  <c r="AP8" i="2"/>
  <c r="AP7" i="2" s="1"/>
  <c r="C64" i="12"/>
  <c r="K64" i="12" s="1"/>
  <c r="M64" i="12"/>
  <c r="M81" i="10"/>
  <c r="C81" i="10"/>
  <c r="K81" i="10" s="1"/>
  <c r="M21" i="10"/>
  <c r="C21" i="10"/>
  <c r="K21" i="10" s="1"/>
  <c r="K48" i="12"/>
  <c r="C112" i="7"/>
  <c r="K112" i="7" s="1"/>
  <c r="M112" i="7"/>
  <c r="M91" i="6"/>
  <c r="C91" i="6"/>
  <c r="K91" i="6" s="1"/>
  <c r="M15" i="5"/>
  <c r="C15" i="5"/>
  <c r="K15" i="5" s="1"/>
  <c r="C50" i="5"/>
  <c r="K50" i="5" s="1"/>
  <c r="M50" i="5"/>
  <c r="C72" i="6"/>
  <c r="K72" i="6" s="1"/>
  <c r="M72" i="6"/>
  <c r="P89" i="5"/>
  <c r="G10" i="5"/>
  <c r="P10" i="5" s="1"/>
  <c r="V8" i="7"/>
  <c r="V7" i="7" s="1"/>
  <c r="C85" i="1"/>
  <c r="K85" i="1" s="1"/>
  <c r="M85" i="1"/>
  <c r="Q13" i="1"/>
  <c r="I8" i="1"/>
  <c r="Q8" i="1" s="1"/>
  <c r="C24" i="6"/>
  <c r="K24" i="6" s="1"/>
  <c r="M24" i="6"/>
  <c r="C23" i="5"/>
  <c r="K23" i="5" s="1"/>
  <c r="M23" i="5"/>
  <c r="S8" i="13"/>
  <c r="S7" i="13" s="1"/>
  <c r="C103" i="13"/>
  <c r="K103" i="13" s="1"/>
  <c r="M56" i="12"/>
  <c r="T52" i="12"/>
  <c r="J74" i="12"/>
  <c r="M86" i="11"/>
  <c r="M59" i="11"/>
  <c r="C72" i="9"/>
  <c r="K72" i="9" s="1"/>
  <c r="BO52" i="7"/>
  <c r="M25" i="8"/>
  <c r="S8" i="7"/>
  <c r="S7" i="7" s="1"/>
  <c r="C35" i="7"/>
  <c r="K35" i="7" s="1"/>
  <c r="D104" i="5"/>
  <c r="M104" i="5" s="1"/>
  <c r="N52" i="2"/>
  <c r="C18" i="4"/>
  <c r="K18" i="4" s="1"/>
  <c r="E8" i="2"/>
  <c r="E7" i="2" s="1"/>
  <c r="D13" i="1"/>
  <c r="C13" i="1" s="1"/>
  <c r="K13" i="1" s="1"/>
  <c r="D74" i="1"/>
  <c r="C74" i="1" s="1"/>
  <c r="V74" i="1"/>
  <c r="AK8" i="1"/>
  <c r="AK7" i="1" s="1"/>
  <c r="M87" i="13"/>
  <c r="C87" i="13"/>
  <c r="K87" i="13" s="1"/>
  <c r="M85" i="13"/>
  <c r="C85" i="13"/>
  <c r="K85" i="13" s="1"/>
  <c r="M113" i="12"/>
  <c r="C113" i="12"/>
  <c r="K113" i="12" s="1"/>
  <c r="C37" i="12"/>
  <c r="K37" i="12" s="1"/>
  <c r="M37" i="12"/>
  <c r="M101" i="11"/>
  <c r="C101" i="11"/>
  <c r="K101" i="11" s="1"/>
  <c r="C25" i="9"/>
  <c r="K25" i="9" s="1"/>
  <c r="M25" i="9"/>
  <c r="J52" i="11"/>
  <c r="K37" i="9"/>
  <c r="H8" i="11"/>
  <c r="K66" i="10"/>
  <c r="C109" i="6"/>
  <c r="K109" i="6" s="1"/>
  <c r="M109" i="6"/>
  <c r="N52" i="8"/>
  <c r="M103" i="6"/>
  <c r="C103" i="6"/>
  <c r="K103" i="6" s="1"/>
  <c r="M102" i="5"/>
  <c r="C102" i="5"/>
  <c r="K102" i="5" s="1"/>
  <c r="K63" i="6"/>
  <c r="K88" i="1"/>
  <c r="K36" i="3"/>
  <c r="C82" i="1"/>
  <c r="K82" i="1" s="1"/>
  <c r="M82" i="1"/>
  <c r="M77" i="13"/>
  <c r="M84" i="11"/>
  <c r="M57" i="11"/>
  <c r="C25" i="12"/>
  <c r="K25" i="12" s="1"/>
  <c r="M107" i="8"/>
  <c r="S8" i="9"/>
  <c r="S7" i="9" s="1"/>
  <c r="T52" i="8"/>
  <c r="AD8" i="9"/>
  <c r="AD7" i="9" s="1"/>
  <c r="M73" i="8"/>
  <c r="BC52" i="7"/>
  <c r="D52" i="7"/>
  <c r="C52" i="7" s="1"/>
  <c r="AL52" i="7"/>
  <c r="CD31" i="7"/>
  <c r="M30" i="6"/>
  <c r="C80" i="3"/>
  <c r="K80" i="3" s="1"/>
  <c r="C29" i="4"/>
  <c r="K29" i="4" s="1"/>
  <c r="U52" i="4"/>
  <c r="K40" i="4"/>
  <c r="D31" i="3"/>
  <c r="C31" i="3" s="1"/>
  <c r="D74" i="2"/>
  <c r="C74" i="2" s="1"/>
  <c r="X52" i="2"/>
  <c r="K79" i="2"/>
  <c r="M45" i="1"/>
  <c r="M41" i="1"/>
  <c r="AQ52" i="2"/>
  <c r="F8" i="3"/>
  <c r="F7" i="3" s="1"/>
  <c r="C107" i="2"/>
  <c r="K107" i="2" s="1"/>
  <c r="AG8" i="2"/>
  <c r="AG7" i="2" s="1"/>
  <c r="AO74" i="2"/>
  <c r="U75" i="1"/>
  <c r="C65" i="13"/>
  <c r="K65" i="13" s="1"/>
  <c r="M65" i="13"/>
  <c r="BD31" i="13"/>
  <c r="M49" i="12"/>
  <c r="C49" i="12"/>
  <c r="K49" i="12" s="1"/>
  <c r="K28" i="10"/>
  <c r="M92" i="9"/>
  <c r="C92" i="9"/>
  <c r="K92" i="9" s="1"/>
  <c r="T74" i="8"/>
  <c r="R8" i="8"/>
  <c r="R7" i="8" s="1"/>
  <c r="C15" i="6"/>
  <c r="K15" i="6" s="1"/>
  <c r="M15" i="6"/>
  <c r="C44" i="5"/>
  <c r="K44" i="5" s="1"/>
  <c r="M44" i="5"/>
  <c r="C18" i="7"/>
  <c r="K18" i="7" s="1"/>
  <c r="M18" i="7"/>
  <c r="BZ8" i="7"/>
  <c r="BZ7" i="7" s="1"/>
  <c r="N13" i="3"/>
  <c r="H8" i="3"/>
  <c r="N8" i="3" s="1"/>
  <c r="L8" i="8"/>
  <c r="E8" i="5"/>
  <c r="E7" i="5" s="1"/>
  <c r="C100" i="3"/>
  <c r="K100" i="3" s="1"/>
  <c r="M100" i="3"/>
  <c r="M113" i="1"/>
  <c r="C113" i="1"/>
  <c r="K113" i="1" s="1"/>
  <c r="C79" i="1"/>
  <c r="K79" i="1" s="1"/>
  <c r="M79" i="1"/>
  <c r="N31" i="1"/>
  <c r="BD74" i="13"/>
  <c r="AF52" i="13"/>
  <c r="AB8" i="13"/>
  <c r="AB7" i="13" s="1"/>
  <c r="AE8" i="13"/>
  <c r="AE7" i="13" s="1"/>
  <c r="AJ31" i="13"/>
  <c r="AR74" i="13"/>
  <c r="AZ52" i="13"/>
  <c r="K83" i="12"/>
  <c r="AA8" i="13"/>
  <c r="AA7" i="13" s="1"/>
  <c r="J31" i="12"/>
  <c r="W52" i="12"/>
  <c r="K69" i="11"/>
  <c r="Q13" i="11"/>
  <c r="M39" i="10"/>
  <c r="T52" i="9"/>
  <c r="J52" i="9"/>
  <c r="C108" i="8"/>
  <c r="K108" i="8" s="1"/>
  <c r="M61" i="8"/>
  <c r="K108" i="7"/>
  <c r="AC52" i="7"/>
  <c r="BX31" i="7"/>
  <c r="AB8" i="7"/>
  <c r="AB7" i="7" s="1"/>
  <c r="M101" i="4"/>
  <c r="BY8" i="7"/>
  <c r="BY7" i="7" s="1"/>
  <c r="J31" i="6"/>
  <c r="N52" i="5"/>
  <c r="AC8" i="2"/>
  <c r="AC7" i="2" s="1"/>
  <c r="AD31" i="4"/>
  <c r="Z74" i="2"/>
  <c r="C75" i="2"/>
  <c r="K75" i="2" s="1"/>
  <c r="C41" i="1"/>
  <c r="K41" i="1" s="1"/>
  <c r="AT8" i="2"/>
  <c r="AT7" i="2" s="1"/>
  <c r="K50" i="2"/>
  <c r="M67" i="12"/>
  <c r="C67" i="12"/>
  <c r="K67" i="12" s="1"/>
  <c r="K23" i="12"/>
  <c r="C90" i="11"/>
  <c r="K90" i="11" s="1"/>
  <c r="M90" i="11"/>
  <c r="M24" i="10"/>
  <c r="C24" i="10"/>
  <c r="K24" i="10" s="1"/>
  <c r="J31" i="11"/>
  <c r="Q74" i="11"/>
  <c r="M75" i="10"/>
  <c r="C75" i="10"/>
  <c r="K75" i="10" s="1"/>
  <c r="P13" i="11"/>
  <c r="G8" i="11"/>
  <c r="M59" i="9"/>
  <c r="C59" i="9"/>
  <c r="K59" i="9" s="1"/>
  <c r="C66" i="6"/>
  <c r="K66" i="6" s="1"/>
  <c r="M66" i="6"/>
  <c r="M101" i="6"/>
  <c r="C101" i="6"/>
  <c r="K101" i="6" s="1"/>
  <c r="E8" i="6"/>
  <c r="E7" i="6" s="1"/>
  <c r="H8" i="5"/>
  <c r="M86" i="2"/>
  <c r="C86" i="2"/>
  <c r="K86" i="2" s="1"/>
  <c r="M64" i="3"/>
  <c r="C64" i="3"/>
  <c r="K64" i="3" s="1"/>
  <c r="W88" i="1"/>
  <c r="C34" i="11"/>
  <c r="K34" i="11" s="1"/>
  <c r="M34" i="11"/>
  <c r="C37" i="10"/>
  <c r="K37" i="10" s="1"/>
  <c r="M37" i="10"/>
  <c r="C103" i="8"/>
  <c r="K103" i="8" s="1"/>
  <c r="M103" i="8"/>
  <c r="J13" i="8"/>
  <c r="O8" i="8"/>
  <c r="M81" i="4"/>
  <c r="C81" i="4"/>
  <c r="K81" i="4" s="1"/>
  <c r="BB8" i="7"/>
  <c r="BB7" i="7" s="1"/>
  <c r="C14" i="6"/>
  <c r="K14" i="6" s="1"/>
  <c r="M14" i="6"/>
  <c r="D13" i="6"/>
  <c r="I8" i="4"/>
  <c r="Q13" i="4"/>
  <c r="N89" i="3"/>
  <c r="H10" i="3"/>
  <c r="M54" i="4"/>
  <c r="C54" i="4"/>
  <c r="K54" i="4" s="1"/>
  <c r="V31" i="1"/>
  <c r="L8" i="3"/>
  <c r="J13" i="3"/>
  <c r="H10" i="1"/>
  <c r="N89" i="1"/>
  <c r="AG8" i="13"/>
  <c r="AJ13" i="13"/>
  <c r="C29" i="12"/>
  <c r="K29" i="12" s="1"/>
  <c r="M29" i="12"/>
  <c r="C111" i="11"/>
  <c r="K111" i="11" s="1"/>
  <c r="M111" i="11"/>
  <c r="C72" i="12"/>
  <c r="K72" i="12" s="1"/>
  <c r="M72" i="12"/>
  <c r="K40" i="12"/>
  <c r="C32" i="9"/>
  <c r="K32" i="9" s="1"/>
  <c r="D31" i="9"/>
  <c r="M32" i="9"/>
  <c r="G10" i="9"/>
  <c r="P89" i="9"/>
  <c r="E8" i="8"/>
  <c r="E7" i="8" s="1"/>
  <c r="N74" i="7"/>
  <c r="Q89" i="7"/>
  <c r="I10" i="7"/>
  <c r="Y8" i="7"/>
  <c r="Y7" i="7" s="1"/>
  <c r="BT8" i="7"/>
  <c r="BT7" i="7" s="1"/>
  <c r="BX13" i="7"/>
  <c r="BV8" i="7"/>
  <c r="M53" i="5"/>
  <c r="C53" i="5"/>
  <c r="K53" i="5" s="1"/>
  <c r="D52" i="5"/>
  <c r="C14" i="3"/>
  <c r="K14" i="3" s="1"/>
  <c r="M14" i="3"/>
  <c r="D13" i="3"/>
  <c r="R13" i="1"/>
  <c r="AF8" i="1"/>
  <c r="AF7" i="1" s="1"/>
  <c r="J74" i="2"/>
  <c r="Y52" i="13"/>
  <c r="N89" i="13"/>
  <c r="H10" i="13"/>
  <c r="K39" i="13"/>
  <c r="M25" i="13"/>
  <c r="C25" i="13"/>
  <c r="K25" i="13" s="1"/>
  <c r="Q31" i="13"/>
  <c r="AZ13" i="13"/>
  <c r="AW8" i="13"/>
  <c r="T8" i="13"/>
  <c r="T7" i="13" s="1"/>
  <c r="M24" i="13"/>
  <c r="C24" i="13"/>
  <c r="K24" i="13" s="1"/>
  <c r="Z8" i="13"/>
  <c r="AC13" i="13"/>
  <c r="C95" i="12"/>
  <c r="K95" i="12" s="1"/>
  <c r="M95" i="12"/>
  <c r="AM8" i="13"/>
  <c r="AM7" i="13" s="1"/>
  <c r="AN13" i="13"/>
  <c r="AK8" i="13"/>
  <c r="P13" i="13"/>
  <c r="G8" i="13"/>
  <c r="AF13" i="13"/>
  <c r="AD8" i="13"/>
  <c r="C20" i="12"/>
  <c r="K20" i="12" s="1"/>
  <c r="M20" i="12"/>
  <c r="G10" i="11"/>
  <c r="P89" i="11"/>
  <c r="K61" i="12"/>
  <c r="AX8" i="13"/>
  <c r="AX7" i="13" s="1"/>
  <c r="C71" i="12"/>
  <c r="K71" i="12" s="1"/>
  <c r="M71" i="12"/>
  <c r="C27" i="12"/>
  <c r="K27" i="12" s="1"/>
  <c r="M27" i="12"/>
  <c r="G10" i="10"/>
  <c r="P89" i="10"/>
  <c r="W31" i="12"/>
  <c r="Y8" i="12"/>
  <c r="Y7" i="12" s="1"/>
  <c r="C73" i="11"/>
  <c r="K73" i="11" s="1"/>
  <c r="M73" i="11"/>
  <c r="N74" i="10"/>
  <c r="H8" i="13"/>
  <c r="N13" i="13"/>
  <c r="C109" i="11"/>
  <c r="K109" i="11" s="1"/>
  <c r="M109" i="11"/>
  <c r="T13" i="11"/>
  <c r="R8" i="11"/>
  <c r="C32" i="11"/>
  <c r="K32" i="11" s="1"/>
  <c r="M32" i="11"/>
  <c r="D31" i="11"/>
  <c r="C49" i="10"/>
  <c r="K49" i="10" s="1"/>
  <c r="M49" i="10"/>
  <c r="J31" i="10"/>
  <c r="V8" i="12"/>
  <c r="V7" i="12" s="1"/>
  <c r="P13" i="10"/>
  <c r="G8" i="10"/>
  <c r="D31" i="10"/>
  <c r="M32" i="10"/>
  <c r="C32" i="10"/>
  <c r="K32" i="10" s="1"/>
  <c r="N89" i="9"/>
  <c r="H10" i="9"/>
  <c r="K15" i="10"/>
  <c r="M87" i="9"/>
  <c r="C87" i="9"/>
  <c r="K87" i="9" s="1"/>
  <c r="H8" i="9"/>
  <c r="N13" i="9"/>
  <c r="W31" i="9"/>
  <c r="J74" i="9"/>
  <c r="N74" i="9"/>
  <c r="Q13" i="9"/>
  <c r="I8" i="9"/>
  <c r="C68" i="9"/>
  <c r="K68" i="9" s="1"/>
  <c r="M68" i="9"/>
  <c r="AF8" i="9"/>
  <c r="AF7" i="9" s="1"/>
  <c r="AG13" i="9"/>
  <c r="AE13" i="9"/>
  <c r="AC8" i="9"/>
  <c r="V8" i="9"/>
  <c r="V7" i="9" s="1"/>
  <c r="C53" i="8"/>
  <c r="K53" i="8" s="1"/>
  <c r="M53" i="8"/>
  <c r="D52" i="8"/>
  <c r="CM74" i="7"/>
  <c r="BC74" i="7"/>
  <c r="AB13" i="9"/>
  <c r="N52" i="7"/>
  <c r="M16" i="8"/>
  <c r="C16" i="8"/>
  <c r="K16" i="8" s="1"/>
  <c r="CG52" i="7"/>
  <c r="C32" i="7"/>
  <c r="K32" i="7" s="1"/>
  <c r="D31" i="7"/>
  <c r="M32" i="7"/>
  <c r="K16" i="7"/>
  <c r="U8" i="7"/>
  <c r="W13" i="7"/>
  <c r="E8" i="7"/>
  <c r="E7" i="7" s="1"/>
  <c r="Q89" i="6"/>
  <c r="I10" i="6"/>
  <c r="AR8" i="7"/>
  <c r="AT13" i="7"/>
  <c r="BE8" i="7"/>
  <c r="BE7" i="7" s="1"/>
  <c r="BI13" i="7"/>
  <c r="BG8" i="7"/>
  <c r="P89" i="6"/>
  <c r="G10" i="6"/>
  <c r="CB8" i="7"/>
  <c r="CD13" i="7"/>
  <c r="C96" i="3"/>
  <c r="K96" i="3" s="1"/>
  <c r="M96" i="3"/>
  <c r="N52" i="6"/>
  <c r="Q31" i="4"/>
  <c r="AJ8" i="7"/>
  <c r="F8" i="5"/>
  <c r="F7" i="5" s="1"/>
  <c r="M93" i="4"/>
  <c r="C93" i="4"/>
  <c r="K93" i="4" s="1"/>
  <c r="O8" i="4"/>
  <c r="O7" i="4" s="1"/>
  <c r="J31" i="7"/>
  <c r="L8" i="7"/>
  <c r="J52" i="4"/>
  <c r="N13" i="2"/>
  <c r="H8" i="2"/>
  <c r="AA13" i="4"/>
  <c r="Y8" i="4"/>
  <c r="J89" i="3"/>
  <c r="L10" i="3"/>
  <c r="M46" i="3"/>
  <c r="C46" i="3"/>
  <c r="K46" i="3" s="1"/>
  <c r="AH8" i="7"/>
  <c r="AH7" i="7" s="1"/>
  <c r="M15" i="4"/>
  <c r="C15" i="4"/>
  <c r="K15" i="4" s="1"/>
  <c r="D13" i="4"/>
  <c r="M55" i="3"/>
  <c r="C55" i="3"/>
  <c r="K55" i="3" s="1"/>
  <c r="T13" i="3"/>
  <c r="R8" i="3"/>
  <c r="Q31" i="3"/>
  <c r="C35" i="2"/>
  <c r="K35" i="2" s="1"/>
  <c r="M35" i="2"/>
  <c r="Z8" i="1"/>
  <c r="Z7" i="1" s="1"/>
  <c r="V52" i="1"/>
  <c r="J52" i="3"/>
  <c r="M22" i="13"/>
  <c r="C22" i="13"/>
  <c r="K22" i="13" s="1"/>
  <c r="AB75" i="12"/>
  <c r="AA74" i="12"/>
  <c r="AB74" i="12" s="1"/>
  <c r="AB32" i="12"/>
  <c r="AA31" i="12"/>
  <c r="AB31" i="12" s="1"/>
  <c r="C103" i="11"/>
  <c r="K103" i="11" s="1"/>
  <c r="M103" i="11"/>
  <c r="C76" i="10"/>
  <c r="K76" i="10" s="1"/>
  <c r="M76" i="10"/>
  <c r="D74" i="10"/>
  <c r="AA8" i="10"/>
  <c r="AA7" i="10" s="1"/>
  <c r="C56" i="9"/>
  <c r="K56" i="9" s="1"/>
  <c r="M56" i="9"/>
  <c r="G8" i="8"/>
  <c r="P13" i="8"/>
  <c r="C101" i="7"/>
  <c r="K101" i="7" s="1"/>
  <c r="M101" i="7"/>
  <c r="BO13" i="7"/>
  <c r="BM8" i="7"/>
  <c r="L8" i="5"/>
  <c r="J13" i="5"/>
  <c r="M96" i="2"/>
  <c r="C96" i="2"/>
  <c r="K96" i="2" s="1"/>
  <c r="P13" i="3"/>
  <c r="G8" i="3"/>
  <c r="T13" i="7"/>
  <c r="R8" i="7"/>
  <c r="BD52" i="13"/>
  <c r="C110" i="12"/>
  <c r="K110" i="12" s="1"/>
  <c r="M110" i="12"/>
  <c r="C102" i="12"/>
  <c r="K102" i="12" s="1"/>
  <c r="M102" i="12"/>
  <c r="C99" i="12"/>
  <c r="K99" i="12" s="1"/>
  <c r="M99" i="12"/>
  <c r="D89" i="11"/>
  <c r="N89" i="8"/>
  <c r="H10" i="8"/>
  <c r="AB31" i="10"/>
  <c r="U31" i="10"/>
  <c r="Y31" i="10"/>
  <c r="W31" i="10"/>
  <c r="G8" i="9"/>
  <c r="T13" i="8"/>
  <c r="S8" i="8"/>
  <c r="AB8" i="4"/>
  <c r="AD13" i="4"/>
  <c r="N31" i="4"/>
  <c r="C70" i="13"/>
  <c r="K70" i="13" s="1"/>
  <c r="M70" i="13"/>
  <c r="Q89" i="13"/>
  <c r="I10" i="13"/>
  <c r="C81" i="13"/>
  <c r="K81" i="13" s="1"/>
  <c r="M81" i="13"/>
  <c r="AR52" i="13"/>
  <c r="K32" i="13"/>
  <c r="N52" i="13"/>
  <c r="BB8" i="13"/>
  <c r="BB7" i="13" s="1"/>
  <c r="C84" i="12"/>
  <c r="K84" i="12" s="1"/>
  <c r="M84" i="12"/>
  <c r="AH8" i="13"/>
  <c r="AH7" i="13" s="1"/>
  <c r="Q89" i="12"/>
  <c r="I10" i="12"/>
  <c r="AV13" i="13"/>
  <c r="AS8" i="13"/>
  <c r="K82" i="12"/>
  <c r="P89" i="12"/>
  <c r="G10" i="12"/>
  <c r="X8" i="12"/>
  <c r="X7" i="12" s="1"/>
  <c r="C114" i="12"/>
  <c r="K114" i="12" s="1"/>
  <c r="M114" i="12"/>
  <c r="M77" i="12"/>
  <c r="C77" i="12"/>
  <c r="K77" i="12" s="1"/>
  <c r="C105" i="11"/>
  <c r="K105" i="11" s="1"/>
  <c r="M105" i="11"/>
  <c r="D104" i="11"/>
  <c r="AN31" i="13"/>
  <c r="C53" i="12"/>
  <c r="K53" i="12" s="1"/>
  <c r="D52" i="12"/>
  <c r="M53" i="12"/>
  <c r="N31" i="12"/>
  <c r="N89" i="10"/>
  <c r="H10" i="10"/>
  <c r="AB55" i="12"/>
  <c r="AA52" i="12"/>
  <c r="AB52" i="12" s="1"/>
  <c r="Z8" i="12"/>
  <c r="Z7" i="12" s="1"/>
  <c r="J89" i="11"/>
  <c r="L10" i="11"/>
  <c r="AB14" i="12"/>
  <c r="AA13" i="12"/>
  <c r="C64" i="11"/>
  <c r="K64" i="11" s="1"/>
  <c r="M64" i="11"/>
  <c r="C58" i="10"/>
  <c r="K58" i="10" s="1"/>
  <c r="M58" i="10"/>
  <c r="I8" i="10"/>
  <c r="Q13" i="10"/>
  <c r="Q11" i="11"/>
  <c r="D52" i="10"/>
  <c r="C46" i="10"/>
  <c r="K46" i="10" s="1"/>
  <c r="M46" i="10"/>
  <c r="C25" i="10"/>
  <c r="K25" i="10" s="1"/>
  <c r="M25" i="10"/>
  <c r="C19" i="10"/>
  <c r="K19" i="10" s="1"/>
  <c r="M19" i="10"/>
  <c r="C94" i="10"/>
  <c r="K94" i="10" s="1"/>
  <c r="M94" i="10"/>
  <c r="V8" i="10"/>
  <c r="V7" i="10" s="1"/>
  <c r="Z74" i="9"/>
  <c r="AB74" i="9"/>
  <c r="BD13" i="13"/>
  <c r="BA8" i="13"/>
  <c r="W13" i="9"/>
  <c r="U8" i="9"/>
  <c r="G10" i="8"/>
  <c r="P89" i="8"/>
  <c r="C115" i="8"/>
  <c r="K115" i="8" s="1"/>
  <c r="M115" i="8"/>
  <c r="I10" i="8"/>
  <c r="Q89" i="8"/>
  <c r="O8" i="9"/>
  <c r="O7" i="9" s="1"/>
  <c r="C98" i="7"/>
  <c r="K98" i="7" s="1"/>
  <c r="M98" i="7"/>
  <c r="J13" i="9"/>
  <c r="L8" i="9"/>
  <c r="J31" i="9"/>
  <c r="AW74" i="7"/>
  <c r="X74" i="7"/>
  <c r="M57" i="7"/>
  <c r="C57" i="7"/>
  <c r="K57" i="7" s="1"/>
  <c r="AF52" i="7"/>
  <c r="AD8" i="7"/>
  <c r="AF74" i="7"/>
  <c r="AW52" i="7"/>
  <c r="C87" i="6"/>
  <c r="K87" i="6" s="1"/>
  <c r="M87" i="6"/>
  <c r="O8" i="7"/>
  <c r="O7" i="7" s="1"/>
  <c r="J13" i="7"/>
  <c r="AS8" i="7"/>
  <c r="AS7" i="7" s="1"/>
  <c r="BR52" i="7"/>
  <c r="BR31" i="7"/>
  <c r="M17" i="7"/>
  <c r="C17" i="7"/>
  <c r="K17" i="7" s="1"/>
  <c r="H10" i="6"/>
  <c r="N89" i="6"/>
  <c r="AW13" i="7"/>
  <c r="AU8" i="7"/>
  <c r="BK8" i="7"/>
  <c r="BK7" i="7" s="1"/>
  <c r="Q52" i="4"/>
  <c r="U7" i="6"/>
  <c r="W7" i="6" s="1"/>
  <c r="W8" i="6"/>
  <c r="L10" i="5"/>
  <c r="J89" i="5"/>
  <c r="N74" i="4"/>
  <c r="M90" i="6"/>
  <c r="D89" i="6"/>
  <c r="C90" i="6"/>
  <c r="K90" i="6" s="1"/>
  <c r="N89" i="5"/>
  <c r="H10" i="5"/>
  <c r="P74" i="5"/>
  <c r="CL8" i="7"/>
  <c r="CL7" i="7" s="1"/>
  <c r="V8" i="2"/>
  <c r="Z13" i="2"/>
  <c r="J31" i="5"/>
  <c r="G8" i="5"/>
  <c r="M102" i="2"/>
  <c r="C102" i="2"/>
  <c r="K102" i="2" s="1"/>
  <c r="AO52" i="2"/>
  <c r="M99" i="2"/>
  <c r="C99" i="2"/>
  <c r="K99" i="2" s="1"/>
  <c r="N52" i="4"/>
  <c r="AE8" i="2"/>
  <c r="AE7" i="2" s="1"/>
  <c r="C93" i="1"/>
  <c r="K93" i="1" s="1"/>
  <c r="M93" i="1"/>
  <c r="H8" i="1"/>
  <c r="N13" i="1"/>
  <c r="Q89" i="2"/>
  <c r="I10" i="2"/>
  <c r="U8" i="2"/>
  <c r="X13" i="2"/>
  <c r="C106" i="1"/>
  <c r="K106" i="1" s="1"/>
  <c r="M106" i="1"/>
  <c r="G8" i="1"/>
  <c r="P13" i="1"/>
  <c r="P52" i="4"/>
  <c r="E8" i="3"/>
  <c r="E7" i="3" s="1"/>
  <c r="C56" i="2"/>
  <c r="K56" i="2" s="1"/>
  <c r="M56" i="2"/>
  <c r="AM8" i="2"/>
  <c r="AQ13" i="2"/>
  <c r="W75" i="1"/>
  <c r="U13" i="13"/>
  <c r="R8" i="13"/>
  <c r="C98" i="12"/>
  <c r="K98" i="12" s="1"/>
  <c r="M98" i="12"/>
  <c r="C82" i="11"/>
  <c r="K82" i="11" s="1"/>
  <c r="M82" i="11"/>
  <c r="W13" i="12"/>
  <c r="U8" i="12"/>
  <c r="L10" i="10"/>
  <c r="J89" i="10"/>
  <c r="C97" i="8"/>
  <c r="K97" i="8" s="1"/>
  <c r="M97" i="8"/>
  <c r="CG13" i="7"/>
  <c r="CE8" i="7"/>
  <c r="Q13" i="7"/>
  <c r="I8" i="7"/>
  <c r="CM13" i="7"/>
  <c r="CK8" i="7"/>
  <c r="J89" i="6"/>
  <c r="L10" i="6"/>
  <c r="T31" i="2"/>
  <c r="R8" i="2"/>
  <c r="C18" i="13"/>
  <c r="K18" i="13" s="1"/>
  <c r="M18" i="13"/>
  <c r="V8" i="13"/>
  <c r="Y13" i="13"/>
  <c r="D13" i="13"/>
  <c r="M14" i="13"/>
  <c r="C14" i="13"/>
  <c r="K14" i="13" s="1"/>
  <c r="C16" i="10"/>
  <c r="K16" i="10" s="1"/>
  <c r="M16" i="10"/>
  <c r="Y74" i="10"/>
  <c r="U74" i="10"/>
  <c r="W74" i="10"/>
  <c r="AB74" i="10"/>
  <c r="C53" i="11"/>
  <c r="K53" i="11" s="1"/>
  <c r="M53" i="11"/>
  <c r="D52" i="11"/>
  <c r="N89" i="7"/>
  <c r="H10" i="7"/>
  <c r="M45" i="7"/>
  <c r="C45" i="7"/>
  <c r="K45" i="7" s="1"/>
  <c r="AX8" i="7"/>
  <c r="AZ13" i="7"/>
  <c r="BU13" i="7"/>
  <c r="BS8" i="7"/>
  <c r="M43" i="3"/>
  <c r="C43" i="3"/>
  <c r="K43" i="3" s="1"/>
  <c r="F8" i="4"/>
  <c r="F7" i="4" s="1"/>
  <c r="M29" i="3"/>
  <c r="C29" i="3"/>
  <c r="K29" i="3" s="1"/>
  <c r="J89" i="13"/>
  <c r="L10" i="13"/>
  <c r="C80" i="13"/>
  <c r="K80" i="13" s="1"/>
  <c r="M80" i="13"/>
  <c r="N74" i="13"/>
  <c r="AU8" i="13"/>
  <c r="AU7" i="13" s="1"/>
  <c r="J13" i="13"/>
  <c r="L8" i="13"/>
  <c r="R8" i="12"/>
  <c r="T13" i="12"/>
  <c r="K43" i="12"/>
  <c r="AC31" i="13"/>
  <c r="Q13" i="13"/>
  <c r="I8" i="13"/>
  <c r="G8" i="12"/>
  <c r="P13" i="12"/>
  <c r="AI8" i="13"/>
  <c r="AI7" i="13" s="1"/>
  <c r="L8" i="11"/>
  <c r="J13" i="11"/>
  <c r="C90" i="12"/>
  <c r="K90" i="12" s="1"/>
  <c r="M90" i="12"/>
  <c r="D89" i="12"/>
  <c r="N52" i="12"/>
  <c r="C88" i="10"/>
  <c r="K88" i="10" s="1"/>
  <c r="M88" i="10"/>
  <c r="S8" i="12"/>
  <c r="S7" i="12" s="1"/>
  <c r="C55" i="11"/>
  <c r="K55" i="11" s="1"/>
  <c r="M55" i="11"/>
  <c r="C85" i="10"/>
  <c r="K85" i="10" s="1"/>
  <c r="M85" i="10"/>
  <c r="AB52" i="10"/>
  <c r="U52" i="10"/>
  <c r="Y52" i="10"/>
  <c r="W52" i="10"/>
  <c r="H8" i="12"/>
  <c r="O8" i="10"/>
  <c r="O7" i="10" s="1"/>
  <c r="K55" i="10"/>
  <c r="C40" i="10"/>
  <c r="K40" i="10" s="1"/>
  <c r="M40" i="10"/>
  <c r="J52" i="10"/>
  <c r="E8" i="10"/>
  <c r="E7" i="10" s="1"/>
  <c r="J89" i="9"/>
  <c r="L10" i="9"/>
  <c r="Z52" i="9"/>
  <c r="AB52" i="9"/>
  <c r="F8" i="10"/>
  <c r="F7" i="10" s="1"/>
  <c r="E8" i="9"/>
  <c r="E7" i="9" s="1"/>
  <c r="AB13" i="10"/>
  <c r="U13" i="10"/>
  <c r="W13" i="10"/>
  <c r="Y13" i="10"/>
  <c r="S8" i="10"/>
  <c r="N11" i="9"/>
  <c r="M92" i="7"/>
  <c r="C92" i="7"/>
  <c r="K92" i="7" s="1"/>
  <c r="Y8" i="9"/>
  <c r="Y7" i="9" s="1"/>
  <c r="AT52" i="7"/>
  <c r="BC31" i="7"/>
  <c r="BA8" i="7"/>
  <c r="G8" i="7"/>
  <c r="P13" i="7"/>
  <c r="I8" i="8"/>
  <c r="Q13" i="8"/>
  <c r="AO13" i="7"/>
  <c r="AM8" i="7"/>
  <c r="BL31" i="7"/>
  <c r="AK8" i="7"/>
  <c r="AK7" i="7" s="1"/>
  <c r="S8" i="6"/>
  <c r="S7" i="6" s="1"/>
  <c r="CH8" i="7"/>
  <c r="D31" i="5"/>
  <c r="C32" i="5"/>
  <c r="K32" i="5" s="1"/>
  <c r="M32" i="5"/>
  <c r="T13" i="6"/>
  <c r="R8" i="6"/>
  <c r="Q89" i="4"/>
  <c r="I10" i="4"/>
  <c r="T13" i="5"/>
  <c r="R8" i="5"/>
  <c r="L8" i="6"/>
  <c r="J13" i="6"/>
  <c r="C94" i="5"/>
  <c r="K94" i="5" s="1"/>
  <c r="M94" i="5"/>
  <c r="D89" i="4"/>
  <c r="M90" i="4"/>
  <c r="C90" i="4"/>
  <c r="K90" i="4" s="1"/>
  <c r="P13" i="6"/>
  <c r="G8" i="6"/>
  <c r="X74" i="4"/>
  <c r="C31" i="4"/>
  <c r="G10" i="2"/>
  <c r="P89" i="2"/>
  <c r="M49" i="3"/>
  <c r="C49" i="3"/>
  <c r="K49" i="3" s="1"/>
  <c r="M34" i="3"/>
  <c r="C34" i="3"/>
  <c r="K34" i="3" s="1"/>
  <c r="S8" i="3"/>
  <c r="S7" i="3" s="1"/>
  <c r="N89" i="2"/>
  <c r="H10" i="2"/>
  <c r="X13" i="4"/>
  <c r="V8" i="4"/>
  <c r="P31" i="3"/>
  <c r="O8" i="2"/>
  <c r="O7" i="2" s="1"/>
  <c r="C77" i="2"/>
  <c r="K77" i="2" s="1"/>
  <c r="M77" i="2"/>
  <c r="J31" i="2"/>
  <c r="L8" i="2"/>
  <c r="S8" i="2"/>
  <c r="S7" i="2" s="1"/>
  <c r="Y8" i="1"/>
  <c r="S13" i="1"/>
  <c r="M110" i="13"/>
  <c r="C110" i="13"/>
  <c r="K110" i="13" s="1"/>
  <c r="P89" i="13"/>
  <c r="G10" i="13"/>
  <c r="D74" i="11"/>
  <c r="I10" i="9"/>
  <c r="Q89" i="9"/>
  <c r="BQ8" i="7"/>
  <c r="BQ7" i="7" s="1"/>
  <c r="BR13" i="7"/>
  <c r="AC13" i="7"/>
  <c r="AA8" i="7"/>
  <c r="BD8" i="7"/>
  <c r="BF13" i="7"/>
  <c r="Q13" i="5"/>
  <c r="I8" i="5"/>
  <c r="R8" i="4"/>
  <c r="R7" i="4" s="1"/>
  <c r="M40" i="3"/>
  <c r="C40" i="3"/>
  <c r="K40" i="3" s="1"/>
  <c r="AZ13" i="2"/>
  <c r="AX8" i="2"/>
  <c r="M76" i="3"/>
  <c r="C76" i="3"/>
  <c r="K76" i="3" s="1"/>
  <c r="J89" i="1"/>
  <c r="L10" i="1"/>
  <c r="C95" i="13"/>
  <c r="K95" i="13" s="1"/>
  <c r="M95" i="13"/>
  <c r="C69" i="13"/>
  <c r="K69" i="13" s="1"/>
  <c r="M69" i="13"/>
  <c r="J89" i="12"/>
  <c r="L10" i="12"/>
  <c r="C62" i="12"/>
  <c r="K62" i="12" s="1"/>
  <c r="M62" i="12"/>
  <c r="O9" i="11"/>
  <c r="T31" i="12"/>
  <c r="Q13" i="12"/>
  <c r="I8" i="12"/>
  <c r="C94" i="8"/>
  <c r="K94" i="8" s="1"/>
  <c r="M94" i="8"/>
  <c r="J89" i="7"/>
  <c r="L10" i="7"/>
  <c r="I8" i="6"/>
  <c r="N13" i="5"/>
  <c r="P13" i="4"/>
  <c r="G8" i="4"/>
  <c r="AL8" i="2"/>
  <c r="AO13" i="2"/>
  <c r="AU8" i="2"/>
  <c r="M116" i="13"/>
  <c r="C116" i="13"/>
  <c r="K116" i="13" s="1"/>
  <c r="C73" i="13"/>
  <c r="K73" i="13" s="1"/>
  <c r="M73" i="13"/>
  <c r="D52" i="13"/>
  <c r="C76" i="13"/>
  <c r="K76" i="13" s="1"/>
  <c r="M76" i="13"/>
  <c r="M17" i="13"/>
  <c r="C17" i="13"/>
  <c r="K17" i="13" s="1"/>
  <c r="M16" i="13"/>
  <c r="C16" i="13"/>
  <c r="K16" i="13" s="1"/>
  <c r="AO8" i="13"/>
  <c r="AR13" i="13"/>
  <c r="D104" i="12"/>
  <c r="O8" i="13"/>
  <c r="O7" i="13" s="1"/>
  <c r="C59" i="12"/>
  <c r="K59" i="12" s="1"/>
  <c r="M59" i="12"/>
  <c r="P31" i="13"/>
  <c r="C99" i="10"/>
  <c r="K99" i="10" s="1"/>
  <c r="M99" i="10"/>
  <c r="C97" i="11"/>
  <c r="K97" i="11" s="1"/>
  <c r="M97" i="11"/>
  <c r="C94" i="11"/>
  <c r="K94" i="11" s="1"/>
  <c r="M94" i="11"/>
  <c r="C67" i="10"/>
  <c r="K67" i="10" s="1"/>
  <c r="M67" i="10"/>
  <c r="F8" i="12"/>
  <c r="F7" i="12" s="1"/>
  <c r="AP8" i="13"/>
  <c r="AP7" i="13" s="1"/>
  <c r="C14" i="12"/>
  <c r="K14" i="12" s="1"/>
  <c r="M14" i="12"/>
  <c r="D13" i="12"/>
  <c r="I10" i="11"/>
  <c r="Q89" i="11"/>
  <c r="L8" i="12"/>
  <c r="J13" i="12"/>
  <c r="N89" i="11"/>
  <c r="H10" i="11"/>
  <c r="C43" i="11"/>
  <c r="K43" i="11" s="1"/>
  <c r="M43" i="11"/>
  <c r="C90" i="10"/>
  <c r="K90" i="10" s="1"/>
  <c r="D89" i="10"/>
  <c r="M90" i="10"/>
  <c r="N74" i="12"/>
  <c r="Q89" i="10"/>
  <c r="I10" i="10"/>
  <c r="N13" i="10"/>
  <c r="H8" i="10"/>
  <c r="AG74" i="9"/>
  <c r="AE74" i="9"/>
  <c r="AE52" i="9"/>
  <c r="AG52" i="9"/>
  <c r="C38" i="9"/>
  <c r="K38" i="9" s="1"/>
  <c r="M38" i="9"/>
  <c r="AG31" i="9"/>
  <c r="AE31" i="9"/>
  <c r="C109" i="8"/>
  <c r="K109" i="8" s="1"/>
  <c r="M109" i="8"/>
  <c r="C75" i="9"/>
  <c r="K75" i="9" s="1"/>
  <c r="D74" i="9"/>
  <c r="M75" i="9"/>
  <c r="C55" i="9"/>
  <c r="K55" i="9" s="1"/>
  <c r="M55" i="9"/>
  <c r="C105" i="8"/>
  <c r="K105" i="8" s="1"/>
  <c r="M105" i="8"/>
  <c r="D104" i="8"/>
  <c r="C26" i="9"/>
  <c r="K26" i="9" s="1"/>
  <c r="M26" i="9"/>
  <c r="J89" i="8"/>
  <c r="L10" i="8"/>
  <c r="J13" i="10"/>
  <c r="L8" i="10"/>
  <c r="C14" i="9"/>
  <c r="K14" i="9" s="1"/>
  <c r="D13" i="9"/>
  <c r="M14" i="9"/>
  <c r="R8" i="9"/>
  <c r="P89" i="7"/>
  <c r="G10" i="7"/>
  <c r="M91" i="7"/>
  <c r="D89" i="7"/>
  <c r="C91" i="7"/>
  <c r="K91" i="7" s="1"/>
  <c r="H8" i="8"/>
  <c r="N13" i="8"/>
  <c r="N13" i="7"/>
  <c r="H8" i="7"/>
  <c r="AG8" i="7"/>
  <c r="AI13" i="7"/>
  <c r="CJ52" i="7"/>
  <c r="BI52" i="7"/>
  <c r="BF31" i="7"/>
  <c r="M88" i="6"/>
  <c r="C88" i="6"/>
  <c r="K88" i="6" s="1"/>
  <c r="AE8" i="7"/>
  <c r="AE7" i="7" s="1"/>
  <c r="N74" i="6"/>
  <c r="H8" i="6"/>
  <c r="N89" i="4"/>
  <c r="H10" i="4"/>
  <c r="E8" i="4"/>
  <c r="E7" i="4" s="1"/>
  <c r="D52" i="4"/>
  <c r="F8" i="6"/>
  <c r="F7" i="6" s="1"/>
  <c r="M96" i="4"/>
  <c r="C96" i="4"/>
  <c r="K96" i="4" s="1"/>
  <c r="D74" i="6"/>
  <c r="L8" i="4"/>
  <c r="J13" i="4"/>
  <c r="M75" i="4"/>
  <c r="C75" i="4"/>
  <c r="K75" i="4" s="1"/>
  <c r="D74" i="4"/>
  <c r="P31" i="2"/>
  <c r="G8" i="2"/>
  <c r="J89" i="4"/>
  <c r="L10" i="4"/>
  <c r="M57" i="4"/>
  <c r="C57" i="4"/>
  <c r="K57" i="4" s="1"/>
  <c r="P89" i="3"/>
  <c r="G10" i="3"/>
  <c r="I8" i="3"/>
  <c r="K47" i="4"/>
  <c r="Q89" i="1"/>
  <c r="I10" i="1"/>
  <c r="U31" i="4"/>
  <c r="S8" i="4"/>
  <c r="X31" i="2"/>
  <c r="N13" i="4"/>
  <c r="M53" i="3"/>
  <c r="D52" i="3"/>
  <c r="C53" i="3"/>
  <c r="K53" i="3" s="1"/>
  <c r="I8" i="2"/>
  <c r="Q13" i="2"/>
  <c r="O8" i="3"/>
  <c r="O7" i="3" s="1"/>
  <c r="Q13" i="3"/>
  <c r="T52" i="2"/>
  <c r="J11" i="1"/>
  <c r="N11" i="1"/>
  <c r="K31" i="13" l="1"/>
  <c r="K74" i="8"/>
  <c r="W52" i="1"/>
  <c r="K13" i="2"/>
  <c r="I9" i="3"/>
  <c r="Q9" i="3" s="1"/>
  <c r="C104" i="5"/>
  <c r="K104" i="5" s="1"/>
  <c r="C104" i="1"/>
  <c r="K104" i="1" s="1"/>
  <c r="G9" i="1"/>
  <c r="P9" i="1" s="1"/>
  <c r="M52" i="2"/>
  <c r="U52" i="1"/>
  <c r="M104" i="1"/>
  <c r="O7" i="12"/>
  <c r="P8" i="11"/>
  <c r="M13" i="2"/>
  <c r="K74" i="1"/>
  <c r="K31" i="1"/>
  <c r="C104" i="10"/>
  <c r="K104" i="10" s="1"/>
  <c r="M89" i="3"/>
  <c r="C104" i="6"/>
  <c r="K104" i="6" s="1"/>
  <c r="M89" i="5"/>
  <c r="C74" i="5"/>
  <c r="K74" i="5" s="1"/>
  <c r="C89" i="9"/>
  <c r="K89" i="9" s="1"/>
  <c r="U31" i="1"/>
  <c r="M104" i="4"/>
  <c r="Q10" i="5"/>
  <c r="M31" i="12"/>
  <c r="C104" i="4"/>
  <c r="K104" i="4" s="1"/>
  <c r="C89" i="13"/>
  <c r="K89" i="13" s="1"/>
  <c r="L9" i="2"/>
  <c r="J9" i="2" s="1"/>
  <c r="W74" i="1"/>
  <c r="M31" i="2"/>
  <c r="C74" i="3"/>
  <c r="K74" i="3" s="1"/>
  <c r="D11" i="10"/>
  <c r="M11" i="10" s="1"/>
  <c r="M74" i="12"/>
  <c r="M104" i="6"/>
  <c r="C13" i="11"/>
  <c r="K13" i="11" s="1"/>
  <c r="M52" i="1"/>
  <c r="M31" i="1"/>
  <c r="M104" i="3"/>
  <c r="D11" i="3"/>
  <c r="M11" i="3" s="1"/>
  <c r="D10" i="5"/>
  <c r="C10" i="5" s="1"/>
  <c r="D10" i="9"/>
  <c r="M10" i="9" s="1"/>
  <c r="N8" i="4"/>
  <c r="C74" i="7"/>
  <c r="K74" i="7" s="1"/>
  <c r="BR7" i="7"/>
  <c r="K52" i="2"/>
  <c r="M13" i="7"/>
  <c r="M31" i="8"/>
  <c r="D10" i="13"/>
  <c r="C10" i="13" s="1"/>
  <c r="C89" i="3"/>
  <c r="K89" i="3" s="1"/>
  <c r="K52" i="1"/>
  <c r="M13" i="10"/>
  <c r="C74" i="13"/>
  <c r="K74" i="13" s="1"/>
  <c r="J8" i="1"/>
  <c r="K31" i="4"/>
  <c r="M74" i="8"/>
  <c r="C52" i="6"/>
  <c r="K52" i="6" s="1"/>
  <c r="K31" i="8"/>
  <c r="K31" i="6"/>
  <c r="D11" i="5"/>
  <c r="D8" i="5"/>
  <c r="C8" i="5" s="1"/>
  <c r="C52" i="9"/>
  <c r="K52" i="9" s="1"/>
  <c r="K31" i="3"/>
  <c r="D8" i="7"/>
  <c r="M8" i="7" s="1"/>
  <c r="G9" i="5"/>
  <c r="P9" i="5" s="1"/>
  <c r="D10" i="8"/>
  <c r="C10" i="8" s="1"/>
  <c r="T8" i="1"/>
  <c r="T7" i="1" s="1"/>
  <c r="U74" i="1"/>
  <c r="M13" i="8"/>
  <c r="D11" i="7"/>
  <c r="C11" i="7" s="1"/>
  <c r="K11" i="7" s="1"/>
  <c r="M31" i="6"/>
  <c r="M74" i="1"/>
  <c r="D8" i="8"/>
  <c r="C8" i="8" s="1"/>
  <c r="M104" i="7"/>
  <c r="M89" i="1"/>
  <c r="C89" i="1"/>
  <c r="K89" i="1" s="1"/>
  <c r="X8" i="7"/>
  <c r="X7" i="7" s="1"/>
  <c r="AB8" i="9"/>
  <c r="G9" i="4"/>
  <c r="P9" i="4" s="1"/>
  <c r="M31" i="13"/>
  <c r="K74" i="2"/>
  <c r="D11" i="9"/>
  <c r="M104" i="9"/>
  <c r="CA7" i="7"/>
  <c r="W31" i="1"/>
  <c r="K89" i="2"/>
  <c r="O7" i="11"/>
  <c r="C13" i="5"/>
  <c r="K13" i="5" s="1"/>
  <c r="K52" i="7"/>
  <c r="CA8" i="7"/>
  <c r="C104" i="13"/>
  <c r="K104" i="13" s="1"/>
  <c r="M31" i="3"/>
  <c r="Q8" i="11"/>
  <c r="D11" i="2"/>
  <c r="C11" i="2" s="1"/>
  <c r="K11" i="2" s="1"/>
  <c r="M74" i="2"/>
  <c r="M13" i="1"/>
  <c r="M89" i="2"/>
  <c r="D8" i="11"/>
  <c r="M8" i="11" s="1"/>
  <c r="M104" i="2"/>
  <c r="D8" i="1"/>
  <c r="M8" i="1" s="1"/>
  <c r="K74" i="12"/>
  <c r="D10" i="2"/>
  <c r="C10" i="2" s="1"/>
  <c r="K10" i="2" s="1"/>
  <c r="D8" i="2"/>
  <c r="M8" i="2" s="1"/>
  <c r="M104" i="13"/>
  <c r="BL8" i="7"/>
  <c r="Z8" i="9"/>
  <c r="M89" i="8"/>
  <c r="M52" i="7"/>
  <c r="AJ7" i="1"/>
  <c r="AL7" i="1" s="1"/>
  <c r="AL8" i="1"/>
  <c r="W13" i="1"/>
  <c r="BJ7" i="7"/>
  <c r="BL7" i="7" s="1"/>
  <c r="K31" i="12"/>
  <c r="Q8" i="3"/>
  <c r="J8" i="12"/>
  <c r="Q8" i="12"/>
  <c r="X8" i="4"/>
  <c r="V7" i="4"/>
  <c r="X7" i="4" s="1"/>
  <c r="J8" i="6"/>
  <c r="Y8" i="13"/>
  <c r="V7" i="13"/>
  <c r="Y7" i="13" s="1"/>
  <c r="CD8" i="7"/>
  <c r="CB7" i="7"/>
  <c r="CD7" i="7" s="1"/>
  <c r="AJ8" i="13"/>
  <c r="AG7" i="13"/>
  <c r="AJ7" i="13" s="1"/>
  <c r="P8" i="2"/>
  <c r="N8" i="8"/>
  <c r="I9" i="9"/>
  <c r="Q9" i="9" s="1"/>
  <c r="Q10" i="9"/>
  <c r="R7" i="5"/>
  <c r="T7" i="5" s="1"/>
  <c r="T8" i="5"/>
  <c r="K89" i="5"/>
  <c r="X8" i="2"/>
  <c r="U7" i="2"/>
  <c r="X7" i="2" s="1"/>
  <c r="Z8" i="2"/>
  <c r="V7" i="2"/>
  <c r="Z7" i="2" s="1"/>
  <c r="L9" i="5"/>
  <c r="J9" i="5" s="1"/>
  <c r="J10" i="5"/>
  <c r="J8" i="9"/>
  <c r="Q10" i="8"/>
  <c r="I9" i="8"/>
  <c r="Q9" i="8" s="1"/>
  <c r="Q8" i="10"/>
  <c r="N10" i="10"/>
  <c r="H9" i="10"/>
  <c r="H7" i="10" s="1"/>
  <c r="AV8" i="13"/>
  <c r="AS7" i="13"/>
  <c r="AV7" i="13" s="1"/>
  <c r="AD8" i="4"/>
  <c r="AB7" i="4"/>
  <c r="AD7" i="4" s="1"/>
  <c r="P8" i="9"/>
  <c r="M74" i="10"/>
  <c r="C74" i="10"/>
  <c r="K74" i="10" s="1"/>
  <c r="P10" i="6"/>
  <c r="G9" i="6"/>
  <c r="P9" i="6" s="1"/>
  <c r="AT8" i="7"/>
  <c r="AR7" i="7"/>
  <c r="AT7" i="7" s="1"/>
  <c r="P8" i="13"/>
  <c r="AW7" i="13"/>
  <c r="AZ7" i="13" s="1"/>
  <c r="AZ8" i="13"/>
  <c r="Q8" i="4"/>
  <c r="C10" i="1"/>
  <c r="D9" i="1"/>
  <c r="M10" i="1"/>
  <c r="C74" i="6"/>
  <c r="K74" i="6" s="1"/>
  <c r="M74" i="6"/>
  <c r="C52" i="4"/>
  <c r="K52" i="4" s="1"/>
  <c r="M52" i="4"/>
  <c r="AG7" i="7"/>
  <c r="AI7" i="7" s="1"/>
  <c r="AI8" i="7"/>
  <c r="N8" i="10"/>
  <c r="Q10" i="11"/>
  <c r="I9" i="11"/>
  <c r="M52" i="13"/>
  <c r="C52" i="13"/>
  <c r="K52" i="13" s="1"/>
  <c r="J10" i="7"/>
  <c r="L9" i="7"/>
  <c r="J9" i="7" s="1"/>
  <c r="C74" i="11"/>
  <c r="K74" i="11" s="1"/>
  <c r="M74" i="11"/>
  <c r="K31" i="2"/>
  <c r="H9" i="2"/>
  <c r="N10" i="2"/>
  <c r="P8" i="6"/>
  <c r="K13" i="7"/>
  <c r="Q8" i="8"/>
  <c r="AB8" i="10"/>
  <c r="U8" i="10"/>
  <c r="S7" i="10"/>
  <c r="W8" i="10"/>
  <c r="Y8" i="10"/>
  <c r="M89" i="12"/>
  <c r="C89" i="12"/>
  <c r="K89" i="12" s="1"/>
  <c r="D10" i="12"/>
  <c r="CE7" i="7"/>
  <c r="CG7" i="7" s="1"/>
  <c r="CG8" i="7"/>
  <c r="P8" i="1"/>
  <c r="I9" i="2"/>
  <c r="Q9" i="2" s="1"/>
  <c r="Q10" i="2"/>
  <c r="C89" i="6"/>
  <c r="K89" i="6" s="1"/>
  <c r="D10" i="6"/>
  <c r="M89" i="6"/>
  <c r="BD8" i="13"/>
  <c r="BA7" i="13"/>
  <c r="BD7" i="13" s="1"/>
  <c r="L9" i="11"/>
  <c r="J9" i="11" s="1"/>
  <c r="J10" i="11"/>
  <c r="M104" i="11"/>
  <c r="C104" i="11"/>
  <c r="K104" i="11" s="1"/>
  <c r="D11" i="11"/>
  <c r="K13" i="8"/>
  <c r="C89" i="11"/>
  <c r="K89" i="11" s="1"/>
  <c r="M89" i="11"/>
  <c r="D10" i="11"/>
  <c r="N8" i="2"/>
  <c r="I9" i="6"/>
  <c r="Q9" i="6" s="1"/>
  <c r="Q10" i="6"/>
  <c r="AG8" i="9"/>
  <c r="AE8" i="9"/>
  <c r="AC7" i="9"/>
  <c r="Q8" i="9"/>
  <c r="N8" i="9"/>
  <c r="P10" i="11"/>
  <c r="G9" i="11"/>
  <c r="N10" i="1"/>
  <c r="H9" i="1"/>
  <c r="H7" i="1" s="1"/>
  <c r="M13" i="6"/>
  <c r="D8" i="6"/>
  <c r="C13" i="6"/>
  <c r="K13" i="6" s="1"/>
  <c r="O7" i="8"/>
  <c r="J8" i="8"/>
  <c r="P8" i="4"/>
  <c r="D10" i="4"/>
  <c r="M89" i="4"/>
  <c r="C89" i="4"/>
  <c r="K89" i="4" s="1"/>
  <c r="U7" i="9"/>
  <c r="W7" i="9" s="1"/>
  <c r="W8" i="9"/>
  <c r="H9" i="8"/>
  <c r="N10" i="8"/>
  <c r="P8" i="3"/>
  <c r="H9" i="9"/>
  <c r="H7" i="9" s="1"/>
  <c r="N10" i="9"/>
  <c r="U8" i="4"/>
  <c r="S7" i="4"/>
  <c r="U7" i="4" s="1"/>
  <c r="I9" i="1"/>
  <c r="Q10" i="1"/>
  <c r="C74" i="4"/>
  <c r="K74" i="4" s="1"/>
  <c r="M74" i="4"/>
  <c r="N8" i="7"/>
  <c r="M89" i="7"/>
  <c r="C89" i="7"/>
  <c r="K89" i="7" s="1"/>
  <c r="D10" i="7"/>
  <c r="C13" i="9"/>
  <c r="K13" i="9" s="1"/>
  <c r="M13" i="9"/>
  <c r="D8" i="9"/>
  <c r="N10" i="11"/>
  <c r="H9" i="11"/>
  <c r="M13" i="12"/>
  <c r="C13" i="12"/>
  <c r="K13" i="12" s="1"/>
  <c r="D8" i="12"/>
  <c r="AW8" i="2"/>
  <c r="AU7" i="2"/>
  <c r="AW7" i="2" s="1"/>
  <c r="M11" i="4"/>
  <c r="C11" i="4"/>
  <c r="K11" i="4" s="1"/>
  <c r="J10" i="1"/>
  <c r="L9" i="1"/>
  <c r="AZ8" i="2"/>
  <c r="AX7" i="2"/>
  <c r="AZ7" i="2" s="1"/>
  <c r="BF8" i="7"/>
  <c r="BD7" i="7"/>
  <c r="BF7" i="7" s="1"/>
  <c r="AB7" i="9"/>
  <c r="Z7" i="9"/>
  <c r="P10" i="13"/>
  <c r="G9" i="13"/>
  <c r="P9" i="13" s="1"/>
  <c r="Q10" i="4"/>
  <c r="I9" i="4"/>
  <c r="Q9" i="4" s="1"/>
  <c r="M31" i="5"/>
  <c r="C31" i="5"/>
  <c r="K31" i="5" s="1"/>
  <c r="P8" i="12"/>
  <c r="T8" i="12"/>
  <c r="R7" i="12"/>
  <c r="T7" i="12" s="1"/>
  <c r="BS7" i="7"/>
  <c r="BU7" i="7" s="1"/>
  <c r="BU8" i="7"/>
  <c r="H9" i="7"/>
  <c r="H7" i="7" s="1"/>
  <c r="N10" i="7"/>
  <c r="R7" i="2"/>
  <c r="T7" i="2" s="1"/>
  <c r="T8" i="2"/>
  <c r="Q8" i="7"/>
  <c r="AQ8" i="2"/>
  <c r="AM7" i="2"/>
  <c r="AQ7" i="2" s="1"/>
  <c r="H9" i="6"/>
  <c r="H7" i="6" s="1"/>
  <c r="N10" i="6"/>
  <c r="Q10" i="12"/>
  <c r="I9" i="12"/>
  <c r="Q9" i="12" s="1"/>
  <c r="Q10" i="13"/>
  <c r="I9" i="13"/>
  <c r="Q9" i="13" s="1"/>
  <c r="P8" i="8"/>
  <c r="BG7" i="7"/>
  <c r="BI7" i="7" s="1"/>
  <c r="BI8" i="7"/>
  <c r="C31" i="7"/>
  <c r="K31" i="7" s="1"/>
  <c r="M31" i="7"/>
  <c r="AK7" i="13"/>
  <c r="AN7" i="13" s="1"/>
  <c r="AN8" i="13"/>
  <c r="Z7" i="13"/>
  <c r="AC7" i="13" s="1"/>
  <c r="AC8" i="13"/>
  <c r="H9" i="13"/>
  <c r="N10" i="13"/>
  <c r="M52" i="5"/>
  <c r="C52" i="5"/>
  <c r="K52" i="5" s="1"/>
  <c r="G9" i="9"/>
  <c r="P9" i="9" s="1"/>
  <c r="P10" i="9"/>
  <c r="C10" i="3"/>
  <c r="K10" i="3" s="1"/>
  <c r="M10" i="3"/>
  <c r="R7" i="3"/>
  <c r="T7" i="3" s="1"/>
  <c r="T8" i="3"/>
  <c r="BX8" i="7"/>
  <c r="BV7" i="7"/>
  <c r="BX7" i="7" s="1"/>
  <c r="G9" i="3"/>
  <c r="P9" i="3" s="1"/>
  <c r="P10" i="3"/>
  <c r="J10" i="8"/>
  <c r="L9" i="8"/>
  <c r="I9" i="10"/>
  <c r="Q9" i="10" s="1"/>
  <c r="Q10" i="10"/>
  <c r="AR8" i="13"/>
  <c r="AO7" i="13"/>
  <c r="AR7" i="13" s="1"/>
  <c r="M11" i="1"/>
  <c r="C11" i="1"/>
  <c r="K11" i="1" s="1"/>
  <c r="S8" i="1"/>
  <c r="Y7" i="1"/>
  <c r="S7" i="1" s="1"/>
  <c r="N8" i="12"/>
  <c r="H7" i="12"/>
  <c r="CK7" i="7"/>
  <c r="CM7" i="7" s="1"/>
  <c r="CM8" i="7"/>
  <c r="J8" i="4"/>
  <c r="H9" i="4"/>
  <c r="N10" i="4"/>
  <c r="I7" i="5"/>
  <c r="Q7" i="5" s="1"/>
  <c r="Q8" i="5"/>
  <c r="AA7" i="7"/>
  <c r="AC7" i="7" s="1"/>
  <c r="AC8" i="7"/>
  <c r="J8" i="2"/>
  <c r="G9" i="2"/>
  <c r="P9" i="2" s="1"/>
  <c r="P10" i="2"/>
  <c r="CJ8" i="7"/>
  <c r="CH7" i="7"/>
  <c r="CJ7" i="7" s="1"/>
  <c r="P8" i="7"/>
  <c r="Q8" i="13"/>
  <c r="J8" i="13"/>
  <c r="J10" i="13"/>
  <c r="L9" i="13"/>
  <c r="J9" i="13" s="1"/>
  <c r="M13" i="13"/>
  <c r="C13" i="13"/>
  <c r="K13" i="13" s="1"/>
  <c r="D8" i="13"/>
  <c r="L9" i="10"/>
  <c r="J9" i="10" s="1"/>
  <c r="J10" i="10"/>
  <c r="P8" i="5"/>
  <c r="AF8" i="7"/>
  <c r="AD7" i="7"/>
  <c r="AF7" i="7" s="1"/>
  <c r="C52" i="10"/>
  <c r="K52" i="10" s="1"/>
  <c r="M52" i="10"/>
  <c r="P10" i="12"/>
  <c r="G9" i="12"/>
  <c r="P9" i="12" s="1"/>
  <c r="T8" i="7"/>
  <c r="R7" i="7"/>
  <c r="T7" i="7" s="1"/>
  <c r="BM7" i="7"/>
  <c r="BO7" i="7" s="1"/>
  <c r="BO8" i="7"/>
  <c r="C13" i="4"/>
  <c r="K13" i="4" s="1"/>
  <c r="D8" i="4"/>
  <c r="M13" i="4"/>
  <c r="L9" i="3"/>
  <c r="J9" i="3" s="1"/>
  <c r="J10" i="3"/>
  <c r="C52" i="8"/>
  <c r="K52" i="8" s="1"/>
  <c r="M52" i="8"/>
  <c r="C31" i="10"/>
  <c r="K31" i="10" s="1"/>
  <c r="M31" i="10"/>
  <c r="N8" i="13"/>
  <c r="R8" i="1"/>
  <c r="U13" i="1"/>
  <c r="I9" i="7"/>
  <c r="Q9" i="7" s="1"/>
  <c r="Q10" i="7"/>
  <c r="J8" i="3"/>
  <c r="N10" i="3"/>
  <c r="H9" i="3"/>
  <c r="K89" i="8"/>
  <c r="K13" i="10"/>
  <c r="M11" i="6"/>
  <c r="C11" i="6"/>
  <c r="K11" i="6" s="1"/>
  <c r="Q8" i="6"/>
  <c r="L9" i="12"/>
  <c r="L7" i="12" s="1"/>
  <c r="J10" i="12"/>
  <c r="N10" i="12"/>
  <c r="J8" i="11"/>
  <c r="N8" i="11"/>
  <c r="AZ8" i="7"/>
  <c r="AX7" i="7"/>
  <c r="AZ7" i="7" s="1"/>
  <c r="AU7" i="7"/>
  <c r="AW7" i="7" s="1"/>
  <c r="AW8" i="7"/>
  <c r="AA8" i="12"/>
  <c r="AB13" i="12"/>
  <c r="AA8" i="4"/>
  <c r="Y7" i="4"/>
  <c r="AA7" i="4" s="1"/>
  <c r="W8" i="7"/>
  <c r="U7" i="7"/>
  <c r="W7" i="7" s="1"/>
  <c r="M52" i="3"/>
  <c r="C52" i="3"/>
  <c r="K52" i="3" s="1"/>
  <c r="T8" i="9"/>
  <c r="R7" i="9"/>
  <c r="T7" i="9" s="1"/>
  <c r="BR8" i="7"/>
  <c r="Q8" i="2"/>
  <c r="J10" i="4"/>
  <c r="L9" i="4"/>
  <c r="J9" i="4" s="1"/>
  <c r="N8" i="6"/>
  <c r="P10" i="7"/>
  <c r="G9" i="7"/>
  <c r="P9" i="7" s="1"/>
  <c r="J8" i="10"/>
  <c r="M104" i="8"/>
  <c r="D11" i="8"/>
  <c r="C104" i="8"/>
  <c r="K104" i="8" s="1"/>
  <c r="M74" i="9"/>
  <c r="C74" i="9"/>
  <c r="K74" i="9" s="1"/>
  <c r="M89" i="10"/>
  <c r="C89" i="10"/>
  <c r="K89" i="10" s="1"/>
  <c r="D10" i="10"/>
  <c r="C104" i="12"/>
  <c r="K104" i="12" s="1"/>
  <c r="D11" i="12"/>
  <c r="M104" i="12"/>
  <c r="AO8" i="2"/>
  <c r="AL7" i="2"/>
  <c r="AO7" i="2" s="1"/>
  <c r="R7" i="6"/>
  <c r="T7" i="6" s="1"/>
  <c r="T8" i="6"/>
  <c r="AM7" i="7"/>
  <c r="AO7" i="7" s="1"/>
  <c r="AO8" i="7"/>
  <c r="BA7" i="7"/>
  <c r="BC7" i="7" s="1"/>
  <c r="BC8" i="7"/>
  <c r="L9" i="9"/>
  <c r="J9" i="9" s="1"/>
  <c r="J10" i="9"/>
  <c r="C52" i="11"/>
  <c r="K52" i="11" s="1"/>
  <c r="M52" i="11"/>
  <c r="J10" i="6"/>
  <c r="L9" i="6"/>
  <c r="J9" i="6" s="1"/>
  <c r="U7" i="12"/>
  <c r="W7" i="12" s="1"/>
  <c r="W8" i="12"/>
  <c r="R7" i="13"/>
  <c r="U7" i="13" s="1"/>
  <c r="U8" i="13"/>
  <c r="N8" i="1"/>
  <c r="N10" i="5"/>
  <c r="H9" i="5"/>
  <c r="P10" i="8"/>
  <c r="G9" i="8"/>
  <c r="P9" i="8" s="1"/>
  <c r="M52" i="12"/>
  <c r="C52" i="12"/>
  <c r="K52" i="12" s="1"/>
  <c r="S7" i="8"/>
  <c r="T7" i="8" s="1"/>
  <c r="T8" i="8"/>
  <c r="J8" i="5"/>
  <c r="N8" i="5"/>
  <c r="J8" i="7"/>
  <c r="AJ7" i="7"/>
  <c r="AL7" i="7" s="1"/>
  <c r="AL8" i="7"/>
  <c r="P8" i="10"/>
  <c r="C31" i="11"/>
  <c r="K31" i="11" s="1"/>
  <c r="M31" i="11"/>
  <c r="R7" i="11"/>
  <c r="T7" i="11" s="1"/>
  <c r="T8" i="11"/>
  <c r="G9" i="10"/>
  <c r="P9" i="10" s="1"/>
  <c r="P10" i="10"/>
  <c r="AF8" i="13"/>
  <c r="AD7" i="13"/>
  <c r="AF7" i="13" s="1"/>
  <c r="C13" i="3"/>
  <c r="K13" i="3" s="1"/>
  <c r="M13" i="3"/>
  <c r="D8" i="3"/>
  <c r="C31" i="9"/>
  <c r="K31" i="9" s="1"/>
  <c r="M31" i="9"/>
  <c r="V8" i="1"/>
  <c r="V7" i="1" s="1"/>
  <c r="M11" i="13"/>
  <c r="C11" i="13"/>
  <c r="K11" i="13" s="1"/>
  <c r="D8" i="10"/>
  <c r="I7" i="8" l="1"/>
  <c r="Q7" i="8" s="1"/>
  <c r="I7" i="3"/>
  <c r="Q7" i="3" s="1"/>
  <c r="G7" i="1"/>
  <c r="P7" i="1" s="1"/>
  <c r="J7" i="12"/>
  <c r="L7" i="2"/>
  <c r="J7" i="2" s="1"/>
  <c r="N9" i="2"/>
  <c r="D9" i="13"/>
  <c r="D7" i="13" s="1"/>
  <c r="M10" i="13"/>
  <c r="C11" i="10"/>
  <c r="K11" i="10" s="1"/>
  <c r="C11" i="3"/>
  <c r="K11" i="3" s="1"/>
  <c r="D9" i="3"/>
  <c r="C9" i="3" s="1"/>
  <c r="K9" i="3" s="1"/>
  <c r="D9" i="5"/>
  <c r="C9" i="5" s="1"/>
  <c r="K9" i="5" s="1"/>
  <c r="M8" i="8"/>
  <c r="C10" i="9"/>
  <c r="K10" i="9" s="1"/>
  <c r="M10" i="5"/>
  <c r="M10" i="8"/>
  <c r="C11" i="5"/>
  <c r="K11" i="5" s="1"/>
  <c r="D9" i="9"/>
  <c r="C9" i="9" s="1"/>
  <c r="K9" i="9" s="1"/>
  <c r="M11" i="7"/>
  <c r="C8" i="7"/>
  <c r="K8" i="7" s="1"/>
  <c r="I7" i="13"/>
  <c r="Q7" i="13" s="1"/>
  <c r="M10" i="2"/>
  <c r="C8" i="11"/>
  <c r="K8" i="11" s="1"/>
  <c r="C8" i="2"/>
  <c r="K8" i="2" s="1"/>
  <c r="M8" i="5"/>
  <c r="D9" i="8"/>
  <c r="D7" i="8" s="1"/>
  <c r="M11" i="5"/>
  <c r="C11" i="9"/>
  <c r="K11" i="9" s="1"/>
  <c r="K10" i="13"/>
  <c r="C8" i="1"/>
  <c r="K8" i="1" s="1"/>
  <c r="G7" i="5"/>
  <c r="P7" i="5" s="1"/>
  <c r="L7" i="11"/>
  <c r="J7" i="11" s="1"/>
  <c r="M11" i="9"/>
  <c r="I7" i="9"/>
  <c r="Q7" i="9" s="1"/>
  <c r="L7" i="10"/>
  <c r="J7" i="10" s="1"/>
  <c r="D9" i="2"/>
  <c r="M9" i="2" s="1"/>
  <c r="G7" i="4"/>
  <c r="P7" i="4" s="1"/>
  <c r="M11" i="2"/>
  <c r="I7" i="6"/>
  <c r="Q7" i="6" s="1"/>
  <c r="I7" i="2"/>
  <c r="Q7" i="2" s="1"/>
  <c r="K10" i="5"/>
  <c r="K10" i="8"/>
  <c r="K8" i="8"/>
  <c r="G7" i="9"/>
  <c r="P7" i="9" s="1"/>
  <c r="N9" i="1"/>
  <c r="I7" i="10"/>
  <c r="Q7" i="10" s="1"/>
  <c r="L7" i="4"/>
  <c r="J7" i="4" s="1"/>
  <c r="W8" i="1"/>
  <c r="L7" i="13"/>
  <c r="J7" i="13" s="1"/>
  <c r="I7" i="12"/>
  <c r="Q7" i="12" s="1"/>
  <c r="G7" i="3"/>
  <c r="P7" i="3" s="1"/>
  <c r="C8" i="3"/>
  <c r="K8" i="3" s="1"/>
  <c r="M8" i="3"/>
  <c r="L7" i="3"/>
  <c r="J7" i="3" s="1"/>
  <c r="J9" i="8"/>
  <c r="L7" i="8"/>
  <c r="J7" i="8" s="1"/>
  <c r="C8" i="6"/>
  <c r="K8" i="6" s="1"/>
  <c r="M8" i="6"/>
  <c r="C8" i="4"/>
  <c r="K8" i="4" s="1"/>
  <c r="M8" i="4"/>
  <c r="G7" i="12"/>
  <c r="P7" i="12" s="1"/>
  <c r="N9" i="8"/>
  <c r="C10" i="11"/>
  <c r="K10" i="11" s="1"/>
  <c r="D9" i="11"/>
  <c r="M10" i="11"/>
  <c r="M9" i="1"/>
  <c r="C9" i="1"/>
  <c r="G7" i="13"/>
  <c r="P7" i="13" s="1"/>
  <c r="G7" i="2"/>
  <c r="P7" i="2" s="1"/>
  <c r="L7" i="6"/>
  <c r="J7" i="6" s="1"/>
  <c r="M10" i="7"/>
  <c r="C10" i="7"/>
  <c r="K10" i="7" s="1"/>
  <c r="D9" i="7"/>
  <c r="M10" i="10"/>
  <c r="C10" i="10"/>
  <c r="K10" i="10" s="1"/>
  <c r="D9" i="10"/>
  <c r="D7" i="10" s="1"/>
  <c r="J9" i="12"/>
  <c r="N9" i="12"/>
  <c r="N9" i="3"/>
  <c r="H7" i="3"/>
  <c r="N7" i="3" s="1"/>
  <c r="Q9" i="1"/>
  <c r="I7" i="1"/>
  <c r="Q7" i="1" s="1"/>
  <c r="N9" i="5"/>
  <c r="H7" i="5"/>
  <c r="R7" i="1"/>
  <c r="U7" i="1" s="1"/>
  <c r="U8" i="1"/>
  <c r="N9" i="4"/>
  <c r="H7" i="4"/>
  <c r="J9" i="1"/>
  <c r="L7" i="1"/>
  <c r="J7" i="1" s="1"/>
  <c r="M8" i="12"/>
  <c r="C8" i="12"/>
  <c r="K8" i="12" s="1"/>
  <c r="C8" i="9"/>
  <c r="K8" i="9" s="1"/>
  <c r="M8" i="9"/>
  <c r="N9" i="9"/>
  <c r="M10" i="4"/>
  <c r="D9" i="4"/>
  <c r="D7" i="4" s="1"/>
  <c r="C10" i="4"/>
  <c r="K10" i="4" s="1"/>
  <c r="Q9" i="11"/>
  <c r="I7" i="11"/>
  <c r="Q7" i="11" s="1"/>
  <c r="K10" i="1"/>
  <c r="C8" i="10"/>
  <c r="K8" i="10" s="1"/>
  <c r="M8" i="10"/>
  <c r="C11" i="12"/>
  <c r="K11" i="12" s="1"/>
  <c r="M11" i="12"/>
  <c r="N9" i="6"/>
  <c r="N9" i="11"/>
  <c r="H7" i="11"/>
  <c r="AG7" i="9"/>
  <c r="AE7" i="9"/>
  <c r="C10" i="6"/>
  <c r="K10" i="6" s="1"/>
  <c r="M10" i="6"/>
  <c r="D9" i="6"/>
  <c r="D7" i="6" s="1"/>
  <c r="L7" i="5"/>
  <c r="J7" i="5" s="1"/>
  <c r="G7" i="7"/>
  <c r="P7" i="7" s="1"/>
  <c r="N7" i="12"/>
  <c r="N9" i="13"/>
  <c r="N9" i="7"/>
  <c r="G7" i="10"/>
  <c r="P7" i="10" s="1"/>
  <c r="L7" i="7"/>
  <c r="J7" i="7" s="1"/>
  <c r="M11" i="8"/>
  <c r="C11" i="8"/>
  <c r="K11" i="8" s="1"/>
  <c r="AA7" i="12"/>
  <c r="AB7" i="12" s="1"/>
  <c r="AB8" i="12"/>
  <c r="H7" i="13"/>
  <c r="D7" i="1"/>
  <c r="W7" i="1"/>
  <c r="I7" i="7"/>
  <c r="Q7" i="7" s="1"/>
  <c r="G7" i="11"/>
  <c r="P7" i="11" s="1"/>
  <c r="P9" i="11"/>
  <c r="W7" i="10"/>
  <c r="AB7" i="10"/>
  <c r="Y7" i="10"/>
  <c r="U7" i="10"/>
  <c r="G7" i="6"/>
  <c r="P7" i="6" s="1"/>
  <c r="I7" i="4"/>
  <c r="Q7" i="4" s="1"/>
  <c r="N9" i="10"/>
  <c r="L7" i="9"/>
  <c r="J7" i="9" s="1"/>
  <c r="M8" i="13"/>
  <c r="C8" i="13"/>
  <c r="K8" i="13" s="1"/>
  <c r="G7" i="8"/>
  <c r="P7" i="8" s="1"/>
  <c r="H7" i="2"/>
  <c r="M11" i="11"/>
  <c r="C11" i="11"/>
  <c r="K11" i="11" s="1"/>
  <c r="C10" i="12"/>
  <c r="K10" i="12" s="1"/>
  <c r="M10" i="12"/>
  <c r="D9" i="12"/>
  <c r="H7" i="8"/>
  <c r="K8" i="5"/>
  <c r="N7" i="2" l="1"/>
  <c r="D7" i="3"/>
  <c r="C7" i="3" s="1"/>
  <c r="K7" i="3" s="1"/>
  <c r="M9" i="13"/>
  <c r="C9" i="13"/>
  <c r="K9" i="13" s="1"/>
  <c r="M9" i="3"/>
  <c r="M9" i="5"/>
  <c r="M9" i="9"/>
  <c r="D7" i="5"/>
  <c r="C7" i="5" s="1"/>
  <c r="K7" i="5" s="1"/>
  <c r="D7" i="9"/>
  <c r="C7" i="9" s="1"/>
  <c r="K7" i="9" s="1"/>
  <c r="C9" i="8"/>
  <c r="K9" i="8" s="1"/>
  <c r="C9" i="2"/>
  <c r="K9" i="2" s="1"/>
  <c r="N7" i="10"/>
  <c r="M9" i="8"/>
  <c r="N7" i="11"/>
  <c r="D7" i="2"/>
  <c r="M7" i="2" s="1"/>
  <c r="N7" i="1"/>
  <c r="N7" i="4"/>
  <c r="N7" i="13"/>
  <c r="N7" i="6"/>
  <c r="K9" i="1"/>
  <c r="M7" i="4"/>
  <c r="C7" i="4"/>
  <c r="K7" i="4" s="1"/>
  <c r="M9" i="12"/>
  <c r="C9" i="12"/>
  <c r="K9" i="12" s="1"/>
  <c r="C7" i="13"/>
  <c r="K7" i="13" s="1"/>
  <c r="M7" i="13"/>
  <c r="D7" i="12"/>
  <c r="M9" i="10"/>
  <c r="C9" i="10"/>
  <c r="K9" i="10" s="1"/>
  <c r="M7" i="8"/>
  <c r="N7" i="9"/>
  <c r="C9" i="6"/>
  <c r="K9" i="6" s="1"/>
  <c r="M9" i="6"/>
  <c r="N7" i="5"/>
  <c r="C7" i="8"/>
  <c r="K7" i="8" s="1"/>
  <c r="C7" i="6"/>
  <c r="K7" i="6" s="1"/>
  <c r="M7" i="6"/>
  <c r="M7" i="10"/>
  <c r="C7" i="10"/>
  <c r="K7" i="10" s="1"/>
  <c r="C9" i="4"/>
  <c r="K9" i="4" s="1"/>
  <c r="M9" i="4"/>
  <c r="M9" i="11"/>
  <c r="C9" i="11"/>
  <c r="K9" i="11" s="1"/>
  <c r="D7" i="11"/>
  <c r="C9" i="7"/>
  <c r="K9" i="7" s="1"/>
  <c r="M9" i="7"/>
  <c r="D7" i="7"/>
  <c r="N7" i="8"/>
  <c r="M7" i="1"/>
  <c r="C7" i="1"/>
  <c r="K7" i="1" s="1"/>
  <c r="N7" i="7"/>
  <c r="M7" i="3" l="1"/>
  <c r="M7" i="9"/>
  <c r="M7" i="5"/>
  <c r="C7" i="2"/>
  <c r="K7" i="2" s="1"/>
  <c r="C7" i="12"/>
  <c r="K7" i="12" s="1"/>
  <c r="M7" i="12"/>
  <c r="M7" i="11"/>
  <c r="C7" i="11"/>
  <c r="K7" i="11" s="1"/>
  <c r="M7" i="7"/>
  <c r="C7" i="7"/>
  <c r="K7" i="7" s="1"/>
</calcChain>
</file>

<file path=xl/sharedStrings.xml><?xml version="1.0" encoding="utf-8"?>
<sst xmlns="http://schemas.openxmlformats.org/spreadsheetml/2006/main" count="2226" uniqueCount="241">
  <si>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</si>
  <si>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</si>
  <si>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</si>
  <si>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</si>
  <si>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</si>
  <si>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</si>
  <si>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</si>
  <si>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</si>
  <si>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</si>
  <si>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</si>
  <si>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</si>
  <si>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</si>
  <si>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</si>
  <si>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</si>
  <si>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</si>
  <si>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</si>
  <si>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</si>
  <si>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</si>
  <si>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</si>
  <si>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</si>
  <si>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</si>
  <si>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</si>
  <si>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</si>
  <si>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</si>
  <si>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</si>
  <si>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</si>
  <si>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</si>
  <si>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</si>
  <si>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</si>
  <si>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</si>
  <si>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</si>
  <si>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</si>
  <si>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</si>
  <si>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</si>
  <si>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</si>
  <si>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</si>
  <si>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</si>
  <si>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</si>
  <si>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</si>
  <si>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</si>
  <si>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</si>
  <si>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</si>
  <si>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</si>
  <si>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</si>
  <si>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</si>
  <si>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</si>
  <si>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</si>
  <si>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</si>
  <si>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</si>
  <si>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</si>
  <si>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</si>
  <si>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</si>
  <si>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</si>
  <si>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</si>
  <si>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</si>
  <si>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</si>
  <si>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</si>
  <si>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</si>
  <si>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</si>
  <si>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</si>
  <si>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</si>
  <si>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</si>
  <si>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</si>
  <si>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</si>
  <si>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</si>
  <si>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</si>
  <si>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</si>
  <si>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</si>
  <si>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</si>
  <si>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</si>
  <si>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</si>
  <si>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</si>
  <si>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</si>
  <si>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</si>
  <si>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</si>
  <si>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</si>
  <si>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</si>
  <si>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</si>
  <si>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</si>
  <si>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</si>
  <si>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</si>
  <si>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</si>
  <si>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</si>
  <si>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</si>
  <si>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</si>
  <si>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</si>
  <si>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</si>
  <si>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</si>
  <si>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</si>
  <si>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</si>
  <si>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</si>
  <si>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</si>
  <si>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</si>
  <si>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</si>
  <si>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</si>
  <si>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</si>
  <si>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</si>
  <si>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</si>
  <si>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</si>
  <si>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</si>
  <si>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</si>
  <si>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</si>
  <si>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</si>
  <si>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</si>
  <si>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</si>
  <si>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</si>
  <si>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</si>
  <si>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</si>
  <si>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</si>
  <si>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</si>
  <si>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</si>
  <si>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</si>
  <si>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</si>
  <si>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</si>
  <si>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</si>
  <si>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</si>
  <si>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</si>
  <si>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</si>
  <si>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</si>
  <si>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</si>
  <si>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</si>
  <si>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</si>
  <si>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</si>
  <si>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</si>
  <si>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</si>
  <si>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</si>
  <si>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</si>
  <si>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</si>
  <si>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</si>
  <si>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</si>
  <si>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</si>
  <si>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</si>
  <si>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</si>
  <si>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</si>
  <si>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</si>
  <si>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</si>
  <si>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</si>
  <si>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</si>
  <si>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</si>
  <si>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</si>
  <si>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</si>
  <si>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</si>
  <si>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</si>
  <si>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</si>
  <si>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</si>
  <si>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</si>
  <si>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</si>
  <si>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</si>
  <si>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</si>
  <si>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</si>
  <si>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</si>
  <si>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</si>
  <si>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</si>
  <si>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</si>
  <si>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</si>
  <si>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</t>
    </r>
    <r>
      <rPr>
        <b/>
        <sz val="15"/>
        <color theme="1"/>
        <rFont val="Arial"/>
      </rPr>
      <t>ะที่ได้อบรม</t>
    </r>
  </si>
  <si>
    <t>งบประมาณ - ผลการใช้จ่าย กิจกรรม ตาม พรบ. ประจำปีงบประมาณ 2566</t>
  </si>
  <si>
    <t>กิจกรรมพัฒนาธุรกิจชุมชนในเขตปฏิรูปที่ดิน  (เฉพาะงบลงทุน)</t>
  </si>
  <si>
    <t>ผลการดำเนินงาน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</si>
  <si>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</si>
  <si>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</si>
  <si>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</si>
  <si>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</si>
  <si>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</si>
  <si>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</si>
  <si>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</si>
  <si>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</si>
  <si>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</si>
  <si>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</si>
  <si>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</si>
  <si>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</si>
  <si>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</si>
  <si>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</si>
  <si>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</si>
  <si>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</si>
  <si>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</si>
  <si>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</si>
  <si>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</si>
  <si>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</si>
  <si>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</si>
  <si>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</si>
  <si>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</si>
  <si>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</si>
  <si>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</si>
  <si>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</si>
  <si>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</si>
  <si>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</si>
  <si>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</si>
  <si>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</si>
  <si>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</si>
  <si>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</si>
  <si>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</si>
  <si>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</si>
  <si>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</si>
  <si>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</si>
  <si>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</si>
  <si>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</si>
  <si>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</si>
  <si>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</si>
  <si>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</si>
  <si>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</si>
  <si>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</si>
  <si>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</si>
  <si>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</si>
  <si>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</si>
  <si>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</si>
  <si>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</si>
  <si>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</si>
  <si>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</si>
  <si>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</si>
  <si>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</si>
  <si>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</si>
  <si>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</rPr>
      <t xml:space="preserve">พัฒนาเกษตรกร
</t>
    </r>
    <r>
      <rPr>
        <sz val="15"/>
        <color theme="1"/>
        <rFont val="Arial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</si>
  <si>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</si>
  <si>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</si>
  <si>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</si>
  <si>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</si>
  <si>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</si>
  <si>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</si>
  <si>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</si>
  <si>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</si>
  <si>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</si>
  <si>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</si>
  <si>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</si>
  <si>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รวม
จำนวนผู้มารับบริการ</t>
  </si>
  <si>
    <t>จำนวนผู้มารับบริการ</t>
  </si>
  <si>
    <t>ตำบล</t>
  </si>
  <si>
    <t>กิจกรรมจัดที่ดิน</t>
  </si>
  <si>
    <t>แผนงานตาม พรบ.</t>
  </si>
  <si>
    <t>แผนงานตาม พ.ร.บ. + แผนงานแก้ไขปัญหาเร่งด่วน</t>
  </si>
  <si>
    <r>
      <rPr>
        <b/>
        <sz val="15"/>
        <color theme="1"/>
        <rFont val="Arial"/>
      </rPr>
      <t>ผลงาน</t>
    </r>
    <r>
      <rPr>
        <sz val="15"/>
        <color theme="1"/>
        <rFont val="Arial"/>
      </rPr>
      <t xml:space="preserve">
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</si>
  <si>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r>
      <rPr>
        <b/>
        <sz val="15"/>
        <color rgb="FFFFFFFF"/>
        <rFont val="Arial"/>
      </rPr>
      <t>รวมผลงาน [1]+[2]</t>
    </r>
    <r>
      <rPr>
        <sz val="15"/>
        <color rgb="FFFFFFFF"/>
        <rFont val="Arial"/>
      </rPr>
      <t xml:space="preserve">
(พื้นที่คงค้าง+จัดที่ดินแทนที่)</t>
    </r>
  </si>
  <si>
    <r>
      <rPr>
        <b/>
        <sz val="15"/>
        <color theme="1"/>
        <rFont val="Arial"/>
      </rPr>
      <t>ผลงาน พื้นที่คงค้างการจัดที่ดิน [1]</t>
    </r>
    <r>
      <rPr>
        <sz val="15"/>
        <color theme="1"/>
        <rFont val="Arial"/>
      </rPr>
      <t xml:space="preserve">
(X-Ray, 0-3)</t>
    </r>
  </si>
  <si>
    <r>
      <rPr>
        <b/>
        <sz val="15"/>
        <color theme="1"/>
        <rFont val="Arial"/>
      </rPr>
      <t>ผลงาน จัดที่ดินแทนที่ [2]</t>
    </r>
    <r>
      <rPr>
        <sz val="15"/>
        <color theme="1"/>
        <rFont val="Arial"/>
      </rPr>
      <t xml:space="preserve">
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</si>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</sst>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0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sz val="15"/>
      <color theme="1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</font>
    <font>
      <b/>
      <sz val="12"/>
      <color theme="1"/>
      <name val="Arial"/>
    </font>
    <font>
      <b/>
      <sz val="15"/>
      <color rgb="FFFF0000"/>
      <name val="Arial"/>
    </font>
    <font>
      <b/>
      <sz val="15"/>
      <color rgb="FF000000"/>
      <name val="Arial"/>
    </font>
    <font>
      <sz val="15"/>
      <color theme="1"/>
      <name val="Arial"/>
    </font>
    <font>
      <sz val="15"/>
      <color rgb="FFFFFFFF"/>
      <name val="Arial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7C5A3"/>
        <bgColor rgb="FFF7C5A3"/>
      </patternFill>
    </fill>
    <fill>
      <patternFill patternType="solid">
        <fgColor rgb="FFCC4125"/>
        <bgColor rgb="FFCC4125"/>
      </patternFill>
    </fill>
    <fill>
      <patternFill patternType="solid">
        <fgColor rgb="FF3C78D8"/>
        <bgColor rgb="FF3C78D8"/>
      </patternFill>
    </fill>
    <fill>
      <patternFill patternType="solid">
        <fgColor rgb="FFDD7E6B"/>
        <bgColor rgb="FFDD7E6B"/>
      </patternFill>
    </fill>
    <fill>
      <patternFill patternType="solid">
        <fgColor rgb="FFC9DAF8"/>
        <bgColor rgb="FFC9DAF8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79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 applyAlignment="1"/>
    <xf numFmtId="187" fontId="6" fillId="0" borderId="19" xfId="0" applyNumberFormat="1" applyFont="1" applyBorder="1" applyAlignment="1"/>
    <xf numFmtId="188" fontId="6" fillId="0" borderId="19" xfId="0" applyNumberFormat="1" applyFont="1" applyBorder="1"/>
    <xf numFmtId="189" fontId="6" fillId="0" borderId="19" xfId="0" applyNumberFormat="1" applyFont="1" applyBorder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>
      <alignment vertical="top"/>
    </xf>
    <xf numFmtId="187" fontId="7" fillId="14" borderId="62" xfId="0" applyNumberFormat="1" applyFont="1" applyFill="1" applyBorder="1" applyAlignment="1">
      <alignment horizontal="center" vertical="top"/>
    </xf>
    <xf numFmtId="187" fontId="7" fillId="2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 wrapText="1"/>
    </xf>
    <xf numFmtId="188" fontId="8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6" fillId="14" borderId="62" xfId="0" applyNumberFormat="1" applyFont="1" applyFill="1" applyBorder="1" applyAlignment="1">
      <alignment vertical="top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>
      <alignment horizontal="center"/>
    </xf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189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19" xfId="0" applyFont="1" applyFill="1" applyBorder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19" xfId="0" applyFont="1" applyFill="1" applyBorder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187" fontId="6" fillId="18" borderId="20" xfId="0" applyNumberFormat="1" applyFont="1" applyFill="1" applyBorder="1"/>
    <xf numFmtId="0" fontId="7" fillId="0" borderId="67" xfId="0" applyFont="1" applyBorder="1" applyAlignment="1">
      <alignment horizontal="center"/>
    </xf>
    <xf numFmtId="0" fontId="7" fillId="0" borderId="68" xfId="0" applyFont="1" applyBorder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89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9" fontId="7" fillId="20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/>
    <xf numFmtId="187" fontId="6" fillId="0" borderId="68" xfId="0" applyNumberFormat="1" applyFont="1" applyBorder="1"/>
    <xf numFmtId="187" fontId="6" fillId="0" borderId="20" xfId="0" applyNumberFormat="1" applyFont="1" applyBorder="1"/>
    <xf numFmtId="0" fontId="7" fillId="0" borderId="68" xfId="0" applyFont="1" applyBorder="1"/>
    <xf numFmtId="0" fontId="7" fillId="0" borderId="67" xfId="0" applyFont="1" applyBorder="1" applyAlignment="1">
      <alignment horizontal="center"/>
    </xf>
    <xf numFmtId="0" fontId="6" fillId="0" borderId="0" xfId="0" applyFont="1" applyAlignment="1"/>
    <xf numFmtId="188" fontId="6" fillId="0" borderId="0" xfId="0" applyNumberFormat="1" applyFont="1"/>
    <xf numFmtId="189" fontId="6" fillId="0" borderId="0" xfId="0" applyNumberFormat="1" applyFont="1"/>
    <xf numFmtId="0" fontId="6" fillId="0" borderId="0" xfId="0" applyFont="1" applyAlignment="1"/>
    <xf numFmtId="0" fontId="7" fillId="0" borderId="0" xfId="0" applyFont="1" applyAlignment="1"/>
    <xf numFmtId="188" fontId="6" fillId="0" borderId="19" xfId="0" applyNumberFormat="1" applyFont="1" applyBorder="1" applyAlignment="1"/>
    <xf numFmtId="189" fontId="6" fillId="0" borderId="19" xfId="0" applyNumberFormat="1" applyFont="1" applyBorder="1" applyAlignment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/>
    <xf numFmtId="187" fontId="7" fillId="14" borderId="62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/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20" xfId="0" applyFont="1" applyFill="1" applyBorder="1" applyAlignment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20" xfId="0" applyFont="1" applyFill="1" applyBorder="1" applyAlignment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 applyAlignment="1"/>
    <xf numFmtId="188" fontId="6" fillId="17" borderId="20" xfId="0" applyNumberFormat="1" applyFont="1" applyFill="1" applyBorder="1" applyAlignment="1"/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 applyAlignment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0" fontId="7" fillId="0" borderId="67" xfId="0" applyFont="1" applyBorder="1" applyAlignment="1">
      <alignment horizontal="center"/>
    </xf>
    <xf numFmtId="0" fontId="7" fillId="0" borderId="68" xfId="0" applyFont="1" applyBorder="1" applyAlignment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 applyAlignment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4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7" fontId="7" fillId="8" borderId="43" xfId="0" applyNumberFormat="1" applyFont="1" applyFill="1" applyBorder="1" applyAlignment="1">
      <alignment horizontal="right"/>
    </xf>
    <xf numFmtId="187" fontId="7" fillId="8" borderId="10" xfId="0" applyNumberFormat="1" applyFont="1" applyFill="1" applyBorder="1" applyAlignment="1">
      <alignment horizontal="right"/>
    </xf>
    <xf numFmtId="188" fontId="7" fillId="8" borderId="10" xfId="0" applyNumberFormat="1" applyFont="1" applyFill="1" applyBorder="1" applyAlignment="1">
      <alignment horizontal="right"/>
    </xf>
    <xf numFmtId="188" fontId="7" fillId="20" borderId="24" xfId="0" applyNumberFormat="1" applyFont="1" applyFill="1" applyBorder="1" applyAlignment="1">
      <alignment horizontal="right"/>
    </xf>
    <xf numFmtId="187" fontId="6" fillId="17" borderId="43" xfId="0" applyNumberFormat="1" applyFont="1" applyFill="1" applyBorder="1" applyAlignment="1"/>
    <xf numFmtId="187" fontId="6" fillId="17" borderId="10" xfId="0" applyNumberFormat="1" applyFont="1" applyFill="1" applyBorder="1" applyAlignment="1"/>
    <xf numFmtId="188" fontId="6" fillId="17" borderId="10" xfId="0" applyNumberFormat="1" applyFont="1" applyFill="1" applyBorder="1" applyAlignment="1"/>
    <xf numFmtId="187" fontId="6" fillId="0" borderId="68" xfId="0" applyNumberFormat="1" applyFont="1" applyBorder="1" applyAlignment="1"/>
    <xf numFmtId="188" fontId="6" fillId="0" borderId="68" xfId="0" applyNumberFormat="1" applyFont="1" applyBorder="1" applyAlignment="1"/>
    <xf numFmtId="187" fontId="6" fillId="0" borderId="20" xfId="0" applyNumberFormat="1" applyFont="1" applyBorder="1" applyAlignment="1"/>
    <xf numFmtId="188" fontId="6" fillId="0" borderId="20" xfId="0" applyNumberFormat="1" applyFont="1" applyBorder="1" applyAlignment="1"/>
    <xf numFmtId="0" fontId="7" fillId="0" borderId="68" xfId="0" applyFont="1" applyBorder="1" applyAlignment="1"/>
    <xf numFmtId="0" fontId="7" fillId="0" borderId="67" xfId="0" applyFont="1" applyBorder="1" applyAlignment="1">
      <alignment horizontal="center"/>
    </xf>
    <xf numFmtId="187" fontId="6" fillId="0" borderId="68" xfId="0" applyNumberFormat="1" applyFont="1" applyBorder="1" applyAlignment="1">
      <alignment horizontal="right"/>
    </xf>
    <xf numFmtId="188" fontId="6" fillId="0" borderId="0" xfId="0" applyNumberFormat="1" applyFont="1" applyAlignment="1"/>
    <xf numFmtId="189" fontId="6" fillId="0" borderId="0" xfId="0" applyNumberFormat="1" applyFont="1" applyAlignment="1"/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187" fontId="3" fillId="19" borderId="62" xfId="0" applyNumberFormat="1" applyFont="1" applyFill="1" applyBorder="1" applyAlignment="1"/>
    <xf numFmtId="187" fontId="6" fillId="20" borderId="68" xfId="0" applyNumberFormat="1" applyFont="1" applyFill="1" applyBorder="1" applyAlignment="1"/>
    <xf numFmtId="187" fontId="7" fillId="20" borderId="20" xfId="0" applyNumberFormat="1" applyFont="1" applyFill="1" applyBorder="1" applyAlignment="1">
      <alignment horizontal="right"/>
    </xf>
    <xf numFmtId="187" fontId="6" fillId="20" borderId="20" xfId="0" applyNumberFormat="1" applyFont="1" applyFill="1" applyBorder="1" applyAlignment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0" fontId="6" fillId="0" borderId="19" xfId="0" applyFont="1" applyBorder="1" applyAlignme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188" fontId="6" fillId="17" borderId="20" xfId="0" applyNumberFormat="1" applyFont="1" applyFill="1" applyBorder="1"/>
    <xf numFmtId="188" fontId="6" fillId="0" borderId="68" xfId="0" applyNumberFormat="1" applyFont="1" applyBorder="1"/>
    <xf numFmtId="188" fontId="6" fillId="0" borderId="20" xfId="0" applyNumberFormat="1" applyFont="1" applyBorder="1"/>
    <xf numFmtId="0" fontId="4" fillId="2" borderId="44" xfId="0" applyFont="1" applyFill="1" applyBorder="1" applyAlignment="1">
      <alignment horizontal="center"/>
    </xf>
    <xf numFmtId="190" fontId="1" fillId="2" borderId="36" xfId="0" applyNumberFormat="1" applyFont="1" applyFill="1" applyBorder="1" applyAlignment="1">
      <alignment horizontal="center"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188" fontId="15" fillId="2" borderId="62" xfId="0" applyNumberFormat="1" applyFont="1" applyFill="1" applyBorder="1" applyAlignment="1">
      <alignment horizontal="center" wrapText="1"/>
    </xf>
    <xf numFmtId="188" fontId="15" fillId="2" borderId="62" xfId="0" applyNumberFormat="1" applyFont="1" applyFill="1" applyBorder="1" applyAlignment="1">
      <alignment horizontal="center" wrapText="1"/>
    </xf>
    <xf numFmtId="187" fontId="7" fillId="20" borderId="62" xfId="0" applyNumberFormat="1" applyFont="1" applyFill="1" applyBorder="1" applyAlignment="1">
      <alignment horizontal="center" wrapText="1"/>
    </xf>
    <xf numFmtId="188" fontId="7" fillId="20" borderId="62" xfId="0" applyNumberFormat="1" applyFont="1" applyFill="1" applyBorder="1" applyAlignment="1">
      <alignment horizontal="center" wrapText="1"/>
    </xf>
    <xf numFmtId="188" fontId="9" fillId="20" borderId="62" xfId="0" applyNumberFormat="1" applyFont="1" applyFill="1" applyBorder="1" applyAlignment="1">
      <alignment horizontal="center" wrapText="1"/>
    </xf>
    <xf numFmtId="189" fontId="7" fillId="20" borderId="62" xfId="0" applyNumberFormat="1" applyFont="1" applyFill="1" applyBorder="1" applyAlignment="1">
      <alignment horizontal="center" wrapText="1"/>
    </xf>
    <xf numFmtId="187" fontId="1" fillId="13" borderId="32" xfId="0" applyNumberFormat="1" applyFont="1" applyFill="1" applyBorder="1" applyAlignment="1">
      <alignment horizontal="center" vertical="center" wrapText="1" shrinkToFit="1"/>
    </xf>
    <xf numFmtId="188" fontId="1" fillId="13" borderId="32" xfId="0" applyNumberFormat="1" applyFont="1" applyFill="1" applyBorder="1" applyAlignment="1">
      <alignment horizontal="center" vertical="center" wrapText="1" shrinkToFi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187" fontId="7" fillId="20" borderId="62" xfId="0" applyNumberFormat="1" applyFont="1" applyFill="1" applyBorder="1" applyAlignment="1">
      <alignment horizontal="center" vertical="top" wrapText="1"/>
    </xf>
    <xf numFmtId="188" fontId="7" fillId="20" borderId="62" xfId="0" applyNumberFormat="1" applyFont="1" applyFill="1" applyBorder="1" applyAlignment="1">
      <alignment horizontal="center" vertical="top" wrapText="1"/>
    </xf>
    <xf numFmtId="188" fontId="9" fillId="20" borderId="62" xfId="0" applyNumberFormat="1" applyFont="1" applyFill="1" applyBorder="1" applyAlignment="1">
      <alignment horizontal="center" vertical="top" wrapText="1"/>
    </xf>
    <xf numFmtId="189" fontId="7" fillId="20" borderId="62" xfId="0" applyNumberFormat="1" applyFont="1" applyFill="1" applyBorder="1" applyAlignment="1">
      <alignment horizontal="center" vertical="top" wrapTex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0" fontId="2" fillId="0" borderId="31" xfId="0" applyFont="1" applyBorder="1" applyAlignment="1">
      <alignment wrapTex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1" fillId="17" borderId="47" xfId="0" applyNumberFormat="1" applyFont="1" applyFill="1" applyBorder="1" applyAlignment="1">
      <alignment horizontal="left" vertical="center"/>
    </xf>
    <xf numFmtId="0" fontId="2" fillId="0" borderId="8" xfId="0" applyFont="1" applyBorder="1"/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187" fontId="1" fillId="9" borderId="0" xfId="0" applyNumberFormat="1" applyFont="1" applyFill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0" fontId="1" fillId="8" borderId="47" xfId="0" applyFont="1" applyFill="1" applyBorder="1" applyAlignment="1">
      <alignment horizontal="left" vertical="center"/>
    </xf>
    <xf numFmtId="0" fontId="2" fillId="0" borderId="10" xfId="0" applyFont="1" applyBorder="1"/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0" fontId="2" fillId="0" borderId="7" xfId="0" applyFont="1" applyBorder="1"/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0" fontId="2" fillId="0" borderId="19" xfId="0" applyFont="1" applyBorder="1"/>
    <xf numFmtId="0" fontId="2" fillId="0" borderId="20" xfId="0" applyFont="1" applyBorder="1"/>
    <xf numFmtId="189" fontId="1" fillId="13" borderId="25" xfId="0" applyNumberFormat="1" applyFont="1" applyFill="1" applyBorder="1" applyAlignment="1">
      <alignment horizontal="center" vertical="center" shrinkToFi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/>
    </xf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189" fontId="1" fillId="5" borderId="9" xfId="0" applyNumberFormat="1" applyFont="1" applyFill="1" applyBorder="1" applyAlignment="1">
      <alignment horizontal="center" vertical="top" wrapText="1"/>
    </xf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/>
    </xf>
    <xf numFmtId="187" fontId="7" fillId="17" borderId="65" xfId="0" applyNumberFormat="1" applyFont="1" applyFill="1" applyBorder="1"/>
    <xf numFmtId="0" fontId="2" fillId="0" borderId="66" xfId="0" applyFont="1" applyBorder="1"/>
    <xf numFmtId="187" fontId="7" fillId="2" borderId="61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5" xfId="0" applyFont="1" applyBorder="1"/>
    <xf numFmtId="189" fontId="7" fillId="3" borderId="19" xfId="0" applyNumberFormat="1" applyFont="1" applyFill="1" applyBorder="1" applyAlignment="1">
      <alignment horizontal="center" vertical="top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189" fontId="7" fillId="5" borderId="19" xfId="0" applyNumberFormat="1" applyFont="1" applyFill="1" applyBorder="1" applyAlignment="1">
      <alignment horizontal="center" vertical="top" wrapText="1"/>
    </xf>
    <xf numFmtId="187" fontId="7" fillId="5" borderId="19" xfId="0" applyNumberFormat="1" applyFont="1" applyFill="1" applyBorder="1" applyAlignment="1">
      <alignment horizontal="center" vertical="top"/>
    </xf>
    <xf numFmtId="187" fontId="7" fillId="6" borderId="19" xfId="0" applyNumberFormat="1" applyFont="1" applyFill="1" applyBorder="1" applyAlignment="1">
      <alignment horizontal="center"/>
    </xf>
    <xf numFmtId="0" fontId="7" fillId="6" borderId="63" xfId="0" applyFont="1" applyFill="1" applyBorder="1" applyAlignment="1">
      <alignment horizontal="center"/>
    </xf>
    <xf numFmtId="0" fontId="2" fillId="0" borderId="64" xfId="0" applyFont="1" applyBorder="1"/>
    <xf numFmtId="187" fontId="7" fillId="20" borderId="19" xfId="0" applyNumberFormat="1" applyFont="1" applyFill="1" applyBorder="1" applyAlignment="1">
      <alignment horizontal="center"/>
    </xf>
    <xf numFmtId="189" fontId="7" fillId="20" borderId="19" xfId="0" applyNumberFormat="1" applyFont="1" applyFill="1" applyBorder="1" applyAlignment="1">
      <alignment horizontal="center"/>
    </xf>
    <xf numFmtId="187" fontId="7" fillId="2" borderId="19" xfId="0" applyNumberFormat="1" applyFont="1" applyFill="1" applyBorder="1" applyAlignment="1">
      <alignment horizontal="center" wrapText="1"/>
    </xf>
    <xf numFmtId="187" fontId="7" fillId="14" borderId="19" xfId="0" applyNumberFormat="1" applyFont="1" applyFill="1" applyBorder="1" applyAlignment="1">
      <alignment horizontal="center" wrapText="1"/>
    </xf>
    <xf numFmtId="0" fontId="7" fillId="8" borderId="65" xfId="0" applyFont="1" applyFill="1" applyBorder="1"/>
    <xf numFmtId="49" fontId="7" fillId="8" borderId="65" xfId="0" applyNumberFormat="1" applyFont="1" applyFill="1" applyBorder="1"/>
    <xf numFmtId="187" fontId="7" fillId="9" borderId="24" xfId="0" applyNumberFormat="1" applyFont="1" applyFill="1" applyBorder="1" applyAlignment="1">
      <alignment horizontal="center" vertical="top" wrapText="1"/>
    </xf>
    <xf numFmtId="0" fontId="2" fillId="0" borderId="62" xfId="0" applyFont="1" applyBorder="1" applyAlignment="1">
      <alignment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187" fontId="7" fillId="19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7" fontId="7" fillId="17" borderId="65" xfId="0" applyNumberFormat="1" applyFont="1" applyFill="1" applyBorder="1" applyAlignment="1"/>
    <xf numFmtId="0" fontId="7" fillId="8" borderId="65" xfId="0" applyFont="1" applyFill="1" applyBorder="1" applyAlignment="1"/>
    <xf numFmtId="49" fontId="7" fillId="8" borderId="65" xfId="0" applyNumberFormat="1" applyFont="1" applyFill="1" applyBorder="1" applyAlignment="1"/>
    <xf numFmtId="189" fontId="7" fillId="4" borderId="9" xfId="0" applyNumberFormat="1" applyFont="1" applyFill="1" applyBorder="1" applyAlignment="1">
      <alignment horizontal="center" vertical="top"/>
    </xf>
    <xf numFmtId="187" fontId="7" fillId="21" borderId="19" xfId="0" applyNumberFormat="1" applyFont="1" applyFill="1" applyBorder="1" applyAlignment="1">
      <alignment horizontal="center"/>
    </xf>
    <xf numFmtId="189" fontId="7" fillId="2" borderId="19" xfId="0" applyNumberFormat="1" applyFont="1" applyFill="1" applyBorder="1" applyAlignment="1">
      <alignment horizontal="center"/>
    </xf>
    <xf numFmtId="187" fontId="1" fillId="2" borderId="61" xfId="0" applyNumberFormat="1" applyFont="1" applyFill="1" applyBorder="1" applyAlignment="1">
      <alignment horizontal="center" vertical="center" shrinkToFit="1"/>
    </xf>
    <xf numFmtId="0" fontId="1" fillId="6" borderId="63" xfId="0" applyFont="1" applyFill="1" applyBorder="1" applyAlignment="1">
      <alignment horizontal="center" vertical="center"/>
    </xf>
    <xf numFmtId="0" fontId="2" fillId="0" borderId="62" xfId="0" applyFont="1" applyBorder="1"/>
    <xf numFmtId="189" fontId="1" fillId="5" borderId="61" xfId="0" applyNumberFormat="1" applyFont="1" applyFill="1" applyBorder="1" applyAlignment="1">
      <alignment horizontal="center" vertical="top" wrapText="1"/>
    </xf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0" fontId="2" fillId="0" borderId="31" xfId="0" applyFont="1" applyBorder="1"/>
    <xf numFmtId="187" fontId="7" fillId="2" borderId="5" xfId="0" applyNumberFormat="1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0" fontId="1" fillId="2" borderId="7" xfId="0" applyFont="1" applyFill="1" applyBorder="1" applyAlignment="1">
      <alignment horizontal="center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0" fillId="5" borderId="61" xfId="0" applyNumberFormat="1" applyFont="1" applyFill="1" applyBorder="1" applyAlignment="1">
      <alignment horizontal="center" vertical="top" wrapText="1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1" xfId="0" applyNumberFormat="1" applyFont="1" applyFill="1" applyBorder="1" applyAlignment="1">
      <alignment horizontal="center" vertical="top" wrapText="1"/>
    </xf>
    <xf numFmtId="0" fontId="7" fillId="5" borderId="61" xfId="0" applyFont="1" applyFill="1" applyBorder="1" applyAlignment="1">
      <alignment horizontal="center" vertical="top"/>
    </xf>
    <xf numFmtId="0" fontId="7" fillId="5" borderId="61" xfId="0" applyFont="1" applyFill="1" applyBorder="1" applyAlignment="1">
      <alignment horizontal="center" vertical="top" wrapText="1"/>
    </xf>
    <xf numFmtId="0" fontId="1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3" fillId="5" borderId="70" xfId="0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/>
    </xf>
    <xf numFmtId="189" fontId="7" fillId="25" borderId="19" xfId="0" applyNumberFormat="1" applyFont="1" applyFill="1" applyBorder="1" applyAlignment="1">
      <alignment horizontal="center" vertical="top"/>
    </xf>
    <xf numFmtId="189" fontId="14" fillId="22" borderId="19" xfId="0" applyNumberFormat="1" applyFont="1" applyFill="1" applyBorder="1" applyAlignment="1">
      <alignment horizontal="center" vertical="top"/>
    </xf>
    <xf numFmtId="189" fontId="14" fillId="23" borderId="19" xfId="0" applyNumberFormat="1" applyFont="1" applyFill="1" applyBorder="1" applyAlignment="1">
      <alignment horizontal="center" vertical="top"/>
    </xf>
    <xf numFmtId="189" fontId="7" fillId="24" borderId="19" xfId="0" applyNumberFormat="1" applyFont="1" applyFill="1" applyBorder="1" applyAlignment="1">
      <alignment horizontal="center"/>
    </xf>
    <xf numFmtId="0" fontId="2" fillId="0" borderId="13" xfId="0" applyFont="1" applyBorder="1" applyAlignment="1">
      <alignment wrapText="1"/>
    </xf>
    <xf numFmtId="0" fontId="2" fillId="0" borderId="25" xfId="0" applyFont="1" applyBorder="1" applyAlignment="1">
      <alignment wrapText="1"/>
    </xf>
    <xf numFmtId="0" fontId="2" fillId="0" borderId="20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L999"/>
  <sheetViews>
    <sheetView tabSelected="1"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0.42578125" customWidth="1"/>
    <col min="16" max="17" width="15.140625" customWidth="1"/>
    <col min="18" max="18" width="7.5703125" customWidth="1"/>
    <col min="19" max="19" width="10.85546875" bestFit="1" customWidth="1"/>
    <col min="20" max="20" width="9.5703125" bestFit="1" customWidth="1"/>
    <col min="21" max="21" width="12.5703125" bestFit="1" customWidth="1"/>
    <col min="22" max="22" width="10.85546875" bestFit="1" customWidth="1"/>
    <col min="23" max="23" width="12.5703125" bestFit="1" customWidth="1"/>
    <col min="24" max="24" width="9.5703125" bestFit="1" customWidth="1"/>
    <col min="25" max="25" width="8.42578125" bestFit="1" customWidth="1"/>
    <col min="26" max="26" width="9.5703125" bestFit="1" customWidth="1"/>
    <col min="27" max="27" width="8.42578125" bestFit="1" customWidth="1"/>
    <col min="28" max="28" width="9.5703125" bestFit="1" customWidth="1"/>
    <col min="29" max="29" width="8.42578125" bestFit="1" customWidth="1"/>
    <col min="30" max="30" width="9.5703125" bestFit="1" customWidth="1"/>
    <col min="31" max="31" width="8.42578125" bestFit="1" customWidth="1"/>
    <col min="32" max="32" width="9.5703125" bestFit="1" customWidth="1"/>
    <col min="33" max="33" width="8.42578125" bestFit="1" customWidth="1"/>
    <col min="34" max="34" width="9.5703125" bestFit="1" customWidth="1"/>
    <col min="35" max="35" width="8.42578125" bestFit="1" customWidth="1"/>
    <col min="36" max="36" width="13.42578125" bestFit="1" customWidth="1"/>
    <col min="37" max="37" width="9.5703125" bestFit="1" customWidth="1"/>
    <col min="38" max="38" width="12.57031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71" t="s">
        <v>1</v>
      </c>
      <c r="B2" s="372"/>
      <c r="C2" s="400" t="s">
        <v>2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2"/>
    </row>
    <row r="3" spans="1:38" ht="30" customHeight="1" x14ac:dyDescent="0.2">
      <c r="A3" s="373"/>
      <c r="B3" s="374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404" t="s">
        <v>4</v>
      </c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2"/>
      <c r="AJ3" s="405" t="s">
        <v>5</v>
      </c>
      <c r="AK3" s="406"/>
      <c r="AL3" s="407"/>
    </row>
    <row r="4" spans="1:38" ht="30" customHeight="1" x14ac:dyDescent="0.2">
      <c r="A4" s="373"/>
      <c r="B4" s="374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389" t="s">
        <v>9</v>
      </c>
      <c r="S4" s="390"/>
      <c r="T4" s="390"/>
      <c r="U4" s="390"/>
      <c r="V4" s="390"/>
      <c r="W4" s="391"/>
      <c r="X4" s="389" t="s">
        <v>10</v>
      </c>
      <c r="Y4" s="390"/>
      <c r="Z4" s="390"/>
      <c r="AA4" s="391"/>
      <c r="AB4" s="389" t="s">
        <v>11</v>
      </c>
      <c r="AC4" s="390"/>
      <c r="AD4" s="390"/>
      <c r="AE4" s="391"/>
      <c r="AF4" s="411" t="s">
        <v>12</v>
      </c>
      <c r="AG4" s="401"/>
      <c r="AH4" s="401"/>
      <c r="AI4" s="402"/>
      <c r="AJ4" s="408"/>
      <c r="AK4" s="395"/>
      <c r="AL4" s="396"/>
    </row>
    <row r="5" spans="1:38" ht="24" customHeight="1" x14ac:dyDescent="0.3">
      <c r="A5" s="373"/>
      <c r="B5" s="374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398" t="s">
        <v>21</v>
      </c>
      <c r="S5" s="382"/>
      <c r="T5" s="399" t="s">
        <v>22</v>
      </c>
      <c r="U5" s="388"/>
      <c r="V5" s="388"/>
      <c r="W5" s="382"/>
      <c r="X5" s="398" t="s">
        <v>21</v>
      </c>
      <c r="Y5" s="382"/>
      <c r="Z5" s="386" t="s">
        <v>22</v>
      </c>
      <c r="AA5" s="382"/>
      <c r="AB5" s="398" t="s">
        <v>21</v>
      </c>
      <c r="AC5" s="382"/>
      <c r="AD5" s="386" t="s">
        <v>22</v>
      </c>
      <c r="AE5" s="382"/>
      <c r="AF5" s="398" t="s">
        <v>21</v>
      </c>
      <c r="AG5" s="382"/>
      <c r="AH5" s="386" t="s">
        <v>22</v>
      </c>
      <c r="AI5" s="382"/>
      <c r="AJ5" s="7" t="s">
        <v>21</v>
      </c>
      <c r="AK5" s="386" t="s">
        <v>22</v>
      </c>
      <c r="AL5" s="382"/>
    </row>
    <row r="6" spans="1:38" ht="41.25" customHeight="1" x14ac:dyDescent="0.2">
      <c r="A6" s="375"/>
      <c r="B6" s="37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8" t="s">
        <v>27</v>
      </c>
      <c r="S6" s="9" t="s">
        <v>28</v>
      </c>
      <c r="T6" s="10" t="s">
        <v>27</v>
      </c>
      <c r="U6" s="11" t="s">
        <v>24</v>
      </c>
      <c r="V6" s="12" t="s">
        <v>28</v>
      </c>
      <c r="W6" s="11" t="s">
        <v>24</v>
      </c>
      <c r="X6" s="8" t="s">
        <v>27</v>
      </c>
      <c r="Y6" s="9" t="s">
        <v>28</v>
      </c>
      <c r="Z6" s="10" t="s">
        <v>27</v>
      </c>
      <c r="AA6" s="12" t="s">
        <v>28</v>
      </c>
      <c r="AB6" s="8" t="s">
        <v>27</v>
      </c>
      <c r="AC6" s="9" t="s">
        <v>28</v>
      </c>
      <c r="AD6" s="10" t="s">
        <v>27</v>
      </c>
      <c r="AE6" s="12" t="s">
        <v>28</v>
      </c>
      <c r="AF6" s="8" t="s">
        <v>27</v>
      </c>
      <c r="AG6" s="9" t="s">
        <v>28</v>
      </c>
      <c r="AH6" s="10" t="s">
        <v>27</v>
      </c>
      <c r="AI6" s="12" t="s">
        <v>28</v>
      </c>
      <c r="AJ6" s="13" t="s">
        <v>29</v>
      </c>
      <c r="AK6" s="14" t="s">
        <v>27</v>
      </c>
      <c r="AL6" s="15" t="s">
        <v>30</v>
      </c>
    </row>
    <row r="7" spans="1:38" ht="24" customHeight="1" x14ac:dyDescent="0.2">
      <c r="A7" s="367" t="s">
        <v>239</v>
      </c>
      <c r="B7" s="368"/>
      <c r="C7" s="16">
        <f t="shared" ref="C7:C116" ca="1" si="0">D7+G7</f>
        <v>34572700</v>
      </c>
      <c r="D7" s="17">
        <f t="shared" ref="D7:E7" ca="1" si="1">D8+D9+D12</f>
        <v>34572700</v>
      </c>
      <c r="E7" s="18">
        <f t="shared" ca="1" si="1"/>
        <v>15557700</v>
      </c>
      <c r="F7" s="19">
        <f ca="1">F8+F9</f>
        <v>19015000</v>
      </c>
      <c r="G7" s="20">
        <f t="shared" ref="G7:I7" ca="1" si="2">G8+G9+G12</f>
        <v>0</v>
      </c>
      <c r="H7" s="21">
        <f t="shared" ca="1" si="2"/>
        <v>34508700</v>
      </c>
      <c r="I7" s="21">
        <f t="shared" ca="1" si="2"/>
        <v>0</v>
      </c>
      <c r="J7" s="22">
        <f t="shared" ref="J7:J116" ca="1" si="3">L7+O7</f>
        <v>30814097.409999996</v>
      </c>
      <c r="K7" s="23">
        <f t="shared" ref="K7:K116" ca="1" si="4">IF(C7&gt;0,J7*100/C7,0)</f>
        <v>89.128408860169998</v>
      </c>
      <c r="L7" s="22">
        <f ca="1">L8+L9+L12</f>
        <v>30814097.409999996</v>
      </c>
      <c r="M7" s="24">
        <f t="shared" ref="M7:M116" ca="1" si="5">IF(D7&gt;0,L7*100/D7,0)</f>
        <v>89.128408860169998</v>
      </c>
      <c r="N7" s="24">
        <f t="shared" ref="N7:N116" ca="1" si="6">IF(H7&gt;0,L7*100/H7,0)</f>
        <v>89.293706833349262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ca="1">R8</f>
        <v>40</v>
      </c>
      <c r="S7" s="26">
        <f t="shared" ref="S7:S8" ca="1" si="9">+Y7+AC7+AG7</f>
        <v>1787</v>
      </c>
      <c r="T7" s="27">
        <f ca="1">T8+T9+T12</f>
        <v>40</v>
      </c>
      <c r="U7" s="28">
        <f t="shared" ref="U7:U8" ca="1" si="10">IF(R7&gt;0,T7*100/R7,0)</f>
        <v>100</v>
      </c>
      <c r="V7" s="27">
        <f ca="1">V8+V9+V12</f>
        <v>1787</v>
      </c>
      <c r="W7" s="28">
        <f t="shared" ref="W7:W8" ca="1" si="11">IF(S7&gt;0,V7*100/S7,0)</f>
        <v>100</v>
      </c>
      <c r="X7" s="26">
        <f t="shared" ref="X7:Y7" ca="1" si="12">X8</f>
        <v>13</v>
      </c>
      <c r="Y7" s="26">
        <f t="shared" ca="1" si="12"/>
        <v>497</v>
      </c>
      <c r="Z7" s="27">
        <f t="shared" ref="Z7:AA7" ca="1" si="13">Z8+Z9+Z12</f>
        <v>13</v>
      </c>
      <c r="AA7" s="27">
        <f t="shared" ca="1" si="13"/>
        <v>497</v>
      </c>
      <c r="AB7" s="26">
        <f t="shared" ref="AB7:AC7" ca="1" si="14">AB8</f>
        <v>13</v>
      </c>
      <c r="AC7" s="26">
        <f t="shared" ca="1" si="14"/>
        <v>607</v>
      </c>
      <c r="AD7" s="27">
        <f t="shared" ref="AD7:AE7" ca="1" si="15">AD8+AD9+AD12</f>
        <v>13</v>
      </c>
      <c r="AE7" s="27">
        <f t="shared" ca="1" si="15"/>
        <v>607</v>
      </c>
      <c r="AF7" s="26">
        <f t="shared" ref="AF7:AG7" ca="1" si="16">AF8</f>
        <v>14</v>
      </c>
      <c r="AG7" s="26">
        <f t="shared" ca="1" si="16"/>
        <v>683</v>
      </c>
      <c r="AH7" s="27">
        <f t="shared" ref="AH7:AI7" ca="1" si="17">AH8+AH9+AH12</f>
        <v>14</v>
      </c>
      <c r="AI7" s="27">
        <f t="shared" ca="1" si="17"/>
        <v>683</v>
      </c>
      <c r="AJ7" s="26">
        <f ca="1">AJ8</f>
        <v>40</v>
      </c>
      <c r="AK7" s="27">
        <f ca="1">AK8+AK9+AK12</f>
        <v>28</v>
      </c>
      <c r="AL7" s="28">
        <f t="shared" ref="AL7:AL8" ca="1" si="18">IF(AJ7&gt;0,AK7*100/AJ7,0)</f>
        <v>70</v>
      </c>
    </row>
    <row r="8" spans="1:38" ht="28.5" customHeight="1" x14ac:dyDescent="0.2">
      <c r="A8" s="29" t="s">
        <v>31</v>
      </c>
      <c r="B8" s="30"/>
      <c r="C8" s="31">
        <f t="shared" ca="1" si="0"/>
        <v>28942900</v>
      </c>
      <c r="D8" s="32">
        <f t="shared" ref="D8:I8" ca="1" si="19">+D13+D31+D52+D74</f>
        <v>28942900</v>
      </c>
      <c r="E8" s="33">
        <f t="shared" ca="1" si="19"/>
        <v>10980700</v>
      </c>
      <c r="F8" s="33">
        <f t="shared" ca="1" si="19"/>
        <v>17962200</v>
      </c>
      <c r="G8" s="33">
        <f t="shared" ca="1" si="19"/>
        <v>0</v>
      </c>
      <c r="H8" s="33">
        <f t="shared" ca="1" si="19"/>
        <v>29627210</v>
      </c>
      <c r="I8" s="33">
        <f t="shared" ca="1" si="19"/>
        <v>0</v>
      </c>
      <c r="J8" s="33">
        <f t="shared" ca="1" si="3"/>
        <v>26756245.579999994</v>
      </c>
      <c r="K8" s="34">
        <f t="shared" ca="1" si="4"/>
        <v>92.4449366856811</v>
      </c>
      <c r="L8" s="33">
        <f ca="1">+L13+L31+L52+L74</f>
        <v>26756245.579999994</v>
      </c>
      <c r="M8" s="35">
        <f t="shared" ca="1" si="5"/>
        <v>92.4449366856811</v>
      </c>
      <c r="N8" s="35">
        <f t="shared" ca="1" si="6"/>
        <v>90.309703748682367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ca="1">+R13+R31+R52+R74</f>
        <v>40</v>
      </c>
      <c r="S8" s="33">
        <f t="shared" ca="1" si="9"/>
        <v>1787</v>
      </c>
      <c r="T8" s="33">
        <f ca="1">+T13+T31+T52+T74</f>
        <v>40</v>
      </c>
      <c r="U8" s="35">
        <f t="shared" ca="1" si="10"/>
        <v>100</v>
      </c>
      <c r="V8" s="33">
        <f ca="1">+V13+V31+V52+V74</f>
        <v>1787</v>
      </c>
      <c r="W8" s="35">
        <f t="shared" ca="1" si="11"/>
        <v>100</v>
      </c>
      <c r="X8" s="33">
        <f t="shared" ref="X8:AK8" ca="1" si="20">+X13+X31+X52+X74</f>
        <v>13</v>
      </c>
      <c r="Y8" s="33">
        <f t="shared" ca="1" si="20"/>
        <v>497</v>
      </c>
      <c r="Z8" s="33">
        <f t="shared" ca="1" si="20"/>
        <v>13</v>
      </c>
      <c r="AA8" s="33">
        <f t="shared" ca="1" si="20"/>
        <v>497</v>
      </c>
      <c r="AB8" s="33">
        <f t="shared" ca="1" si="20"/>
        <v>13</v>
      </c>
      <c r="AC8" s="33">
        <f t="shared" ca="1" si="20"/>
        <v>607</v>
      </c>
      <c r="AD8" s="33">
        <f t="shared" ca="1" si="20"/>
        <v>13</v>
      </c>
      <c r="AE8" s="33">
        <f t="shared" ca="1" si="20"/>
        <v>607</v>
      </c>
      <c r="AF8" s="33">
        <f t="shared" ca="1" si="20"/>
        <v>14</v>
      </c>
      <c r="AG8" s="33">
        <f t="shared" ca="1" si="20"/>
        <v>683</v>
      </c>
      <c r="AH8" s="33">
        <f t="shared" ca="1" si="20"/>
        <v>14</v>
      </c>
      <c r="AI8" s="33">
        <f t="shared" ca="1" si="20"/>
        <v>683</v>
      </c>
      <c r="AJ8" s="33">
        <f t="shared" ca="1" si="20"/>
        <v>40</v>
      </c>
      <c r="AK8" s="37">
        <f t="shared" ca="1" si="20"/>
        <v>28</v>
      </c>
      <c r="AL8" s="38">
        <f t="shared" ca="1" si="18"/>
        <v>70</v>
      </c>
    </row>
    <row r="9" spans="1:38" ht="28.5" customHeight="1" x14ac:dyDescent="0.2">
      <c r="A9" s="39" t="s">
        <v>240</v>
      </c>
      <c r="B9" s="40"/>
      <c r="C9" s="41">
        <f t="shared" ca="1" si="0"/>
        <v>5629800</v>
      </c>
      <c r="D9" s="42">
        <f t="shared" ref="D9:I9" ca="1" si="21">+D10+D11</f>
        <v>5629800</v>
      </c>
      <c r="E9" s="41">
        <f t="shared" ca="1" si="21"/>
        <v>4577000</v>
      </c>
      <c r="F9" s="41">
        <f t="shared" ca="1" si="21"/>
        <v>1052800</v>
      </c>
      <c r="G9" s="41">
        <f t="shared" ca="1" si="21"/>
        <v>0</v>
      </c>
      <c r="H9" s="41">
        <f t="shared" ca="1" si="21"/>
        <v>4881490</v>
      </c>
      <c r="I9" s="41">
        <f t="shared" ca="1" si="21"/>
        <v>0</v>
      </c>
      <c r="J9" s="41">
        <f t="shared" ca="1" si="3"/>
        <v>4057851.83</v>
      </c>
      <c r="K9" s="43">
        <f t="shared" ca="1" si="4"/>
        <v>72.078081459376889</v>
      </c>
      <c r="L9" s="41">
        <f ca="1">+L10+L11</f>
        <v>4057851.83</v>
      </c>
      <c r="M9" s="44">
        <f t="shared" ca="1" si="5"/>
        <v>72.078081459376889</v>
      </c>
      <c r="N9" s="44">
        <f t="shared" ca="1" si="6"/>
        <v>83.12732034686131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1"/>
      <c r="U9" s="44"/>
      <c r="V9" s="41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6"/>
      <c r="AL9" s="47"/>
    </row>
    <row r="10" spans="1:38" ht="28.5" hidden="1" customHeight="1" x14ac:dyDescent="0.2">
      <c r="A10" s="39" t="s">
        <v>32</v>
      </c>
      <c r="B10" s="40"/>
      <c r="C10" s="41">
        <f t="shared" ca="1" si="0"/>
        <v>4776600</v>
      </c>
      <c r="D10" s="42">
        <f t="shared" ref="D10:I10" ca="1" si="22">+D89</f>
        <v>4776600</v>
      </c>
      <c r="E10" s="41">
        <f t="shared" ca="1" si="22"/>
        <v>3723800</v>
      </c>
      <c r="F10" s="41">
        <f t="shared" ca="1" si="22"/>
        <v>1052800</v>
      </c>
      <c r="G10" s="41">
        <f t="shared" ca="1" si="22"/>
        <v>0</v>
      </c>
      <c r="H10" s="41">
        <f t="shared" ca="1" si="22"/>
        <v>4818720</v>
      </c>
      <c r="I10" s="41">
        <f t="shared" ca="1" si="22"/>
        <v>0</v>
      </c>
      <c r="J10" s="41">
        <f t="shared" ca="1" si="3"/>
        <v>3995081.83</v>
      </c>
      <c r="K10" s="43">
        <f t="shared" ca="1" si="4"/>
        <v>83.638609680525903</v>
      </c>
      <c r="L10" s="41">
        <f ca="1">+L89</f>
        <v>3995081.83</v>
      </c>
      <c r="M10" s="44">
        <f t="shared" ca="1" si="5"/>
        <v>83.638609680525903</v>
      </c>
      <c r="N10" s="44">
        <f t="shared" ca="1" si="6"/>
        <v>82.907532083208821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1"/>
      <c r="U10" s="44"/>
      <c r="V10" s="41"/>
      <c r="W10" s="44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6"/>
      <c r="AL10" s="47"/>
    </row>
    <row r="11" spans="1:38" ht="28.5" hidden="1" customHeight="1" x14ac:dyDescent="0.2">
      <c r="A11" s="48" t="s">
        <v>33</v>
      </c>
      <c r="B11" s="40"/>
      <c r="C11" s="41">
        <f t="shared" ca="1" si="0"/>
        <v>853200</v>
      </c>
      <c r="D11" s="42">
        <f t="shared" ref="D11:I11" ca="1" si="23">+D104</f>
        <v>853200</v>
      </c>
      <c r="E11" s="41">
        <f t="shared" ca="1" si="23"/>
        <v>853200</v>
      </c>
      <c r="F11" s="41">
        <f t="shared" ca="1" si="23"/>
        <v>0</v>
      </c>
      <c r="G11" s="41">
        <f t="shared" ca="1" si="23"/>
        <v>0</v>
      </c>
      <c r="H11" s="41">
        <f t="shared" ca="1" si="23"/>
        <v>62770</v>
      </c>
      <c r="I11" s="41">
        <f t="shared" ca="1" si="23"/>
        <v>0</v>
      </c>
      <c r="J11" s="41">
        <f t="shared" ca="1" si="3"/>
        <v>62770</v>
      </c>
      <c r="K11" s="43">
        <f t="shared" ca="1" si="4"/>
        <v>7.357008907641819</v>
      </c>
      <c r="L11" s="41">
        <f ca="1">+L104</f>
        <v>62770</v>
      </c>
      <c r="M11" s="44">
        <f t="shared" ca="1" si="5"/>
        <v>7.357008907641819</v>
      </c>
      <c r="N11" s="44">
        <f t="shared" ca="1" si="6"/>
        <v>100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1"/>
      <c r="U11" s="44"/>
      <c r="V11" s="41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6"/>
      <c r="AL11" s="47"/>
    </row>
    <row r="12" spans="1:38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f t="shared" ref="S12:S88" si="24">+Y12+AC12+AG12</f>
        <v>0</v>
      </c>
      <c r="T12" s="53">
        <v>0</v>
      </c>
      <c r="U12" s="55">
        <f t="shared" ref="U12:U88" si="25">IF(R12&gt;0,T12*100/R12,0)</f>
        <v>0</v>
      </c>
      <c r="V12" s="53">
        <v>0</v>
      </c>
      <c r="W12" s="55">
        <f t="shared" ref="W12:W88" si="26">IF(S12&gt;0,V12*100/S12,0)</f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5">
        <f t="shared" ref="AL12:AL88" si="27">IF(AJ12&gt;0,AK12*100/AJ12,0)</f>
        <v>0</v>
      </c>
    </row>
    <row r="13" spans="1:38" ht="28.5" customHeight="1" x14ac:dyDescent="0.2">
      <c r="A13" s="381" t="s">
        <v>35</v>
      </c>
      <c r="B13" s="382"/>
      <c r="C13" s="57">
        <f t="shared" ca="1" si="0"/>
        <v>7464600</v>
      </c>
      <c r="D13" s="58">
        <f t="shared" ref="D13:I13" ca="1" si="28">SUM(D14:D30)</f>
        <v>7464600</v>
      </c>
      <c r="E13" s="59">
        <f t="shared" ca="1" si="28"/>
        <v>2831400</v>
      </c>
      <c r="F13" s="59">
        <f t="shared" ca="1" si="28"/>
        <v>4633200</v>
      </c>
      <c r="G13" s="59">
        <f t="shared" ca="1" si="28"/>
        <v>0</v>
      </c>
      <c r="H13" s="59">
        <f t="shared" ca="1" si="28"/>
        <v>7509500</v>
      </c>
      <c r="I13" s="59">
        <f t="shared" ca="1" si="28"/>
        <v>0</v>
      </c>
      <c r="J13" s="59">
        <f t="shared" ca="1" si="3"/>
        <v>6531009.0099999998</v>
      </c>
      <c r="K13" s="60">
        <f t="shared" ca="1" si="4"/>
        <v>87.493087506363366</v>
      </c>
      <c r="L13" s="59">
        <f ca="1">SUM(L14:L30)</f>
        <v>6531009.0099999998</v>
      </c>
      <c r="M13" s="61">
        <f t="shared" ca="1" si="5"/>
        <v>87.493087506363366</v>
      </c>
      <c r="N13" s="61">
        <f t="shared" ca="1" si="6"/>
        <v>86.969958186297362</v>
      </c>
      <c r="O13" s="62">
        <f ca="1">SUM(O14:O30)</f>
        <v>0</v>
      </c>
      <c r="P13" s="62">
        <f t="shared" ref="P13:P116" ca="1" si="29">IF(G13&gt;0,O13*100/G13,0)</f>
        <v>0</v>
      </c>
      <c r="Q13" s="61">
        <f t="shared" ca="1" si="8"/>
        <v>0</v>
      </c>
      <c r="R13" s="59">
        <f t="shared" ref="R13:R88" ca="1" si="30">SUM(X13+AB13+AF13)</f>
        <v>11</v>
      </c>
      <c r="S13" s="59">
        <f t="shared" ca="1" si="24"/>
        <v>457</v>
      </c>
      <c r="T13" s="59">
        <f ca="1">SUM(T14:T30)</f>
        <v>11</v>
      </c>
      <c r="U13" s="61">
        <f t="shared" ca="1" si="25"/>
        <v>100</v>
      </c>
      <c r="V13" s="59">
        <f ca="1">SUM(V14:V30)</f>
        <v>457</v>
      </c>
      <c r="W13" s="61">
        <f t="shared" ca="1" si="26"/>
        <v>100</v>
      </c>
      <c r="X13" s="59">
        <f t="shared" ref="X13:AK13" ca="1" si="31">SUM(X14:X30)</f>
        <v>4</v>
      </c>
      <c r="Y13" s="59">
        <f t="shared" ca="1" si="31"/>
        <v>150</v>
      </c>
      <c r="Z13" s="59">
        <f t="shared" ca="1" si="31"/>
        <v>4</v>
      </c>
      <c r="AA13" s="59">
        <f t="shared" ca="1" si="31"/>
        <v>150</v>
      </c>
      <c r="AB13" s="59">
        <f t="shared" ca="1" si="31"/>
        <v>4</v>
      </c>
      <c r="AC13" s="59">
        <f t="shared" ca="1" si="31"/>
        <v>157</v>
      </c>
      <c r="AD13" s="59">
        <f t="shared" ca="1" si="31"/>
        <v>4</v>
      </c>
      <c r="AE13" s="59">
        <f t="shared" ca="1" si="31"/>
        <v>157</v>
      </c>
      <c r="AF13" s="59">
        <f t="shared" ca="1" si="31"/>
        <v>3</v>
      </c>
      <c r="AG13" s="59">
        <f t="shared" ca="1" si="31"/>
        <v>150</v>
      </c>
      <c r="AH13" s="59">
        <f t="shared" ca="1" si="31"/>
        <v>3</v>
      </c>
      <c r="AI13" s="59">
        <f t="shared" ca="1" si="31"/>
        <v>150</v>
      </c>
      <c r="AJ13" s="59">
        <f t="shared" ca="1" si="31"/>
        <v>11</v>
      </c>
      <c r="AK13" s="59">
        <f t="shared" ca="1" si="31"/>
        <v>6</v>
      </c>
      <c r="AL13" s="61">
        <f t="shared" ca="1" si="27"/>
        <v>54.545454545454547</v>
      </c>
    </row>
    <row r="14" spans="1:38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32">+E14+F14</f>
        <v>0</v>
      </c>
      <c r="E14" s="67">
        <f ca="1">IFERROR(__xludf.DUMMYFUNCTION("IMPORTRANGE(""https://docs.google.com/spreadsheets/d/1MeEWN-I1oV_STSDYn1IFDPWt_1FKiwhDph83XaGc0o0/edit?usp=sharing"",""งบพรบ!AH14"")"),0)</f>
        <v>0</v>
      </c>
      <c r="F14" s="67">
        <f ca="1">IFERROR(__xludf.DUMMYFUNCTION("IMPORTRANGE(""https://docs.google.com/spreadsheets/d/1MeEWN-I1oV_STSDYn1IFDPWt_1FKiwhDph83XaGc0o0/edit?usp=sharing"",""งบพรบ!AI14"")"),0)</f>
        <v>0</v>
      </c>
      <c r="G14" s="68">
        <f ca="1">IFERROR(__xludf.DUMMYFUNCTION("IMPORTRANGE(""https://docs.google.com/spreadsheets/d/1MeEWN-I1oV_STSDYn1IFDPWt_1FKiwhDph83XaGc0o0/edit?usp=sharing"",""งบพรบ!AJ14"")"),0)</f>
        <v>0</v>
      </c>
      <c r="H14" s="68">
        <f ca="1">IFERROR(__xludf.DUMMYFUNCTION("IMPORTRANGE(""https://docs.google.com/spreadsheets/d/1MeEWN-I1oV_STSDYn1IFDPWt_1FKiwhDph83XaGc0o0/edit?usp=sharing"",""งบพรบ!AL14"")"),0)</f>
        <v>0</v>
      </c>
      <c r="I14" s="68">
        <f ca="1">IFERROR(__xludf.DUMMYFUNCTION("IMPORTRANGE(""https://docs.google.com/spreadsheets/d/1MeEWN-I1oV_STSDYn1IFDPWt_1FKiwhDph83XaGc0o0/edit?usp=sharing"",""งบพรบ!AM14"")"),0)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IFERROR(__xludf.DUMMYFUNCTION("IMPORTRANGE(""https://docs.google.com/spreadsheets/d/1MeEWN-I1oV_STSDYn1IFDPWt_1FKiwhDph83XaGc0o0/edit?usp=sharing"",""งบพรบ!AN14"")"),0)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IFERROR(__xludf.DUMMYFUNCTION("IMPORTRANGE(""https://docs.google.com/spreadsheets/d/1MeEWN-I1oV_STSDYn1IFDPWt_1FKiwhDph83XaGc0o0/edit?usp=sharing"",""งบพรบ!AO14"")"),0)</f>
        <v>0</v>
      </c>
      <c r="P14" s="71">
        <f t="shared" ca="1" si="29"/>
        <v>0</v>
      </c>
      <c r="Q14" s="70">
        <f t="shared" ca="1" si="8"/>
        <v>0</v>
      </c>
      <c r="R14" s="68">
        <f t="shared" ca="1" si="30"/>
        <v>0</v>
      </c>
      <c r="S14" s="68">
        <f t="shared" ca="1" si="24"/>
        <v>0</v>
      </c>
      <c r="T14" s="68">
        <f t="shared" ref="T14:T30" ca="1" si="33">Z14+AD14+AH14</f>
        <v>0</v>
      </c>
      <c r="U14" s="72">
        <f t="shared" ca="1" si="25"/>
        <v>0</v>
      </c>
      <c r="V14" s="68">
        <f t="shared" ref="V14:V30" ca="1" si="34">AA14+AE14+AI14</f>
        <v>0</v>
      </c>
      <c r="W14" s="72">
        <f t="shared" ca="1" si="26"/>
        <v>0</v>
      </c>
      <c r="X14" s="67">
        <f ca="1">IFERROR(__xludf.DUMMYFUNCTION("IMPORTRANGE(""https://docs.google.com/spreadsheets/d/1KxicF4apzSqm0-jIpmueT4kyZtE-Cwn5zskl7GD4loQ/edit?usp=sharing"",""กำแพงเพชร!I78"")"),0)</f>
        <v>0</v>
      </c>
      <c r="Y14" s="67">
        <f ca="1">IFERROR(__xludf.DUMMYFUNCTION("IMPORTRANGE(""https://docs.google.com/spreadsheets/d/1KxicF4apzSqm0-jIpmueT4kyZtE-Cwn5zskl7GD4loQ/edit?usp=sharing"",""กำแพงเพชร!I79"")"),0)</f>
        <v>0</v>
      </c>
      <c r="Z14" s="68">
        <f ca="1">IFERROR(__xludf.DUMMYFUNCTION("IMPORTRANGE(""https://docs.google.com/spreadsheets/d/1KxicF4apzSqm0-jIpmueT4kyZtE-Cwn5zskl7GD4loQ/edit?usp=sharing"",""กำแพงเพชร!J78"")"),0)</f>
        <v>0</v>
      </c>
      <c r="AA14" s="68">
        <f ca="1">IFERROR(__xludf.DUMMYFUNCTION("IMPORTRANGE(""https://docs.google.com/spreadsheets/d/1KxicF4apzSqm0-jIpmueT4kyZtE-Cwn5zskl7GD4loQ/edit?usp=sharing"",""กำแพงเพชร!J79"")"),0)</f>
        <v>0</v>
      </c>
      <c r="AB14" s="67">
        <f ca="1">IFERROR(__xludf.DUMMYFUNCTION("IMPORTRANGE(""https://docs.google.com/spreadsheets/d/1KxicF4apzSqm0-jIpmueT4kyZtE-Cwn5zskl7GD4loQ/edit?usp=sharing"",""กำแพงเพชร!I80"")"),0)</f>
        <v>0</v>
      </c>
      <c r="AC14" s="67">
        <f ca="1">IFERROR(__xludf.DUMMYFUNCTION("IMPORTRANGE(""https://docs.google.com/spreadsheets/d/1KxicF4apzSqm0-jIpmueT4kyZtE-Cwn5zskl7GD4loQ/edit?usp=sharing"",""กำแพงเพชร!I81"")"),0)</f>
        <v>0</v>
      </c>
      <c r="AD14" s="68">
        <f ca="1">IFERROR(__xludf.DUMMYFUNCTION("IMPORTRANGE(""https://docs.google.com/spreadsheets/d/1KxicF4apzSqm0-jIpmueT4kyZtE-Cwn5zskl7GD4loQ/edit?usp=sharing"",""กำแพงเพชร!J80"")"),0)</f>
        <v>0</v>
      </c>
      <c r="AE14" s="68">
        <f ca="1">IFERROR(__xludf.DUMMYFUNCTION("IMPORTRANGE(""https://docs.google.com/spreadsheets/d/1KxicF4apzSqm0-jIpmueT4kyZtE-Cwn5zskl7GD4loQ/edit?usp=sharing"",""กำแพงเพชร!J81"")"),0)</f>
        <v>0</v>
      </c>
      <c r="AF14" s="67">
        <f ca="1">IFERROR(__xludf.DUMMYFUNCTION("IMPORTRANGE(""https://docs.google.com/spreadsheets/d/1KxicF4apzSqm0-jIpmueT4kyZtE-Cwn5zskl7GD4loQ/edit?usp=sharing"",""กำแพงเพชร!I82"")"),0)</f>
        <v>0</v>
      </c>
      <c r="AG14" s="67">
        <f ca="1">IFERROR(__xludf.DUMMYFUNCTION("IMPORTRANGE(""https://docs.google.com/spreadsheets/d/1KxicF4apzSqm0-jIpmueT4kyZtE-Cwn5zskl7GD4loQ/edit?usp=sharing"",""กำแพงเพชร!I83"")"),0)</f>
        <v>0</v>
      </c>
      <c r="AH14" s="68">
        <f ca="1">IFERROR(__xludf.DUMMYFUNCTION("IMPORTRANGE(""https://docs.google.com/spreadsheets/d/1KxicF4apzSqm0-jIpmueT4kyZtE-Cwn5zskl7GD4loQ/edit?usp=sharing"",""กำแพงเพชร!J82"")"),0)</f>
        <v>0</v>
      </c>
      <c r="AI14" s="68">
        <f ca="1">IFERROR(__xludf.DUMMYFUNCTION("IMPORTRANGE(""https://docs.google.com/spreadsheets/d/1KxicF4apzSqm0-jIpmueT4kyZtE-Cwn5zskl7GD4loQ/edit?usp=sharing"",""กำแพงเพชร!J83"")"),0)</f>
        <v>0</v>
      </c>
      <c r="AJ14" s="67">
        <f ca="1">IFERROR(__xludf.DUMMYFUNCTION("IMPORTRANGE(""https://docs.google.com/spreadsheets/d/1KxicF4apzSqm0-jIpmueT4kyZtE-Cwn5zskl7GD4loQ/edit?usp=sharing"",""กำแพงเพชร!I84"")"),0)</f>
        <v>0</v>
      </c>
      <c r="AK14" s="68">
        <f ca="1">IFERROR(__xludf.DUMMYFUNCTION("IMPORTRANGE(""https://docs.google.com/spreadsheets/d/1KxicF4apzSqm0-jIpmueT4kyZtE-Cwn5zskl7GD4loQ/edit?usp=sharing"",""กำแพงเพชร!J84"")"),0)</f>
        <v>0</v>
      </c>
      <c r="AL14" s="70">
        <f t="shared" ca="1" si="27"/>
        <v>0</v>
      </c>
    </row>
    <row r="15" spans="1:38" ht="24" customHeight="1" x14ac:dyDescent="0.2">
      <c r="A15" s="73">
        <v>2</v>
      </c>
      <c r="B15" s="74" t="s">
        <v>37</v>
      </c>
      <c r="C15" s="75">
        <f t="shared" ca="1" si="0"/>
        <v>552000</v>
      </c>
      <c r="D15" s="76">
        <f t="shared" ca="1" si="32"/>
        <v>552000</v>
      </c>
      <c r="E15" s="77">
        <f ca="1">IFERROR(__xludf.DUMMYFUNCTION("IMPORTRANGE(""https://docs.google.com/spreadsheets/d/1MeEWN-I1oV_STSDYn1IFDPWt_1FKiwhDph83XaGc0o0/edit?usp=sharing"",""งบพรบ!AH15"")"),0)</f>
        <v>0</v>
      </c>
      <c r="F15" s="77">
        <f ca="1">IFERROR(__xludf.DUMMYFUNCTION("IMPORTRANGE(""https://docs.google.com/spreadsheets/d/1MeEWN-I1oV_STSDYn1IFDPWt_1FKiwhDph83XaGc0o0/edit?usp=sharing"",""งบพรบ!AI15"")"),552000)</f>
        <v>552000</v>
      </c>
      <c r="G15" s="77">
        <f ca="1">IFERROR(__xludf.DUMMYFUNCTION("IMPORTRANGE(""https://docs.google.com/spreadsheets/d/1MeEWN-I1oV_STSDYn1IFDPWt_1FKiwhDph83XaGc0o0/edit?usp=sharing"",""งบพรบ!AJ15"")"),0)</f>
        <v>0</v>
      </c>
      <c r="H15" s="77">
        <f ca="1">IFERROR(__xludf.DUMMYFUNCTION("IMPORTRANGE(""https://docs.google.com/spreadsheets/d/1MeEWN-I1oV_STSDYn1IFDPWt_1FKiwhDph83XaGc0o0/edit?usp=sharing"",""งบพรบ!AL15"")"),552000)</f>
        <v>552000</v>
      </c>
      <c r="I15" s="77">
        <f ca="1">IFERROR(__xludf.DUMMYFUNCTION("IMPORTRANGE(""https://docs.google.com/spreadsheets/d/1MeEWN-I1oV_STSDYn1IFDPWt_1FKiwhDph83XaGc0o0/edit?usp=sharing"",""งบพรบ!AM15"")"),0)</f>
        <v>0</v>
      </c>
      <c r="J15" s="77">
        <f t="shared" ca="1" si="3"/>
        <v>528586.09</v>
      </c>
      <c r="K15" s="78">
        <f t="shared" ca="1" si="4"/>
        <v>95.758349637681164</v>
      </c>
      <c r="L15" s="77">
        <f ca="1">IFERROR(__xludf.DUMMYFUNCTION("IMPORTRANGE(""https://docs.google.com/spreadsheets/d/1MeEWN-I1oV_STSDYn1IFDPWt_1FKiwhDph83XaGc0o0/edit?usp=sharing"",""งบพรบ!AN15"")"),528586.09)</f>
        <v>528586.09</v>
      </c>
      <c r="M15" s="79">
        <f t="shared" ca="1" si="5"/>
        <v>95.758349637681164</v>
      </c>
      <c r="N15" s="79">
        <f t="shared" ca="1" si="6"/>
        <v>95.758349637681164</v>
      </c>
      <c r="O15" s="80">
        <f ca="1">IFERROR(__xludf.DUMMYFUNCTION("IMPORTRANGE(""https://docs.google.com/spreadsheets/d/1MeEWN-I1oV_STSDYn1IFDPWt_1FKiwhDph83XaGc0o0/edit?usp=sharing"",""งบพรบ!AO15"")"),0)</f>
        <v>0</v>
      </c>
      <c r="P15" s="80">
        <f t="shared" ca="1" si="29"/>
        <v>0</v>
      </c>
      <c r="Q15" s="79">
        <f t="shared" ca="1" si="8"/>
        <v>0</v>
      </c>
      <c r="R15" s="81">
        <f t="shared" ca="1" si="30"/>
        <v>1</v>
      </c>
      <c r="S15" s="81">
        <f t="shared" ca="1" si="24"/>
        <v>60</v>
      </c>
      <c r="T15" s="81">
        <f t="shared" ca="1" si="33"/>
        <v>1</v>
      </c>
      <c r="U15" s="82">
        <f t="shared" ca="1" si="25"/>
        <v>100</v>
      </c>
      <c r="V15" s="81">
        <f t="shared" ca="1" si="34"/>
        <v>60</v>
      </c>
      <c r="W15" s="82">
        <f t="shared" ca="1" si="26"/>
        <v>100</v>
      </c>
      <c r="X15" s="83">
        <f ca="1">IFERROR(__xludf.DUMMYFUNCTION("IMPORTRANGE(""https://docs.google.com/spreadsheets/d/1ZNYWeiFoFA1K1U4xKWqRX29MBvEyRHXORjo734Gnq_c/edit?usp=sharing"",""เชียงราย!I78"")"),0)</f>
        <v>0</v>
      </c>
      <c r="Y15" s="83">
        <f ca="1">IFERROR(__xludf.DUMMYFUNCTION("IMPORTRANGE(""https://docs.google.com/spreadsheets/d/1ZNYWeiFoFA1K1U4xKWqRX29MBvEyRHXORjo734Gnq_c/edit?usp=sharing"",""เชียงราย!I79"")"),0)</f>
        <v>0</v>
      </c>
      <c r="Z15" s="81">
        <f ca="1">IFERROR(__xludf.DUMMYFUNCTION("IMPORTRANGE(""https://docs.google.com/spreadsheets/d/1ZNYWeiFoFA1K1U4xKWqRX29MBvEyRHXORjo734Gnq_c/edit?usp=sharing"",""เชียงราย!J78"")"),0)</f>
        <v>0</v>
      </c>
      <c r="AA15" s="81">
        <f ca="1">IFERROR(__xludf.DUMMYFUNCTION("IMPORTRANGE(""https://docs.google.com/spreadsheets/d/1ZNYWeiFoFA1K1U4xKWqRX29MBvEyRHXORjo734Gnq_c/edit?usp=sharing"",""เชียงราย!J79"")"),0)</f>
        <v>0</v>
      </c>
      <c r="AB15" s="83">
        <f ca="1">IFERROR(__xludf.DUMMYFUNCTION("IMPORTRANGE(""https://docs.google.com/spreadsheets/d/1ZNYWeiFoFA1K1U4xKWqRX29MBvEyRHXORjo734Gnq_c/edit?usp=sharing"",""เชียงราย!I80"")"),1)</f>
        <v>1</v>
      </c>
      <c r="AC15" s="83">
        <f ca="1">IFERROR(__xludf.DUMMYFUNCTION("IMPORTRANGE(""https://docs.google.com/spreadsheets/d/1ZNYWeiFoFA1K1U4xKWqRX29MBvEyRHXORjo734Gnq_c/edit?usp=sharing"",""เชียงราย!I81"")"),60)</f>
        <v>60</v>
      </c>
      <c r="AD15" s="81">
        <f ca="1">IFERROR(__xludf.DUMMYFUNCTION("IMPORTRANGE(""https://docs.google.com/spreadsheets/d/1ZNYWeiFoFA1K1U4xKWqRX29MBvEyRHXORjo734Gnq_c/edit?usp=sharing"",""เชียงราย!J80"")"),1)</f>
        <v>1</v>
      </c>
      <c r="AE15" s="81">
        <f ca="1">IFERROR(__xludf.DUMMYFUNCTION("IMPORTRANGE(""https://docs.google.com/spreadsheets/d/1ZNYWeiFoFA1K1U4xKWqRX29MBvEyRHXORjo734Gnq_c/edit?usp=sharing"",""เชียงราย!J81"")"),60)</f>
        <v>60</v>
      </c>
      <c r="AF15" s="83">
        <f ca="1">IFERROR(__xludf.DUMMYFUNCTION("IMPORTRANGE(""https://docs.google.com/spreadsheets/d/1ZNYWeiFoFA1K1U4xKWqRX29MBvEyRHXORjo734Gnq_c/edit?usp=sharing"",""เชียงราย!I82"")"),0)</f>
        <v>0</v>
      </c>
      <c r="AG15" s="83">
        <f ca="1">IFERROR(__xludf.DUMMYFUNCTION("IMPORTRANGE(""https://docs.google.com/spreadsheets/d/1ZNYWeiFoFA1K1U4xKWqRX29MBvEyRHXORjo734Gnq_c/edit?usp=sharing"",""เชียงราย!I83"")"),0)</f>
        <v>0</v>
      </c>
      <c r="AH15" s="81">
        <f ca="1">IFERROR(__xludf.DUMMYFUNCTION("IMPORTRANGE(""https://docs.google.com/spreadsheets/d/1ZNYWeiFoFA1K1U4xKWqRX29MBvEyRHXORjo734Gnq_c/edit?usp=sharing"",""เชียงราย!J82"")"),0)</f>
        <v>0</v>
      </c>
      <c r="AI15" s="81">
        <f ca="1">IFERROR(__xludf.DUMMYFUNCTION("IMPORTRANGE(""https://docs.google.com/spreadsheets/d/1ZNYWeiFoFA1K1U4xKWqRX29MBvEyRHXORjo734Gnq_c/edit?usp=sharing"",""เชียงราย!J83"")"),0)</f>
        <v>0</v>
      </c>
      <c r="AJ15" s="83">
        <f ca="1">IFERROR(__xludf.DUMMYFUNCTION("IMPORTRANGE(""https://docs.google.com/spreadsheets/d/1ZNYWeiFoFA1K1U4xKWqRX29MBvEyRHXORjo734Gnq_c/edit?usp=sharing"",""เชียงราย!I84"")"),1)</f>
        <v>1</v>
      </c>
      <c r="AK15" s="81">
        <f ca="1">IFERROR(__xludf.DUMMYFUNCTION("IMPORTRANGE(""https://docs.google.com/spreadsheets/d/1ZNYWeiFoFA1K1U4xKWqRX29MBvEyRHXORjo734Gnq_c/edit?usp=sharing"",""เชียงราย!J84"")"),1)</f>
        <v>1</v>
      </c>
      <c r="AL15" s="82">
        <f t="shared" ca="1" si="27"/>
        <v>100</v>
      </c>
    </row>
    <row r="16" spans="1:38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32"/>
        <v>0</v>
      </c>
      <c r="E16" s="77">
        <f ca="1">IFERROR(__xludf.DUMMYFUNCTION("IMPORTRANGE(""https://docs.google.com/spreadsheets/d/1MeEWN-I1oV_STSDYn1IFDPWt_1FKiwhDph83XaGc0o0/edit?usp=sharing"",""งบพรบ!AH16"")"),0)</f>
        <v>0</v>
      </c>
      <c r="F16" s="77">
        <f ca="1">IFERROR(__xludf.DUMMYFUNCTION("IMPORTRANGE(""https://docs.google.com/spreadsheets/d/1MeEWN-I1oV_STSDYn1IFDPWt_1FKiwhDph83XaGc0o0/edit?usp=sharing"",""งบพรบ!AI16"")"),0)</f>
        <v>0</v>
      </c>
      <c r="G16" s="77">
        <f ca="1">IFERROR(__xludf.DUMMYFUNCTION("IMPORTRANGE(""https://docs.google.com/spreadsheets/d/1MeEWN-I1oV_STSDYn1IFDPWt_1FKiwhDph83XaGc0o0/edit?usp=sharing"",""งบพรบ!AJ16"")"),0)</f>
        <v>0</v>
      </c>
      <c r="H16" s="77">
        <f ca="1">IFERROR(__xludf.DUMMYFUNCTION("IMPORTRANGE(""https://docs.google.com/spreadsheets/d/1MeEWN-I1oV_STSDYn1IFDPWt_1FKiwhDph83XaGc0o0/edit?usp=sharing"",""งบพรบ!AL16"")"),0)</f>
        <v>0</v>
      </c>
      <c r="I16" s="77">
        <f ca="1">IFERROR(__xludf.DUMMYFUNCTION("IMPORTRANGE(""https://docs.google.com/spreadsheets/d/1MeEWN-I1oV_STSDYn1IFDPWt_1FKiwhDph83XaGc0o0/edit?usp=sharing"",""งบพรบ!AM16"")"),0)</f>
        <v>0</v>
      </c>
      <c r="J16" s="77">
        <f t="shared" ca="1" si="3"/>
        <v>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IFERROR(__xludf.DUMMYFUNCTION("IMPORTRANGE(""https://docs.google.com/spreadsheets/d/1MeEWN-I1oV_STSDYn1IFDPWt_1FKiwhDph83XaGc0o0/edit?usp=sharing"",""งบพรบ!AN16"")"),0)</f>
        <v>0</v>
      </c>
      <c r="M16" s="79">
        <f t="shared" ca="1" si="5"/>
        <v>0</v>
      </c>
      <c r="N16" s="79">
        <f t="shared" ca="1" si="6"/>
        <v>0</v>
      </c>
      <c r="O16" s="80">
        <f ca="1">IFERROR(__xludf.DUMMYFUNCTION("IMPORTRANGE(""https://docs.google.com/spreadsheets/d/1MeEWN-I1oV_STSDYn1IFDPWt_1FKiwhDph83XaGc0o0/edit?usp=sharing"",""งบพรบ!AO16"")"),0)</f>
        <v>0</v>
      </c>
      <c r="P16" s="80">
        <f t="shared" ca="1" si="29"/>
        <v>0</v>
      </c>
      <c r="Q16" s="79">
        <f t="shared" ca="1" si="8"/>
        <v>0</v>
      </c>
      <c r="R16" s="81">
        <f t="shared" ca="1" si="30"/>
        <v>0</v>
      </c>
      <c r="S16" s="81">
        <f t="shared" ca="1" si="24"/>
        <v>0</v>
      </c>
      <c r="T16" s="81">
        <f t="shared" ca="1" si="33"/>
        <v>0</v>
      </c>
      <c r="U16" s="82">
        <f t="shared" ca="1" si="25"/>
        <v>0</v>
      </c>
      <c r="V16" s="81">
        <f t="shared" ca="1" si="34"/>
        <v>0</v>
      </c>
      <c r="W16" s="82">
        <f t="shared" ca="1" si="26"/>
        <v>0</v>
      </c>
      <c r="X16" s="77">
        <f ca="1">IFERROR(__xludf.DUMMYFUNCTION("IMPORTRANGE(""https://docs.google.com/spreadsheets/d/1Jgv0Y7YlHDtsiDawwp-uvifEJ8HVaSn0k2aGHG8-hwM/edit?usp=sharing"",""เชียงใหม่!I78"")"),0)</f>
        <v>0</v>
      </c>
      <c r="Y16" s="77">
        <f ca="1">IFERROR(__xludf.DUMMYFUNCTION("IMPORTRANGE(""https://docs.google.com/spreadsheets/d/1Jgv0Y7YlHDtsiDawwp-uvifEJ8HVaSn0k2aGHG8-hwM/edit?usp=sharing"",""เชียงใหม่!I79"")"),0)</f>
        <v>0</v>
      </c>
      <c r="Z16" s="81">
        <f ca="1">IFERROR(__xludf.DUMMYFUNCTION("IMPORTRANGE(""https://docs.google.com/spreadsheets/d/1Jgv0Y7YlHDtsiDawwp-uvifEJ8HVaSn0k2aGHG8-hwM/edit?usp=sharing"",""เชียงใหม่!J78"")"),0)</f>
        <v>0</v>
      </c>
      <c r="AA16" s="81">
        <f ca="1">IFERROR(__xludf.DUMMYFUNCTION("IMPORTRANGE(""https://docs.google.com/spreadsheets/d/1Jgv0Y7YlHDtsiDawwp-uvifEJ8HVaSn0k2aGHG8-hwM/edit?usp=sharing"",""เชียงใหม่!J79"")"),0)</f>
        <v>0</v>
      </c>
      <c r="AB16" s="77">
        <f ca="1">IFERROR(__xludf.DUMMYFUNCTION("IMPORTRANGE(""https://docs.google.com/spreadsheets/d/1Jgv0Y7YlHDtsiDawwp-uvifEJ8HVaSn0k2aGHG8-hwM/edit?usp=sharing"",""เชียงใหม่!I80"")"),0)</f>
        <v>0</v>
      </c>
      <c r="AC16" s="77">
        <f ca="1">IFERROR(__xludf.DUMMYFUNCTION("IMPORTRANGE(""https://docs.google.com/spreadsheets/d/1Jgv0Y7YlHDtsiDawwp-uvifEJ8HVaSn0k2aGHG8-hwM/edit?usp=sharing"",""เชียงใหม่!I81"")"),0)</f>
        <v>0</v>
      </c>
      <c r="AD16" s="81">
        <f ca="1">IFERROR(__xludf.DUMMYFUNCTION("IMPORTRANGE(""https://docs.google.com/spreadsheets/d/1Jgv0Y7YlHDtsiDawwp-uvifEJ8HVaSn0k2aGHG8-hwM/edit?usp=sharing"",""เชียงใหม่!J80"")"),0)</f>
        <v>0</v>
      </c>
      <c r="AE16" s="81">
        <f ca="1">IFERROR(__xludf.DUMMYFUNCTION("IMPORTRANGE(""https://docs.google.com/spreadsheets/d/1Jgv0Y7YlHDtsiDawwp-uvifEJ8HVaSn0k2aGHG8-hwM/edit?usp=sharing"",""เชียงใหม่!J81"")"),0)</f>
        <v>0</v>
      </c>
      <c r="AF16" s="77">
        <f ca="1">IFERROR(__xludf.DUMMYFUNCTION("IMPORTRANGE(""https://docs.google.com/spreadsheets/d/1Jgv0Y7YlHDtsiDawwp-uvifEJ8HVaSn0k2aGHG8-hwM/edit?usp=sharing"",""เชียงใหม่!I82"")"),0)</f>
        <v>0</v>
      </c>
      <c r="AG16" s="77">
        <f ca="1">IFERROR(__xludf.DUMMYFUNCTION("IMPORTRANGE(""https://docs.google.com/spreadsheets/d/1Jgv0Y7YlHDtsiDawwp-uvifEJ8HVaSn0k2aGHG8-hwM/edit?usp=sharing"",""เชียงใหม่!I83"")"),0)</f>
        <v>0</v>
      </c>
      <c r="AH16" s="81">
        <f ca="1">IFERROR(__xludf.DUMMYFUNCTION("IMPORTRANGE(""https://docs.google.com/spreadsheets/d/1Jgv0Y7YlHDtsiDawwp-uvifEJ8HVaSn0k2aGHG8-hwM/edit?usp=sharing"",""เชียงใหม่!J82"")"),0)</f>
        <v>0</v>
      </c>
      <c r="AI16" s="81">
        <f ca="1">IFERROR(__xludf.DUMMYFUNCTION("IMPORTRANGE(""https://docs.google.com/spreadsheets/d/1Jgv0Y7YlHDtsiDawwp-uvifEJ8HVaSn0k2aGHG8-hwM/edit?usp=sharing"",""เชียงใหม่!J83"")"),0)</f>
        <v>0</v>
      </c>
      <c r="AJ16" s="77">
        <f ca="1">IFERROR(__xludf.DUMMYFUNCTION("IMPORTRANGE(""https://docs.google.com/spreadsheets/d/1Jgv0Y7YlHDtsiDawwp-uvifEJ8HVaSn0k2aGHG8-hwM/edit?usp=sharing"",""เชียงใหม่!I84"")"),0)</f>
        <v>0</v>
      </c>
      <c r="AK16" s="81">
        <f ca="1">IFERROR(__xludf.DUMMYFUNCTION("IMPORTRANGE(""https://docs.google.com/spreadsheets/d/1Jgv0Y7YlHDtsiDawwp-uvifEJ8HVaSn0k2aGHG8-hwM/edit?usp=sharing"",""เชียงใหม่!J84"")"),0)</f>
        <v>0</v>
      </c>
      <c r="AL16" s="79">
        <f t="shared" ca="1" si="27"/>
        <v>0</v>
      </c>
    </row>
    <row r="17" spans="1:38" ht="24" customHeight="1" x14ac:dyDescent="0.2">
      <c r="A17" s="73">
        <v>4</v>
      </c>
      <c r="B17" s="74" t="s">
        <v>39</v>
      </c>
      <c r="C17" s="75">
        <f t="shared" ca="1" si="0"/>
        <v>0</v>
      </c>
      <c r="D17" s="76">
        <f t="shared" ca="1" si="32"/>
        <v>0</v>
      </c>
      <c r="E17" s="77">
        <f ca="1">IFERROR(__xludf.DUMMYFUNCTION("IMPORTRANGE(""https://docs.google.com/spreadsheets/d/1MeEWN-I1oV_STSDYn1IFDPWt_1FKiwhDph83XaGc0o0/edit?usp=sharing"",""งบพรบ!AH17"")"),0)</f>
        <v>0</v>
      </c>
      <c r="F17" s="77">
        <f ca="1">IFERROR(__xludf.DUMMYFUNCTION("IMPORTRANGE(""https://docs.google.com/spreadsheets/d/1MeEWN-I1oV_STSDYn1IFDPWt_1FKiwhDph83XaGc0o0/edit?usp=sharing"",""งบพรบ!AI17"")"),0)</f>
        <v>0</v>
      </c>
      <c r="G17" s="77">
        <f ca="1">IFERROR(__xludf.DUMMYFUNCTION("IMPORTRANGE(""https://docs.google.com/spreadsheets/d/1MeEWN-I1oV_STSDYn1IFDPWt_1FKiwhDph83XaGc0o0/edit?usp=sharing"",""งบพรบ!AJ17"")"),0)</f>
        <v>0</v>
      </c>
      <c r="H17" s="77">
        <f ca="1">IFERROR(__xludf.DUMMYFUNCTION("IMPORTRANGE(""https://docs.google.com/spreadsheets/d/1MeEWN-I1oV_STSDYn1IFDPWt_1FKiwhDph83XaGc0o0/edit?usp=sharing"",""งบพรบ!AL17"")"),0)</f>
        <v>0</v>
      </c>
      <c r="I17" s="77">
        <f ca="1">IFERROR(__xludf.DUMMYFUNCTION("IMPORTRANGE(""https://docs.google.com/spreadsheets/d/1MeEWN-I1oV_STSDYn1IFDPWt_1FKiwhDph83XaGc0o0/edit?usp=sharing"",""งบพรบ!AM17"")"),0)</f>
        <v>0</v>
      </c>
      <c r="J17" s="77">
        <f t="shared" ca="1" si="3"/>
        <v>0</v>
      </c>
      <c r="K17" s="78">
        <f t="shared" ca="1" si="4"/>
        <v>0</v>
      </c>
      <c r="L17" s="77">
        <f ca="1">IFERROR(__xludf.DUMMYFUNCTION("IMPORTRANGE(""https://docs.google.com/spreadsheets/d/1MeEWN-I1oV_STSDYn1IFDPWt_1FKiwhDph83XaGc0o0/edit?usp=sharing"",""งบพรบ!AN17"")"),0)</f>
        <v>0</v>
      </c>
      <c r="M17" s="79">
        <f t="shared" ca="1" si="5"/>
        <v>0</v>
      </c>
      <c r="N17" s="79">
        <f t="shared" ca="1" si="6"/>
        <v>0</v>
      </c>
      <c r="O17" s="80">
        <f ca="1">IFERROR(__xludf.DUMMYFUNCTION("IMPORTRANGE(""https://docs.google.com/spreadsheets/d/1MeEWN-I1oV_STSDYn1IFDPWt_1FKiwhDph83XaGc0o0/edit?usp=sharing"",""งบพรบ!AO17"")"),0)</f>
        <v>0</v>
      </c>
      <c r="P17" s="80">
        <f t="shared" ca="1" si="29"/>
        <v>0</v>
      </c>
      <c r="Q17" s="79">
        <f t="shared" ca="1" si="8"/>
        <v>0</v>
      </c>
      <c r="R17" s="81">
        <f t="shared" ca="1" si="30"/>
        <v>0</v>
      </c>
      <c r="S17" s="81">
        <f t="shared" ca="1" si="24"/>
        <v>0</v>
      </c>
      <c r="T17" s="81">
        <f t="shared" ca="1" si="33"/>
        <v>0</v>
      </c>
      <c r="U17" s="82">
        <f t="shared" ca="1" si="25"/>
        <v>0</v>
      </c>
      <c r="V17" s="81">
        <f t="shared" ca="1" si="34"/>
        <v>0</v>
      </c>
      <c r="W17" s="82">
        <f t="shared" ca="1" si="26"/>
        <v>0</v>
      </c>
      <c r="X17" s="77">
        <f ca="1">IFERROR(__xludf.DUMMYFUNCTION("IMPORTRANGE(""https://docs.google.com/spreadsheets/d/1JWG2rZePOz9pe-f-ObA-yDr0VoOX2kSb0qIix2mTUo8/edit?usp=sharing"",""ตาก!I78"")"),0)</f>
        <v>0</v>
      </c>
      <c r="Y17" s="77">
        <f ca="1">IFERROR(__xludf.DUMMYFUNCTION("IMPORTRANGE(""https://docs.google.com/spreadsheets/d/1JWG2rZePOz9pe-f-ObA-yDr0VoOX2kSb0qIix2mTUo8/edit?usp=sharing"",""ตาก!I79"")"),0)</f>
        <v>0</v>
      </c>
      <c r="Z17" s="81">
        <f ca="1">IFERROR(__xludf.DUMMYFUNCTION("IMPORTRANGE(""https://docs.google.com/spreadsheets/d/1JWG2rZePOz9pe-f-ObA-yDr0VoOX2kSb0qIix2mTUo8/edit?usp=sharing"",""ตาก!J78"")"),0)</f>
        <v>0</v>
      </c>
      <c r="AA17" s="81">
        <f ca="1">IFERROR(__xludf.DUMMYFUNCTION("IMPORTRANGE(""https://docs.google.com/spreadsheets/d/1JWG2rZePOz9pe-f-ObA-yDr0VoOX2kSb0qIix2mTUo8/edit?usp=sharing"",""ตาก!J79"")"),0)</f>
        <v>0</v>
      </c>
      <c r="AB17" s="77">
        <f ca="1">IFERROR(__xludf.DUMMYFUNCTION("IMPORTRANGE(""https://docs.google.com/spreadsheets/d/1JWG2rZePOz9pe-f-ObA-yDr0VoOX2kSb0qIix2mTUo8/edit?usp=sharing"",""ตาก!I80"")"),0)</f>
        <v>0</v>
      </c>
      <c r="AC17" s="77">
        <f ca="1">IFERROR(__xludf.DUMMYFUNCTION("IMPORTRANGE(""https://docs.google.com/spreadsheets/d/1JWG2rZePOz9pe-f-ObA-yDr0VoOX2kSb0qIix2mTUo8/edit?usp=sharing"",""ตาก!I81"")"),0)</f>
        <v>0</v>
      </c>
      <c r="AD17" s="81">
        <f ca="1">IFERROR(__xludf.DUMMYFUNCTION("IMPORTRANGE(""https://docs.google.com/spreadsheets/d/1JWG2rZePOz9pe-f-ObA-yDr0VoOX2kSb0qIix2mTUo8/edit?usp=sharing"",""ตาก!J80"")"),0)</f>
        <v>0</v>
      </c>
      <c r="AE17" s="81">
        <f ca="1">IFERROR(__xludf.DUMMYFUNCTION("IMPORTRANGE(""https://docs.google.com/spreadsheets/d/1JWG2rZePOz9pe-f-ObA-yDr0VoOX2kSb0qIix2mTUo8/edit?usp=sharing"",""ตาก!J81"")"),0)</f>
        <v>0</v>
      </c>
      <c r="AF17" s="77">
        <f ca="1">IFERROR(__xludf.DUMMYFUNCTION("IMPORTRANGE(""https://docs.google.com/spreadsheets/d/1JWG2rZePOz9pe-f-ObA-yDr0VoOX2kSb0qIix2mTUo8/edit?usp=sharing"",""ตาก!I82"")"),0)</f>
        <v>0</v>
      </c>
      <c r="AG17" s="77">
        <f ca="1">IFERROR(__xludf.DUMMYFUNCTION("IMPORTRANGE(""https://docs.google.com/spreadsheets/d/1JWG2rZePOz9pe-f-ObA-yDr0VoOX2kSb0qIix2mTUo8/edit?usp=sharing"",""ตาก!I83"")"),0)</f>
        <v>0</v>
      </c>
      <c r="AH17" s="81">
        <f ca="1">IFERROR(__xludf.DUMMYFUNCTION("IMPORTRANGE(""https://docs.google.com/spreadsheets/d/1JWG2rZePOz9pe-f-ObA-yDr0VoOX2kSb0qIix2mTUo8/edit?usp=sharing"",""ตาก!J82"")"),0)</f>
        <v>0</v>
      </c>
      <c r="AI17" s="81">
        <f ca="1">IFERROR(__xludf.DUMMYFUNCTION("IMPORTRANGE(""https://docs.google.com/spreadsheets/d/1JWG2rZePOz9pe-f-ObA-yDr0VoOX2kSb0qIix2mTUo8/edit?usp=sharing"",""ตาก!J83"")"),0)</f>
        <v>0</v>
      </c>
      <c r="AJ17" s="77">
        <f ca="1">IFERROR(__xludf.DUMMYFUNCTION("IMPORTRANGE(""https://docs.google.com/spreadsheets/d/1JWG2rZePOz9pe-f-ObA-yDr0VoOX2kSb0qIix2mTUo8/edit?usp=sharing"",""ตาก!I84"")"),0)</f>
        <v>0</v>
      </c>
      <c r="AK17" s="81">
        <f ca="1">IFERROR(__xludf.DUMMYFUNCTION("IMPORTRANGE(""https://docs.google.com/spreadsheets/d/1JWG2rZePOz9pe-f-ObA-yDr0VoOX2kSb0qIix2mTUo8/edit?usp=sharing"",""ตาก!J84"")"),0)</f>
        <v>0</v>
      </c>
      <c r="AL17" s="79">
        <f t="shared" ca="1" si="27"/>
        <v>0</v>
      </c>
    </row>
    <row r="18" spans="1:38" ht="24" customHeight="1" x14ac:dyDescent="0.2">
      <c r="A18" s="73">
        <v>5</v>
      </c>
      <c r="B18" s="74" t="s">
        <v>40</v>
      </c>
      <c r="C18" s="75">
        <f t="shared" ca="1" si="0"/>
        <v>1039000</v>
      </c>
      <c r="D18" s="76">
        <f t="shared" ca="1" si="32"/>
        <v>1039000</v>
      </c>
      <c r="E18" s="77">
        <f ca="1">IFERROR(__xludf.DUMMYFUNCTION("IMPORTRANGE(""https://docs.google.com/spreadsheets/d/1MeEWN-I1oV_STSDYn1IFDPWt_1FKiwhDph83XaGc0o0/edit?usp=sharing"",""งบพรบ!AH18"")"),599000)</f>
        <v>599000</v>
      </c>
      <c r="F18" s="77">
        <f ca="1">IFERROR(__xludf.DUMMYFUNCTION("IMPORTRANGE(""https://docs.google.com/spreadsheets/d/1MeEWN-I1oV_STSDYn1IFDPWt_1FKiwhDph83XaGc0o0/edit?usp=sharing"",""งบพรบ!AI18"")"),440000)</f>
        <v>440000</v>
      </c>
      <c r="G18" s="77">
        <f ca="1">IFERROR(__xludf.DUMMYFUNCTION("IMPORTRANGE(""https://docs.google.com/spreadsheets/d/1MeEWN-I1oV_STSDYn1IFDPWt_1FKiwhDph83XaGc0o0/edit?usp=sharing"",""งบพรบ!AJ18"")"),0)</f>
        <v>0</v>
      </c>
      <c r="H18" s="77">
        <f ca="1">IFERROR(__xludf.DUMMYFUNCTION("IMPORTRANGE(""https://docs.google.com/spreadsheets/d/1MeEWN-I1oV_STSDYn1IFDPWt_1FKiwhDph83XaGc0o0/edit?usp=sharing"",""งบพรบ!AL18"")"),1047900)</f>
        <v>1047900</v>
      </c>
      <c r="I18" s="77">
        <f ca="1">IFERROR(__xludf.DUMMYFUNCTION("IMPORTRANGE(""https://docs.google.com/spreadsheets/d/1MeEWN-I1oV_STSDYn1IFDPWt_1FKiwhDph83XaGc0o0/edit?usp=sharing"",""งบพรบ!AM18"")"),0)</f>
        <v>0</v>
      </c>
      <c r="J18" s="77">
        <f t="shared" ca="1" si="3"/>
        <v>780145.48</v>
      </c>
      <c r="K18" s="78">
        <f t="shared" ca="1" si="4"/>
        <v>75.086186717998075</v>
      </c>
      <c r="L18" s="77">
        <f ca="1">IFERROR(__xludf.DUMMYFUNCTION("IMPORTRANGE(""https://docs.google.com/spreadsheets/d/1MeEWN-I1oV_STSDYn1IFDPWt_1FKiwhDph83XaGc0o0/edit?usp=sharing"",""งบพรบ!AN18"")"),780145.48)</f>
        <v>780145.48</v>
      </c>
      <c r="M18" s="79">
        <f t="shared" ca="1" si="5"/>
        <v>75.086186717998075</v>
      </c>
      <c r="N18" s="79">
        <f t="shared" ca="1" si="6"/>
        <v>74.448466456722969</v>
      </c>
      <c r="O18" s="80">
        <f ca="1">IFERROR(__xludf.DUMMYFUNCTION("IMPORTRANGE(""https://docs.google.com/spreadsheets/d/1MeEWN-I1oV_STSDYn1IFDPWt_1FKiwhDph83XaGc0o0/edit?usp=sharing"",""งบพรบ!AO18"")"),0)</f>
        <v>0</v>
      </c>
      <c r="P18" s="80">
        <f t="shared" ca="1" si="29"/>
        <v>0</v>
      </c>
      <c r="Q18" s="79">
        <f t="shared" ca="1" si="8"/>
        <v>0</v>
      </c>
      <c r="R18" s="81">
        <f t="shared" ca="1" si="30"/>
        <v>1</v>
      </c>
      <c r="S18" s="81">
        <f t="shared" ca="1" si="24"/>
        <v>40</v>
      </c>
      <c r="T18" s="81">
        <f t="shared" ca="1" si="33"/>
        <v>1</v>
      </c>
      <c r="U18" s="82">
        <f t="shared" ca="1" si="25"/>
        <v>100</v>
      </c>
      <c r="V18" s="81">
        <f t="shared" ca="1" si="34"/>
        <v>40</v>
      </c>
      <c r="W18" s="82">
        <f t="shared" ca="1" si="26"/>
        <v>100</v>
      </c>
      <c r="X18" s="77">
        <f ca="1">IFERROR(__xludf.DUMMYFUNCTION("IMPORTRANGE(""https://docs.google.com/spreadsheets/d/10nSRjK08hx8Y6HgSOQKNw81lyY46Zc7U_Cj72hBMp9U/edit?usp=sharing"",""นครสวรรค์!I78"")"),0)</f>
        <v>0</v>
      </c>
      <c r="Y18" s="77">
        <f ca="1">IFERROR(__xludf.DUMMYFUNCTION("IMPORTRANGE(""https://docs.google.com/spreadsheets/d/10nSRjK08hx8Y6HgSOQKNw81lyY46Zc7U_Cj72hBMp9U/edit?usp=sharing"",""นครสวรรค์!I79"")"),0)</f>
        <v>0</v>
      </c>
      <c r="Z18" s="81">
        <f ca="1">IFERROR(__xludf.DUMMYFUNCTION("IMPORTRANGE(""https://docs.google.com/spreadsheets/d/10nSRjK08hx8Y6HgSOQKNw81lyY46Zc7U_Cj72hBMp9U/edit?usp=sharing"",""นครสวรรค์!J78"")"),0)</f>
        <v>0</v>
      </c>
      <c r="AA18" s="81">
        <f ca="1">IFERROR(__xludf.DUMMYFUNCTION("IMPORTRANGE(""https://docs.google.com/spreadsheets/d/10nSRjK08hx8Y6HgSOQKNw81lyY46Zc7U_Cj72hBMp9U/edit?usp=sharing"",""นครสวรรค์!J79"")"),0)</f>
        <v>0</v>
      </c>
      <c r="AB18" s="77">
        <f ca="1">IFERROR(__xludf.DUMMYFUNCTION("IMPORTRANGE(""https://docs.google.com/spreadsheets/d/10nSRjK08hx8Y6HgSOQKNw81lyY46Zc7U_Cj72hBMp9U/edit?usp=sharing"",""นครสวรรค์!I80"")"),0)</f>
        <v>0</v>
      </c>
      <c r="AC18" s="77">
        <f ca="1">IFERROR(__xludf.DUMMYFUNCTION("IMPORTRANGE(""https://docs.google.com/spreadsheets/d/10nSRjK08hx8Y6HgSOQKNw81lyY46Zc7U_Cj72hBMp9U/edit?usp=sharing"",""นครสวรรค์!I81"")"),0)</f>
        <v>0</v>
      </c>
      <c r="AD18" s="81">
        <f ca="1">IFERROR(__xludf.DUMMYFUNCTION("IMPORTRANGE(""https://docs.google.com/spreadsheets/d/10nSRjK08hx8Y6HgSOQKNw81lyY46Zc7U_Cj72hBMp9U/edit?usp=sharing"",""นครสวรรค์!J80"")"),0)</f>
        <v>0</v>
      </c>
      <c r="AE18" s="81">
        <f ca="1">IFERROR(__xludf.DUMMYFUNCTION("IMPORTRANGE(""https://docs.google.com/spreadsheets/d/10nSRjK08hx8Y6HgSOQKNw81lyY46Zc7U_Cj72hBMp9U/edit?usp=sharing"",""นครสวรรค์!J81"")"),0)</f>
        <v>0</v>
      </c>
      <c r="AF18" s="77">
        <f ca="1">IFERROR(__xludf.DUMMYFUNCTION("IMPORTRANGE(""https://docs.google.com/spreadsheets/d/10nSRjK08hx8Y6HgSOQKNw81lyY46Zc7U_Cj72hBMp9U/edit?usp=sharing"",""นครสวรรค์!I82"")"),1)</f>
        <v>1</v>
      </c>
      <c r="AG18" s="77">
        <f ca="1">IFERROR(__xludf.DUMMYFUNCTION("IMPORTRANGE(""https://docs.google.com/spreadsheets/d/10nSRjK08hx8Y6HgSOQKNw81lyY46Zc7U_Cj72hBMp9U/edit?usp=sharing"",""นครสวรรค์!I83"")"),40)</f>
        <v>40</v>
      </c>
      <c r="AH18" s="81">
        <f ca="1">IFERROR(__xludf.DUMMYFUNCTION("IMPORTRANGE(""https://docs.google.com/spreadsheets/d/10nSRjK08hx8Y6HgSOQKNw81lyY46Zc7U_Cj72hBMp9U/edit?usp=sharing"",""นครสวรรค์!J82"")"),1)</f>
        <v>1</v>
      </c>
      <c r="AI18" s="81">
        <f ca="1">IFERROR(__xludf.DUMMYFUNCTION("IMPORTRANGE(""https://docs.google.com/spreadsheets/d/10nSRjK08hx8Y6HgSOQKNw81lyY46Zc7U_Cj72hBMp9U/edit?usp=sharing"",""นครสวรรค์!J83"")"),40)</f>
        <v>40</v>
      </c>
      <c r="AJ18" s="77">
        <f ca="1">IFERROR(__xludf.DUMMYFUNCTION("IMPORTRANGE(""https://docs.google.com/spreadsheets/d/10nSRjK08hx8Y6HgSOQKNw81lyY46Zc7U_Cj72hBMp9U/edit?usp=sharing"",""นครสวรรค์!I84"")"),1)</f>
        <v>1</v>
      </c>
      <c r="AK18" s="81">
        <f ca="1">IFERROR(__xludf.DUMMYFUNCTION("IMPORTRANGE(""https://docs.google.com/spreadsheets/d/10nSRjK08hx8Y6HgSOQKNw81lyY46Zc7U_Cj72hBMp9U/edit?usp=sharing"",""นครสวรรค์!J84"")"),0)</f>
        <v>0</v>
      </c>
      <c r="AL18" s="79">
        <f t="shared" ca="1" si="27"/>
        <v>0</v>
      </c>
    </row>
    <row r="19" spans="1:38" ht="24" customHeight="1" x14ac:dyDescent="0.2">
      <c r="A19" s="73">
        <v>6</v>
      </c>
      <c r="B19" s="74" t="s">
        <v>41</v>
      </c>
      <c r="C19" s="75">
        <f t="shared" ca="1" si="0"/>
        <v>440000</v>
      </c>
      <c r="D19" s="76">
        <f t="shared" ca="1" si="32"/>
        <v>440000</v>
      </c>
      <c r="E19" s="77">
        <f ca="1">IFERROR(__xludf.DUMMYFUNCTION("IMPORTRANGE(""https://docs.google.com/spreadsheets/d/1MeEWN-I1oV_STSDYn1IFDPWt_1FKiwhDph83XaGc0o0/edit?usp=sharing"",""งบพรบ!AH19"")"),0)</f>
        <v>0</v>
      </c>
      <c r="F19" s="77">
        <f ca="1">IFERROR(__xludf.DUMMYFUNCTION("IMPORTRANGE(""https://docs.google.com/spreadsheets/d/1MeEWN-I1oV_STSDYn1IFDPWt_1FKiwhDph83XaGc0o0/edit?usp=sharing"",""งบพรบ!AI19"")"),440000)</f>
        <v>440000</v>
      </c>
      <c r="G19" s="77">
        <f ca="1">IFERROR(__xludf.DUMMYFUNCTION("IMPORTRANGE(""https://docs.google.com/spreadsheets/d/1MeEWN-I1oV_STSDYn1IFDPWt_1FKiwhDph83XaGc0o0/edit?usp=sharing"",""งบพรบ!AJ19"")"),0)</f>
        <v>0</v>
      </c>
      <c r="H19" s="77">
        <f ca="1">IFERROR(__xludf.DUMMYFUNCTION("IMPORTRANGE(""https://docs.google.com/spreadsheets/d/1MeEWN-I1oV_STSDYn1IFDPWt_1FKiwhDph83XaGc0o0/edit?usp=sharing"",""งบพรบ!AL19"")"),456190)</f>
        <v>456190</v>
      </c>
      <c r="I19" s="77">
        <f ca="1">IFERROR(__xludf.DUMMYFUNCTION("IMPORTRANGE(""https://docs.google.com/spreadsheets/d/1MeEWN-I1oV_STSDYn1IFDPWt_1FKiwhDph83XaGc0o0/edit?usp=sharing"",""งบพรบ!AM19"")"),0)</f>
        <v>0</v>
      </c>
      <c r="J19" s="77">
        <f t="shared" ca="1" si="3"/>
        <v>431132.25</v>
      </c>
      <c r="K19" s="78">
        <f t="shared" ca="1" si="4"/>
        <v>97.984602272727273</v>
      </c>
      <c r="L19" s="77">
        <f ca="1">IFERROR(__xludf.DUMMYFUNCTION("IMPORTRANGE(""https://docs.google.com/spreadsheets/d/1MeEWN-I1oV_STSDYn1IFDPWt_1FKiwhDph83XaGc0o0/edit?usp=sharing"",""งบพรบ!AN19"")"),431132.25)</f>
        <v>431132.25</v>
      </c>
      <c r="M19" s="79">
        <f t="shared" ca="1" si="5"/>
        <v>97.984602272727273</v>
      </c>
      <c r="N19" s="79">
        <f t="shared" ca="1" si="6"/>
        <v>94.507168065937435</v>
      </c>
      <c r="O19" s="80">
        <f ca="1">IFERROR(__xludf.DUMMYFUNCTION("IMPORTRANGE(""https://docs.google.com/spreadsheets/d/1MeEWN-I1oV_STSDYn1IFDPWt_1FKiwhDph83XaGc0o0/edit?usp=sharing"",""งบพรบ!AO19"")"),0)</f>
        <v>0</v>
      </c>
      <c r="P19" s="80">
        <f t="shared" ca="1" si="29"/>
        <v>0</v>
      </c>
      <c r="Q19" s="79">
        <f t="shared" ca="1" si="8"/>
        <v>0</v>
      </c>
      <c r="R19" s="81">
        <f t="shared" ca="1" si="30"/>
        <v>1</v>
      </c>
      <c r="S19" s="81">
        <f t="shared" ca="1" si="24"/>
        <v>40</v>
      </c>
      <c r="T19" s="81">
        <f t="shared" ca="1" si="33"/>
        <v>1</v>
      </c>
      <c r="U19" s="82">
        <f t="shared" ca="1" si="25"/>
        <v>100</v>
      </c>
      <c r="V19" s="81">
        <f t="shared" ca="1" si="34"/>
        <v>40</v>
      </c>
      <c r="W19" s="82">
        <f t="shared" ca="1" si="26"/>
        <v>100</v>
      </c>
      <c r="X19" s="77">
        <f ca="1">IFERROR(__xludf.DUMMYFUNCTION("IMPORTRANGE(""https://docs.google.com/spreadsheets/d/1gFVb7qd7amutrIxAAoM7lcy35hllxznovot8lyOfvDo/edit?usp=sharing"",""น่าน!I78"")"),1)</f>
        <v>1</v>
      </c>
      <c r="Y19" s="77">
        <f ca="1">IFERROR(__xludf.DUMMYFUNCTION("IMPORTRANGE(""https://docs.google.com/spreadsheets/d/1gFVb7qd7amutrIxAAoM7lcy35hllxznovot8lyOfvDo/edit?usp=sharing"",""น่าน!I79"")"),40)</f>
        <v>40</v>
      </c>
      <c r="Z19" s="81">
        <f ca="1">IFERROR(__xludf.DUMMYFUNCTION("IMPORTRANGE(""https://docs.google.com/spreadsheets/d/1gFVb7qd7amutrIxAAoM7lcy35hllxznovot8lyOfvDo/edit?usp=sharing"",""น่าน!J78"")"),1)</f>
        <v>1</v>
      </c>
      <c r="AA19" s="81">
        <f ca="1">IFERROR(__xludf.DUMMYFUNCTION("IMPORTRANGE(""https://docs.google.com/spreadsheets/d/1gFVb7qd7amutrIxAAoM7lcy35hllxznovot8lyOfvDo/edit?usp=sharing"",""น่าน!J79"")"),40)</f>
        <v>40</v>
      </c>
      <c r="AB19" s="77">
        <f ca="1">IFERROR(__xludf.DUMMYFUNCTION("IMPORTRANGE(""https://docs.google.com/spreadsheets/d/1gFVb7qd7amutrIxAAoM7lcy35hllxznovot8lyOfvDo/edit?usp=sharing"",""น่าน!I80"")"),0)</f>
        <v>0</v>
      </c>
      <c r="AC19" s="77">
        <f ca="1">IFERROR(__xludf.DUMMYFUNCTION("IMPORTRANGE(""https://docs.google.com/spreadsheets/d/1gFVb7qd7amutrIxAAoM7lcy35hllxznovot8lyOfvDo/edit?usp=sharing"",""น่าน!I81"")"),0)</f>
        <v>0</v>
      </c>
      <c r="AD19" s="81">
        <f ca="1">IFERROR(__xludf.DUMMYFUNCTION("IMPORTRANGE(""https://docs.google.com/spreadsheets/d/1gFVb7qd7amutrIxAAoM7lcy35hllxznovot8lyOfvDo/edit?usp=sharing"",""น่าน!J80"")"),0)</f>
        <v>0</v>
      </c>
      <c r="AE19" s="81">
        <f ca="1">IFERROR(__xludf.DUMMYFUNCTION("IMPORTRANGE(""https://docs.google.com/spreadsheets/d/1gFVb7qd7amutrIxAAoM7lcy35hllxznovot8lyOfvDo/edit?usp=sharing"",""น่าน!J81"")"),0)</f>
        <v>0</v>
      </c>
      <c r="AF19" s="77">
        <f ca="1">IFERROR(__xludf.DUMMYFUNCTION("IMPORTRANGE(""https://docs.google.com/spreadsheets/d/1gFVb7qd7amutrIxAAoM7lcy35hllxznovot8lyOfvDo/edit?usp=sharing"",""น่าน!I82"")"),0)</f>
        <v>0</v>
      </c>
      <c r="AG19" s="77">
        <f ca="1">IFERROR(__xludf.DUMMYFUNCTION("IMPORTRANGE(""https://docs.google.com/spreadsheets/d/1gFVb7qd7amutrIxAAoM7lcy35hllxznovot8lyOfvDo/edit?usp=sharing"",""น่าน!I83"")"),0)</f>
        <v>0</v>
      </c>
      <c r="AH19" s="81">
        <f ca="1">IFERROR(__xludf.DUMMYFUNCTION("IMPORTRANGE(""https://docs.google.com/spreadsheets/d/1gFVb7qd7amutrIxAAoM7lcy35hllxznovot8lyOfvDo/edit?usp=sharing"",""น่าน!J82"")"),0)</f>
        <v>0</v>
      </c>
      <c r="AI19" s="81">
        <f ca="1">IFERROR(__xludf.DUMMYFUNCTION("IMPORTRANGE(""https://docs.google.com/spreadsheets/d/1gFVb7qd7amutrIxAAoM7lcy35hllxznovot8lyOfvDo/edit?usp=sharing"",""น่าน!J83"")"),0)</f>
        <v>0</v>
      </c>
      <c r="AJ19" s="77">
        <f ca="1">IFERROR(__xludf.DUMMYFUNCTION("IMPORTRANGE(""https://docs.google.com/spreadsheets/d/1gFVb7qd7amutrIxAAoM7lcy35hllxznovot8lyOfvDo/edit?usp=sharing"",""น่าน!I84"")"),1)</f>
        <v>1</v>
      </c>
      <c r="AK19" s="81">
        <f ca="1">IFERROR(__xludf.DUMMYFUNCTION("IMPORTRANGE(""https://docs.google.com/spreadsheets/d/1gFVb7qd7amutrIxAAoM7lcy35hllxznovot8lyOfvDo/edit?usp=sharing"",""น่าน!J84"")"),1)</f>
        <v>1</v>
      </c>
      <c r="AL19" s="79">
        <f t="shared" ca="1" si="27"/>
        <v>100</v>
      </c>
    </row>
    <row r="20" spans="1:38" ht="24" customHeight="1" x14ac:dyDescent="0.2">
      <c r="A20" s="73">
        <v>7</v>
      </c>
      <c r="B20" s="74" t="s">
        <v>42</v>
      </c>
      <c r="C20" s="75">
        <f t="shared" ca="1" si="0"/>
        <v>384000</v>
      </c>
      <c r="D20" s="76">
        <f t="shared" ca="1" si="32"/>
        <v>384000</v>
      </c>
      <c r="E20" s="77">
        <f ca="1">IFERROR(__xludf.DUMMYFUNCTION("IMPORTRANGE(""https://docs.google.com/spreadsheets/d/1MeEWN-I1oV_STSDYn1IFDPWt_1FKiwhDph83XaGc0o0/edit?usp=sharing"",""งบพรบ!AH20"")"),0)</f>
        <v>0</v>
      </c>
      <c r="F20" s="77">
        <f ca="1">IFERROR(__xludf.DUMMYFUNCTION("IMPORTRANGE(""https://docs.google.com/spreadsheets/d/1MeEWN-I1oV_STSDYn1IFDPWt_1FKiwhDph83XaGc0o0/edit?usp=sharing"",""งบพรบ!AI20"")"),384000)</f>
        <v>384000</v>
      </c>
      <c r="G20" s="77">
        <f ca="1">IFERROR(__xludf.DUMMYFUNCTION("IMPORTRANGE(""https://docs.google.com/spreadsheets/d/1MeEWN-I1oV_STSDYn1IFDPWt_1FKiwhDph83XaGc0o0/edit?usp=sharing"",""งบพรบ!AJ20"")"),0)</f>
        <v>0</v>
      </c>
      <c r="H20" s="77">
        <f ca="1">IFERROR(__xludf.DUMMYFUNCTION("IMPORTRANGE(""https://docs.google.com/spreadsheets/d/1MeEWN-I1oV_STSDYn1IFDPWt_1FKiwhDph83XaGc0o0/edit?usp=sharing"",""งบพรบ!AL20"")"),384000)</f>
        <v>384000</v>
      </c>
      <c r="I20" s="77">
        <f ca="1">IFERROR(__xludf.DUMMYFUNCTION("IMPORTRANGE(""https://docs.google.com/spreadsheets/d/1MeEWN-I1oV_STSDYn1IFDPWt_1FKiwhDph83XaGc0o0/edit?usp=sharing"",""งบพรบ!AM20"")"),0)</f>
        <v>0</v>
      </c>
      <c r="J20" s="77">
        <f t="shared" ca="1" si="3"/>
        <v>324177.5</v>
      </c>
      <c r="K20" s="78">
        <f t="shared" ca="1" si="4"/>
        <v>84.421223958333329</v>
      </c>
      <c r="L20" s="77">
        <f ca="1">IFERROR(__xludf.DUMMYFUNCTION("IMPORTRANGE(""https://docs.google.com/spreadsheets/d/1MeEWN-I1oV_STSDYn1IFDPWt_1FKiwhDph83XaGc0o0/edit?usp=sharing"",""งบพรบ!AN20"")"),324177.5)</f>
        <v>324177.5</v>
      </c>
      <c r="M20" s="79">
        <f t="shared" ca="1" si="5"/>
        <v>84.421223958333329</v>
      </c>
      <c r="N20" s="79">
        <f t="shared" ca="1" si="6"/>
        <v>84.421223958333329</v>
      </c>
      <c r="O20" s="80">
        <f ca="1">IFERROR(__xludf.DUMMYFUNCTION("IMPORTRANGE(""https://docs.google.com/spreadsheets/d/1MeEWN-I1oV_STSDYn1IFDPWt_1FKiwhDph83XaGc0o0/edit?usp=sharing"",""งบพรบ!AO20"")"),0)</f>
        <v>0</v>
      </c>
      <c r="P20" s="80">
        <f t="shared" ca="1" si="29"/>
        <v>0</v>
      </c>
      <c r="Q20" s="79">
        <f t="shared" ca="1" si="8"/>
        <v>0</v>
      </c>
      <c r="R20" s="81">
        <f t="shared" ca="1" si="30"/>
        <v>1</v>
      </c>
      <c r="S20" s="81">
        <f t="shared" ca="1" si="24"/>
        <v>30</v>
      </c>
      <c r="T20" s="81">
        <f t="shared" ca="1" si="33"/>
        <v>1</v>
      </c>
      <c r="U20" s="82">
        <f t="shared" ca="1" si="25"/>
        <v>100</v>
      </c>
      <c r="V20" s="81">
        <f t="shared" ca="1" si="34"/>
        <v>30</v>
      </c>
      <c r="W20" s="82">
        <f t="shared" ca="1" si="26"/>
        <v>100</v>
      </c>
      <c r="X20" s="77">
        <f ca="1">IFERROR(__xludf.DUMMYFUNCTION("IMPORTRANGE(""https://docs.google.com/spreadsheets/d/1K0Aa9s-6EuHE5M0FG1F9aHLXRCOV917xvycTdLdct0w/edit?usp=sharing"",""พะเยา!I78"")"),0)</f>
        <v>0</v>
      </c>
      <c r="Y20" s="77">
        <f ca="1">IFERROR(__xludf.DUMMYFUNCTION("IMPORTRANGE(""https://docs.google.com/spreadsheets/d/1K0Aa9s-6EuHE5M0FG1F9aHLXRCOV917xvycTdLdct0w/edit?usp=sharing"",""พะเยา!I79"")"),0)</f>
        <v>0</v>
      </c>
      <c r="Z20" s="81">
        <f ca="1">IFERROR(__xludf.DUMMYFUNCTION("IMPORTRANGE(""https://docs.google.com/spreadsheets/d/1K0Aa9s-6EuHE5M0FG1F9aHLXRCOV917xvycTdLdct0w/edit?usp=sharing"",""พะเยา!J78"")"),0)</f>
        <v>0</v>
      </c>
      <c r="AA20" s="81">
        <f ca="1">IFERROR(__xludf.DUMMYFUNCTION("IMPORTRANGE(""https://docs.google.com/spreadsheets/d/1K0Aa9s-6EuHE5M0FG1F9aHLXRCOV917xvycTdLdct0w/edit?usp=sharing"",""พะเยา!J79"")"),0)</f>
        <v>0</v>
      </c>
      <c r="AB20" s="77">
        <f ca="1">IFERROR(__xludf.DUMMYFUNCTION("IMPORTRANGE(""https://docs.google.com/spreadsheets/d/1K0Aa9s-6EuHE5M0FG1F9aHLXRCOV917xvycTdLdct0w/edit?usp=sharing"",""พะเยา!I80"")"),1)</f>
        <v>1</v>
      </c>
      <c r="AC20" s="77">
        <f ca="1">IFERROR(__xludf.DUMMYFUNCTION("IMPORTRANGE(""https://docs.google.com/spreadsheets/d/1K0Aa9s-6EuHE5M0FG1F9aHLXRCOV917xvycTdLdct0w/edit?usp=sharing"",""พะเยา!I81"")"),30)</f>
        <v>30</v>
      </c>
      <c r="AD20" s="81">
        <f ca="1">IFERROR(__xludf.DUMMYFUNCTION("IMPORTRANGE(""https://docs.google.com/spreadsheets/d/1K0Aa9s-6EuHE5M0FG1F9aHLXRCOV917xvycTdLdct0w/edit?usp=sharing"",""พะเยา!J80"")"),1)</f>
        <v>1</v>
      </c>
      <c r="AE20" s="81">
        <f ca="1">IFERROR(__xludf.DUMMYFUNCTION("IMPORTRANGE(""https://docs.google.com/spreadsheets/d/1K0Aa9s-6EuHE5M0FG1F9aHLXRCOV917xvycTdLdct0w/edit?usp=sharing"",""พะเยา!J81"")"),30)</f>
        <v>30</v>
      </c>
      <c r="AF20" s="77">
        <f ca="1">IFERROR(__xludf.DUMMYFUNCTION("IMPORTRANGE(""https://docs.google.com/spreadsheets/d/1K0Aa9s-6EuHE5M0FG1F9aHLXRCOV917xvycTdLdct0w/edit?usp=sharing"",""พะเยา!I82"")"),0)</f>
        <v>0</v>
      </c>
      <c r="AG20" s="77">
        <f ca="1">IFERROR(__xludf.DUMMYFUNCTION("IMPORTRANGE(""https://docs.google.com/spreadsheets/d/1K0Aa9s-6EuHE5M0FG1F9aHLXRCOV917xvycTdLdct0w/edit?usp=sharing"",""พะเยา!I83"")"),0)</f>
        <v>0</v>
      </c>
      <c r="AH20" s="81">
        <f ca="1">IFERROR(__xludf.DUMMYFUNCTION("IMPORTRANGE(""https://docs.google.com/spreadsheets/d/1K0Aa9s-6EuHE5M0FG1F9aHLXRCOV917xvycTdLdct0w/edit?usp=sharing"",""พะเยา!J82"")"),0)</f>
        <v>0</v>
      </c>
      <c r="AI20" s="81">
        <f ca="1">IFERROR(__xludf.DUMMYFUNCTION("IMPORTRANGE(""https://docs.google.com/spreadsheets/d/1K0Aa9s-6EuHE5M0FG1F9aHLXRCOV917xvycTdLdct0w/edit?usp=sharing"",""พะเยา!J83"")"),0)</f>
        <v>0</v>
      </c>
      <c r="AJ20" s="77">
        <f ca="1">IFERROR(__xludf.DUMMYFUNCTION("IMPORTRANGE(""https://docs.google.com/spreadsheets/d/1K0Aa9s-6EuHE5M0FG1F9aHLXRCOV917xvycTdLdct0w/edit?usp=sharing"",""พะเยา!I84"")"),1)</f>
        <v>1</v>
      </c>
      <c r="AK20" s="81">
        <f ca="1">IFERROR(__xludf.DUMMYFUNCTION("IMPORTRANGE(""https://docs.google.com/spreadsheets/d/1K0Aa9s-6EuHE5M0FG1F9aHLXRCOV917xvycTdLdct0w/edit?usp=sharing"",""พะเยา!J84"")"),1)</f>
        <v>1</v>
      </c>
      <c r="AL20" s="79">
        <f t="shared" ca="1" si="27"/>
        <v>100</v>
      </c>
    </row>
    <row r="21" spans="1:38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32"/>
        <v>0</v>
      </c>
      <c r="E21" s="77">
        <f ca="1">IFERROR(__xludf.DUMMYFUNCTION("IMPORTRANGE(""https://docs.google.com/spreadsheets/d/1MeEWN-I1oV_STSDYn1IFDPWt_1FKiwhDph83XaGc0o0/edit?usp=sharing"",""งบพรบ!AH21"")"),0)</f>
        <v>0</v>
      </c>
      <c r="F21" s="77">
        <f ca="1">IFERROR(__xludf.DUMMYFUNCTION("IMPORTRANGE(""https://docs.google.com/spreadsheets/d/1MeEWN-I1oV_STSDYn1IFDPWt_1FKiwhDph83XaGc0o0/edit?usp=sharing"",""งบพรบ!AI21"")"),0)</f>
        <v>0</v>
      </c>
      <c r="G21" s="77">
        <f ca="1">IFERROR(__xludf.DUMMYFUNCTION("IMPORTRANGE(""https://docs.google.com/spreadsheets/d/1MeEWN-I1oV_STSDYn1IFDPWt_1FKiwhDph83XaGc0o0/edit?usp=sharing"",""งบพรบ!AJ21"")"),0)</f>
        <v>0</v>
      </c>
      <c r="H21" s="77">
        <f ca="1">IFERROR(__xludf.DUMMYFUNCTION("IMPORTRANGE(""https://docs.google.com/spreadsheets/d/1MeEWN-I1oV_STSDYn1IFDPWt_1FKiwhDph83XaGc0o0/edit?usp=sharing"",""งบพรบ!AL21"")"),0)</f>
        <v>0</v>
      </c>
      <c r="I21" s="77">
        <f ca="1">IFERROR(__xludf.DUMMYFUNCTION("IMPORTRANGE(""https://docs.google.com/spreadsheets/d/1MeEWN-I1oV_STSDYn1IFDPWt_1FKiwhDph83XaGc0o0/edit?usp=sharing"",""งบพรบ!AM21"")"),0)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IFERROR(__xludf.DUMMYFUNCTION("IMPORTRANGE(""https://docs.google.com/spreadsheets/d/1MeEWN-I1oV_STSDYn1IFDPWt_1FKiwhDph83XaGc0o0/edit?usp=sharing"",""งบพรบ!AN21"")"),0)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IFERROR(__xludf.DUMMYFUNCTION("IMPORTRANGE(""https://docs.google.com/spreadsheets/d/1MeEWN-I1oV_STSDYn1IFDPWt_1FKiwhDph83XaGc0o0/edit?usp=sharing"",""งบพรบ!AO21"")"),0)</f>
        <v>0</v>
      </c>
      <c r="P21" s="80">
        <f t="shared" ca="1" si="29"/>
        <v>0</v>
      </c>
      <c r="Q21" s="79">
        <f t="shared" ca="1" si="8"/>
        <v>0</v>
      </c>
      <c r="R21" s="81">
        <f t="shared" ca="1" si="30"/>
        <v>0</v>
      </c>
      <c r="S21" s="81">
        <f t="shared" ca="1" si="24"/>
        <v>0</v>
      </c>
      <c r="T21" s="81">
        <f t="shared" ca="1" si="33"/>
        <v>0</v>
      </c>
      <c r="U21" s="82">
        <f t="shared" ca="1" si="25"/>
        <v>0</v>
      </c>
      <c r="V21" s="81">
        <f t="shared" ca="1" si="34"/>
        <v>0</v>
      </c>
      <c r="W21" s="82">
        <f t="shared" ca="1" si="26"/>
        <v>0</v>
      </c>
      <c r="X21" s="77">
        <f ca="1">IFERROR(__xludf.DUMMYFUNCTION("IMPORTRANGE(""https://docs.google.com/spreadsheets/d/1Y9LPKx95PyL5OKy09d-KbKJSuuEZCFdkhYjwC0XQjBA/edit?usp=sharing"",""พิจิตร!I78"")"),0)</f>
        <v>0</v>
      </c>
      <c r="Y21" s="77">
        <f ca="1">IFERROR(__xludf.DUMMYFUNCTION("IMPORTRANGE(""https://docs.google.com/spreadsheets/d/1Y9LPKx95PyL5OKy09d-KbKJSuuEZCFdkhYjwC0XQjBA/edit?usp=sharing"",""พิจิตร!I79"")"),0)</f>
        <v>0</v>
      </c>
      <c r="Z21" s="81">
        <f ca="1">IFERROR(__xludf.DUMMYFUNCTION("IMPORTRANGE(""https://docs.google.com/spreadsheets/d/1Y9LPKx95PyL5OKy09d-KbKJSuuEZCFdkhYjwC0XQjBA/edit?usp=sharing"",""พิจิตร!J78"")"),0)</f>
        <v>0</v>
      </c>
      <c r="AA21" s="81">
        <f ca="1">IFERROR(__xludf.DUMMYFUNCTION("IMPORTRANGE(""https://docs.google.com/spreadsheets/d/1Y9LPKx95PyL5OKy09d-KbKJSuuEZCFdkhYjwC0XQjBA/edit?usp=sharing"",""พิจิตร!J79"")"),0)</f>
        <v>0</v>
      </c>
      <c r="AB21" s="77">
        <f ca="1">IFERROR(__xludf.DUMMYFUNCTION("IMPORTRANGE(""https://docs.google.com/spreadsheets/d/1Y9LPKx95PyL5OKy09d-KbKJSuuEZCFdkhYjwC0XQjBA/edit?usp=sharing"",""พิจิตร!I80"")"),0)</f>
        <v>0</v>
      </c>
      <c r="AC21" s="77">
        <f ca="1">IFERROR(__xludf.DUMMYFUNCTION("IMPORTRANGE(""https://docs.google.com/spreadsheets/d/1Y9LPKx95PyL5OKy09d-KbKJSuuEZCFdkhYjwC0XQjBA/edit?usp=sharing"",""พิจิตร!I81"")"),0)</f>
        <v>0</v>
      </c>
      <c r="AD21" s="81">
        <f ca="1">IFERROR(__xludf.DUMMYFUNCTION("IMPORTRANGE(""https://docs.google.com/spreadsheets/d/1Y9LPKx95PyL5OKy09d-KbKJSuuEZCFdkhYjwC0XQjBA/edit?usp=sharing"",""พิจิตร!J80"")"),0)</f>
        <v>0</v>
      </c>
      <c r="AE21" s="81">
        <f ca="1">IFERROR(__xludf.DUMMYFUNCTION("IMPORTRANGE(""https://docs.google.com/spreadsheets/d/1Y9LPKx95PyL5OKy09d-KbKJSuuEZCFdkhYjwC0XQjBA/edit?usp=sharing"",""พิจิตร!J81"")"),0)</f>
        <v>0</v>
      </c>
      <c r="AF21" s="77">
        <f ca="1">IFERROR(__xludf.DUMMYFUNCTION("IMPORTRANGE(""https://docs.google.com/spreadsheets/d/1Y9LPKx95PyL5OKy09d-KbKJSuuEZCFdkhYjwC0XQjBA/edit?usp=sharing"",""พิจิตร!I82"")"),0)</f>
        <v>0</v>
      </c>
      <c r="AG21" s="77">
        <f ca="1">IFERROR(__xludf.DUMMYFUNCTION("IMPORTRANGE(""https://docs.google.com/spreadsheets/d/1Y9LPKx95PyL5OKy09d-KbKJSuuEZCFdkhYjwC0XQjBA/edit?usp=sharing"",""พิจิตร!I83"")"),0)</f>
        <v>0</v>
      </c>
      <c r="AH21" s="81">
        <f ca="1">IFERROR(__xludf.DUMMYFUNCTION("IMPORTRANGE(""https://docs.google.com/spreadsheets/d/1Y9LPKx95PyL5OKy09d-KbKJSuuEZCFdkhYjwC0XQjBA/edit?usp=sharing"",""พิจิตร!J82"")"),0)</f>
        <v>0</v>
      </c>
      <c r="AI21" s="81">
        <f ca="1">IFERROR(__xludf.DUMMYFUNCTION("IMPORTRANGE(""https://docs.google.com/spreadsheets/d/1Y9LPKx95PyL5OKy09d-KbKJSuuEZCFdkhYjwC0XQjBA/edit?usp=sharing"",""พิจิตร!J83"")"),0)</f>
        <v>0</v>
      </c>
      <c r="AJ21" s="77">
        <f ca="1">IFERROR(__xludf.DUMMYFUNCTION("IMPORTRANGE(""https://docs.google.com/spreadsheets/d/1Y9LPKx95PyL5OKy09d-KbKJSuuEZCFdkhYjwC0XQjBA/edit?usp=sharing"",""พิจิตร!I84"")"),0)</f>
        <v>0</v>
      </c>
      <c r="AK21" s="81">
        <f ca="1">IFERROR(__xludf.DUMMYFUNCTION("IMPORTRANGE(""https://docs.google.com/spreadsheets/d/1Y9LPKx95PyL5OKy09d-KbKJSuuEZCFdkhYjwC0XQjBA/edit?usp=sharing"",""พิจิตร!J84"")"),0)</f>
        <v>0</v>
      </c>
      <c r="AL21" s="79">
        <f t="shared" ca="1" si="27"/>
        <v>0</v>
      </c>
    </row>
    <row r="22" spans="1:38" ht="24" customHeight="1" x14ac:dyDescent="0.2">
      <c r="A22" s="73">
        <v>9</v>
      </c>
      <c r="B22" s="74" t="s">
        <v>44</v>
      </c>
      <c r="C22" s="75">
        <f t="shared" ca="1" si="0"/>
        <v>1116400</v>
      </c>
      <c r="D22" s="76">
        <f t="shared" ca="1" si="32"/>
        <v>1116400</v>
      </c>
      <c r="E22" s="77">
        <f ca="1">IFERROR(__xludf.DUMMYFUNCTION("IMPORTRANGE(""https://docs.google.com/spreadsheets/d/1MeEWN-I1oV_STSDYn1IFDPWt_1FKiwhDph83XaGc0o0/edit?usp=sharing"",""งบพรบ!AH22"")"),392400)</f>
        <v>392400</v>
      </c>
      <c r="F22" s="77">
        <f ca="1">IFERROR(__xludf.DUMMYFUNCTION("IMPORTRANGE(""https://docs.google.com/spreadsheets/d/1MeEWN-I1oV_STSDYn1IFDPWt_1FKiwhDph83XaGc0o0/edit?usp=sharing"",""งบพรบ!AI22"")"),724000)</f>
        <v>724000</v>
      </c>
      <c r="G22" s="77">
        <f ca="1">IFERROR(__xludf.DUMMYFUNCTION("IMPORTRANGE(""https://docs.google.com/spreadsheets/d/1MeEWN-I1oV_STSDYn1IFDPWt_1FKiwhDph83XaGc0o0/edit?usp=sharing"",""งบพรบ!AJ22"")"),0)</f>
        <v>0</v>
      </c>
      <c r="H22" s="77">
        <f ca="1">IFERROR(__xludf.DUMMYFUNCTION("IMPORTRANGE(""https://docs.google.com/spreadsheets/d/1MeEWN-I1oV_STSDYn1IFDPWt_1FKiwhDph83XaGc0o0/edit?usp=sharing"",""งบพรบ!AL22"")"),1136210)</f>
        <v>1136210</v>
      </c>
      <c r="I22" s="77">
        <f ca="1">IFERROR(__xludf.DUMMYFUNCTION("IMPORTRANGE(""https://docs.google.com/spreadsheets/d/1MeEWN-I1oV_STSDYn1IFDPWt_1FKiwhDph83XaGc0o0/edit?usp=sharing"",""งบพรบ!AM22"")"),0)</f>
        <v>0</v>
      </c>
      <c r="J22" s="77">
        <f t="shared" ca="1" si="3"/>
        <v>1069822.1200000001</v>
      </c>
      <c r="K22" s="78">
        <f t="shared" ca="1" si="4"/>
        <v>95.82785023289145</v>
      </c>
      <c r="L22" s="77">
        <f ca="1">IFERROR(__xludf.DUMMYFUNCTION("IMPORTRANGE(""https://docs.google.com/spreadsheets/d/1MeEWN-I1oV_STSDYn1IFDPWt_1FKiwhDph83XaGc0o0/edit?usp=sharing"",""งบพรบ!AN22"")"),1069822.12)</f>
        <v>1069822.1200000001</v>
      </c>
      <c r="M22" s="79">
        <f t="shared" ca="1" si="5"/>
        <v>95.82785023289145</v>
      </c>
      <c r="N22" s="79">
        <f t="shared" ca="1" si="6"/>
        <v>94.1570765967559</v>
      </c>
      <c r="O22" s="80">
        <f ca="1">IFERROR(__xludf.DUMMYFUNCTION("IMPORTRANGE(""https://docs.google.com/spreadsheets/d/1MeEWN-I1oV_STSDYn1IFDPWt_1FKiwhDph83XaGc0o0/edit?usp=sharing"",""งบพรบ!AO22"")"),0)</f>
        <v>0</v>
      </c>
      <c r="P22" s="80">
        <f t="shared" ca="1" si="29"/>
        <v>0</v>
      </c>
      <c r="Q22" s="79">
        <f t="shared" ca="1" si="8"/>
        <v>0</v>
      </c>
      <c r="R22" s="81">
        <f t="shared" ca="1" si="30"/>
        <v>2</v>
      </c>
      <c r="S22" s="81">
        <f t="shared" ca="1" si="24"/>
        <v>80</v>
      </c>
      <c r="T22" s="81">
        <f t="shared" ca="1" si="33"/>
        <v>2</v>
      </c>
      <c r="U22" s="82">
        <f t="shared" ca="1" si="25"/>
        <v>100</v>
      </c>
      <c r="V22" s="81">
        <f t="shared" ca="1" si="34"/>
        <v>80</v>
      </c>
      <c r="W22" s="82">
        <f t="shared" ca="1" si="26"/>
        <v>100</v>
      </c>
      <c r="X22" s="77">
        <f ca="1">IFERROR(__xludf.DUMMYFUNCTION("IMPORTRANGE(""https://docs.google.com/spreadsheets/d/16OMuOwy2eVqZcYWOouQtTpa8X1L23h4660uVHc0C8os/edit?usp=sharing"",""พิษณุโลก!I78"")"),2)</f>
        <v>2</v>
      </c>
      <c r="Y22" s="77">
        <f ca="1">IFERROR(__xludf.DUMMYFUNCTION("IMPORTRANGE(""https://docs.google.com/spreadsheets/d/16OMuOwy2eVqZcYWOouQtTpa8X1L23h4660uVHc0C8os/edit?usp=sharing"",""พิษณุโลก!I79"")"),80)</f>
        <v>80</v>
      </c>
      <c r="Z22" s="81">
        <f ca="1">IFERROR(__xludf.DUMMYFUNCTION("IMPORTRANGE(""https://docs.google.com/spreadsheets/d/16OMuOwy2eVqZcYWOouQtTpa8X1L23h4660uVHc0C8os/edit?usp=sharing"",""พิษณุโลก!J78"")"),2)</f>
        <v>2</v>
      </c>
      <c r="AA22" s="81">
        <f ca="1">IFERROR(__xludf.DUMMYFUNCTION("IMPORTRANGE(""https://docs.google.com/spreadsheets/d/16OMuOwy2eVqZcYWOouQtTpa8X1L23h4660uVHc0C8os/edit?usp=sharing"",""พิษณุโลก!J79"")"),80)</f>
        <v>80</v>
      </c>
      <c r="AB22" s="77">
        <f ca="1">IFERROR(__xludf.DUMMYFUNCTION("IMPORTRANGE(""https://docs.google.com/spreadsheets/d/16OMuOwy2eVqZcYWOouQtTpa8X1L23h4660uVHc0C8os/edit?usp=sharing"",""พิษณุโลก!I80"")"),0)</f>
        <v>0</v>
      </c>
      <c r="AC22" s="77">
        <f ca="1">IFERROR(__xludf.DUMMYFUNCTION("IMPORTRANGE(""https://docs.google.com/spreadsheets/d/16OMuOwy2eVqZcYWOouQtTpa8X1L23h4660uVHc0C8os/edit?usp=sharing"",""พิษณุโลก!I81"")"),0)</f>
        <v>0</v>
      </c>
      <c r="AD22" s="81">
        <f ca="1">IFERROR(__xludf.DUMMYFUNCTION("IMPORTRANGE(""https://docs.google.com/spreadsheets/d/16OMuOwy2eVqZcYWOouQtTpa8X1L23h4660uVHc0C8os/edit?usp=sharing"",""พิษณุโลก!J80"")"),0)</f>
        <v>0</v>
      </c>
      <c r="AE22" s="81">
        <f ca="1">IFERROR(__xludf.DUMMYFUNCTION("IMPORTRANGE(""https://docs.google.com/spreadsheets/d/16OMuOwy2eVqZcYWOouQtTpa8X1L23h4660uVHc0C8os/edit?usp=sharing"",""พิษณุโลก!J81"")"),0)</f>
        <v>0</v>
      </c>
      <c r="AF22" s="77">
        <f ca="1">IFERROR(__xludf.DUMMYFUNCTION("IMPORTRANGE(""https://docs.google.com/spreadsheets/d/16OMuOwy2eVqZcYWOouQtTpa8X1L23h4660uVHc0C8os/edit?usp=sharing"",""พิษณุโลก!I82"")"),0)</f>
        <v>0</v>
      </c>
      <c r="AG22" s="77">
        <f ca="1">IFERROR(__xludf.DUMMYFUNCTION("IMPORTRANGE(""https://docs.google.com/spreadsheets/d/16OMuOwy2eVqZcYWOouQtTpa8X1L23h4660uVHc0C8os/edit?usp=sharing"",""พิษณุโลก!I83"")"),0)</f>
        <v>0</v>
      </c>
      <c r="AH22" s="81">
        <f ca="1">IFERROR(__xludf.DUMMYFUNCTION("IMPORTRANGE(""https://docs.google.com/spreadsheets/d/16OMuOwy2eVqZcYWOouQtTpa8X1L23h4660uVHc0C8os/edit?usp=sharing"",""พิษณุโลก!J82"")"),0)</f>
        <v>0</v>
      </c>
      <c r="AI22" s="81">
        <f ca="1">IFERROR(__xludf.DUMMYFUNCTION("IMPORTRANGE(""https://docs.google.com/spreadsheets/d/16OMuOwy2eVqZcYWOouQtTpa8X1L23h4660uVHc0C8os/edit?usp=sharing"",""พิษณุโลก!J83"")"),0)</f>
        <v>0</v>
      </c>
      <c r="AJ22" s="77">
        <f ca="1">IFERROR(__xludf.DUMMYFUNCTION("IMPORTRANGE(""https://docs.google.com/spreadsheets/d/16OMuOwy2eVqZcYWOouQtTpa8X1L23h4660uVHc0C8os/edit?usp=sharing"",""พิษณุโลก!I84"")"),2)</f>
        <v>2</v>
      </c>
      <c r="AK22" s="81">
        <f ca="1">IFERROR(__xludf.DUMMYFUNCTION("IMPORTRANGE(""https://docs.google.com/spreadsheets/d/16OMuOwy2eVqZcYWOouQtTpa8X1L23h4660uVHc0C8os/edit?usp=sharing"",""พิษณุโลก!J84"")"),2)</f>
        <v>2</v>
      </c>
      <c r="AL22" s="79">
        <f t="shared" ca="1" si="27"/>
        <v>100</v>
      </c>
    </row>
    <row r="23" spans="1:38" ht="24" customHeight="1" x14ac:dyDescent="0.2">
      <c r="A23" s="73">
        <v>10</v>
      </c>
      <c r="B23" s="74" t="s">
        <v>45</v>
      </c>
      <c r="C23" s="75">
        <f t="shared" ca="1" si="0"/>
        <v>640000</v>
      </c>
      <c r="D23" s="76">
        <f t="shared" ca="1" si="32"/>
        <v>640000</v>
      </c>
      <c r="E23" s="77">
        <f ca="1">IFERROR(__xludf.DUMMYFUNCTION("IMPORTRANGE(""https://docs.google.com/spreadsheets/d/1MeEWN-I1oV_STSDYn1IFDPWt_1FKiwhDph83XaGc0o0/edit?usp=sharing"",""งบพรบ!AH23"")"),228000)</f>
        <v>228000</v>
      </c>
      <c r="F23" s="77">
        <f ca="1">IFERROR(__xludf.DUMMYFUNCTION("IMPORTRANGE(""https://docs.google.com/spreadsheets/d/1MeEWN-I1oV_STSDYn1IFDPWt_1FKiwhDph83XaGc0o0/edit?usp=sharing"",""งบพรบ!AI23"")"),412000)</f>
        <v>412000</v>
      </c>
      <c r="G23" s="77">
        <f ca="1">IFERROR(__xludf.DUMMYFUNCTION("IMPORTRANGE(""https://docs.google.com/spreadsheets/d/1MeEWN-I1oV_STSDYn1IFDPWt_1FKiwhDph83XaGc0o0/edit?usp=sharing"",""งบพรบ!AJ23"")"),0)</f>
        <v>0</v>
      </c>
      <c r="H23" s="77">
        <f ca="1">IFERROR(__xludf.DUMMYFUNCTION("IMPORTRANGE(""https://docs.google.com/spreadsheets/d/1MeEWN-I1oV_STSDYn1IFDPWt_1FKiwhDph83XaGc0o0/edit?usp=sharing"",""งบพรบ!AL23"")"),640000)</f>
        <v>640000</v>
      </c>
      <c r="I23" s="77">
        <f ca="1">IFERROR(__xludf.DUMMYFUNCTION("IMPORTRANGE(""https://docs.google.com/spreadsheets/d/1MeEWN-I1oV_STSDYn1IFDPWt_1FKiwhDph83XaGc0o0/edit?usp=sharing"",""งบพรบ!AM23"")"),0)</f>
        <v>0</v>
      </c>
      <c r="J23" s="77">
        <f t="shared" ca="1" si="3"/>
        <v>564940.94999999995</v>
      </c>
      <c r="K23" s="78">
        <f t="shared" ca="1" si="4"/>
        <v>88.272023437499982</v>
      </c>
      <c r="L23" s="77">
        <f ca="1">IFERROR(__xludf.DUMMYFUNCTION("IMPORTRANGE(""https://docs.google.com/spreadsheets/d/1MeEWN-I1oV_STSDYn1IFDPWt_1FKiwhDph83XaGc0o0/edit?usp=sharing"",""งบพรบ!AN23"")"),564940.95)</f>
        <v>564940.94999999995</v>
      </c>
      <c r="M23" s="79">
        <f t="shared" ca="1" si="5"/>
        <v>88.272023437499982</v>
      </c>
      <c r="N23" s="79">
        <f t="shared" ca="1" si="6"/>
        <v>88.272023437499982</v>
      </c>
      <c r="O23" s="80">
        <f ca="1">IFERROR(__xludf.DUMMYFUNCTION("IMPORTRANGE(""https://docs.google.com/spreadsheets/d/1MeEWN-I1oV_STSDYn1IFDPWt_1FKiwhDph83XaGc0o0/edit?usp=sharing"",""งบพรบ!AO23"")"),0)</f>
        <v>0</v>
      </c>
      <c r="P23" s="80">
        <f t="shared" ca="1" si="29"/>
        <v>0</v>
      </c>
      <c r="Q23" s="79">
        <f t="shared" ca="1" si="8"/>
        <v>0</v>
      </c>
      <c r="R23" s="81">
        <f t="shared" ca="1" si="30"/>
        <v>1</v>
      </c>
      <c r="S23" s="81">
        <f t="shared" ca="1" si="24"/>
        <v>35</v>
      </c>
      <c r="T23" s="81">
        <f t="shared" ca="1" si="33"/>
        <v>1</v>
      </c>
      <c r="U23" s="82">
        <f t="shared" ca="1" si="25"/>
        <v>100</v>
      </c>
      <c r="V23" s="81">
        <f t="shared" ca="1" si="34"/>
        <v>35</v>
      </c>
      <c r="W23" s="82">
        <f t="shared" ca="1" si="26"/>
        <v>100</v>
      </c>
      <c r="X23" s="77">
        <f ca="1">IFERROR(__xludf.DUMMYFUNCTION("IMPORTRANGE(""https://docs.google.com/spreadsheets/d/1GfgTldLG6k77HXaMQzaafODklYuucJZQNs_GAPEfZyY/edit?usp=sharing"",""เพชรบูรณ์!I78"")"),0)</f>
        <v>0</v>
      </c>
      <c r="Y23" s="77">
        <f ca="1">IFERROR(__xludf.DUMMYFUNCTION("IMPORTRANGE(""https://docs.google.com/spreadsheets/d/1GfgTldLG6k77HXaMQzaafODklYuucJZQNs_GAPEfZyY/edit?usp=sharing"",""เพชรบูรณ์!I79"")"),0)</f>
        <v>0</v>
      </c>
      <c r="Z23" s="81">
        <f ca="1">IFERROR(__xludf.DUMMYFUNCTION("IMPORTRANGE(""https://docs.google.com/spreadsheets/d/1GfgTldLG6k77HXaMQzaafODklYuucJZQNs_GAPEfZyY/edit?usp=sharing"",""เพชรบูรณ์!J78"")"),0)</f>
        <v>0</v>
      </c>
      <c r="AA23" s="81">
        <f ca="1">IFERROR(__xludf.DUMMYFUNCTION("IMPORTRANGE(""https://docs.google.com/spreadsheets/d/1GfgTldLG6k77HXaMQzaafODklYuucJZQNs_GAPEfZyY/edit?usp=sharing"",""เพชรบูรณ์!J79"")"),0)</f>
        <v>0</v>
      </c>
      <c r="AB23" s="77">
        <f ca="1">IFERROR(__xludf.DUMMYFUNCTION("IMPORTRANGE(""https://docs.google.com/spreadsheets/d/1GfgTldLG6k77HXaMQzaafODklYuucJZQNs_GAPEfZyY/edit?usp=sharing"",""เพชรบูรณ์!I80"")"),0)</f>
        <v>0</v>
      </c>
      <c r="AC23" s="77">
        <f ca="1">IFERROR(__xludf.DUMMYFUNCTION("IMPORTRANGE(""https://docs.google.com/spreadsheets/d/1GfgTldLG6k77HXaMQzaafODklYuucJZQNs_GAPEfZyY/edit?usp=sharing"",""เพชรบูรณ์!I81"")"),0)</f>
        <v>0</v>
      </c>
      <c r="AD23" s="81">
        <f ca="1">IFERROR(__xludf.DUMMYFUNCTION("IMPORTRANGE(""https://docs.google.com/spreadsheets/d/1GfgTldLG6k77HXaMQzaafODklYuucJZQNs_GAPEfZyY/edit?usp=sharing"",""เพชรบูรณ์!J80"")"),0)</f>
        <v>0</v>
      </c>
      <c r="AE23" s="81">
        <f ca="1">IFERROR(__xludf.DUMMYFUNCTION("IMPORTRANGE(""https://docs.google.com/spreadsheets/d/1GfgTldLG6k77HXaMQzaafODklYuucJZQNs_GAPEfZyY/edit?usp=sharing"",""เพชรบูรณ์!J81"")"),0)</f>
        <v>0</v>
      </c>
      <c r="AF23" s="77">
        <f ca="1">IFERROR(__xludf.DUMMYFUNCTION("IMPORTRANGE(""https://docs.google.com/spreadsheets/d/1GfgTldLG6k77HXaMQzaafODklYuucJZQNs_GAPEfZyY/edit?usp=sharing"",""เพชรบูรณ์!I82"")"),1)</f>
        <v>1</v>
      </c>
      <c r="AG23" s="77">
        <f ca="1">IFERROR(__xludf.DUMMYFUNCTION("IMPORTRANGE(""https://docs.google.com/spreadsheets/d/1GfgTldLG6k77HXaMQzaafODklYuucJZQNs_GAPEfZyY/edit?usp=sharing"",""เพชรบูรณ์!I83"")"),35)</f>
        <v>35</v>
      </c>
      <c r="AH23" s="81">
        <f ca="1">IFERROR(__xludf.DUMMYFUNCTION("IMPORTRANGE(""https://docs.google.com/spreadsheets/d/1GfgTldLG6k77HXaMQzaafODklYuucJZQNs_GAPEfZyY/edit?usp=sharing"",""เพชรบูรณ์!J82"")"),1)</f>
        <v>1</v>
      </c>
      <c r="AI23" s="81">
        <f ca="1">IFERROR(__xludf.DUMMYFUNCTION("IMPORTRANGE(""https://docs.google.com/spreadsheets/d/1GfgTldLG6k77HXaMQzaafODklYuucJZQNs_GAPEfZyY/edit?usp=sharing"",""เพชรบูรณ์!J83"")"),35)</f>
        <v>35</v>
      </c>
      <c r="AJ23" s="77">
        <f ca="1">IFERROR(__xludf.DUMMYFUNCTION("IMPORTRANGE(""https://docs.google.com/spreadsheets/d/1GfgTldLG6k77HXaMQzaafODklYuucJZQNs_GAPEfZyY/edit?usp=sharing"",""เพชรบูรณ์!I84"")"),1)</f>
        <v>1</v>
      </c>
      <c r="AK23" s="81">
        <f ca="1">IFERROR(__xludf.DUMMYFUNCTION("IMPORTRANGE(""https://docs.google.com/spreadsheets/d/1GfgTldLG6k77HXaMQzaafODklYuucJZQNs_GAPEfZyY/edit?usp=sharing"",""เพชรบูรณ์!J84"")"),0)</f>
        <v>0</v>
      </c>
      <c r="AL23" s="79">
        <f t="shared" ca="1" si="27"/>
        <v>0</v>
      </c>
    </row>
    <row r="24" spans="1:38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32"/>
        <v>0</v>
      </c>
      <c r="E24" s="77">
        <f ca="1">IFERROR(__xludf.DUMMYFUNCTION("IMPORTRANGE(""https://docs.google.com/spreadsheets/d/1MeEWN-I1oV_STSDYn1IFDPWt_1FKiwhDph83XaGc0o0/edit?usp=sharing"",""งบพรบ!AH24"")"),0)</f>
        <v>0</v>
      </c>
      <c r="F24" s="77">
        <f ca="1">IFERROR(__xludf.DUMMYFUNCTION("IMPORTRANGE(""https://docs.google.com/spreadsheets/d/1MeEWN-I1oV_STSDYn1IFDPWt_1FKiwhDph83XaGc0o0/edit?usp=sharing"",""งบพรบ!AI24"")"),0)</f>
        <v>0</v>
      </c>
      <c r="G24" s="77">
        <f ca="1">IFERROR(__xludf.DUMMYFUNCTION("IMPORTRANGE(""https://docs.google.com/spreadsheets/d/1MeEWN-I1oV_STSDYn1IFDPWt_1FKiwhDph83XaGc0o0/edit?usp=sharing"",""งบพรบ!AJ24"")"),0)</f>
        <v>0</v>
      </c>
      <c r="H24" s="77">
        <f ca="1">IFERROR(__xludf.DUMMYFUNCTION("IMPORTRANGE(""https://docs.google.com/spreadsheets/d/1MeEWN-I1oV_STSDYn1IFDPWt_1FKiwhDph83XaGc0o0/edit?usp=sharing"",""งบพรบ!AL24"")"),0)</f>
        <v>0</v>
      </c>
      <c r="I24" s="77">
        <f ca="1">IFERROR(__xludf.DUMMYFUNCTION("IMPORTRANGE(""https://docs.google.com/spreadsheets/d/1MeEWN-I1oV_STSDYn1IFDPWt_1FKiwhDph83XaGc0o0/edit?usp=sharing"",""งบพรบ!AM24"")"),0)</f>
        <v>0</v>
      </c>
      <c r="J24" s="77">
        <f t="shared" ca="1" si="3"/>
        <v>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IFERROR(__xludf.DUMMYFUNCTION("IMPORTRANGE(""https://docs.google.com/spreadsheets/d/1MeEWN-I1oV_STSDYn1IFDPWt_1FKiwhDph83XaGc0o0/edit?usp=sharing"",""งบพรบ!AN24"")"),0)</f>
        <v>0</v>
      </c>
      <c r="M24" s="79">
        <f t="shared" ca="1" si="5"/>
        <v>0</v>
      </c>
      <c r="N24" s="79">
        <f t="shared" ca="1" si="6"/>
        <v>0</v>
      </c>
      <c r="O24" s="80">
        <f ca="1">IFERROR(__xludf.DUMMYFUNCTION("IMPORTRANGE(""https://docs.google.com/spreadsheets/d/1MeEWN-I1oV_STSDYn1IFDPWt_1FKiwhDph83XaGc0o0/edit?usp=sharing"",""งบพรบ!AO24"")"),0)</f>
        <v>0</v>
      </c>
      <c r="P24" s="80">
        <f t="shared" ca="1" si="29"/>
        <v>0</v>
      </c>
      <c r="Q24" s="79">
        <f t="shared" ca="1" si="8"/>
        <v>0</v>
      </c>
      <c r="R24" s="81">
        <f t="shared" ca="1" si="30"/>
        <v>0</v>
      </c>
      <c r="S24" s="81">
        <f t="shared" ca="1" si="24"/>
        <v>0</v>
      </c>
      <c r="T24" s="81">
        <f t="shared" ca="1" si="33"/>
        <v>0</v>
      </c>
      <c r="U24" s="82">
        <f t="shared" ca="1" si="25"/>
        <v>0</v>
      </c>
      <c r="V24" s="81">
        <f t="shared" ca="1" si="34"/>
        <v>0</v>
      </c>
      <c r="W24" s="82">
        <f t="shared" ca="1" si="26"/>
        <v>0</v>
      </c>
      <c r="X24" s="77">
        <f ca="1">IFERROR(__xludf.DUMMYFUNCTION("IMPORTRANGE(""https://docs.google.com/spreadsheets/d/1gvTMYAnm7v1yG1BKWFtr0DnaTsq59oW9dwWvFgq6hs0/edit?usp=sharing"",""แพร่!I78"")"),0)</f>
        <v>0</v>
      </c>
      <c r="Y24" s="77">
        <f ca="1">IFERROR(__xludf.DUMMYFUNCTION("IMPORTRANGE(""https://docs.google.com/spreadsheets/d/1gvTMYAnm7v1yG1BKWFtr0DnaTsq59oW9dwWvFgq6hs0/edit?usp=sharing"",""แพร่!I79"")"),0)</f>
        <v>0</v>
      </c>
      <c r="Z24" s="81">
        <f ca="1">IFERROR(__xludf.DUMMYFUNCTION("IMPORTRANGE(""https://docs.google.com/spreadsheets/d/1gvTMYAnm7v1yG1BKWFtr0DnaTsq59oW9dwWvFgq6hs0/edit?usp=sharing"",""แพร่!J78"")"),0)</f>
        <v>0</v>
      </c>
      <c r="AA24" s="81">
        <f ca="1">IFERROR(__xludf.DUMMYFUNCTION("IMPORTRANGE(""https://docs.google.com/spreadsheets/d/1gvTMYAnm7v1yG1BKWFtr0DnaTsq59oW9dwWvFgq6hs0/edit?usp=sharing"",""แพร่!J79"")"),0)</f>
        <v>0</v>
      </c>
      <c r="AB24" s="77">
        <f ca="1">IFERROR(__xludf.DUMMYFUNCTION("IMPORTRANGE(""https://docs.google.com/spreadsheets/d/1gvTMYAnm7v1yG1BKWFtr0DnaTsq59oW9dwWvFgq6hs0/edit?usp=sharing"",""แพร่!I80"")"),0)</f>
        <v>0</v>
      </c>
      <c r="AC24" s="77">
        <f ca="1">IFERROR(__xludf.DUMMYFUNCTION("IMPORTRANGE(""https://docs.google.com/spreadsheets/d/1gvTMYAnm7v1yG1BKWFtr0DnaTsq59oW9dwWvFgq6hs0/edit?usp=sharing"",""แพร่!I81"")"),0)</f>
        <v>0</v>
      </c>
      <c r="AD24" s="81">
        <f ca="1">IFERROR(__xludf.DUMMYFUNCTION("IMPORTRANGE(""https://docs.google.com/spreadsheets/d/1gvTMYAnm7v1yG1BKWFtr0DnaTsq59oW9dwWvFgq6hs0/edit?usp=sharing"",""แพร่!J80"")"),0)</f>
        <v>0</v>
      </c>
      <c r="AE24" s="81">
        <f ca="1">IFERROR(__xludf.DUMMYFUNCTION("IMPORTRANGE(""https://docs.google.com/spreadsheets/d/1gvTMYAnm7v1yG1BKWFtr0DnaTsq59oW9dwWvFgq6hs0/edit?usp=sharing"",""แพร่!J81"")"),0)</f>
        <v>0</v>
      </c>
      <c r="AF24" s="77">
        <f ca="1">IFERROR(__xludf.DUMMYFUNCTION("IMPORTRANGE(""https://docs.google.com/spreadsheets/d/1gvTMYAnm7v1yG1BKWFtr0DnaTsq59oW9dwWvFgq6hs0/edit?usp=sharing"",""แพร่!I82"")"),0)</f>
        <v>0</v>
      </c>
      <c r="AG24" s="77">
        <f ca="1">IFERROR(__xludf.DUMMYFUNCTION("IMPORTRANGE(""https://docs.google.com/spreadsheets/d/1gvTMYAnm7v1yG1BKWFtr0DnaTsq59oW9dwWvFgq6hs0/edit?usp=sharing"",""แพร่!I83"")"),0)</f>
        <v>0</v>
      </c>
      <c r="AH24" s="81">
        <f ca="1">IFERROR(__xludf.DUMMYFUNCTION("IMPORTRANGE(""https://docs.google.com/spreadsheets/d/1gvTMYAnm7v1yG1BKWFtr0DnaTsq59oW9dwWvFgq6hs0/edit?usp=sharing"",""แพร่!J82"")"),0)</f>
        <v>0</v>
      </c>
      <c r="AI24" s="81">
        <f ca="1">IFERROR(__xludf.DUMMYFUNCTION("IMPORTRANGE(""https://docs.google.com/spreadsheets/d/1gvTMYAnm7v1yG1BKWFtr0DnaTsq59oW9dwWvFgq6hs0/edit?usp=sharing"",""แพร่!J83"")"),0)</f>
        <v>0</v>
      </c>
      <c r="AJ24" s="77">
        <f ca="1">IFERROR(__xludf.DUMMYFUNCTION("IMPORTRANGE(""https://docs.google.com/spreadsheets/d/1gvTMYAnm7v1yG1BKWFtr0DnaTsq59oW9dwWvFgq6hs0/edit?usp=sharing"",""แพร่!I84"")"),0)</f>
        <v>0</v>
      </c>
      <c r="AK24" s="81">
        <f ca="1">IFERROR(__xludf.DUMMYFUNCTION("IMPORTRANGE(""https://docs.google.com/spreadsheets/d/1gvTMYAnm7v1yG1BKWFtr0DnaTsq59oW9dwWvFgq6hs0/edit?usp=sharing"",""แพร่!J84"")"),0)</f>
        <v>0</v>
      </c>
      <c r="AL24" s="79">
        <f t="shared" ca="1" si="27"/>
        <v>0</v>
      </c>
    </row>
    <row r="25" spans="1:38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2"/>
        <v>0</v>
      </c>
      <c r="E25" s="77">
        <f ca="1">IFERROR(__xludf.DUMMYFUNCTION("IMPORTRANGE(""https://docs.google.com/spreadsheets/d/1MeEWN-I1oV_STSDYn1IFDPWt_1FKiwhDph83XaGc0o0/edit?usp=sharing"",""งบพรบ!AH25"")"),0)</f>
        <v>0</v>
      </c>
      <c r="F25" s="77">
        <f ca="1">IFERROR(__xludf.DUMMYFUNCTION("IMPORTRANGE(""https://docs.google.com/spreadsheets/d/1MeEWN-I1oV_STSDYn1IFDPWt_1FKiwhDph83XaGc0o0/edit?usp=sharing"",""งบพรบ!AI25"")"),0)</f>
        <v>0</v>
      </c>
      <c r="G25" s="77">
        <f ca="1">IFERROR(__xludf.DUMMYFUNCTION("IMPORTRANGE(""https://docs.google.com/spreadsheets/d/1MeEWN-I1oV_STSDYn1IFDPWt_1FKiwhDph83XaGc0o0/edit?usp=sharing"",""งบพรบ!AJ25"")"),0)</f>
        <v>0</v>
      </c>
      <c r="H25" s="77">
        <f ca="1">IFERROR(__xludf.DUMMYFUNCTION("IMPORTRANGE(""https://docs.google.com/spreadsheets/d/1MeEWN-I1oV_STSDYn1IFDPWt_1FKiwhDph83XaGc0o0/edit?usp=sharing"",""งบพรบ!AL25"")"),0)</f>
        <v>0</v>
      </c>
      <c r="I25" s="77">
        <f ca="1">IFERROR(__xludf.DUMMYFUNCTION("IMPORTRANGE(""https://docs.google.com/spreadsheets/d/1MeEWN-I1oV_STSDYn1IFDPWt_1FKiwhDph83XaGc0o0/edit?usp=sharing"",""งบพรบ!AM25"")"),0)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IFERROR(__xludf.DUMMYFUNCTION("IMPORTRANGE(""https://docs.google.com/spreadsheets/d/1MeEWN-I1oV_STSDYn1IFDPWt_1FKiwhDph83XaGc0o0/edit?usp=sharing"",""งบพรบ!AN25"")"),0)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IFERROR(__xludf.DUMMYFUNCTION("IMPORTRANGE(""https://docs.google.com/spreadsheets/d/1MeEWN-I1oV_STSDYn1IFDPWt_1FKiwhDph83XaGc0o0/edit?usp=sharing"",""งบพรบ!AO25"")"),0)</f>
        <v>0</v>
      </c>
      <c r="P25" s="80">
        <f t="shared" ca="1" si="29"/>
        <v>0</v>
      </c>
      <c r="Q25" s="79">
        <f t="shared" ca="1" si="8"/>
        <v>0</v>
      </c>
      <c r="R25" s="81">
        <f t="shared" ca="1" si="30"/>
        <v>0</v>
      </c>
      <c r="S25" s="81">
        <f t="shared" ca="1" si="24"/>
        <v>0</v>
      </c>
      <c r="T25" s="81">
        <f t="shared" ca="1" si="33"/>
        <v>0</v>
      </c>
      <c r="U25" s="82">
        <f t="shared" ca="1" si="25"/>
        <v>0</v>
      </c>
      <c r="V25" s="81">
        <f t="shared" ca="1" si="34"/>
        <v>0</v>
      </c>
      <c r="W25" s="82">
        <f t="shared" ca="1" si="26"/>
        <v>0</v>
      </c>
      <c r="X25" s="77">
        <f ca="1">IFERROR(__xludf.DUMMYFUNCTION("IMPORTRANGE(""https://docs.google.com/spreadsheets/d/1Wbcosgy-Xa1xXUArJSOenub6EfZHUSzc_bpJFWwQUf0/edit?usp=sharing"",""แม่ฮ่องสอน!I78"")"),0)</f>
        <v>0</v>
      </c>
      <c r="Y25" s="77">
        <f ca="1">IFERROR(__xludf.DUMMYFUNCTION("IMPORTRANGE(""https://docs.google.com/spreadsheets/d/1Wbcosgy-Xa1xXUArJSOenub6EfZHUSzc_bpJFWwQUf0/edit?usp=sharing"",""แม่ฮ่องสอน!I79"")"),0)</f>
        <v>0</v>
      </c>
      <c r="Z25" s="81">
        <f ca="1">IFERROR(__xludf.DUMMYFUNCTION("IMPORTRANGE(""https://docs.google.com/spreadsheets/d/1Wbcosgy-Xa1xXUArJSOenub6EfZHUSzc_bpJFWwQUf0/edit?usp=sharing"",""แม่ฮ่องสอน!J78"")"),0)</f>
        <v>0</v>
      </c>
      <c r="AA25" s="81">
        <f ca="1">IFERROR(__xludf.DUMMYFUNCTION("IMPORTRANGE(""https://docs.google.com/spreadsheets/d/1Wbcosgy-Xa1xXUArJSOenub6EfZHUSzc_bpJFWwQUf0/edit?usp=sharing"",""แม่ฮ่องสอน!J79"")"),0)</f>
        <v>0</v>
      </c>
      <c r="AB25" s="77">
        <f ca="1">IFERROR(__xludf.DUMMYFUNCTION("IMPORTRANGE(""https://docs.google.com/spreadsheets/d/1Wbcosgy-Xa1xXUArJSOenub6EfZHUSzc_bpJFWwQUf0/edit?usp=sharing"",""แม่ฮ่องสอน!I80"")"),0)</f>
        <v>0</v>
      </c>
      <c r="AC25" s="77">
        <f ca="1">IFERROR(__xludf.DUMMYFUNCTION("IMPORTRANGE(""https://docs.google.com/spreadsheets/d/1Wbcosgy-Xa1xXUArJSOenub6EfZHUSzc_bpJFWwQUf0/edit?usp=sharing"",""แม่ฮ่องสอน!I81"")"),0)</f>
        <v>0</v>
      </c>
      <c r="AD25" s="81">
        <f ca="1">IFERROR(__xludf.DUMMYFUNCTION("IMPORTRANGE(""https://docs.google.com/spreadsheets/d/1Wbcosgy-Xa1xXUArJSOenub6EfZHUSzc_bpJFWwQUf0/edit?usp=sharing"",""แม่ฮ่องสอน!J80"")"),0)</f>
        <v>0</v>
      </c>
      <c r="AE25" s="81">
        <f ca="1">IFERROR(__xludf.DUMMYFUNCTION("IMPORTRANGE(""https://docs.google.com/spreadsheets/d/1Wbcosgy-Xa1xXUArJSOenub6EfZHUSzc_bpJFWwQUf0/edit?usp=sharing"",""แม่ฮ่องสอน!J81"")"),0)</f>
        <v>0</v>
      </c>
      <c r="AF25" s="77">
        <f ca="1">IFERROR(__xludf.DUMMYFUNCTION("IMPORTRANGE(""https://docs.google.com/spreadsheets/d/1Wbcosgy-Xa1xXUArJSOenub6EfZHUSzc_bpJFWwQUf0/edit?usp=sharing"",""แม่ฮ่องสอน!I82"")"),0)</f>
        <v>0</v>
      </c>
      <c r="AG25" s="77">
        <f ca="1">IFERROR(__xludf.DUMMYFUNCTION("IMPORTRANGE(""https://docs.google.com/spreadsheets/d/1Wbcosgy-Xa1xXUArJSOenub6EfZHUSzc_bpJFWwQUf0/edit?usp=sharing"",""แม่ฮ่องสอน!I83"")"),0)</f>
        <v>0</v>
      </c>
      <c r="AH25" s="81">
        <f ca="1">IFERROR(__xludf.DUMMYFUNCTION("IMPORTRANGE(""https://docs.google.com/spreadsheets/d/1Wbcosgy-Xa1xXUArJSOenub6EfZHUSzc_bpJFWwQUf0/edit?usp=sharing"",""แม่ฮ่องสอน!J82"")"),0)</f>
        <v>0</v>
      </c>
      <c r="AI25" s="81">
        <f ca="1">IFERROR(__xludf.DUMMYFUNCTION("IMPORTRANGE(""https://docs.google.com/spreadsheets/d/1Wbcosgy-Xa1xXUArJSOenub6EfZHUSzc_bpJFWwQUf0/edit?usp=sharing"",""แม่ฮ่องสอน!J83"")"),0)</f>
        <v>0</v>
      </c>
      <c r="AJ25" s="77">
        <f ca="1">IFERROR(__xludf.DUMMYFUNCTION("IMPORTRANGE(""https://docs.google.com/spreadsheets/d/1Wbcosgy-Xa1xXUArJSOenub6EfZHUSzc_bpJFWwQUf0/edit?usp=sharing"",""แม่ฮ่องสอน!I84"")"),0)</f>
        <v>0</v>
      </c>
      <c r="AK25" s="81">
        <f ca="1">IFERROR(__xludf.DUMMYFUNCTION("IMPORTRANGE(""https://docs.google.com/spreadsheets/d/1Wbcosgy-Xa1xXUArJSOenub6EfZHUSzc_bpJFWwQUf0/edit?usp=sharing"",""แม่ฮ่องสอน!J84"")"),0)</f>
        <v>0</v>
      </c>
      <c r="AL25" s="79">
        <f t="shared" ca="1" si="27"/>
        <v>0</v>
      </c>
    </row>
    <row r="26" spans="1:38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32"/>
        <v>0</v>
      </c>
      <c r="E26" s="77">
        <f ca="1">IFERROR(__xludf.DUMMYFUNCTION("IMPORTRANGE(""https://docs.google.com/spreadsheets/d/1MeEWN-I1oV_STSDYn1IFDPWt_1FKiwhDph83XaGc0o0/edit?usp=sharing"",""งบพรบ!AH26"")"),0)</f>
        <v>0</v>
      </c>
      <c r="F26" s="77">
        <f ca="1">IFERROR(__xludf.DUMMYFUNCTION("IMPORTRANGE(""https://docs.google.com/spreadsheets/d/1MeEWN-I1oV_STSDYn1IFDPWt_1FKiwhDph83XaGc0o0/edit?usp=sharing"",""งบพรบ!AI26"")"),0)</f>
        <v>0</v>
      </c>
      <c r="G26" s="77">
        <f ca="1">IFERROR(__xludf.DUMMYFUNCTION("IMPORTRANGE(""https://docs.google.com/spreadsheets/d/1MeEWN-I1oV_STSDYn1IFDPWt_1FKiwhDph83XaGc0o0/edit?usp=sharing"",""งบพรบ!AJ26"")"),0)</f>
        <v>0</v>
      </c>
      <c r="H26" s="77">
        <f ca="1">IFERROR(__xludf.DUMMYFUNCTION("IMPORTRANGE(""https://docs.google.com/spreadsheets/d/1MeEWN-I1oV_STSDYn1IFDPWt_1FKiwhDph83XaGc0o0/edit?usp=sharing"",""งบพรบ!AL26"")"),0)</f>
        <v>0</v>
      </c>
      <c r="I26" s="77">
        <f ca="1">IFERROR(__xludf.DUMMYFUNCTION("IMPORTRANGE(""https://docs.google.com/spreadsheets/d/1MeEWN-I1oV_STSDYn1IFDPWt_1FKiwhDph83XaGc0o0/edit?usp=sharing"",""งบพรบ!AM26"")"),0)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IFERROR(__xludf.DUMMYFUNCTION("IMPORTRANGE(""https://docs.google.com/spreadsheets/d/1MeEWN-I1oV_STSDYn1IFDPWt_1FKiwhDph83XaGc0o0/edit?usp=sharing"",""งบพรบ!AN26"")"),0)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IFERROR(__xludf.DUMMYFUNCTION("IMPORTRANGE(""https://docs.google.com/spreadsheets/d/1MeEWN-I1oV_STSDYn1IFDPWt_1FKiwhDph83XaGc0o0/edit?usp=sharing"",""งบพรบ!AO26"")"),0)</f>
        <v>0</v>
      </c>
      <c r="P26" s="80">
        <f t="shared" ca="1" si="29"/>
        <v>0</v>
      </c>
      <c r="Q26" s="79">
        <f t="shared" ca="1" si="8"/>
        <v>0</v>
      </c>
      <c r="R26" s="81">
        <f t="shared" ca="1" si="30"/>
        <v>0</v>
      </c>
      <c r="S26" s="81">
        <f t="shared" ca="1" si="24"/>
        <v>0</v>
      </c>
      <c r="T26" s="81">
        <f t="shared" ca="1" si="33"/>
        <v>0</v>
      </c>
      <c r="U26" s="82">
        <f t="shared" ca="1" si="25"/>
        <v>0</v>
      </c>
      <c r="V26" s="81">
        <f t="shared" ca="1" si="34"/>
        <v>0</v>
      </c>
      <c r="W26" s="82">
        <f t="shared" ca="1" si="26"/>
        <v>0</v>
      </c>
      <c r="X26" s="77">
        <f ca="1">IFERROR(__xludf.DUMMYFUNCTION("IMPORTRANGE(""https://docs.google.com/spreadsheets/d/1p7ERhsr0qZeSn-KSOdeHS9r0heI-lHtkcn2OH7hP0jQ/edit?usp=sharing"",""ลำปาง!I78"")"),0)</f>
        <v>0</v>
      </c>
      <c r="Y26" s="77">
        <f ca="1">IFERROR(__xludf.DUMMYFUNCTION("IMPORTRANGE(""https://docs.google.com/spreadsheets/d/1p7ERhsr0qZeSn-KSOdeHS9r0heI-lHtkcn2OH7hP0jQ/edit?usp=sharing"",""ลำปาง!I79"")"),0)</f>
        <v>0</v>
      </c>
      <c r="Z26" s="81">
        <f ca="1">IFERROR(__xludf.DUMMYFUNCTION("IMPORTRANGE(""https://docs.google.com/spreadsheets/d/1p7ERhsr0qZeSn-KSOdeHS9r0heI-lHtkcn2OH7hP0jQ/edit?usp=sharing"",""ลำปาง!J78"")"),0)</f>
        <v>0</v>
      </c>
      <c r="AA26" s="81">
        <f ca="1">IFERROR(__xludf.DUMMYFUNCTION("IMPORTRANGE(""https://docs.google.com/spreadsheets/d/1p7ERhsr0qZeSn-KSOdeHS9r0heI-lHtkcn2OH7hP0jQ/edit?usp=sharing"",""ลำปาง!J79"")"),0)</f>
        <v>0</v>
      </c>
      <c r="AB26" s="77">
        <f ca="1">IFERROR(__xludf.DUMMYFUNCTION("IMPORTRANGE(""https://docs.google.com/spreadsheets/d/1p7ERhsr0qZeSn-KSOdeHS9r0heI-lHtkcn2OH7hP0jQ/edit?usp=sharing"",""ลำปาง!I80"")"),0)</f>
        <v>0</v>
      </c>
      <c r="AC26" s="77">
        <f ca="1">IFERROR(__xludf.DUMMYFUNCTION("IMPORTRANGE(""https://docs.google.com/spreadsheets/d/1p7ERhsr0qZeSn-KSOdeHS9r0heI-lHtkcn2OH7hP0jQ/edit?usp=sharing"",""ลำปาง!I81"")"),0)</f>
        <v>0</v>
      </c>
      <c r="AD26" s="81">
        <f ca="1">IFERROR(__xludf.DUMMYFUNCTION("IMPORTRANGE(""https://docs.google.com/spreadsheets/d/1p7ERhsr0qZeSn-KSOdeHS9r0heI-lHtkcn2OH7hP0jQ/edit?usp=sharing"",""ลำปาง!J80"")"),0)</f>
        <v>0</v>
      </c>
      <c r="AE26" s="81">
        <f ca="1">IFERROR(__xludf.DUMMYFUNCTION("IMPORTRANGE(""https://docs.google.com/spreadsheets/d/1p7ERhsr0qZeSn-KSOdeHS9r0heI-lHtkcn2OH7hP0jQ/edit?usp=sharing"",""ลำปาง!J81"")"),0)</f>
        <v>0</v>
      </c>
      <c r="AF26" s="77">
        <f ca="1">IFERROR(__xludf.DUMMYFUNCTION("IMPORTRANGE(""https://docs.google.com/spreadsheets/d/1p7ERhsr0qZeSn-KSOdeHS9r0heI-lHtkcn2OH7hP0jQ/edit?usp=sharing"",""ลำปาง!I82"")"),0)</f>
        <v>0</v>
      </c>
      <c r="AG26" s="77">
        <f ca="1">IFERROR(__xludf.DUMMYFUNCTION("IMPORTRANGE(""https://docs.google.com/spreadsheets/d/1p7ERhsr0qZeSn-KSOdeHS9r0heI-lHtkcn2OH7hP0jQ/edit?usp=sharing"",""ลำปาง!I83"")"),0)</f>
        <v>0</v>
      </c>
      <c r="AH26" s="81">
        <f ca="1">IFERROR(__xludf.DUMMYFUNCTION("IMPORTRANGE(""https://docs.google.com/spreadsheets/d/1p7ERhsr0qZeSn-KSOdeHS9r0heI-lHtkcn2OH7hP0jQ/edit?usp=sharing"",""ลำปาง!J82"")"),0)</f>
        <v>0</v>
      </c>
      <c r="AI26" s="81">
        <f ca="1">IFERROR(__xludf.DUMMYFUNCTION("IMPORTRANGE(""https://docs.google.com/spreadsheets/d/1p7ERhsr0qZeSn-KSOdeHS9r0heI-lHtkcn2OH7hP0jQ/edit?usp=sharing"",""ลำปาง!J83"")"),0)</f>
        <v>0</v>
      </c>
      <c r="AJ26" s="77">
        <f ca="1">IFERROR(__xludf.DUMMYFUNCTION("IMPORTRANGE(""https://docs.google.com/spreadsheets/d/1p7ERhsr0qZeSn-KSOdeHS9r0heI-lHtkcn2OH7hP0jQ/edit?usp=sharing"",""ลำปาง!I84"")"),0)</f>
        <v>0</v>
      </c>
      <c r="AK26" s="81">
        <f ca="1">IFERROR(__xludf.DUMMYFUNCTION("IMPORTRANGE(""https://docs.google.com/spreadsheets/d/1p7ERhsr0qZeSn-KSOdeHS9r0heI-lHtkcn2OH7hP0jQ/edit?usp=sharing"",""ลำปาง!J84"")"),0)</f>
        <v>0</v>
      </c>
      <c r="AL26" s="79">
        <f t="shared" ca="1" si="27"/>
        <v>0</v>
      </c>
    </row>
    <row r="27" spans="1:38" ht="24" customHeight="1" x14ac:dyDescent="0.2">
      <c r="A27" s="73">
        <v>14</v>
      </c>
      <c r="B27" s="74" t="s">
        <v>49</v>
      </c>
      <c r="C27" s="75">
        <f t="shared" ca="1" si="0"/>
        <v>919600</v>
      </c>
      <c r="D27" s="76">
        <f t="shared" ca="1" si="32"/>
        <v>919600</v>
      </c>
      <c r="E27" s="77">
        <f ca="1">IFERROR(__xludf.DUMMYFUNCTION("IMPORTRANGE(""https://docs.google.com/spreadsheets/d/1MeEWN-I1oV_STSDYn1IFDPWt_1FKiwhDph83XaGc0o0/edit?usp=sharing"",""งบพรบ!AH27"")"),507600)</f>
        <v>507600</v>
      </c>
      <c r="F27" s="77">
        <f ca="1">IFERROR(__xludf.DUMMYFUNCTION("IMPORTRANGE(""https://docs.google.com/spreadsheets/d/1MeEWN-I1oV_STSDYn1IFDPWt_1FKiwhDph83XaGc0o0/edit?usp=sharing"",""งบพรบ!AI27"")"),412000)</f>
        <v>412000</v>
      </c>
      <c r="G27" s="77">
        <f ca="1">IFERROR(__xludf.DUMMYFUNCTION("IMPORTRANGE(""https://docs.google.com/spreadsheets/d/1MeEWN-I1oV_STSDYn1IFDPWt_1FKiwhDph83XaGc0o0/edit?usp=sharing"",""งบพรบ!AJ27"")"),0)</f>
        <v>0</v>
      </c>
      <c r="H27" s="77">
        <f ca="1">IFERROR(__xludf.DUMMYFUNCTION("IMPORTRANGE(""https://docs.google.com/spreadsheets/d/1MeEWN-I1oV_STSDYn1IFDPWt_1FKiwhDph83XaGc0o0/edit?usp=sharing"",""งบพรบ!AL27"")"),919600)</f>
        <v>919600</v>
      </c>
      <c r="I27" s="77">
        <f ca="1">IFERROR(__xludf.DUMMYFUNCTION("IMPORTRANGE(""https://docs.google.com/spreadsheets/d/1MeEWN-I1oV_STSDYn1IFDPWt_1FKiwhDph83XaGc0o0/edit?usp=sharing"",""งบพรบ!AM27"")"),0)</f>
        <v>0</v>
      </c>
      <c r="J27" s="77">
        <f t="shared" ca="1" si="3"/>
        <v>792399.99</v>
      </c>
      <c r="K27" s="78">
        <f t="shared" ca="1" si="4"/>
        <v>86.167897999130062</v>
      </c>
      <c r="L27" s="77">
        <f ca="1">IFERROR(__xludf.DUMMYFUNCTION("IMPORTRANGE(""https://docs.google.com/spreadsheets/d/1MeEWN-I1oV_STSDYn1IFDPWt_1FKiwhDph83XaGc0o0/edit?usp=sharing"",""งบพรบ!AN27"")"),792399.99)</f>
        <v>792399.99</v>
      </c>
      <c r="M27" s="79">
        <f t="shared" ca="1" si="5"/>
        <v>86.167897999130062</v>
      </c>
      <c r="N27" s="79">
        <f t="shared" ca="1" si="6"/>
        <v>86.167897999130062</v>
      </c>
      <c r="O27" s="80">
        <f ca="1">IFERROR(__xludf.DUMMYFUNCTION("IMPORTRANGE(""https://docs.google.com/spreadsheets/d/1MeEWN-I1oV_STSDYn1IFDPWt_1FKiwhDph83XaGc0o0/edit?usp=sharing"",""งบพรบ!AO27"")"),0)</f>
        <v>0</v>
      </c>
      <c r="P27" s="80">
        <f t="shared" ca="1" si="29"/>
        <v>0</v>
      </c>
      <c r="Q27" s="79">
        <f t="shared" ca="1" si="8"/>
        <v>0</v>
      </c>
      <c r="R27" s="81">
        <f t="shared" ca="1" si="30"/>
        <v>1</v>
      </c>
      <c r="S27" s="81">
        <f t="shared" ca="1" si="24"/>
        <v>35</v>
      </c>
      <c r="T27" s="81">
        <f t="shared" ca="1" si="33"/>
        <v>1</v>
      </c>
      <c r="U27" s="82">
        <f t="shared" ca="1" si="25"/>
        <v>100</v>
      </c>
      <c r="V27" s="81">
        <f t="shared" ca="1" si="34"/>
        <v>35</v>
      </c>
      <c r="W27" s="82">
        <f t="shared" ca="1" si="26"/>
        <v>100</v>
      </c>
      <c r="X27" s="77">
        <f ca="1">IFERROR(__xludf.DUMMYFUNCTION("IMPORTRANGE(""https://docs.google.com/spreadsheets/d/1-uUXvimVhiU2U0bMN-xi2te0tS4X7DI2GLPnMjzl8cA/edit?usp=sharing"",""ลำพูน!I78"")"),0)</f>
        <v>0</v>
      </c>
      <c r="Y27" s="77">
        <f ca="1">IFERROR(__xludf.DUMMYFUNCTION("IMPORTRANGE(""https://docs.google.com/spreadsheets/d/1-uUXvimVhiU2U0bMN-xi2te0tS4X7DI2GLPnMjzl8cA/edit?usp=sharing"",""ลำพูน!I79"")"),0)</f>
        <v>0</v>
      </c>
      <c r="Z27" s="81">
        <f ca="1">IFERROR(__xludf.DUMMYFUNCTION("IMPORTRANGE(""https://docs.google.com/spreadsheets/d/1-uUXvimVhiU2U0bMN-xi2te0tS4X7DI2GLPnMjzl8cA/edit?usp=sharing"",""ลำพูน!J78"")"),0)</f>
        <v>0</v>
      </c>
      <c r="AA27" s="81">
        <f ca="1">IFERROR(__xludf.DUMMYFUNCTION("IMPORTRANGE(""https://docs.google.com/spreadsheets/d/1-uUXvimVhiU2U0bMN-xi2te0tS4X7DI2GLPnMjzl8cA/edit?usp=sharing"",""ลำพูน!J79"")"),0)</f>
        <v>0</v>
      </c>
      <c r="AB27" s="77">
        <f ca="1">IFERROR(__xludf.DUMMYFUNCTION("IMPORTRANGE(""https://docs.google.com/spreadsheets/d/1-uUXvimVhiU2U0bMN-xi2te0tS4X7DI2GLPnMjzl8cA/edit?usp=sharing"",""ลำพูน!I80"")"),1)</f>
        <v>1</v>
      </c>
      <c r="AC27" s="77">
        <f ca="1">IFERROR(__xludf.DUMMYFUNCTION("IMPORTRANGE(""https://docs.google.com/spreadsheets/d/1-uUXvimVhiU2U0bMN-xi2te0tS4X7DI2GLPnMjzl8cA/edit?usp=sharing"",""ลำพูน!I81"")"),35)</f>
        <v>35</v>
      </c>
      <c r="AD27" s="81">
        <f ca="1">IFERROR(__xludf.DUMMYFUNCTION("IMPORTRANGE(""https://docs.google.com/spreadsheets/d/1-uUXvimVhiU2U0bMN-xi2te0tS4X7DI2GLPnMjzl8cA/edit?usp=sharing"",""ลำพูน!J80"")"),1)</f>
        <v>1</v>
      </c>
      <c r="AE27" s="81">
        <f ca="1">IFERROR(__xludf.DUMMYFUNCTION("IMPORTRANGE(""https://docs.google.com/spreadsheets/d/1-uUXvimVhiU2U0bMN-xi2te0tS4X7DI2GLPnMjzl8cA/edit?usp=sharing"",""ลำพูน!J81"")"),35)</f>
        <v>35</v>
      </c>
      <c r="AF27" s="77">
        <f ca="1">IFERROR(__xludf.DUMMYFUNCTION("IMPORTRANGE(""https://docs.google.com/spreadsheets/d/1-uUXvimVhiU2U0bMN-xi2te0tS4X7DI2GLPnMjzl8cA/edit?usp=sharing"",""ลำพูน!I82"")"),0)</f>
        <v>0</v>
      </c>
      <c r="AG27" s="77">
        <f ca="1">IFERROR(__xludf.DUMMYFUNCTION("IMPORTRANGE(""https://docs.google.com/spreadsheets/d/1-uUXvimVhiU2U0bMN-xi2te0tS4X7DI2GLPnMjzl8cA/edit?usp=sharing"",""ลำพูน!I83"")"),0)</f>
        <v>0</v>
      </c>
      <c r="AH27" s="81">
        <f ca="1">IFERROR(__xludf.DUMMYFUNCTION("IMPORTRANGE(""https://docs.google.com/spreadsheets/d/1-uUXvimVhiU2U0bMN-xi2te0tS4X7DI2GLPnMjzl8cA/edit?usp=sharing"",""ลำพูน!J82"")"),0)</f>
        <v>0</v>
      </c>
      <c r="AI27" s="81">
        <f ca="1">IFERROR(__xludf.DUMMYFUNCTION("IMPORTRANGE(""https://docs.google.com/spreadsheets/d/1-uUXvimVhiU2U0bMN-xi2te0tS4X7DI2GLPnMjzl8cA/edit?usp=sharing"",""ลำพูน!J83"")"),0)</f>
        <v>0</v>
      </c>
      <c r="AJ27" s="77">
        <f ca="1">IFERROR(__xludf.DUMMYFUNCTION("IMPORTRANGE(""https://docs.google.com/spreadsheets/d/1-uUXvimVhiU2U0bMN-xi2te0tS4X7DI2GLPnMjzl8cA/edit?usp=sharing"",""ลำพูน!I84"")"),1)</f>
        <v>1</v>
      </c>
      <c r="AK27" s="81">
        <f ca="1">IFERROR(__xludf.DUMMYFUNCTION("IMPORTRANGE(""https://docs.google.com/spreadsheets/d/1-uUXvimVhiU2U0bMN-xi2te0tS4X7DI2GLPnMjzl8cA/edit?usp=sharing"",""ลำพูน!J84"")"),0)</f>
        <v>0</v>
      </c>
      <c r="AL27" s="79">
        <f t="shared" ca="1" si="27"/>
        <v>0</v>
      </c>
    </row>
    <row r="28" spans="1:38" ht="24" customHeight="1" x14ac:dyDescent="0.2">
      <c r="A28" s="73">
        <v>15</v>
      </c>
      <c r="B28" s="74" t="s">
        <v>50</v>
      </c>
      <c r="C28" s="75">
        <f t="shared" ca="1" si="0"/>
        <v>1493400</v>
      </c>
      <c r="D28" s="76">
        <f t="shared" ca="1" si="32"/>
        <v>1493400</v>
      </c>
      <c r="E28" s="77">
        <f ca="1">IFERROR(__xludf.DUMMYFUNCTION("IMPORTRANGE(""https://docs.google.com/spreadsheets/d/1MeEWN-I1oV_STSDYn1IFDPWt_1FKiwhDph83XaGc0o0/edit?usp=sharing"",""งบพรบ!AH28"")"),619400)</f>
        <v>619400</v>
      </c>
      <c r="F28" s="77">
        <f ca="1">IFERROR(__xludf.DUMMYFUNCTION("IMPORTRANGE(""https://docs.google.com/spreadsheets/d/1MeEWN-I1oV_STSDYn1IFDPWt_1FKiwhDph83XaGc0o0/edit?usp=sharing"",""งบพรบ!AI28"")"),874000)</f>
        <v>874000</v>
      </c>
      <c r="G28" s="77">
        <f ca="1">IFERROR(__xludf.DUMMYFUNCTION("IMPORTRANGE(""https://docs.google.com/spreadsheets/d/1MeEWN-I1oV_STSDYn1IFDPWt_1FKiwhDph83XaGc0o0/edit?usp=sharing"",""งบพรบ!AJ28"")"),0)</f>
        <v>0</v>
      </c>
      <c r="H28" s="77">
        <f ca="1">IFERROR(__xludf.DUMMYFUNCTION("IMPORTRANGE(""https://docs.google.com/spreadsheets/d/1MeEWN-I1oV_STSDYn1IFDPWt_1FKiwhDph83XaGc0o0/edit?usp=sharing"",""งบพรบ!AL28"")"),1493400)</f>
        <v>1493400</v>
      </c>
      <c r="I28" s="77">
        <f ca="1">IFERROR(__xludf.DUMMYFUNCTION("IMPORTRANGE(""https://docs.google.com/spreadsheets/d/1MeEWN-I1oV_STSDYn1IFDPWt_1FKiwhDph83XaGc0o0/edit?usp=sharing"",""งบพรบ!AM28"")"),0)</f>
        <v>0</v>
      </c>
      <c r="J28" s="77">
        <f t="shared" ca="1" si="3"/>
        <v>1224608.8600000001</v>
      </c>
      <c r="K28" s="78">
        <f t="shared" ca="1" si="4"/>
        <v>82.001396812642298</v>
      </c>
      <c r="L28" s="77">
        <f ca="1">IFERROR(__xludf.DUMMYFUNCTION("IMPORTRANGE(""https://docs.google.com/spreadsheets/d/1MeEWN-I1oV_STSDYn1IFDPWt_1FKiwhDph83XaGc0o0/edit?usp=sharing"",""งบพรบ!AN28"")"),1224608.86)</f>
        <v>1224608.8600000001</v>
      </c>
      <c r="M28" s="79">
        <f t="shared" ca="1" si="5"/>
        <v>82.001396812642298</v>
      </c>
      <c r="N28" s="79">
        <f t="shared" ca="1" si="6"/>
        <v>82.001396812642298</v>
      </c>
      <c r="O28" s="80">
        <f ca="1">IFERROR(__xludf.DUMMYFUNCTION("IMPORTRANGE(""https://docs.google.com/spreadsheets/d/1MeEWN-I1oV_STSDYn1IFDPWt_1FKiwhDph83XaGc0o0/edit?usp=sharing"",""งบพรบ!AO28"")"),0)</f>
        <v>0</v>
      </c>
      <c r="P28" s="80">
        <f t="shared" ca="1" si="29"/>
        <v>0</v>
      </c>
      <c r="Q28" s="79">
        <f t="shared" ca="1" si="8"/>
        <v>0</v>
      </c>
      <c r="R28" s="81">
        <f t="shared" ca="1" si="30"/>
        <v>2</v>
      </c>
      <c r="S28" s="81">
        <f t="shared" ca="1" si="24"/>
        <v>105</v>
      </c>
      <c r="T28" s="81">
        <f t="shared" ca="1" si="33"/>
        <v>2</v>
      </c>
      <c r="U28" s="82">
        <f t="shared" ca="1" si="25"/>
        <v>100</v>
      </c>
      <c r="V28" s="81">
        <f t="shared" ca="1" si="34"/>
        <v>105</v>
      </c>
      <c r="W28" s="82">
        <f t="shared" ca="1" si="26"/>
        <v>100</v>
      </c>
      <c r="X28" s="77">
        <f ca="1">IFERROR(__xludf.DUMMYFUNCTION("IMPORTRANGE(""https://docs.google.com/spreadsheets/d/17HrOaa5pBUI1onckFfumXB8xlg35qb2uBAFfF1D-Myo/edit?usp=sharing"",""สุโขทัย!I78"")"),1)</f>
        <v>1</v>
      </c>
      <c r="Y28" s="77">
        <f ca="1">IFERROR(__xludf.DUMMYFUNCTION("IMPORTRANGE(""https://docs.google.com/spreadsheets/d/17HrOaa5pBUI1onckFfumXB8xlg35qb2uBAFfF1D-Myo/edit?usp=sharing"",""สุโขทัย!I79"")"),30)</f>
        <v>30</v>
      </c>
      <c r="Z28" s="81">
        <f ca="1">IFERROR(__xludf.DUMMYFUNCTION("IMPORTRANGE(""https://docs.google.com/spreadsheets/d/17HrOaa5pBUI1onckFfumXB8xlg35qb2uBAFfF1D-Myo/edit?usp=sharing"",""สุโขทัย!J78"")"),1)</f>
        <v>1</v>
      </c>
      <c r="AA28" s="81">
        <f ca="1">IFERROR(__xludf.DUMMYFUNCTION("IMPORTRANGE(""https://docs.google.com/spreadsheets/d/17HrOaa5pBUI1onckFfumXB8xlg35qb2uBAFfF1D-Myo/edit?usp=sharing"",""สุโขทัย!J79"")"),30)</f>
        <v>30</v>
      </c>
      <c r="AB28" s="77">
        <f ca="1">IFERROR(__xludf.DUMMYFUNCTION("IMPORTRANGE(""https://docs.google.com/spreadsheets/d/17HrOaa5pBUI1onckFfumXB8xlg35qb2uBAFfF1D-Myo/edit?usp=sharing"",""สุโขทัย!I80"")"),0)</f>
        <v>0</v>
      </c>
      <c r="AC28" s="77">
        <f ca="1">IFERROR(__xludf.DUMMYFUNCTION("IMPORTRANGE(""https://docs.google.com/spreadsheets/d/17HrOaa5pBUI1onckFfumXB8xlg35qb2uBAFfF1D-Myo/edit?usp=sharing"",""สุโขทัย!I81"")"),0)</f>
        <v>0</v>
      </c>
      <c r="AD28" s="81">
        <f ca="1">IFERROR(__xludf.DUMMYFUNCTION("IMPORTRANGE(""https://docs.google.com/spreadsheets/d/17HrOaa5pBUI1onckFfumXB8xlg35qb2uBAFfF1D-Myo/edit?usp=sharing"",""สุโขทัย!J80"")"),0)</f>
        <v>0</v>
      </c>
      <c r="AE28" s="81">
        <f ca="1">IFERROR(__xludf.DUMMYFUNCTION("IMPORTRANGE(""https://docs.google.com/spreadsheets/d/17HrOaa5pBUI1onckFfumXB8xlg35qb2uBAFfF1D-Myo/edit?usp=sharing"",""สุโขทัย!J81"")"),0)</f>
        <v>0</v>
      </c>
      <c r="AF28" s="77">
        <f ca="1">IFERROR(__xludf.DUMMYFUNCTION("IMPORTRANGE(""https://docs.google.com/spreadsheets/d/17HrOaa5pBUI1onckFfumXB8xlg35qb2uBAFfF1D-Myo/edit?usp=sharing"",""สุโขทัย!I82"")"),1)</f>
        <v>1</v>
      </c>
      <c r="AG28" s="77">
        <f ca="1">IFERROR(__xludf.DUMMYFUNCTION("IMPORTRANGE(""https://docs.google.com/spreadsheets/d/17HrOaa5pBUI1onckFfumXB8xlg35qb2uBAFfF1D-Myo/edit?usp=sharing"",""สุโขทัย!I83"")"),75)</f>
        <v>75</v>
      </c>
      <c r="AH28" s="81">
        <f ca="1">IFERROR(__xludf.DUMMYFUNCTION("IMPORTRANGE(""https://docs.google.com/spreadsheets/d/17HrOaa5pBUI1onckFfumXB8xlg35qb2uBAFfF1D-Myo/edit?usp=sharing"",""สุโขทัย!J82"")"),1)</f>
        <v>1</v>
      </c>
      <c r="AI28" s="81">
        <f ca="1">IFERROR(__xludf.DUMMYFUNCTION("IMPORTRANGE(""https://docs.google.com/spreadsheets/d/17HrOaa5pBUI1onckFfumXB8xlg35qb2uBAFfF1D-Myo/edit?usp=sharing"",""สุโขทัย!J83"")"),75)</f>
        <v>75</v>
      </c>
      <c r="AJ28" s="77">
        <f ca="1">IFERROR(__xludf.DUMMYFUNCTION("IMPORTRANGE(""https://docs.google.com/spreadsheets/d/17HrOaa5pBUI1onckFfumXB8xlg35qb2uBAFfF1D-Myo/edit?usp=sharing"",""สุโขทัย!I84"")"),2)</f>
        <v>2</v>
      </c>
      <c r="AK28" s="81">
        <f ca="1">IFERROR(__xludf.DUMMYFUNCTION("IMPORTRANGE(""https://docs.google.com/spreadsheets/d/17HrOaa5pBUI1onckFfumXB8xlg35qb2uBAFfF1D-Myo/edit?usp=sharing"",""สุโขทัย!J84"")"),0)</f>
        <v>0</v>
      </c>
      <c r="AL28" s="79">
        <f t="shared" ca="1" si="27"/>
        <v>0</v>
      </c>
    </row>
    <row r="29" spans="1:38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32"/>
        <v>0</v>
      </c>
      <c r="E29" s="77">
        <f ca="1">IFERROR(__xludf.DUMMYFUNCTION("IMPORTRANGE(""https://docs.google.com/spreadsheets/d/1MeEWN-I1oV_STSDYn1IFDPWt_1FKiwhDph83XaGc0o0/edit?usp=sharing"",""งบพรบ!AH29"")"),0)</f>
        <v>0</v>
      </c>
      <c r="F29" s="77">
        <f ca="1">IFERROR(__xludf.DUMMYFUNCTION("IMPORTRANGE(""https://docs.google.com/spreadsheets/d/1MeEWN-I1oV_STSDYn1IFDPWt_1FKiwhDph83XaGc0o0/edit?usp=sharing"",""งบพรบ!AI29"")"),0)</f>
        <v>0</v>
      </c>
      <c r="G29" s="77">
        <f ca="1">IFERROR(__xludf.DUMMYFUNCTION("IMPORTRANGE(""https://docs.google.com/spreadsheets/d/1MeEWN-I1oV_STSDYn1IFDPWt_1FKiwhDph83XaGc0o0/edit?usp=sharing"",""งบพรบ!AJ29"")"),0)</f>
        <v>0</v>
      </c>
      <c r="H29" s="77">
        <f ca="1">IFERROR(__xludf.DUMMYFUNCTION("IMPORTRANGE(""https://docs.google.com/spreadsheets/d/1MeEWN-I1oV_STSDYn1IFDPWt_1FKiwhDph83XaGc0o0/edit?usp=sharing"",""งบพรบ!AL29"")"),0)</f>
        <v>0</v>
      </c>
      <c r="I29" s="77">
        <f ca="1">IFERROR(__xludf.DUMMYFUNCTION("IMPORTRANGE(""https://docs.google.com/spreadsheets/d/1MeEWN-I1oV_STSDYn1IFDPWt_1FKiwhDph83XaGc0o0/edit?usp=sharing"",""งบพรบ!AM29"")"),0)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IFERROR(__xludf.DUMMYFUNCTION("IMPORTRANGE(""https://docs.google.com/spreadsheets/d/1MeEWN-I1oV_STSDYn1IFDPWt_1FKiwhDph83XaGc0o0/edit?usp=sharing"",""งบพรบ!AN29"")"),0)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IFERROR(__xludf.DUMMYFUNCTION("IMPORTRANGE(""https://docs.google.com/spreadsheets/d/1MeEWN-I1oV_STSDYn1IFDPWt_1FKiwhDph83XaGc0o0/edit?usp=sharing"",""งบพรบ!AO29"")"),0)</f>
        <v>0</v>
      </c>
      <c r="P29" s="80">
        <f t="shared" ca="1" si="29"/>
        <v>0</v>
      </c>
      <c r="Q29" s="79">
        <f t="shared" ca="1" si="8"/>
        <v>0</v>
      </c>
      <c r="R29" s="81">
        <f t="shared" ca="1" si="30"/>
        <v>0</v>
      </c>
      <c r="S29" s="81">
        <f t="shared" ca="1" si="24"/>
        <v>0</v>
      </c>
      <c r="T29" s="81">
        <f t="shared" ca="1" si="33"/>
        <v>0</v>
      </c>
      <c r="U29" s="82">
        <f t="shared" ca="1" si="25"/>
        <v>0</v>
      </c>
      <c r="V29" s="81">
        <f t="shared" ca="1" si="34"/>
        <v>0</v>
      </c>
      <c r="W29" s="82">
        <f t="shared" ca="1" si="26"/>
        <v>0</v>
      </c>
      <c r="X29" s="77">
        <f ca="1">IFERROR(__xludf.DUMMYFUNCTION("IMPORTRANGE(""https://docs.google.com/spreadsheets/d/1ubs5cl16eYL9gHbdHTJtmtYb9MGzHBs7CAphn8kNCgM/edit?usp=sharing"",""อุตรดิตถ์!I78"")"),0)</f>
        <v>0</v>
      </c>
      <c r="Y29" s="77">
        <f ca="1">IFERROR(__xludf.DUMMYFUNCTION("IMPORTRANGE(""https://docs.google.com/spreadsheets/d/1ubs5cl16eYL9gHbdHTJtmtYb9MGzHBs7CAphn8kNCgM/edit?usp=sharing"",""อุตรดิตถ์!I79"")"),0)</f>
        <v>0</v>
      </c>
      <c r="Z29" s="81">
        <f ca="1">IFERROR(__xludf.DUMMYFUNCTION("IMPORTRANGE(""https://docs.google.com/spreadsheets/d/1ubs5cl16eYL9gHbdHTJtmtYb9MGzHBs7CAphn8kNCgM/edit?usp=sharing"",""อุตรดิตถ์!J78"")"),0)</f>
        <v>0</v>
      </c>
      <c r="AA29" s="81">
        <f ca="1">IFERROR(__xludf.DUMMYFUNCTION("IMPORTRANGE(""https://docs.google.com/spreadsheets/d/1ubs5cl16eYL9gHbdHTJtmtYb9MGzHBs7CAphn8kNCgM/edit?usp=sharing"",""อุตรดิตถ์!J79"")"),0)</f>
        <v>0</v>
      </c>
      <c r="AB29" s="77">
        <f ca="1">IFERROR(__xludf.DUMMYFUNCTION("IMPORTRANGE(""https://docs.google.com/spreadsheets/d/1ubs5cl16eYL9gHbdHTJtmtYb9MGzHBs7CAphn8kNCgM/edit?usp=sharing"",""อุตรดิตถ์!I80"")"),0)</f>
        <v>0</v>
      </c>
      <c r="AC29" s="77">
        <f ca="1">IFERROR(__xludf.DUMMYFUNCTION("IMPORTRANGE(""https://docs.google.com/spreadsheets/d/1ubs5cl16eYL9gHbdHTJtmtYb9MGzHBs7CAphn8kNCgM/edit?usp=sharing"",""อุตรดิตถ์!I81"")"),0)</f>
        <v>0</v>
      </c>
      <c r="AD29" s="81">
        <f ca="1">IFERROR(__xludf.DUMMYFUNCTION("IMPORTRANGE(""https://docs.google.com/spreadsheets/d/1ubs5cl16eYL9gHbdHTJtmtYb9MGzHBs7CAphn8kNCgM/edit?usp=sharing"",""อุตรดิตถ์!J80"")"),0)</f>
        <v>0</v>
      </c>
      <c r="AE29" s="81">
        <f ca="1">IFERROR(__xludf.DUMMYFUNCTION("IMPORTRANGE(""https://docs.google.com/spreadsheets/d/1ubs5cl16eYL9gHbdHTJtmtYb9MGzHBs7CAphn8kNCgM/edit?usp=sharing"",""อุตรดิตถ์!J81"")"),0)</f>
        <v>0</v>
      </c>
      <c r="AF29" s="77">
        <f ca="1">IFERROR(__xludf.DUMMYFUNCTION("IMPORTRANGE(""https://docs.google.com/spreadsheets/d/1ubs5cl16eYL9gHbdHTJtmtYb9MGzHBs7CAphn8kNCgM/edit?usp=sharing"",""อุตรดิตถ์!I82"")"),0)</f>
        <v>0</v>
      </c>
      <c r="AG29" s="77">
        <f ca="1">IFERROR(__xludf.DUMMYFUNCTION("IMPORTRANGE(""https://docs.google.com/spreadsheets/d/1ubs5cl16eYL9gHbdHTJtmtYb9MGzHBs7CAphn8kNCgM/edit?usp=sharing"",""อุตรดิตถ์!I83"")"),0)</f>
        <v>0</v>
      </c>
      <c r="AH29" s="81">
        <f ca="1">IFERROR(__xludf.DUMMYFUNCTION("IMPORTRANGE(""https://docs.google.com/spreadsheets/d/1ubs5cl16eYL9gHbdHTJtmtYb9MGzHBs7CAphn8kNCgM/edit?usp=sharing"",""อุตรดิตถ์!J82"")"),0)</f>
        <v>0</v>
      </c>
      <c r="AI29" s="81">
        <f ca="1">IFERROR(__xludf.DUMMYFUNCTION("IMPORTRANGE(""https://docs.google.com/spreadsheets/d/1ubs5cl16eYL9gHbdHTJtmtYb9MGzHBs7CAphn8kNCgM/edit?usp=sharing"",""อุตรดิตถ์!J83"")"),0)</f>
        <v>0</v>
      </c>
      <c r="AJ29" s="77">
        <f ca="1">IFERROR(__xludf.DUMMYFUNCTION("IMPORTRANGE(""https://docs.google.com/spreadsheets/d/1ubs5cl16eYL9gHbdHTJtmtYb9MGzHBs7CAphn8kNCgM/edit?usp=sharing"",""อุตรดิตถ์!I84"")"),0)</f>
        <v>0</v>
      </c>
      <c r="AK29" s="81">
        <f ca="1">IFERROR(__xludf.DUMMYFUNCTION("IMPORTRANGE(""https://docs.google.com/spreadsheets/d/1ubs5cl16eYL9gHbdHTJtmtYb9MGzHBs7CAphn8kNCgM/edit?usp=sharing"",""อุตรดิตถ์!J84"")"),0)</f>
        <v>0</v>
      </c>
      <c r="AL29" s="79">
        <f t="shared" ca="1" si="27"/>
        <v>0</v>
      </c>
    </row>
    <row r="30" spans="1:38" ht="24" customHeight="1" x14ac:dyDescent="0.2">
      <c r="A30" s="84">
        <v>17</v>
      </c>
      <c r="B30" s="85" t="s">
        <v>52</v>
      </c>
      <c r="C30" s="86">
        <f t="shared" ca="1" si="0"/>
        <v>880200</v>
      </c>
      <c r="D30" s="87">
        <f t="shared" ca="1" si="32"/>
        <v>880200</v>
      </c>
      <c r="E30" s="88">
        <f ca="1">IFERROR(__xludf.DUMMYFUNCTION("IMPORTRANGE(""https://docs.google.com/spreadsheets/d/1MeEWN-I1oV_STSDYn1IFDPWt_1FKiwhDph83XaGc0o0/edit?usp=sharing"",""งบพรบ!AH30"")"),485000)</f>
        <v>485000</v>
      </c>
      <c r="F30" s="88">
        <f ca="1">IFERROR(__xludf.DUMMYFUNCTION("IMPORTRANGE(""https://docs.google.com/spreadsheets/d/1MeEWN-I1oV_STSDYn1IFDPWt_1FKiwhDph83XaGc0o0/edit?usp=sharing"",""งบพรบ!AI30"")"),395200)</f>
        <v>395200</v>
      </c>
      <c r="G30" s="88">
        <f ca="1">IFERROR(__xludf.DUMMYFUNCTION("IMPORTRANGE(""https://docs.google.com/spreadsheets/d/1MeEWN-I1oV_STSDYn1IFDPWt_1FKiwhDph83XaGc0o0/edit?usp=sharing"",""งบพรบ!AJ30"")"),0)</f>
        <v>0</v>
      </c>
      <c r="H30" s="88">
        <f ca="1">IFERROR(__xludf.DUMMYFUNCTION("IMPORTRANGE(""https://docs.google.com/spreadsheets/d/1MeEWN-I1oV_STSDYn1IFDPWt_1FKiwhDph83XaGc0o0/edit?usp=sharing"",""งบพรบ!AL30"")"),880200)</f>
        <v>880200</v>
      </c>
      <c r="I30" s="88">
        <f ca="1">IFERROR(__xludf.DUMMYFUNCTION("IMPORTRANGE(""https://docs.google.com/spreadsheets/d/1MeEWN-I1oV_STSDYn1IFDPWt_1FKiwhDph83XaGc0o0/edit?usp=sharing"",""งบพรบ!AM30"")"),0)</f>
        <v>0</v>
      </c>
      <c r="J30" s="88">
        <f t="shared" ca="1" si="3"/>
        <v>815195.77</v>
      </c>
      <c r="K30" s="89">
        <f t="shared" ca="1" si="4"/>
        <v>92.614834128607129</v>
      </c>
      <c r="L30" s="88">
        <f ca="1">IFERROR(__xludf.DUMMYFUNCTION("IMPORTRANGE(""https://docs.google.com/spreadsheets/d/1MeEWN-I1oV_STSDYn1IFDPWt_1FKiwhDph83XaGc0o0/edit?usp=sharing"",""งบพรบ!AN30"")"),815195.77)</f>
        <v>815195.77</v>
      </c>
      <c r="M30" s="90">
        <f t="shared" ca="1" si="5"/>
        <v>92.614834128607129</v>
      </c>
      <c r="N30" s="90">
        <f t="shared" ca="1" si="6"/>
        <v>92.614834128607129</v>
      </c>
      <c r="O30" s="91">
        <f ca="1">IFERROR(__xludf.DUMMYFUNCTION("IMPORTRANGE(""https://docs.google.com/spreadsheets/d/1MeEWN-I1oV_STSDYn1IFDPWt_1FKiwhDph83XaGc0o0/edit?usp=sharing"",""งบพรบ!AO30"")"),0)</f>
        <v>0</v>
      </c>
      <c r="P30" s="91">
        <f t="shared" ca="1" si="29"/>
        <v>0</v>
      </c>
      <c r="Q30" s="90">
        <f t="shared" ca="1" si="8"/>
        <v>0</v>
      </c>
      <c r="R30" s="92">
        <f t="shared" ca="1" si="30"/>
        <v>1</v>
      </c>
      <c r="S30" s="92">
        <f t="shared" ca="1" si="24"/>
        <v>32</v>
      </c>
      <c r="T30" s="92">
        <f t="shared" ca="1" si="33"/>
        <v>1</v>
      </c>
      <c r="U30" s="93">
        <f t="shared" ca="1" si="25"/>
        <v>100</v>
      </c>
      <c r="V30" s="92">
        <f t="shared" ca="1" si="34"/>
        <v>32</v>
      </c>
      <c r="W30" s="93">
        <f t="shared" ca="1" si="26"/>
        <v>100</v>
      </c>
      <c r="X30" s="88">
        <f ca="1">IFERROR(__xludf.DUMMYFUNCTION("IMPORTRANGE(""https://docs.google.com/spreadsheets/d/1kII0BjS6CtVrBvI8IrytgPdxDrlyQDyigzMsohRtDMs/edit?usp=sharing"",""อุทัยธานี!I78"")"),0)</f>
        <v>0</v>
      </c>
      <c r="Y30" s="88">
        <f ca="1">IFERROR(__xludf.DUMMYFUNCTION("IMPORTRANGE(""https://docs.google.com/spreadsheets/d/1kII0BjS6CtVrBvI8IrytgPdxDrlyQDyigzMsohRtDMs/edit?usp=sharing"",""อุทัยธานี!I79"")"),0)</f>
        <v>0</v>
      </c>
      <c r="Z30" s="92">
        <f ca="1">IFERROR(__xludf.DUMMYFUNCTION("IMPORTRANGE(""https://docs.google.com/spreadsheets/d/1kII0BjS6CtVrBvI8IrytgPdxDrlyQDyigzMsohRtDMs/edit?usp=sharing"",""อุทัยธานี!J78"")"),0)</f>
        <v>0</v>
      </c>
      <c r="AA30" s="92">
        <f ca="1">IFERROR(__xludf.DUMMYFUNCTION("IMPORTRANGE(""https://docs.google.com/spreadsheets/d/1kII0BjS6CtVrBvI8IrytgPdxDrlyQDyigzMsohRtDMs/edit?usp=sharing"",""อุทัยธานี!J79"")"),0)</f>
        <v>0</v>
      </c>
      <c r="AB30" s="88">
        <f ca="1">IFERROR(__xludf.DUMMYFUNCTION("IMPORTRANGE(""https://docs.google.com/spreadsheets/d/1kII0BjS6CtVrBvI8IrytgPdxDrlyQDyigzMsohRtDMs/edit?usp=sharing"",""อุทัยธานี!I80"")"),1)</f>
        <v>1</v>
      </c>
      <c r="AC30" s="88">
        <f ca="1">IFERROR(__xludf.DUMMYFUNCTION("IMPORTRANGE(""https://docs.google.com/spreadsheets/d/1kII0BjS6CtVrBvI8IrytgPdxDrlyQDyigzMsohRtDMs/edit?usp=sharing"",""อุทัยธานี!I81"")"),32)</f>
        <v>32</v>
      </c>
      <c r="AD30" s="92">
        <f ca="1">IFERROR(__xludf.DUMMYFUNCTION("IMPORTRANGE(""https://docs.google.com/spreadsheets/d/1kII0BjS6CtVrBvI8IrytgPdxDrlyQDyigzMsohRtDMs/edit?usp=sharing"",""อุทัยธานี!J80"")"),1)</f>
        <v>1</v>
      </c>
      <c r="AE30" s="92">
        <f ca="1">IFERROR(__xludf.DUMMYFUNCTION("IMPORTRANGE(""https://docs.google.com/spreadsheets/d/1kII0BjS6CtVrBvI8IrytgPdxDrlyQDyigzMsohRtDMs/edit?usp=sharing"",""อุทัยธานี!J81"")"),32)</f>
        <v>32</v>
      </c>
      <c r="AF30" s="88">
        <f ca="1">IFERROR(__xludf.DUMMYFUNCTION("IMPORTRANGE(""https://docs.google.com/spreadsheets/d/1kII0BjS6CtVrBvI8IrytgPdxDrlyQDyigzMsohRtDMs/edit?usp=sharing"",""อุทัยธานี!I82"")"),0)</f>
        <v>0</v>
      </c>
      <c r="AG30" s="88">
        <f ca="1">IFERROR(__xludf.DUMMYFUNCTION("IMPORTRANGE(""https://docs.google.com/spreadsheets/d/1kII0BjS6CtVrBvI8IrytgPdxDrlyQDyigzMsohRtDMs/edit?usp=sharing"",""อุทัยธานี!I83"")"),0)</f>
        <v>0</v>
      </c>
      <c r="AH30" s="92">
        <f ca="1">IFERROR(__xludf.DUMMYFUNCTION("IMPORTRANGE(""https://docs.google.com/spreadsheets/d/1kII0BjS6CtVrBvI8IrytgPdxDrlyQDyigzMsohRtDMs/edit?usp=sharing"",""อุทัยธานี!J82"")"),0)</f>
        <v>0</v>
      </c>
      <c r="AI30" s="92">
        <f ca="1">IFERROR(__xludf.DUMMYFUNCTION("IMPORTRANGE(""https://docs.google.com/spreadsheets/d/1kII0BjS6CtVrBvI8IrytgPdxDrlyQDyigzMsohRtDMs/edit?usp=sharing"",""อุทัยธานี!J83"")"),0)</f>
        <v>0</v>
      </c>
      <c r="AJ30" s="88">
        <f ca="1">IFERROR(__xludf.DUMMYFUNCTION("IMPORTRANGE(""https://docs.google.com/spreadsheets/d/1kII0BjS6CtVrBvI8IrytgPdxDrlyQDyigzMsohRtDMs/edit?usp=sharing"",""อุทัยธานี!I84"")"),1)</f>
        <v>1</v>
      </c>
      <c r="AK30" s="92">
        <f ca="1">IFERROR(__xludf.DUMMYFUNCTION("IMPORTRANGE(""https://docs.google.com/spreadsheets/d/1kII0BjS6CtVrBvI8IrytgPdxDrlyQDyigzMsohRtDMs/edit?usp=sharing"",""อุทัยธานี!J84"")"),1)</f>
        <v>1</v>
      </c>
      <c r="AL30" s="90">
        <f t="shared" ca="1" si="27"/>
        <v>100</v>
      </c>
    </row>
    <row r="31" spans="1:38" ht="21" customHeight="1" x14ac:dyDescent="0.2">
      <c r="A31" s="383" t="s">
        <v>53</v>
      </c>
      <c r="B31" s="384"/>
      <c r="C31" s="94">
        <f t="shared" ca="1" si="0"/>
        <v>12933000</v>
      </c>
      <c r="D31" s="57">
        <f t="shared" ref="D31:I31" ca="1" si="35">SUM(D32:D51)</f>
        <v>12933000</v>
      </c>
      <c r="E31" s="57">
        <f t="shared" ca="1" si="35"/>
        <v>5136000</v>
      </c>
      <c r="F31" s="57">
        <f t="shared" ca="1" si="35"/>
        <v>7797000</v>
      </c>
      <c r="G31" s="57">
        <f t="shared" ca="1" si="35"/>
        <v>0</v>
      </c>
      <c r="H31" s="57">
        <f t="shared" ca="1" si="35"/>
        <v>13225570</v>
      </c>
      <c r="I31" s="57">
        <f t="shared" ca="1" si="35"/>
        <v>0</v>
      </c>
      <c r="J31" s="57">
        <f t="shared" ca="1" si="3"/>
        <v>12000862.719999999</v>
      </c>
      <c r="K31" s="95">
        <f t="shared" ca="1" si="4"/>
        <v>92.792567231114205</v>
      </c>
      <c r="L31" s="57">
        <f ca="1">SUM(L32:L51)</f>
        <v>12000862.719999999</v>
      </c>
      <c r="M31" s="96">
        <f t="shared" ca="1" si="5"/>
        <v>92.792567231114205</v>
      </c>
      <c r="N31" s="96">
        <f t="shared" ca="1" si="6"/>
        <v>90.73985257346186</v>
      </c>
      <c r="O31" s="97">
        <f ca="1">SUM(O32:O51)</f>
        <v>0</v>
      </c>
      <c r="P31" s="97">
        <f t="shared" ca="1" si="29"/>
        <v>0</v>
      </c>
      <c r="Q31" s="96">
        <f t="shared" ca="1" si="8"/>
        <v>0</v>
      </c>
      <c r="R31" s="57">
        <f t="shared" ca="1" si="30"/>
        <v>17</v>
      </c>
      <c r="S31" s="57">
        <f t="shared" ca="1" si="24"/>
        <v>760</v>
      </c>
      <c r="T31" s="57">
        <f ca="1">SUM(T32:T51)</f>
        <v>17</v>
      </c>
      <c r="U31" s="96">
        <f t="shared" ca="1" si="25"/>
        <v>100</v>
      </c>
      <c r="V31" s="57">
        <f ca="1">SUM(V32:V51)</f>
        <v>760</v>
      </c>
      <c r="W31" s="96">
        <f t="shared" ca="1" si="26"/>
        <v>100</v>
      </c>
      <c r="X31" s="57">
        <f t="shared" ref="X31:AK31" ca="1" si="36">SUM(X32:X51)</f>
        <v>3</v>
      </c>
      <c r="Y31" s="57">
        <f t="shared" ca="1" si="36"/>
        <v>117</v>
      </c>
      <c r="Z31" s="57">
        <f t="shared" ca="1" si="36"/>
        <v>3</v>
      </c>
      <c r="AA31" s="57">
        <f t="shared" ca="1" si="36"/>
        <v>117</v>
      </c>
      <c r="AB31" s="57">
        <f t="shared" ca="1" si="36"/>
        <v>6</v>
      </c>
      <c r="AC31" s="57">
        <f t="shared" ca="1" si="36"/>
        <v>270</v>
      </c>
      <c r="AD31" s="57">
        <f t="shared" ca="1" si="36"/>
        <v>6</v>
      </c>
      <c r="AE31" s="57">
        <f t="shared" ca="1" si="36"/>
        <v>270</v>
      </c>
      <c r="AF31" s="57">
        <f t="shared" ca="1" si="36"/>
        <v>8</v>
      </c>
      <c r="AG31" s="57">
        <f t="shared" ca="1" si="36"/>
        <v>373</v>
      </c>
      <c r="AH31" s="57">
        <f t="shared" ca="1" si="36"/>
        <v>8</v>
      </c>
      <c r="AI31" s="57">
        <f t="shared" ca="1" si="36"/>
        <v>373</v>
      </c>
      <c r="AJ31" s="57">
        <f t="shared" ca="1" si="36"/>
        <v>17</v>
      </c>
      <c r="AK31" s="57">
        <f t="shared" ca="1" si="36"/>
        <v>12</v>
      </c>
      <c r="AL31" s="96">
        <f t="shared" ca="1" si="27"/>
        <v>70.588235294117652</v>
      </c>
    </row>
    <row r="32" spans="1:38" ht="21" customHeight="1" x14ac:dyDescent="0.2">
      <c r="A32" s="63">
        <v>1</v>
      </c>
      <c r="B32" s="64" t="s">
        <v>54</v>
      </c>
      <c r="C32" s="98">
        <f t="shared" ca="1" si="0"/>
        <v>0</v>
      </c>
      <c r="D32" s="66">
        <f t="shared" ref="D32:D51" ca="1" si="37">+E32+F32</f>
        <v>0</v>
      </c>
      <c r="E32" s="67">
        <f ca="1">IFERROR(__xludf.DUMMYFUNCTION("IMPORTRANGE(""https://docs.google.com/spreadsheets/d/1MeEWN-I1oV_STSDYn1IFDPWt_1FKiwhDph83XaGc0o0/edit?usp=sharing"",""งบพรบ!AH32"")"),0)</f>
        <v>0</v>
      </c>
      <c r="F32" s="67">
        <f ca="1">IFERROR(__xludf.DUMMYFUNCTION("IMPORTRANGE(""https://docs.google.com/spreadsheets/d/1MeEWN-I1oV_STSDYn1IFDPWt_1FKiwhDph83XaGc0o0/edit?usp=sharing"",""งบพรบ!AI32"")"),0)</f>
        <v>0</v>
      </c>
      <c r="G32" s="68">
        <f ca="1">IFERROR(__xludf.DUMMYFUNCTION("IMPORTRANGE(""https://docs.google.com/spreadsheets/d/1MeEWN-I1oV_STSDYn1IFDPWt_1FKiwhDph83XaGc0o0/edit?usp=sharing"",""งบพรบ!AJ32"")"),0)</f>
        <v>0</v>
      </c>
      <c r="H32" s="68">
        <f ca="1">IFERROR(__xludf.DUMMYFUNCTION("IMPORTRANGE(""https://docs.google.com/spreadsheets/d/1MeEWN-I1oV_STSDYn1IFDPWt_1FKiwhDph83XaGc0o0/edit?usp=sharing"",""งบพรบ!AL32"")"),0)</f>
        <v>0</v>
      </c>
      <c r="I32" s="68">
        <f ca="1">IFERROR(__xludf.DUMMYFUNCTION("IMPORTRANGE(""https://docs.google.com/spreadsheets/d/1MeEWN-I1oV_STSDYn1IFDPWt_1FKiwhDph83XaGc0o0/edit?usp=sharing"",""งบพรบ!AM32"")"),0)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IFERROR(__xludf.DUMMYFUNCTION("IMPORTRANGE(""https://docs.google.com/spreadsheets/d/1MeEWN-I1oV_STSDYn1IFDPWt_1FKiwhDph83XaGc0o0/edit?usp=sharing"",""งบพรบ!AN32"")"),0)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IFERROR(__xludf.DUMMYFUNCTION("IMPORTRANGE(""https://docs.google.com/spreadsheets/d/1MeEWN-I1oV_STSDYn1IFDPWt_1FKiwhDph83XaGc0o0/edit?usp=sharing"",""งบพรบ!AO32"")"),0)</f>
        <v>0</v>
      </c>
      <c r="P32" s="71">
        <f t="shared" ca="1" si="29"/>
        <v>0</v>
      </c>
      <c r="Q32" s="70">
        <f t="shared" ca="1" si="8"/>
        <v>0</v>
      </c>
      <c r="R32" s="68">
        <f t="shared" ca="1" si="30"/>
        <v>0</v>
      </c>
      <c r="S32" s="68">
        <f t="shared" ca="1" si="24"/>
        <v>0</v>
      </c>
      <c r="T32" s="68">
        <f t="shared" ref="T32:T51" ca="1" si="38">Z32+AD32+AH32</f>
        <v>0</v>
      </c>
      <c r="U32" s="72">
        <f t="shared" ca="1" si="25"/>
        <v>0</v>
      </c>
      <c r="V32" s="68">
        <f t="shared" ref="V32:V51" ca="1" si="39">AA32+AE32+AI32</f>
        <v>0</v>
      </c>
      <c r="W32" s="72">
        <f t="shared" ca="1" si="26"/>
        <v>0</v>
      </c>
      <c r="X32" s="67">
        <f ca="1">IFERROR(__xludf.DUMMYFUNCTION("IMPORTRANGE(""https://docs.google.com/spreadsheets/d/1fb2B9NLcpJgjIieIJvenUTNPn0TimZDUi0OtYeiSQ_s/edit?usp=sharing"",""กาฬสินธุ์!I78"")"),0)</f>
        <v>0</v>
      </c>
      <c r="Y32" s="67">
        <f ca="1">IFERROR(__xludf.DUMMYFUNCTION("IMPORTRANGE(""https://docs.google.com/spreadsheets/d/1fb2B9NLcpJgjIieIJvenUTNPn0TimZDUi0OtYeiSQ_s/edit?usp=sharing"",""กาฬสินธุ์!I79"")"),0)</f>
        <v>0</v>
      </c>
      <c r="Z32" s="68">
        <f ca="1">IFERROR(__xludf.DUMMYFUNCTION("IMPORTRANGE(""https://docs.google.com/spreadsheets/d/1fb2B9NLcpJgjIieIJvenUTNPn0TimZDUi0OtYeiSQ_s/edit?usp=sharing"",""กาฬสินธุ์!J78"")"),0)</f>
        <v>0</v>
      </c>
      <c r="AA32" s="68">
        <f ca="1">IFERROR(__xludf.DUMMYFUNCTION("IMPORTRANGE(""https://docs.google.com/spreadsheets/d/1fb2B9NLcpJgjIieIJvenUTNPn0TimZDUi0OtYeiSQ_s/edit?usp=sharing"",""กาฬสินธุ์!J79"")"),0)</f>
        <v>0</v>
      </c>
      <c r="AB32" s="67">
        <f ca="1">IFERROR(__xludf.DUMMYFUNCTION("IMPORTRANGE(""https://docs.google.com/spreadsheets/d/1fb2B9NLcpJgjIieIJvenUTNPn0TimZDUi0OtYeiSQ_s/edit?usp=sharing"",""กาฬสินธุ์!I80"")"),0)</f>
        <v>0</v>
      </c>
      <c r="AC32" s="67">
        <f ca="1">IFERROR(__xludf.DUMMYFUNCTION("IMPORTRANGE(""https://docs.google.com/spreadsheets/d/1fb2B9NLcpJgjIieIJvenUTNPn0TimZDUi0OtYeiSQ_s/edit?usp=sharing"",""กาฬสินธุ์!I81"")"),0)</f>
        <v>0</v>
      </c>
      <c r="AD32" s="68">
        <f ca="1">IFERROR(__xludf.DUMMYFUNCTION("IMPORTRANGE(""https://docs.google.com/spreadsheets/d/1fb2B9NLcpJgjIieIJvenUTNPn0TimZDUi0OtYeiSQ_s/edit?usp=sharing"",""กาฬสินธุ์!J80"")"),0)</f>
        <v>0</v>
      </c>
      <c r="AE32" s="68">
        <f ca="1">IFERROR(__xludf.DUMMYFUNCTION("IMPORTRANGE(""https://docs.google.com/spreadsheets/d/1fb2B9NLcpJgjIieIJvenUTNPn0TimZDUi0OtYeiSQ_s/edit?usp=sharing"",""กาฬสินธุ์!J81"")"),0)</f>
        <v>0</v>
      </c>
      <c r="AF32" s="67">
        <f ca="1">IFERROR(__xludf.DUMMYFUNCTION("IMPORTRANGE(""https://docs.google.com/spreadsheets/d/1fb2B9NLcpJgjIieIJvenUTNPn0TimZDUi0OtYeiSQ_s/edit?usp=sharing"",""กาฬสินธุ์!I82"")"),0)</f>
        <v>0</v>
      </c>
      <c r="AG32" s="67">
        <f ca="1">IFERROR(__xludf.DUMMYFUNCTION("IMPORTRANGE(""https://docs.google.com/spreadsheets/d/1fb2B9NLcpJgjIieIJvenUTNPn0TimZDUi0OtYeiSQ_s/edit?usp=sharing"",""กาฬสินธุ์!I83"")"),0)</f>
        <v>0</v>
      </c>
      <c r="AH32" s="68">
        <f ca="1">IFERROR(__xludf.DUMMYFUNCTION("IMPORTRANGE(""https://docs.google.com/spreadsheets/d/1fb2B9NLcpJgjIieIJvenUTNPn0TimZDUi0OtYeiSQ_s/edit?usp=sharing"",""กาฬสินธุ์!J82"")"),0)</f>
        <v>0</v>
      </c>
      <c r="AI32" s="68">
        <f ca="1">IFERROR(__xludf.DUMMYFUNCTION("IMPORTRANGE(""https://docs.google.com/spreadsheets/d/1fb2B9NLcpJgjIieIJvenUTNPn0TimZDUi0OtYeiSQ_s/edit?usp=sharing"",""กาฬสินธุ์!J83"")"),0)</f>
        <v>0</v>
      </c>
      <c r="AJ32" s="67">
        <f ca="1">IFERROR(__xludf.DUMMYFUNCTION("IMPORTRANGE(""https://docs.google.com/spreadsheets/d/1fb2B9NLcpJgjIieIJvenUTNPn0TimZDUi0OtYeiSQ_s/edit?usp=sharing"",""กาฬสินธุ์!I84"")"),0)</f>
        <v>0</v>
      </c>
      <c r="AK32" s="68">
        <f ca="1">IFERROR(__xludf.DUMMYFUNCTION("IMPORTRANGE(""https://docs.google.com/spreadsheets/d/1fb2B9NLcpJgjIieIJvenUTNPn0TimZDUi0OtYeiSQ_s/edit?usp=sharing"",""กาฬสินธุ์!J84"")"),0)</f>
        <v>0</v>
      </c>
      <c r="AL32" s="70">
        <f t="shared" ca="1" si="27"/>
        <v>0</v>
      </c>
    </row>
    <row r="33" spans="1:38" ht="21" customHeight="1" x14ac:dyDescent="0.2">
      <c r="A33" s="73">
        <v>2</v>
      </c>
      <c r="B33" s="74" t="s">
        <v>55</v>
      </c>
      <c r="C33" s="75">
        <f t="shared" ca="1" si="0"/>
        <v>1012000</v>
      </c>
      <c r="D33" s="76">
        <f t="shared" ca="1" si="37"/>
        <v>1012000</v>
      </c>
      <c r="E33" s="77">
        <f ca="1">IFERROR(__xludf.DUMMYFUNCTION("IMPORTRANGE(""https://docs.google.com/spreadsheets/d/1MeEWN-I1oV_STSDYn1IFDPWt_1FKiwhDph83XaGc0o0/edit?usp=sharing"",""งบพรบ!AH33"")"),628000)</f>
        <v>628000</v>
      </c>
      <c r="F33" s="77">
        <f ca="1">IFERROR(__xludf.DUMMYFUNCTION("IMPORTRANGE(""https://docs.google.com/spreadsheets/d/1MeEWN-I1oV_STSDYn1IFDPWt_1FKiwhDph83XaGc0o0/edit?usp=sharing"",""งบพรบ!AI33"")"),384000)</f>
        <v>384000</v>
      </c>
      <c r="G33" s="77">
        <f ca="1">IFERROR(__xludf.DUMMYFUNCTION("IMPORTRANGE(""https://docs.google.com/spreadsheets/d/1MeEWN-I1oV_STSDYn1IFDPWt_1FKiwhDph83XaGc0o0/edit?usp=sharing"",""งบพรบ!AJ33"")"),0)</f>
        <v>0</v>
      </c>
      <c r="H33" s="77">
        <f ca="1">IFERROR(__xludf.DUMMYFUNCTION("IMPORTRANGE(""https://docs.google.com/spreadsheets/d/1MeEWN-I1oV_STSDYn1IFDPWt_1FKiwhDph83XaGc0o0/edit?usp=sharing"",""งบพรบ!AL33"")"),1049980)</f>
        <v>1049980</v>
      </c>
      <c r="I33" s="77">
        <f ca="1">IFERROR(__xludf.DUMMYFUNCTION("IMPORTRANGE(""https://docs.google.com/spreadsheets/d/1MeEWN-I1oV_STSDYn1IFDPWt_1FKiwhDph83XaGc0o0/edit?usp=sharing"",""งบพรบ!AM33"")"),0)</f>
        <v>0</v>
      </c>
      <c r="J33" s="77">
        <f t="shared" ca="1" si="3"/>
        <v>982197.02</v>
      </c>
      <c r="K33" s="78">
        <f t="shared" ca="1" si="4"/>
        <v>97.055041501976291</v>
      </c>
      <c r="L33" s="77">
        <f ca="1">IFERROR(__xludf.DUMMYFUNCTION("IMPORTRANGE(""https://docs.google.com/spreadsheets/d/1MeEWN-I1oV_STSDYn1IFDPWt_1FKiwhDph83XaGc0o0/edit?usp=sharing"",""งบพรบ!AN33"")"),982197.02)</f>
        <v>982197.02</v>
      </c>
      <c r="M33" s="79">
        <f t="shared" ca="1" si="5"/>
        <v>97.055041501976291</v>
      </c>
      <c r="N33" s="79">
        <f t="shared" ca="1" si="6"/>
        <v>93.544355130573919</v>
      </c>
      <c r="O33" s="80">
        <f ca="1">IFERROR(__xludf.DUMMYFUNCTION("IMPORTRANGE(""https://docs.google.com/spreadsheets/d/1MeEWN-I1oV_STSDYn1IFDPWt_1FKiwhDph83XaGc0o0/edit?usp=sharing"",""งบพรบ!AO33"")"),0)</f>
        <v>0</v>
      </c>
      <c r="P33" s="80">
        <f t="shared" ca="1" si="29"/>
        <v>0</v>
      </c>
      <c r="Q33" s="79">
        <f t="shared" ca="1" si="8"/>
        <v>0</v>
      </c>
      <c r="R33" s="81">
        <f t="shared" ca="1" si="30"/>
        <v>1</v>
      </c>
      <c r="S33" s="81">
        <f t="shared" ca="1" si="24"/>
        <v>30</v>
      </c>
      <c r="T33" s="81">
        <f t="shared" ca="1" si="38"/>
        <v>1</v>
      </c>
      <c r="U33" s="82">
        <f t="shared" ca="1" si="25"/>
        <v>100</v>
      </c>
      <c r="V33" s="81">
        <f t="shared" ca="1" si="39"/>
        <v>30</v>
      </c>
      <c r="W33" s="82">
        <f t="shared" ca="1" si="26"/>
        <v>100</v>
      </c>
      <c r="X33" s="77">
        <f ca="1">IFERROR(__xludf.DUMMYFUNCTION("IMPORTRANGE(""https://docs.google.com/spreadsheets/d/1SaMnqrwRGmFYNR0MhpWmHuL5niYUd5E7vDq8X7whAlI/edit?usp=sharing"",""ขอนแก่น!I78"")"),0)</f>
        <v>0</v>
      </c>
      <c r="Y33" s="77">
        <f ca="1">IFERROR(__xludf.DUMMYFUNCTION("IMPORTRANGE(""https://docs.google.com/spreadsheets/d/1SaMnqrwRGmFYNR0MhpWmHuL5niYUd5E7vDq8X7whAlI/edit?usp=sharing"",""ขอนแก่น!I79"")"),0)</f>
        <v>0</v>
      </c>
      <c r="Z33" s="81">
        <f ca="1">IFERROR(__xludf.DUMMYFUNCTION("IMPORTRANGE(""https://docs.google.com/spreadsheets/d/1SaMnqrwRGmFYNR0MhpWmHuL5niYUd5E7vDq8X7whAlI/edit?usp=sharing"",""ขอนแก่น!J78"")"),0)</f>
        <v>0</v>
      </c>
      <c r="AA33" s="81">
        <f ca="1">IFERROR(__xludf.DUMMYFUNCTION("IMPORTRANGE(""https://docs.google.com/spreadsheets/d/1SaMnqrwRGmFYNR0MhpWmHuL5niYUd5E7vDq8X7whAlI/edit?usp=sharing"",""ขอนแก่น!J79"")"),0)</f>
        <v>0</v>
      </c>
      <c r="AB33" s="77">
        <f ca="1">IFERROR(__xludf.DUMMYFUNCTION("IMPORTRANGE(""https://docs.google.com/spreadsheets/d/1SaMnqrwRGmFYNR0MhpWmHuL5niYUd5E7vDq8X7whAlI/edit?usp=sharing"",""ขอนแก่น!I80"")"),1)</f>
        <v>1</v>
      </c>
      <c r="AC33" s="77">
        <f ca="1">IFERROR(__xludf.DUMMYFUNCTION("IMPORTRANGE(""https://docs.google.com/spreadsheets/d/1SaMnqrwRGmFYNR0MhpWmHuL5niYUd5E7vDq8X7whAlI/edit?usp=sharing"",""ขอนแก่น!I81"")"),30)</f>
        <v>30</v>
      </c>
      <c r="AD33" s="81">
        <f ca="1">IFERROR(__xludf.DUMMYFUNCTION("IMPORTRANGE(""https://docs.google.com/spreadsheets/d/1SaMnqrwRGmFYNR0MhpWmHuL5niYUd5E7vDq8X7whAlI/edit?usp=sharing"",""ขอนแก่น!J80"")"),1)</f>
        <v>1</v>
      </c>
      <c r="AE33" s="81">
        <f ca="1">IFERROR(__xludf.DUMMYFUNCTION("IMPORTRANGE(""https://docs.google.com/spreadsheets/d/1SaMnqrwRGmFYNR0MhpWmHuL5niYUd5E7vDq8X7whAlI/edit?usp=sharing"",""ขอนแก่น!J81"")"),30)</f>
        <v>30</v>
      </c>
      <c r="AF33" s="77">
        <f ca="1">IFERROR(__xludf.DUMMYFUNCTION("IMPORTRANGE(""https://docs.google.com/spreadsheets/d/1SaMnqrwRGmFYNR0MhpWmHuL5niYUd5E7vDq8X7whAlI/edit?usp=sharing"",""ขอนแก่น!I82"")"),0)</f>
        <v>0</v>
      </c>
      <c r="AG33" s="77">
        <f ca="1">IFERROR(__xludf.DUMMYFUNCTION("IMPORTRANGE(""https://docs.google.com/spreadsheets/d/1SaMnqrwRGmFYNR0MhpWmHuL5niYUd5E7vDq8X7whAlI/edit?usp=sharing"",""ขอนแก่น!I83"")"),0)</f>
        <v>0</v>
      </c>
      <c r="AH33" s="81">
        <f ca="1">IFERROR(__xludf.DUMMYFUNCTION("IMPORTRANGE(""https://docs.google.com/spreadsheets/d/1SaMnqrwRGmFYNR0MhpWmHuL5niYUd5E7vDq8X7whAlI/edit?usp=sharing"",""ขอนแก่น!J82"")"),0)</f>
        <v>0</v>
      </c>
      <c r="AI33" s="81">
        <f ca="1">IFERROR(__xludf.DUMMYFUNCTION("IMPORTRANGE(""https://docs.google.com/spreadsheets/d/1SaMnqrwRGmFYNR0MhpWmHuL5niYUd5E7vDq8X7whAlI/edit?usp=sharing"",""ขอนแก่น!J83"")"),0)</f>
        <v>0</v>
      </c>
      <c r="AJ33" s="77">
        <f ca="1">IFERROR(__xludf.DUMMYFUNCTION("IMPORTRANGE(""https://docs.google.com/spreadsheets/d/1SaMnqrwRGmFYNR0MhpWmHuL5niYUd5E7vDq8X7whAlI/edit?usp=sharing"",""ขอนแก่น!I84"")"),1)</f>
        <v>1</v>
      </c>
      <c r="AK33" s="81">
        <f ca="1">IFERROR(__xludf.DUMMYFUNCTION("IMPORTRANGE(""https://docs.google.com/spreadsheets/d/1SaMnqrwRGmFYNR0MhpWmHuL5niYUd5E7vDq8X7whAlI/edit?usp=sharing"",""ขอนแก่น!J84"")"),1)</f>
        <v>1</v>
      </c>
      <c r="AL33" s="79">
        <f t="shared" ca="1" si="27"/>
        <v>100</v>
      </c>
    </row>
    <row r="34" spans="1:38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37"/>
        <v>0</v>
      </c>
      <c r="E34" s="77">
        <f ca="1">IFERROR(__xludf.DUMMYFUNCTION("IMPORTRANGE(""https://docs.google.com/spreadsheets/d/1MeEWN-I1oV_STSDYn1IFDPWt_1FKiwhDph83XaGc0o0/edit?usp=sharing"",""งบพรบ!AH34"")"),0)</f>
        <v>0</v>
      </c>
      <c r="F34" s="77">
        <f ca="1">IFERROR(__xludf.DUMMYFUNCTION("IMPORTRANGE(""https://docs.google.com/spreadsheets/d/1MeEWN-I1oV_STSDYn1IFDPWt_1FKiwhDph83XaGc0o0/edit?usp=sharing"",""งบพรบ!AI34"")"),0)</f>
        <v>0</v>
      </c>
      <c r="G34" s="77">
        <f ca="1">IFERROR(__xludf.DUMMYFUNCTION("IMPORTRANGE(""https://docs.google.com/spreadsheets/d/1MeEWN-I1oV_STSDYn1IFDPWt_1FKiwhDph83XaGc0o0/edit?usp=sharing"",""งบพรบ!AJ34"")"),0)</f>
        <v>0</v>
      </c>
      <c r="H34" s="77">
        <f ca="1">IFERROR(__xludf.DUMMYFUNCTION("IMPORTRANGE(""https://docs.google.com/spreadsheets/d/1MeEWN-I1oV_STSDYn1IFDPWt_1FKiwhDph83XaGc0o0/edit?usp=sharing"",""งบพรบ!AL34"")"),0)</f>
        <v>0</v>
      </c>
      <c r="I34" s="77">
        <f ca="1">IFERROR(__xludf.DUMMYFUNCTION("IMPORTRANGE(""https://docs.google.com/spreadsheets/d/1MeEWN-I1oV_STSDYn1IFDPWt_1FKiwhDph83XaGc0o0/edit?usp=sharing"",""งบพรบ!AM34"")"),0)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IFERROR(__xludf.DUMMYFUNCTION("IMPORTRANGE(""https://docs.google.com/spreadsheets/d/1MeEWN-I1oV_STSDYn1IFDPWt_1FKiwhDph83XaGc0o0/edit?usp=sharing"",""งบพรบ!AN34"")"),0)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IFERROR(__xludf.DUMMYFUNCTION("IMPORTRANGE(""https://docs.google.com/spreadsheets/d/1MeEWN-I1oV_STSDYn1IFDPWt_1FKiwhDph83XaGc0o0/edit?usp=sharing"",""งบพรบ!AO34"")"),0)</f>
        <v>0</v>
      </c>
      <c r="P34" s="80">
        <f t="shared" ca="1" si="29"/>
        <v>0</v>
      </c>
      <c r="Q34" s="79">
        <f t="shared" ca="1" si="8"/>
        <v>0</v>
      </c>
      <c r="R34" s="81">
        <f t="shared" ca="1" si="30"/>
        <v>0</v>
      </c>
      <c r="S34" s="81">
        <f t="shared" ca="1" si="24"/>
        <v>0</v>
      </c>
      <c r="T34" s="81">
        <f t="shared" ca="1" si="38"/>
        <v>0</v>
      </c>
      <c r="U34" s="82">
        <f t="shared" ca="1" si="25"/>
        <v>0</v>
      </c>
      <c r="V34" s="81">
        <f t="shared" ca="1" si="39"/>
        <v>0</v>
      </c>
      <c r="W34" s="82">
        <f t="shared" ca="1" si="26"/>
        <v>0</v>
      </c>
      <c r="X34" s="77">
        <f ca="1">IFERROR(__xludf.DUMMYFUNCTION("IMPORTRANGE(""https://docs.google.com/spreadsheets/d/1xQzEtGHhTTgxHh6YUkKY1P4dRyjVhS74dGswLfAASA4/edit?usp=sharing"",""ชัยภูมิ!I78"")"),0)</f>
        <v>0</v>
      </c>
      <c r="Y34" s="77">
        <f ca="1">IFERROR(__xludf.DUMMYFUNCTION("IMPORTRANGE(""https://docs.google.com/spreadsheets/d/1xQzEtGHhTTgxHh6YUkKY1P4dRyjVhS74dGswLfAASA4/edit?usp=sharing"",""ชัยภูมิ!I79"")"),0)</f>
        <v>0</v>
      </c>
      <c r="Z34" s="81">
        <f ca="1">IFERROR(__xludf.DUMMYFUNCTION("IMPORTRANGE(""https://docs.google.com/spreadsheets/d/1xQzEtGHhTTgxHh6YUkKY1P4dRyjVhS74dGswLfAASA4/edit?usp=sharing"",""ชัยภูมิ!J78"")"),0)</f>
        <v>0</v>
      </c>
      <c r="AA34" s="81">
        <f ca="1">IFERROR(__xludf.DUMMYFUNCTION("IMPORTRANGE(""https://docs.google.com/spreadsheets/d/1xQzEtGHhTTgxHh6YUkKY1P4dRyjVhS74dGswLfAASA4/edit?usp=sharing"",""ชัยภูมิ!J79"")"),0)</f>
        <v>0</v>
      </c>
      <c r="AB34" s="77">
        <f ca="1">IFERROR(__xludf.DUMMYFUNCTION("IMPORTRANGE(""https://docs.google.com/spreadsheets/d/1xQzEtGHhTTgxHh6YUkKY1P4dRyjVhS74dGswLfAASA4/edit?usp=sharing"",""ชัยภูมิ!I80"")"),0)</f>
        <v>0</v>
      </c>
      <c r="AC34" s="77">
        <f ca="1">IFERROR(__xludf.DUMMYFUNCTION("IMPORTRANGE(""https://docs.google.com/spreadsheets/d/1xQzEtGHhTTgxHh6YUkKY1P4dRyjVhS74dGswLfAASA4/edit?usp=sharing"",""ชัยภูมิ!I81"")"),0)</f>
        <v>0</v>
      </c>
      <c r="AD34" s="81">
        <f ca="1">IFERROR(__xludf.DUMMYFUNCTION("IMPORTRANGE(""https://docs.google.com/spreadsheets/d/1xQzEtGHhTTgxHh6YUkKY1P4dRyjVhS74dGswLfAASA4/edit?usp=sharing"",""ชัยภูมิ!J80"")"),0)</f>
        <v>0</v>
      </c>
      <c r="AE34" s="81">
        <f ca="1">IFERROR(__xludf.DUMMYFUNCTION("IMPORTRANGE(""https://docs.google.com/spreadsheets/d/1xQzEtGHhTTgxHh6YUkKY1P4dRyjVhS74dGswLfAASA4/edit?usp=sharing"",""ชัยภูมิ!J81"")"),0)</f>
        <v>0</v>
      </c>
      <c r="AF34" s="77">
        <f ca="1">IFERROR(__xludf.DUMMYFUNCTION("IMPORTRANGE(""https://docs.google.com/spreadsheets/d/1xQzEtGHhTTgxHh6YUkKY1P4dRyjVhS74dGswLfAASA4/edit?usp=sharing"",""ชัยภูมิ!I82"")"),0)</f>
        <v>0</v>
      </c>
      <c r="AG34" s="77">
        <f ca="1">IFERROR(__xludf.DUMMYFUNCTION("IMPORTRANGE(""https://docs.google.com/spreadsheets/d/1xQzEtGHhTTgxHh6YUkKY1P4dRyjVhS74dGswLfAASA4/edit?usp=sharing"",""ชัยภูมิ!I83"")"),0)</f>
        <v>0</v>
      </c>
      <c r="AH34" s="81">
        <f ca="1">IFERROR(__xludf.DUMMYFUNCTION("IMPORTRANGE(""https://docs.google.com/spreadsheets/d/1xQzEtGHhTTgxHh6YUkKY1P4dRyjVhS74dGswLfAASA4/edit?usp=sharing"",""ชัยภูมิ!J82"")"),0)</f>
        <v>0</v>
      </c>
      <c r="AI34" s="81">
        <f ca="1">IFERROR(__xludf.DUMMYFUNCTION("IMPORTRANGE(""https://docs.google.com/spreadsheets/d/1xQzEtGHhTTgxHh6YUkKY1P4dRyjVhS74dGswLfAASA4/edit?usp=sharing"",""ชัยภูมิ!J83"")"),0)</f>
        <v>0</v>
      </c>
      <c r="AJ34" s="77">
        <f ca="1">IFERROR(__xludf.DUMMYFUNCTION("IMPORTRANGE(""https://docs.google.com/spreadsheets/d/1xQzEtGHhTTgxHh6YUkKY1P4dRyjVhS74dGswLfAASA4/edit?usp=sharing"",""ชัยภูมิ!I84"")"),0)</f>
        <v>0</v>
      </c>
      <c r="AK34" s="81">
        <f ca="1">IFERROR(__xludf.DUMMYFUNCTION("IMPORTRANGE(""https://docs.google.com/spreadsheets/d/1xQzEtGHhTTgxHh6YUkKY1P4dRyjVhS74dGswLfAASA4/edit?usp=sharing"",""ชัยภูมิ!J84"")"),0)</f>
        <v>0</v>
      </c>
      <c r="AL34" s="79">
        <f t="shared" ca="1" si="27"/>
        <v>0</v>
      </c>
    </row>
    <row r="35" spans="1:38" ht="21" customHeight="1" x14ac:dyDescent="0.2">
      <c r="A35" s="73">
        <v>4</v>
      </c>
      <c r="B35" s="74" t="s">
        <v>57</v>
      </c>
      <c r="C35" s="75">
        <f t="shared" ca="1" si="0"/>
        <v>885100</v>
      </c>
      <c r="D35" s="76">
        <f t="shared" ca="1" si="37"/>
        <v>885100</v>
      </c>
      <c r="E35" s="77">
        <f ca="1">IFERROR(__xludf.DUMMYFUNCTION("IMPORTRANGE(""https://docs.google.com/spreadsheets/d/1MeEWN-I1oV_STSDYn1IFDPWt_1FKiwhDph83XaGc0o0/edit?usp=sharing"",""งบพรบ!AH35"")"),389100)</f>
        <v>389100</v>
      </c>
      <c r="F35" s="77">
        <f ca="1">IFERROR(__xludf.DUMMYFUNCTION("IMPORTRANGE(""https://docs.google.com/spreadsheets/d/1MeEWN-I1oV_STSDYn1IFDPWt_1FKiwhDph83XaGc0o0/edit?usp=sharing"",""งบพรบ!AI35"")"),496000)</f>
        <v>496000</v>
      </c>
      <c r="G35" s="77">
        <f ca="1">IFERROR(__xludf.DUMMYFUNCTION("IMPORTRANGE(""https://docs.google.com/spreadsheets/d/1MeEWN-I1oV_STSDYn1IFDPWt_1FKiwhDph83XaGc0o0/edit?usp=sharing"",""งบพรบ!AJ35"")"),0)</f>
        <v>0</v>
      </c>
      <c r="H35" s="77">
        <f ca="1">IFERROR(__xludf.DUMMYFUNCTION("IMPORTRANGE(""https://docs.google.com/spreadsheets/d/1MeEWN-I1oV_STSDYn1IFDPWt_1FKiwhDph83XaGc0o0/edit?usp=sharing"",""งบพรบ!AL35"")"),901760)</f>
        <v>901760</v>
      </c>
      <c r="I35" s="77">
        <f ca="1">IFERROR(__xludf.DUMMYFUNCTION("IMPORTRANGE(""https://docs.google.com/spreadsheets/d/1MeEWN-I1oV_STSDYn1IFDPWt_1FKiwhDph83XaGc0o0/edit?usp=sharing"",""งบพรบ!AM35"")"),0)</f>
        <v>0</v>
      </c>
      <c r="J35" s="77">
        <f t="shared" ca="1" si="3"/>
        <v>756561.06</v>
      </c>
      <c r="K35" s="78">
        <f t="shared" ca="1" si="4"/>
        <v>85.477466952886672</v>
      </c>
      <c r="L35" s="77">
        <f ca="1">IFERROR(__xludf.DUMMYFUNCTION("IMPORTRANGE(""https://docs.google.com/spreadsheets/d/1MeEWN-I1oV_STSDYn1IFDPWt_1FKiwhDph83XaGc0o0/edit?usp=sharing"",""งบพรบ!AN35"")"),756561.06)</f>
        <v>756561.06</v>
      </c>
      <c r="M35" s="79">
        <f t="shared" ca="1" si="5"/>
        <v>85.477466952886672</v>
      </c>
      <c r="N35" s="79">
        <f t="shared" ca="1" si="6"/>
        <v>83.898272267565645</v>
      </c>
      <c r="O35" s="80">
        <f ca="1">IFERROR(__xludf.DUMMYFUNCTION("IMPORTRANGE(""https://docs.google.com/spreadsheets/d/1MeEWN-I1oV_STSDYn1IFDPWt_1FKiwhDph83XaGc0o0/edit?usp=sharing"",""งบพรบ!AO35"")"),0)</f>
        <v>0</v>
      </c>
      <c r="P35" s="80">
        <f t="shared" ca="1" si="29"/>
        <v>0</v>
      </c>
      <c r="Q35" s="79">
        <f t="shared" ca="1" si="8"/>
        <v>0</v>
      </c>
      <c r="R35" s="81">
        <f t="shared" ca="1" si="30"/>
        <v>1</v>
      </c>
      <c r="S35" s="81">
        <f t="shared" ca="1" si="24"/>
        <v>50</v>
      </c>
      <c r="T35" s="81">
        <f t="shared" ca="1" si="38"/>
        <v>1</v>
      </c>
      <c r="U35" s="82">
        <f t="shared" ca="1" si="25"/>
        <v>100</v>
      </c>
      <c r="V35" s="81">
        <f t="shared" ca="1" si="39"/>
        <v>50</v>
      </c>
      <c r="W35" s="82">
        <f t="shared" ca="1" si="26"/>
        <v>100</v>
      </c>
      <c r="X35" s="77">
        <f ca="1">IFERROR(__xludf.DUMMYFUNCTION("IMPORTRANGE(""https://docs.google.com/spreadsheets/d/1EXMBoBxU3OFbjT2TRpneM33qFjqDzrKmn9ydcflfI0o/edit?usp=sharing"",""นครพนม!I78"")"),0)</f>
        <v>0</v>
      </c>
      <c r="Y35" s="77">
        <f ca="1">IFERROR(__xludf.DUMMYFUNCTION("IMPORTRANGE(""https://docs.google.com/spreadsheets/d/1EXMBoBxU3OFbjT2TRpneM33qFjqDzrKmn9ydcflfI0o/edit?usp=sharing"",""นครพนม!I79"")"),0)</f>
        <v>0</v>
      </c>
      <c r="Z35" s="81">
        <f ca="1">IFERROR(__xludf.DUMMYFUNCTION("IMPORTRANGE(""https://docs.google.com/spreadsheets/d/1EXMBoBxU3OFbjT2TRpneM33qFjqDzrKmn9ydcflfI0o/edit?usp=sharing"",""นครพนม!J78"")"),0)</f>
        <v>0</v>
      </c>
      <c r="AA35" s="81">
        <f ca="1">IFERROR(__xludf.DUMMYFUNCTION("IMPORTRANGE(""https://docs.google.com/spreadsheets/d/1EXMBoBxU3OFbjT2TRpneM33qFjqDzrKmn9ydcflfI0o/edit?usp=sharing"",""นครพนม!J79"")"),0)</f>
        <v>0</v>
      </c>
      <c r="AB35" s="77">
        <f ca="1">IFERROR(__xludf.DUMMYFUNCTION("IMPORTRANGE(""https://docs.google.com/spreadsheets/d/1EXMBoBxU3OFbjT2TRpneM33qFjqDzrKmn9ydcflfI0o/edit?usp=sharing"",""นครพนม!I80"")"),0)</f>
        <v>0</v>
      </c>
      <c r="AC35" s="77">
        <f ca="1">IFERROR(__xludf.DUMMYFUNCTION("IMPORTRANGE(""https://docs.google.com/spreadsheets/d/1EXMBoBxU3OFbjT2TRpneM33qFjqDzrKmn9ydcflfI0o/edit?usp=sharing"",""นครพนม!I81"")"),0)</f>
        <v>0</v>
      </c>
      <c r="AD35" s="81">
        <f ca="1">IFERROR(__xludf.DUMMYFUNCTION("IMPORTRANGE(""https://docs.google.com/spreadsheets/d/1EXMBoBxU3OFbjT2TRpneM33qFjqDzrKmn9ydcflfI0o/edit?usp=sharing"",""นครพนม!J80"")"),0)</f>
        <v>0</v>
      </c>
      <c r="AE35" s="81">
        <f ca="1">IFERROR(__xludf.DUMMYFUNCTION("IMPORTRANGE(""https://docs.google.com/spreadsheets/d/1EXMBoBxU3OFbjT2TRpneM33qFjqDzrKmn9ydcflfI0o/edit?usp=sharing"",""นครพนม!J81"")"),0)</f>
        <v>0</v>
      </c>
      <c r="AF35" s="77">
        <f ca="1">IFERROR(__xludf.DUMMYFUNCTION("IMPORTRANGE(""https://docs.google.com/spreadsheets/d/1EXMBoBxU3OFbjT2TRpneM33qFjqDzrKmn9ydcflfI0o/edit?usp=sharing"",""นครพนม!I82"")"),1)</f>
        <v>1</v>
      </c>
      <c r="AG35" s="77">
        <f ca="1">IFERROR(__xludf.DUMMYFUNCTION("IMPORTRANGE(""https://docs.google.com/spreadsheets/d/1EXMBoBxU3OFbjT2TRpneM33qFjqDzrKmn9ydcflfI0o/edit?usp=sharing"",""นครพนม!I83"")"),50)</f>
        <v>50</v>
      </c>
      <c r="AH35" s="81">
        <f ca="1">IFERROR(__xludf.DUMMYFUNCTION("IMPORTRANGE(""https://docs.google.com/spreadsheets/d/1EXMBoBxU3OFbjT2TRpneM33qFjqDzrKmn9ydcflfI0o/edit?usp=sharing"",""นครพนม!J82"")"),1)</f>
        <v>1</v>
      </c>
      <c r="AI35" s="81">
        <f ca="1">IFERROR(__xludf.DUMMYFUNCTION("IMPORTRANGE(""https://docs.google.com/spreadsheets/d/1EXMBoBxU3OFbjT2TRpneM33qFjqDzrKmn9ydcflfI0o/edit?usp=sharing"",""นครพนม!J83"")"),50)</f>
        <v>50</v>
      </c>
      <c r="AJ35" s="77">
        <f ca="1">IFERROR(__xludf.DUMMYFUNCTION("IMPORTRANGE(""https://docs.google.com/spreadsheets/d/1EXMBoBxU3OFbjT2TRpneM33qFjqDzrKmn9ydcflfI0o/edit?usp=sharing"",""นครพนม!I84"")"),1)</f>
        <v>1</v>
      </c>
      <c r="AK35" s="81">
        <f ca="1">IFERROR(__xludf.DUMMYFUNCTION("IMPORTRANGE(""https://docs.google.com/spreadsheets/d/1EXMBoBxU3OFbjT2TRpneM33qFjqDzrKmn9ydcflfI0o/edit?usp=sharing"",""นครพนม!J84"")"),0)</f>
        <v>0</v>
      </c>
      <c r="AL35" s="79">
        <f t="shared" ca="1" si="27"/>
        <v>0</v>
      </c>
    </row>
    <row r="36" spans="1:38" ht="21" customHeight="1" x14ac:dyDescent="0.2">
      <c r="A36" s="73">
        <v>5</v>
      </c>
      <c r="B36" s="74" t="s">
        <v>58</v>
      </c>
      <c r="C36" s="75">
        <f t="shared" ca="1" si="0"/>
        <v>0</v>
      </c>
      <c r="D36" s="76">
        <f t="shared" ca="1" si="37"/>
        <v>0</v>
      </c>
      <c r="E36" s="77">
        <f ca="1">IFERROR(__xludf.DUMMYFUNCTION("IMPORTRANGE(""https://docs.google.com/spreadsheets/d/1MeEWN-I1oV_STSDYn1IFDPWt_1FKiwhDph83XaGc0o0/edit?usp=sharing"",""งบพรบ!AH36"")"),0)</f>
        <v>0</v>
      </c>
      <c r="F36" s="77">
        <f ca="1">IFERROR(__xludf.DUMMYFUNCTION("IMPORTRANGE(""https://docs.google.com/spreadsheets/d/1MeEWN-I1oV_STSDYn1IFDPWt_1FKiwhDph83XaGc0o0/edit?usp=sharing"",""งบพรบ!AI36"")"),0)</f>
        <v>0</v>
      </c>
      <c r="G36" s="77">
        <f ca="1">IFERROR(__xludf.DUMMYFUNCTION("IMPORTRANGE(""https://docs.google.com/spreadsheets/d/1MeEWN-I1oV_STSDYn1IFDPWt_1FKiwhDph83XaGc0o0/edit?usp=sharing"",""งบพรบ!AJ36"")"),0)</f>
        <v>0</v>
      </c>
      <c r="H36" s="77">
        <f ca="1">IFERROR(__xludf.DUMMYFUNCTION("IMPORTRANGE(""https://docs.google.com/spreadsheets/d/1MeEWN-I1oV_STSDYn1IFDPWt_1FKiwhDph83XaGc0o0/edit?usp=sharing"",""งบพรบ!AL36"")"),0)</f>
        <v>0</v>
      </c>
      <c r="I36" s="77">
        <f ca="1">IFERROR(__xludf.DUMMYFUNCTION("IMPORTRANGE(""https://docs.google.com/spreadsheets/d/1MeEWN-I1oV_STSDYn1IFDPWt_1FKiwhDph83XaGc0o0/edit?usp=sharing"",""งบพรบ!AM36"")"),0)</f>
        <v>0</v>
      </c>
      <c r="J36" s="77">
        <f t="shared" ca="1" si="3"/>
        <v>0</v>
      </c>
      <c r="K36" s="78">
        <f t="shared" ca="1" si="4"/>
        <v>0</v>
      </c>
      <c r="L36" s="77">
        <f ca="1">IFERROR(__xludf.DUMMYFUNCTION("IMPORTRANGE(""https://docs.google.com/spreadsheets/d/1MeEWN-I1oV_STSDYn1IFDPWt_1FKiwhDph83XaGc0o0/edit?usp=sharing"",""งบพรบ!AN36"")"),0)</f>
        <v>0</v>
      </c>
      <c r="M36" s="79">
        <f t="shared" ca="1" si="5"/>
        <v>0</v>
      </c>
      <c r="N36" s="79">
        <f t="shared" ca="1" si="6"/>
        <v>0</v>
      </c>
      <c r="O36" s="80">
        <f ca="1">IFERROR(__xludf.DUMMYFUNCTION("IMPORTRANGE(""https://docs.google.com/spreadsheets/d/1MeEWN-I1oV_STSDYn1IFDPWt_1FKiwhDph83XaGc0o0/edit?usp=sharing"",""งบพรบ!AO36"")"),0)</f>
        <v>0</v>
      </c>
      <c r="P36" s="80">
        <f t="shared" ca="1" si="29"/>
        <v>0</v>
      </c>
      <c r="Q36" s="79">
        <f t="shared" ca="1" si="8"/>
        <v>0</v>
      </c>
      <c r="R36" s="81">
        <f t="shared" ca="1" si="30"/>
        <v>0</v>
      </c>
      <c r="S36" s="81">
        <f t="shared" ca="1" si="24"/>
        <v>0</v>
      </c>
      <c r="T36" s="81">
        <f t="shared" ca="1" si="38"/>
        <v>0</v>
      </c>
      <c r="U36" s="82">
        <f t="shared" ca="1" si="25"/>
        <v>0</v>
      </c>
      <c r="V36" s="81">
        <f t="shared" ca="1" si="39"/>
        <v>0</v>
      </c>
      <c r="W36" s="82">
        <f t="shared" ca="1" si="26"/>
        <v>0</v>
      </c>
      <c r="X36" s="77">
        <f ca="1">IFERROR(__xludf.DUMMYFUNCTION("IMPORTRANGE(""https://docs.google.com/spreadsheets/d/1bDQrolntRWtHumK8W-x-HXKntwxB9S3sF5aDeRS66Ko/edit?usp=sharing"",""นครราชสีมา!I78"")"),0)</f>
        <v>0</v>
      </c>
      <c r="Y36" s="77">
        <f ca="1">IFERROR(__xludf.DUMMYFUNCTION("IMPORTRANGE(""https://docs.google.com/spreadsheets/d/1bDQrolntRWtHumK8W-x-HXKntwxB9S3sF5aDeRS66Ko/edit?usp=sharing"",""นครราชสีมา!I79"")"),0)</f>
        <v>0</v>
      </c>
      <c r="Z36" s="81">
        <f ca="1">IFERROR(__xludf.DUMMYFUNCTION("IMPORTRANGE(""https://docs.google.com/spreadsheets/d/1bDQrolntRWtHumK8W-x-HXKntwxB9S3sF5aDeRS66Ko/edit?usp=sharing"",""นครราชสีมา!J78"")"),0)</f>
        <v>0</v>
      </c>
      <c r="AA36" s="81">
        <f ca="1">IFERROR(__xludf.DUMMYFUNCTION("IMPORTRANGE(""https://docs.google.com/spreadsheets/d/1bDQrolntRWtHumK8W-x-HXKntwxB9S3sF5aDeRS66Ko/edit?usp=sharing"",""นครราชสีมา!J79"")"),0)</f>
        <v>0</v>
      </c>
      <c r="AB36" s="77">
        <f ca="1">IFERROR(__xludf.DUMMYFUNCTION("IMPORTRANGE(""https://docs.google.com/spreadsheets/d/1bDQrolntRWtHumK8W-x-HXKntwxB9S3sF5aDeRS66Ko/edit?usp=sharing"",""นครราชสีมา!I80"")"),0)</f>
        <v>0</v>
      </c>
      <c r="AC36" s="77">
        <f ca="1">IFERROR(__xludf.DUMMYFUNCTION("IMPORTRANGE(""https://docs.google.com/spreadsheets/d/1bDQrolntRWtHumK8W-x-HXKntwxB9S3sF5aDeRS66Ko/edit?usp=sharing"",""นครราชสีมา!I81"")"),0)</f>
        <v>0</v>
      </c>
      <c r="AD36" s="81">
        <f ca="1">IFERROR(__xludf.DUMMYFUNCTION("IMPORTRANGE(""https://docs.google.com/spreadsheets/d/1bDQrolntRWtHumK8W-x-HXKntwxB9S3sF5aDeRS66Ko/edit?usp=sharing"",""นครราชสีมา!J80"")"),0)</f>
        <v>0</v>
      </c>
      <c r="AE36" s="81">
        <f ca="1">IFERROR(__xludf.DUMMYFUNCTION("IMPORTRANGE(""https://docs.google.com/spreadsheets/d/1bDQrolntRWtHumK8W-x-HXKntwxB9S3sF5aDeRS66Ko/edit?usp=sharing"",""นครราชสีมา!J81"")"),0)</f>
        <v>0</v>
      </c>
      <c r="AF36" s="77">
        <f ca="1">IFERROR(__xludf.DUMMYFUNCTION("IMPORTRANGE(""https://docs.google.com/spreadsheets/d/1bDQrolntRWtHumK8W-x-HXKntwxB9S3sF5aDeRS66Ko/edit?usp=sharing"",""นครราชสีมา!I82"")"),0)</f>
        <v>0</v>
      </c>
      <c r="AG36" s="77">
        <f ca="1">IFERROR(__xludf.DUMMYFUNCTION("IMPORTRANGE(""https://docs.google.com/spreadsheets/d/1bDQrolntRWtHumK8W-x-HXKntwxB9S3sF5aDeRS66Ko/edit?usp=sharing"",""นครราชสีมา!I83"")"),0)</f>
        <v>0</v>
      </c>
      <c r="AH36" s="81">
        <f ca="1">IFERROR(__xludf.DUMMYFUNCTION("IMPORTRANGE(""https://docs.google.com/spreadsheets/d/1bDQrolntRWtHumK8W-x-HXKntwxB9S3sF5aDeRS66Ko/edit?usp=sharing"",""นครราชสีมา!J82"")"),0)</f>
        <v>0</v>
      </c>
      <c r="AI36" s="81">
        <f ca="1">IFERROR(__xludf.DUMMYFUNCTION("IMPORTRANGE(""https://docs.google.com/spreadsheets/d/1bDQrolntRWtHumK8W-x-HXKntwxB9S3sF5aDeRS66Ko/edit?usp=sharing"",""นครราชสีมา!J83"")"),0)</f>
        <v>0</v>
      </c>
      <c r="AJ36" s="77">
        <f ca="1">IFERROR(__xludf.DUMMYFUNCTION("IMPORTRANGE(""https://docs.google.com/spreadsheets/d/1bDQrolntRWtHumK8W-x-HXKntwxB9S3sF5aDeRS66Ko/edit?usp=sharing"",""นครราชสีมา!I84"")"),0)</f>
        <v>0</v>
      </c>
      <c r="AK36" s="81">
        <f ca="1">IFERROR(__xludf.DUMMYFUNCTION("IMPORTRANGE(""https://docs.google.com/spreadsheets/d/1bDQrolntRWtHumK8W-x-HXKntwxB9S3sF5aDeRS66Ko/edit?usp=sharing"",""นครราชสีมา!J84"")"),0)</f>
        <v>0</v>
      </c>
      <c r="AL36" s="79">
        <f t="shared" ca="1" si="27"/>
        <v>0</v>
      </c>
    </row>
    <row r="37" spans="1:38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37"/>
        <v>0</v>
      </c>
      <c r="E37" s="77">
        <f ca="1">IFERROR(__xludf.DUMMYFUNCTION("IMPORTRANGE(""https://docs.google.com/spreadsheets/d/1MeEWN-I1oV_STSDYn1IFDPWt_1FKiwhDph83XaGc0o0/edit?usp=sharing"",""งบพรบ!AH37"")"),0)</f>
        <v>0</v>
      </c>
      <c r="F37" s="77">
        <f ca="1">IFERROR(__xludf.DUMMYFUNCTION("IMPORTRANGE(""https://docs.google.com/spreadsheets/d/1MeEWN-I1oV_STSDYn1IFDPWt_1FKiwhDph83XaGc0o0/edit?usp=sharing"",""งบพรบ!AI37"")"),0)</f>
        <v>0</v>
      </c>
      <c r="G37" s="77">
        <f ca="1">IFERROR(__xludf.DUMMYFUNCTION("IMPORTRANGE(""https://docs.google.com/spreadsheets/d/1MeEWN-I1oV_STSDYn1IFDPWt_1FKiwhDph83XaGc0o0/edit?usp=sharing"",""งบพรบ!AJ37"")"),0)</f>
        <v>0</v>
      </c>
      <c r="H37" s="77">
        <f ca="1">IFERROR(__xludf.DUMMYFUNCTION("IMPORTRANGE(""https://docs.google.com/spreadsheets/d/1MeEWN-I1oV_STSDYn1IFDPWt_1FKiwhDph83XaGc0o0/edit?usp=sharing"",""งบพรบ!AL37"")"),0)</f>
        <v>0</v>
      </c>
      <c r="I37" s="77">
        <f ca="1">IFERROR(__xludf.DUMMYFUNCTION("IMPORTRANGE(""https://docs.google.com/spreadsheets/d/1MeEWN-I1oV_STSDYn1IFDPWt_1FKiwhDph83XaGc0o0/edit?usp=sharing"",""งบพรบ!AM37"")"),0)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IFERROR(__xludf.DUMMYFUNCTION("IMPORTRANGE(""https://docs.google.com/spreadsheets/d/1MeEWN-I1oV_STSDYn1IFDPWt_1FKiwhDph83XaGc0o0/edit?usp=sharing"",""งบพรบ!AN37"")"),0)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IFERROR(__xludf.DUMMYFUNCTION("IMPORTRANGE(""https://docs.google.com/spreadsheets/d/1MeEWN-I1oV_STSDYn1IFDPWt_1FKiwhDph83XaGc0o0/edit?usp=sharing"",""งบพรบ!AO37"")"),0)</f>
        <v>0</v>
      </c>
      <c r="P37" s="80">
        <f t="shared" ca="1" si="29"/>
        <v>0</v>
      </c>
      <c r="Q37" s="79">
        <f t="shared" ca="1" si="8"/>
        <v>0</v>
      </c>
      <c r="R37" s="81">
        <f t="shared" ca="1" si="30"/>
        <v>0</v>
      </c>
      <c r="S37" s="81">
        <f t="shared" ca="1" si="24"/>
        <v>0</v>
      </c>
      <c r="T37" s="81">
        <f t="shared" ca="1" si="38"/>
        <v>0</v>
      </c>
      <c r="U37" s="82">
        <f t="shared" ca="1" si="25"/>
        <v>0</v>
      </c>
      <c r="V37" s="81">
        <f t="shared" ca="1" si="39"/>
        <v>0</v>
      </c>
      <c r="W37" s="82">
        <f t="shared" ca="1" si="26"/>
        <v>0</v>
      </c>
      <c r="X37" s="77">
        <f ca="1">IFERROR(__xludf.DUMMYFUNCTION("IMPORTRANGE(""https://docs.google.com/spreadsheets/d/1_MzZ-2gVPiCW-d2VcafoCmFJQTSrZ6SQyFcMqRRQQ2w/edit?usp=sharing"",""บึงกาฬ!I78"")"),0)</f>
        <v>0</v>
      </c>
      <c r="Y37" s="77">
        <f ca="1">IFERROR(__xludf.DUMMYFUNCTION("IMPORTRANGE(""https://docs.google.com/spreadsheets/d/1_MzZ-2gVPiCW-d2VcafoCmFJQTSrZ6SQyFcMqRRQQ2w/edit?usp=sharing"",""บึงกาฬ!I79"")"),0)</f>
        <v>0</v>
      </c>
      <c r="Z37" s="81">
        <f ca="1">IFERROR(__xludf.DUMMYFUNCTION("IMPORTRANGE(""https://docs.google.com/spreadsheets/d/1_MzZ-2gVPiCW-d2VcafoCmFJQTSrZ6SQyFcMqRRQQ2w/edit?usp=sharing"",""บึงกาฬ!J78"")"),0)</f>
        <v>0</v>
      </c>
      <c r="AA37" s="81">
        <f ca="1">IFERROR(__xludf.DUMMYFUNCTION("IMPORTRANGE(""https://docs.google.com/spreadsheets/d/1_MzZ-2gVPiCW-d2VcafoCmFJQTSrZ6SQyFcMqRRQQ2w/edit?usp=sharing"",""บึงกาฬ!J79"")"),0)</f>
        <v>0</v>
      </c>
      <c r="AB37" s="77">
        <f ca="1">IFERROR(__xludf.DUMMYFUNCTION("IMPORTRANGE(""https://docs.google.com/spreadsheets/d/1_MzZ-2gVPiCW-d2VcafoCmFJQTSrZ6SQyFcMqRRQQ2w/edit?usp=sharing"",""บึงกาฬ!I80"")"),0)</f>
        <v>0</v>
      </c>
      <c r="AC37" s="77">
        <f ca="1">IFERROR(__xludf.DUMMYFUNCTION("IMPORTRANGE(""https://docs.google.com/spreadsheets/d/1_MzZ-2gVPiCW-d2VcafoCmFJQTSrZ6SQyFcMqRRQQ2w/edit?usp=sharing"",""บึงกาฬ!I81"")"),0)</f>
        <v>0</v>
      </c>
      <c r="AD37" s="81">
        <f ca="1">IFERROR(__xludf.DUMMYFUNCTION("IMPORTRANGE(""https://docs.google.com/spreadsheets/d/1_MzZ-2gVPiCW-d2VcafoCmFJQTSrZ6SQyFcMqRRQQ2w/edit?usp=sharing"",""บึงกาฬ!J80"")"),0)</f>
        <v>0</v>
      </c>
      <c r="AE37" s="81">
        <f ca="1">IFERROR(__xludf.DUMMYFUNCTION("IMPORTRANGE(""https://docs.google.com/spreadsheets/d/1_MzZ-2gVPiCW-d2VcafoCmFJQTSrZ6SQyFcMqRRQQ2w/edit?usp=sharing"",""บึงกาฬ!J81"")"),0)</f>
        <v>0</v>
      </c>
      <c r="AF37" s="77">
        <f ca="1">IFERROR(__xludf.DUMMYFUNCTION("IMPORTRANGE(""https://docs.google.com/spreadsheets/d/1_MzZ-2gVPiCW-d2VcafoCmFJQTSrZ6SQyFcMqRRQQ2w/edit?usp=sharing"",""บึงกาฬ!I82"")"),0)</f>
        <v>0</v>
      </c>
      <c r="AG37" s="77">
        <f ca="1">IFERROR(__xludf.DUMMYFUNCTION("IMPORTRANGE(""https://docs.google.com/spreadsheets/d/1_MzZ-2gVPiCW-d2VcafoCmFJQTSrZ6SQyFcMqRRQQ2w/edit?usp=sharing"",""บึงกาฬ!I83"")"),0)</f>
        <v>0</v>
      </c>
      <c r="AH37" s="81">
        <f ca="1">IFERROR(__xludf.DUMMYFUNCTION("IMPORTRANGE(""https://docs.google.com/spreadsheets/d/1_MzZ-2gVPiCW-d2VcafoCmFJQTSrZ6SQyFcMqRRQQ2w/edit?usp=sharing"",""บึงกาฬ!J82"")"),0)</f>
        <v>0</v>
      </c>
      <c r="AI37" s="81">
        <f ca="1">IFERROR(__xludf.DUMMYFUNCTION("IMPORTRANGE(""https://docs.google.com/spreadsheets/d/1_MzZ-2gVPiCW-d2VcafoCmFJQTSrZ6SQyFcMqRRQQ2w/edit?usp=sharing"",""บึงกาฬ!J83"")"),0)</f>
        <v>0</v>
      </c>
      <c r="AJ37" s="77">
        <f ca="1">IFERROR(__xludf.DUMMYFUNCTION("IMPORTRANGE(""https://docs.google.com/spreadsheets/d/1_MzZ-2gVPiCW-d2VcafoCmFJQTSrZ6SQyFcMqRRQQ2w/edit?usp=sharing"",""บึงกาฬ!I84"")"),0)</f>
        <v>0</v>
      </c>
      <c r="AK37" s="81">
        <f ca="1">IFERROR(__xludf.DUMMYFUNCTION("IMPORTRANGE(""https://docs.google.com/spreadsheets/d/1_MzZ-2gVPiCW-d2VcafoCmFJQTSrZ6SQyFcMqRRQQ2w/edit?usp=sharing"",""บึงกาฬ!J84"")"),0)</f>
        <v>0</v>
      </c>
      <c r="AL37" s="79">
        <f t="shared" ca="1" si="27"/>
        <v>0</v>
      </c>
    </row>
    <row r="38" spans="1:38" ht="21" customHeight="1" x14ac:dyDescent="0.2">
      <c r="A38" s="73">
        <v>7</v>
      </c>
      <c r="B38" s="74" t="s">
        <v>60</v>
      </c>
      <c r="C38" s="75">
        <f t="shared" ca="1" si="0"/>
        <v>855000</v>
      </c>
      <c r="D38" s="76">
        <f t="shared" ca="1" si="37"/>
        <v>855000</v>
      </c>
      <c r="E38" s="77">
        <f ca="1">IFERROR(__xludf.DUMMYFUNCTION("IMPORTRANGE(""https://docs.google.com/spreadsheets/d/1MeEWN-I1oV_STSDYn1IFDPWt_1FKiwhDph83XaGc0o0/edit?usp=sharing"",""งบพรบ!AH38"")"),276200)</f>
        <v>276200</v>
      </c>
      <c r="F38" s="77">
        <f ca="1">IFERROR(__xludf.DUMMYFUNCTION("IMPORTRANGE(""https://docs.google.com/spreadsheets/d/1MeEWN-I1oV_STSDYn1IFDPWt_1FKiwhDph83XaGc0o0/edit?usp=sharing"",""งบพรบ!AI38"")"),578800)</f>
        <v>578800</v>
      </c>
      <c r="G38" s="77">
        <f ca="1">IFERROR(__xludf.DUMMYFUNCTION("IMPORTRANGE(""https://docs.google.com/spreadsheets/d/1MeEWN-I1oV_STSDYn1IFDPWt_1FKiwhDph83XaGc0o0/edit?usp=sharing"",""งบพรบ!AJ38"")"),0)</f>
        <v>0</v>
      </c>
      <c r="H38" s="77">
        <f ca="1">IFERROR(__xludf.DUMMYFUNCTION("IMPORTRANGE(""https://docs.google.com/spreadsheets/d/1MeEWN-I1oV_STSDYn1IFDPWt_1FKiwhDph83XaGc0o0/edit?usp=sharing"",""งบพรบ!AL38"")"),870170)</f>
        <v>870170</v>
      </c>
      <c r="I38" s="77">
        <f ca="1">IFERROR(__xludf.DUMMYFUNCTION("IMPORTRANGE(""https://docs.google.com/spreadsheets/d/1MeEWN-I1oV_STSDYn1IFDPWt_1FKiwhDph83XaGc0o0/edit?usp=sharing"",""งบพรบ!AM38"")"),0)</f>
        <v>0</v>
      </c>
      <c r="J38" s="77">
        <f t="shared" ca="1" si="3"/>
        <v>860462.74</v>
      </c>
      <c r="K38" s="78">
        <f t="shared" ca="1" si="4"/>
        <v>100.63891695906433</v>
      </c>
      <c r="L38" s="77">
        <f ca="1">IFERROR(__xludf.DUMMYFUNCTION("IMPORTRANGE(""https://docs.google.com/spreadsheets/d/1MeEWN-I1oV_STSDYn1IFDPWt_1FKiwhDph83XaGc0o0/edit?usp=sharing"",""งบพรบ!AN38"")"),860462.74)</f>
        <v>860462.74</v>
      </c>
      <c r="M38" s="79">
        <f t="shared" ca="1" si="5"/>
        <v>100.63891695906433</v>
      </c>
      <c r="N38" s="79">
        <f t="shared" ca="1" si="6"/>
        <v>98.884440971304457</v>
      </c>
      <c r="O38" s="80">
        <f ca="1">IFERROR(__xludf.DUMMYFUNCTION("IMPORTRANGE(""https://docs.google.com/spreadsheets/d/1MeEWN-I1oV_STSDYn1IFDPWt_1FKiwhDph83XaGc0o0/edit?usp=sharing"",""งบพรบ!AO38"")"),0)</f>
        <v>0</v>
      </c>
      <c r="P38" s="80">
        <f t="shared" ca="1" si="29"/>
        <v>0</v>
      </c>
      <c r="Q38" s="79">
        <f t="shared" ca="1" si="8"/>
        <v>0</v>
      </c>
      <c r="R38" s="81">
        <f t="shared" ca="1" si="30"/>
        <v>1</v>
      </c>
      <c r="S38" s="81">
        <f t="shared" ca="1" si="24"/>
        <v>63</v>
      </c>
      <c r="T38" s="81">
        <f t="shared" ca="1" si="38"/>
        <v>1</v>
      </c>
      <c r="U38" s="82">
        <f t="shared" ca="1" si="25"/>
        <v>100</v>
      </c>
      <c r="V38" s="81">
        <f t="shared" ca="1" si="39"/>
        <v>63</v>
      </c>
      <c r="W38" s="82">
        <f t="shared" ca="1" si="26"/>
        <v>100</v>
      </c>
      <c r="X38" s="81">
        <f ca="1">IFERROR(__xludf.DUMMYFUNCTION("IMPORTRANGE(""https://docs.google.com/spreadsheets/d/1B3lPpzOuaNwVItLwLEZYl_qEblfcx7dRnbRkAw0l-pE/edit?usp=sharing"",""บุรีรัมย์!I78"")"),0)</f>
        <v>0</v>
      </c>
      <c r="Y38" s="81">
        <f ca="1">IFERROR(__xludf.DUMMYFUNCTION("IMPORTRANGE(""https://docs.google.com/spreadsheets/d/1B3lPpzOuaNwVItLwLEZYl_qEblfcx7dRnbRkAw0l-pE/edit?usp=sharing"",""บุรีรัมย์!I79"")"),0)</f>
        <v>0</v>
      </c>
      <c r="Z38" s="81">
        <f ca="1">IFERROR(__xludf.DUMMYFUNCTION("IMPORTRANGE(""https://docs.google.com/spreadsheets/d/1B3lPpzOuaNwVItLwLEZYl_qEblfcx7dRnbRkAw0l-pE/edit?usp=sharing"",""บุรีรัมย์!J78"")"),0)</f>
        <v>0</v>
      </c>
      <c r="AA38" s="81">
        <f ca="1">IFERROR(__xludf.DUMMYFUNCTION("IMPORTRANGE(""https://docs.google.com/spreadsheets/d/1B3lPpzOuaNwVItLwLEZYl_qEblfcx7dRnbRkAw0l-pE/edit?usp=sharing"",""บุรีรัมย์!J79"")"),0)</f>
        <v>0</v>
      </c>
      <c r="AB38" s="81">
        <f ca="1">IFERROR(__xludf.DUMMYFUNCTION("IMPORTRANGE(""https://docs.google.com/spreadsheets/d/1B3lPpzOuaNwVItLwLEZYl_qEblfcx7dRnbRkAw0l-pE/edit?usp=sharing"",""บุรีรัมย์!I80"")"),1)</f>
        <v>1</v>
      </c>
      <c r="AC38" s="81">
        <f ca="1">IFERROR(__xludf.DUMMYFUNCTION("IMPORTRANGE(""https://docs.google.com/spreadsheets/d/1B3lPpzOuaNwVItLwLEZYl_qEblfcx7dRnbRkAw0l-pE/edit?usp=sharing"",""บุรีรัมย์!I81"")"),63)</f>
        <v>63</v>
      </c>
      <c r="AD38" s="81">
        <f ca="1">IFERROR(__xludf.DUMMYFUNCTION("IMPORTRANGE(""https://docs.google.com/spreadsheets/d/1B3lPpzOuaNwVItLwLEZYl_qEblfcx7dRnbRkAw0l-pE/edit?usp=sharing"",""บุรีรัมย์!J80"")"),1)</f>
        <v>1</v>
      </c>
      <c r="AE38" s="81">
        <f ca="1">IFERROR(__xludf.DUMMYFUNCTION("IMPORTRANGE(""https://docs.google.com/spreadsheets/d/1B3lPpzOuaNwVItLwLEZYl_qEblfcx7dRnbRkAw0l-pE/edit?usp=sharing"",""บุรีรัมย์!J81"")"),63)</f>
        <v>63</v>
      </c>
      <c r="AF38" s="81">
        <f ca="1">IFERROR(__xludf.DUMMYFUNCTION("IMPORTRANGE(""https://docs.google.com/spreadsheets/d/1B3lPpzOuaNwVItLwLEZYl_qEblfcx7dRnbRkAw0l-pE/edit?usp=sharing"",""บุรีรัมย์!I82"")"),0)</f>
        <v>0</v>
      </c>
      <c r="AG38" s="77">
        <f ca="1">IFERROR(__xludf.DUMMYFUNCTION("IMPORTRANGE(""https://docs.google.com/spreadsheets/d/1B3lPpzOuaNwVItLwLEZYl_qEblfcx7dRnbRkAw0l-pE/edit?usp=sharing"",""บุรีรัมย์!I83"")"),0)</f>
        <v>0</v>
      </c>
      <c r="AH38" s="81">
        <f ca="1">IFERROR(__xludf.DUMMYFUNCTION("IMPORTRANGE(""https://docs.google.com/spreadsheets/d/1B3lPpzOuaNwVItLwLEZYl_qEblfcx7dRnbRkAw0l-pE/edit?usp=sharing"",""บุรีรัมย์!J82"")"),0)</f>
        <v>0</v>
      </c>
      <c r="AI38" s="81">
        <f ca="1">IFERROR(__xludf.DUMMYFUNCTION("IMPORTRANGE(""https://docs.google.com/spreadsheets/d/1B3lPpzOuaNwVItLwLEZYl_qEblfcx7dRnbRkAw0l-pE/edit?usp=sharing"",""บุรีรัมย์!J83"")"),0)</f>
        <v>0</v>
      </c>
      <c r="AJ38" s="81">
        <f ca="1">IFERROR(__xludf.DUMMYFUNCTION("IMPORTRANGE(""https://docs.google.com/spreadsheets/d/1B3lPpzOuaNwVItLwLEZYl_qEblfcx7dRnbRkAw0l-pE/edit?usp=sharing"",""บุรีรัมย์!I84"")"),1)</f>
        <v>1</v>
      </c>
      <c r="AK38" s="81">
        <f ca="1">IFERROR(__xludf.DUMMYFUNCTION("IMPORTRANGE(""https://docs.google.com/spreadsheets/d/1B3lPpzOuaNwVItLwLEZYl_qEblfcx7dRnbRkAw0l-pE/edit?usp=sharing"",""บุรีรัมย์!J84"")"),1)</f>
        <v>1</v>
      </c>
      <c r="AL38" s="82">
        <f t="shared" ca="1" si="27"/>
        <v>100</v>
      </c>
    </row>
    <row r="39" spans="1:38" ht="21" customHeight="1" x14ac:dyDescent="0.2">
      <c r="A39" s="73">
        <v>8</v>
      </c>
      <c r="B39" s="74" t="s">
        <v>61</v>
      </c>
      <c r="C39" s="75">
        <f t="shared" ca="1" si="0"/>
        <v>1621800</v>
      </c>
      <c r="D39" s="76">
        <f t="shared" ca="1" si="37"/>
        <v>1621800</v>
      </c>
      <c r="E39" s="77">
        <f ca="1">IFERROR(__xludf.DUMMYFUNCTION("IMPORTRANGE(""https://docs.google.com/spreadsheets/d/1MeEWN-I1oV_STSDYn1IFDPWt_1FKiwhDph83XaGc0o0/edit?usp=sharing"",""งบพรบ!AH39"")"),534400)</f>
        <v>534400</v>
      </c>
      <c r="F39" s="77">
        <f ca="1">IFERROR(__xludf.DUMMYFUNCTION("IMPORTRANGE(""https://docs.google.com/spreadsheets/d/1MeEWN-I1oV_STSDYn1IFDPWt_1FKiwhDph83XaGc0o0/edit?usp=sharing"",""งบพรบ!AI39"")"),1087400)</f>
        <v>1087400</v>
      </c>
      <c r="G39" s="77">
        <f ca="1">IFERROR(__xludf.DUMMYFUNCTION("IMPORTRANGE(""https://docs.google.com/spreadsheets/d/1MeEWN-I1oV_STSDYn1IFDPWt_1FKiwhDph83XaGc0o0/edit?usp=sharing"",""งบพรบ!AJ39"")"),0)</f>
        <v>0</v>
      </c>
      <c r="H39" s="77">
        <f ca="1">IFERROR(__xludf.DUMMYFUNCTION("IMPORTRANGE(""https://docs.google.com/spreadsheets/d/1MeEWN-I1oV_STSDYn1IFDPWt_1FKiwhDph83XaGc0o0/edit?usp=sharing"",""งบพรบ!AL39"")"),1640750)</f>
        <v>1640750</v>
      </c>
      <c r="I39" s="77">
        <f ca="1">IFERROR(__xludf.DUMMYFUNCTION("IMPORTRANGE(""https://docs.google.com/spreadsheets/d/1MeEWN-I1oV_STSDYn1IFDPWt_1FKiwhDph83XaGc0o0/edit?usp=sharing"",""งบพรบ!AM39"")"),0)</f>
        <v>0</v>
      </c>
      <c r="J39" s="77">
        <f t="shared" ca="1" si="3"/>
        <v>1473827.31</v>
      </c>
      <c r="K39" s="78">
        <f t="shared" ca="1" si="4"/>
        <v>90.876021087680357</v>
      </c>
      <c r="L39" s="77">
        <f ca="1">IFERROR(__xludf.DUMMYFUNCTION("IMPORTRANGE(""https://docs.google.com/spreadsheets/d/1MeEWN-I1oV_STSDYn1IFDPWt_1FKiwhDph83XaGc0o0/edit?usp=sharing"",""งบพรบ!AN39"")"),1473827.31)</f>
        <v>1473827.31</v>
      </c>
      <c r="M39" s="79">
        <f t="shared" ca="1" si="5"/>
        <v>90.876021087680357</v>
      </c>
      <c r="N39" s="79">
        <f t="shared" ca="1" si="6"/>
        <v>89.82643973792473</v>
      </c>
      <c r="O39" s="80">
        <f ca="1">IFERROR(__xludf.DUMMYFUNCTION("IMPORTRANGE(""https://docs.google.com/spreadsheets/d/1MeEWN-I1oV_STSDYn1IFDPWt_1FKiwhDph83XaGc0o0/edit?usp=sharing"",""งบพรบ!AO39"")"),0)</f>
        <v>0</v>
      </c>
      <c r="P39" s="80">
        <f t="shared" ca="1" si="29"/>
        <v>0</v>
      </c>
      <c r="Q39" s="79">
        <f t="shared" ca="1" si="8"/>
        <v>0</v>
      </c>
      <c r="R39" s="81">
        <f t="shared" ca="1" si="30"/>
        <v>3</v>
      </c>
      <c r="S39" s="81">
        <f t="shared" ca="1" si="24"/>
        <v>109</v>
      </c>
      <c r="T39" s="81">
        <f t="shared" ca="1" si="38"/>
        <v>3</v>
      </c>
      <c r="U39" s="82">
        <f t="shared" ca="1" si="25"/>
        <v>100</v>
      </c>
      <c r="V39" s="81">
        <f t="shared" ca="1" si="39"/>
        <v>109</v>
      </c>
      <c r="W39" s="82">
        <f t="shared" ca="1" si="26"/>
        <v>100</v>
      </c>
      <c r="X39" s="81">
        <f ca="1">IFERROR(__xludf.DUMMYFUNCTION("IMPORTRANGE(""https://docs.google.com/spreadsheets/d/19GOkiOqnzYbevLYWrMk4qFOXe3rX14BkSA8X-mq-a40/edit?usp=sharing"",""มหาสารคาม!I78"")"),1)</f>
        <v>1</v>
      </c>
      <c r="Y39" s="81">
        <f ca="1">IFERROR(__xludf.DUMMYFUNCTION("IMPORTRANGE(""https://docs.google.com/spreadsheets/d/19GOkiOqnzYbevLYWrMk4qFOXe3rX14BkSA8X-mq-a40/edit?usp=sharing"",""มหาสารคาม!I79"")"),32)</f>
        <v>32</v>
      </c>
      <c r="Z39" s="81">
        <f ca="1">IFERROR(__xludf.DUMMYFUNCTION("IMPORTRANGE(""https://docs.google.com/spreadsheets/d/19GOkiOqnzYbevLYWrMk4qFOXe3rX14BkSA8X-mq-a40/edit?usp=sharing"",""มหาสารคาม!J78"")"),1)</f>
        <v>1</v>
      </c>
      <c r="AA39" s="81">
        <f ca="1">IFERROR(__xludf.DUMMYFUNCTION("IMPORTRANGE(""https://docs.google.com/spreadsheets/d/19GOkiOqnzYbevLYWrMk4qFOXe3rX14BkSA8X-mq-a40/edit?usp=sharing"",""มหาสารคาม!J79"")"),32)</f>
        <v>32</v>
      </c>
      <c r="AB39" s="81">
        <f ca="1">IFERROR(__xludf.DUMMYFUNCTION("IMPORTRANGE(""https://docs.google.com/spreadsheets/d/19GOkiOqnzYbevLYWrMk4qFOXe3rX14BkSA8X-mq-a40/edit?usp=sharing"",""มหาสารคาม!I80"")"),1)</f>
        <v>1</v>
      </c>
      <c r="AC39" s="81">
        <f ca="1">IFERROR(__xludf.DUMMYFUNCTION("IMPORTRANGE(""https://docs.google.com/spreadsheets/d/19GOkiOqnzYbevLYWrMk4qFOXe3rX14BkSA8X-mq-a40/edit?usp=sharing"",""มหาสารคาม!I81"")"),37)</f>
        <v>37</v>
      </c>
      <c r="AD39" s="81">
        <f ca="1">IFERROR(__xludf.DUMMYFUNCTION("IMPORTRANGE(""https://docs.google.com/spreadsheets/d/19GOkiOqnzYbevLYWrMk4qFOXe3rX14BkSA8X-mq-a40/edit?usp=sharing"",""มหาสารคาม!J80"")"),1)</f>
        <v>1</v>
      </c>
      <c r="AE39" s="81">
        <f ca="1">IFERROR(__xludf.DUMMYFUNCTION("IMPORTRANGE(""https://docs.google.com/spreadsheets/d/19GOkiOqnzYbevLYWrMk4qFOXe3rX14BkSA8X-mq-a40/edit?usp=sharing"",""มหาสารคาม!J81"")"),37)</f>
        <v>37</v>
      </c>
      <c r="AF39" s="81">
        <f ca="1">IFERROR(__xludf.DUMMYFUNCTION("IMPORTRANGE(""https://docs.google.com/spreadsheets/d/19GOkiOqnzYbevLYWrMk4qFOXe3rX14BkSA8X-mq-a40/edit?usp=sharing"",""มหาสารคาม!I82"")"),1)</f>
        <v>1</v>
      </c>
      <c r="AG39" s="77">
        <f ca="1">IFERROR(__xludf.DUMMYFUNCTION("IMPORTRANGE(""https://docs.google.com/spreadsheets/d/19GOkiOqnzYbevLYWrMk4qFOXe3rX14BkSA8X-mq-a40/edit?usp=sharing"",""มหาสารคาม!I83"")"),40)</f>
        <v>40</v>
      </c>
      <c r="AH39" s="81">
        <f ca="1">IFERROR(__xludf.DUMMYFUNCTION("IMPORTRANGE(""https://docs.google.com/spreadsheets/d/19GOkiOqnzYbevLYWrMk4qFOXe3rX14BkSA8X-mq-a40/edit?usp=sharing"",""มหาสารคาม!J82"")"),1)</f>
        <v>1</v>
      </c>
      <c r="AI39" s="81">
        <f ca="1">IFERROR(__xludf.DUMMYFUNCTION("IMPORTRANGE(""https://docs.google.com/spreadsheets/d/19GOkiOqnzYbevLYWrMk4qFOXe3rX14BkSA8X-mq-a40/edit?usp=sharing"",""มหาสารคาม!J83"")"),40)</f>
        <v>40</v>
      </c>
      <c r="AJ39" s="81">
        <f ca="1">IFERROR(__xludf.DUMMYFUNCTION("IMPORTRANGE(""https://docs.google.com/spreadsheets/d/19GOkiOqnzYbevLYWrMk4qFOXe3rX14BkSA8X-mq-a40/edit?usp=sharing"",""มหาสารคาม!I84"")"),3)</f>
        <v>3</v>
      </c>
      <c r="AK39" s="81">
        <f ca="1">IFERROR(__xludf.DUMMYFUNCTION("IMPORTRANGE(""https://docs.google.com/spreadsheets/d/19GOkiOqnzYbevLYWrMk4qFOXe3rX14BkSA8X-mq-a40/edit?usp=sharing"",""มหาสารคาม!J84"")"),3)</f>
        <v>3</v>
      </c>
      <c r="AL39" s="82">
        <f t="shared" ca="1" si="27"/>
        <v>100</v>
      </c>
    </row>
    <row r="40" spans="1:38" ht="21" customHeight="1" x14ac:dyDescent="0.2">
      <c r="A40" s="73">
        <v>9</v>
      </c>
      <c r="B40" s="74" t="s">
        <v>62</v>
      </c>
      <c r="C40" s="75">
        <f t="shared" ca="1" si="0"/>
        <v>920900</v>
      </c>
      <c r="D40" s="76">
        <f t="shared" ca="1" si="37"/>
        <v>920900</v>
      </c>
      <c r="E40" s="77">
        <f ca="1">IFERROR(__xludf.DUMMYFUNCTION("IMPORTRANGE(""https://docs.google.com/spreadsheets/d/1MeEWN-I1oV_STSDYn1IFDPWt_1FKiwhDph83XaGc0o0/edit?usp=sharing"",""งบพรบ!AH40"")"),536900)</f>
        <v>536900</v>
      </c>
      <c r="F40" s="77">
        <f ca="1">IFERROR(__xludf.DUMMYFUNCTION("IMPORTRANGE(""https://docs.google.com/spreadsheets/d/1MeEWN-I1oV_STSDYn1IFDPWt_1FKiwhDph83XaGc0o0/edit?usp=sharing"",""งบพรบ!AI40"")"),384000)</f>
        <v>384000</v>
      </c>
      <c r="G40" s="77">
        <f ca="1">IFERROR(__xludf.DUMMYFUNCTION("IMPORTRANGE(""https://docs.google.com/spreadsheets/d/1MeEWN-I1oV_STSDYn1IFDPWt_1FKiwhDph83XaGc0o0/edit?usp=sharing"",""งบพรบ!AJ40"")"),0)</f>
        <v>0</v>
      </c>
      <c r="H40" s="77">
        <f ca="1">IFERROR(__xludf.DUMMYFUNCTION("IMPORTRANGE(""https://docs.google.com/spreadsheets/d/1MeEWN-I1oV_STSDYn1IFDPWt_1FKiwhDph83XaGc0o0/edit?usp=sharing"",""งบพรบ!AL40"")"),936940)</f>
        <v>936940</v>
      </c>
      <c r="I40" s="77">
        <f ca="1">IFERROR(__xludf.DUMMYFUNCTION("IMPORTRANGE(""https://docs.google.com/spreadsheets/d/1MeEWN-I1oV_STSDYn1IFDPWt_1FKiwhDph83XaGc0o0/edit?usp=sharing"",""งบพรบ!AM40"")"),0)</f>
        <v>0</v>
      </c>
      <c r="J40" s="77">
        <f t="shared" ca="1" si="3"/>
        <v>840828.97</v>
      </c>
      <c r="K40" s="78">
        <f t="shared" ca="1" si="4"/>
        <v>91.305133022043648</v>
      </c>
      <c r="L40" s="77">
        <f ca="1">IFERROR(__xludf.DUMMYFUNCTION("IMPORTRANGE(""https://docs.google.com/spreadsheets/d/1MeEWN-I1oV_STSDYn1IFDPWt_1FKiwhDph83XaGc0o0/edit?usp=sharing"",""งบพรบ!AN40"")"),840828.97)</f>
        <v>840828.97</v>
      </c>
      <c r="M40" s="79">
        <f t="shared" ca="1" si="5"/>
        <v>91.305133022043648</v>
      </c>
      <c r="N40" s="79">
        <f t="shared" ca="1" si="6"/>
        <v>89.742029372211661</v>
      </c>
      <c r="O40" s="80">
        <f ca="1">IFERROR(__xludf.DUMMYFUNCTION("IMPORTRANGE(""https://docs.google.com/spreadsheets/d/1MeEWN-I1oV_STSDYn1IFDPWt_1FKiwhDph83XaGc0o0/edit?usp=sharing"",""งบพรบ!AO40"")"),0)</f>
        <v>0</v>
      </c>
      <c r="P40" s="80">
        <f t="shared" ca="1" si="29"/>
        <v>0</v>
      </c>
      <c r="Q40" s="79">
        <f t="shared" ca="1" si="8"/>
        <v>0</v>
      </c>
      <c r="R40" s="81">
        <f t="shared" ca="1" si="30"/>
        <v>1</v>
      </c>
      <c r="S40" s="81">
        <f t="shared" ca="1" si="24"/>
        <v>30</v>
      </c>
      <c r="T40" s="81">
        <f t="shared" ca="1" si="38"/>
        <v>1</v>
      </c>
      <c r="U40" s="82">
        <f t="shared" ca="1" si="25"/>
        <v>100</v>
      </c>
      <c r="V40" s="81">
        <f t="shared" ca="1" si="39"/>
        <v>30</v>
      </c>
      <c r="W40" s="82">
        <f t="shared" ca="1" si="26"/>
        <v>100</v>
      </c>
      <c r="X40" s="81">
        <f ca="1">IFERROR(__xludf.DUMMYFUNCTION("IMPORTRANGE(""https://docs.google.com/spreadsheets/d/1uMKqWwuNQ-TCKboGA3Bb1qXb5uj2-faACNUINCz8PN4/edit?usp=sharing"",""มุกดาหาร!I78"")"),0)</f>
        <v>0</v>
      </c>
      <c r="Y40" s="81">
        <f ca="1">IFERROR(__xludf.DUMMYFUNCTION("IMPORTRANGE(""https://docs.google.com/spreadsheets/d/1uMKqWwuNQ-TCKboGA3Bb1qXb5uj2-faACNUINCz8PN4/edit?usp=sharing"",""มุกดาหาร!I79"")"),0)</f>
        <v>0</v>
      </c>
      <c r="Z40" s="81">
        <f ca="1">IFERROR(__xludf.DUMMYFUNCTION("IMPORTRANGE(""https://docs.google.com/spreadsheets/d/1uMKqWwuNQ-TCKboGA3Bb1qXb5uj2-faACNUINCz8PN4/edit?usp=sharing"",""มุกดาหาร!J78"")"),0)</f>
        <v>0</v>
      </c>
      <c r="AA40" s="81">
        <f ca="1">IFERROR(__xludf.DUMMYFUNCTION("IMPORTRANGE(""https://docs.google.com/spreadsheets/d/1uMKqWwuNQ-TCKboGA3Bb1qXb5uj2-faACNUINCz8PN4/edit?usp=sharing"",""มุกดาหาร!J79"")"),0)</f>
        <v>0</v>
      </c>
      <c r="AB40" s="81">
        <f ca="1">IFERROR(__xludf.DUMMYFUNCTION("IMPORTRANGE(""https://docs.google.com/spreadsheets/d/1uMKqWwuNQ-TCKboGA3Bb1qXb5uj2-faACNUINCz8PN4/edit?usp=sharing"",""มุกดาหาร!I80"")"),0)</f>
        <v>0</v>
      </c>
      <c r="AC40" s="81">
        <f ca="1">IFERROR(__xludf.DUMMYFUNCTION("IMPORTRANGE(""https://docs.google.com/spreadsheets/d/1uMKqWwuNQ-TCKboGA3Bb1qXb5uj2-faACNUINCz8PN4/edit?usp=sharing"",""มุกดาหาร!I81"")"),0)</f>
        <v>0</v>
      </c>
      <c r="AD40" s="81">
        <f ca="1">IFERROR(__xludf.DUMMYFUNCTION("IMPORTRANGE(""https://docs.google.com/spreadsheets/d/1uMKqWwuNQ-TCKboGA3Bb1qXb5uj2-faACNUINCz8PN4/edit?usp=sharing"",""มุกดาหาร!J80"")"),0)</f>
        <v>0</v>
      </c>
      <c r="AE40" s="81">
        <f ca="1">IFERROR(__xludf.DUMMYFUNCTION("IMPORTRANGE(""https://docs.google.com/spreadsheets/d/1uMKqWwuNQ-TCKboGA3Bb1qXb5uj2-faACNUINCz8PN4/edit?usp=sharing"",""มุกดาหาร!J81"")"),0)</f>
        <v>0</v>
      </c>
      <c r="AF40" s="81">
        <f ca="1">IFERROR(__xludf.DUMMYFUNCTION("IMPORTRANGE(""https://docs.google.com/spreadsheets/d/1uMKqWwuNQ-TCKboGA3Bb1qXb5uj2-faACNUINCz8PN4/edit?usp=sharing"",""มุกดาหาร!I82"")"),1)</f>
        <v>1</v>
      </c>
      <c r="AG40" s="77">
        <f ca="1">IFERROR(__xludf.DUMMYFUNCTION("IMPORTRANGE(""https://docs.google.com/spreadsheets/d/1uMKqWwuNQ-TCKboGA3Bb1qXb5uj2-faACNUINCz8PN4/edit?usp=sharing"",""มุกดาหาร!I83"")"),30)</f>
        <v>30</v>
      </c>
      <c r="AH40" s="81">
        <f ca="1">IFERROR(__xludf.DUMMYFUNCTION("IMPORTRANGE(""https://docs.google.com/spreadsheets/d/1uMKqWwuNQ-TCKboGA3Bb1qXb5uj2-faACNUINCz8PN4/edit?usp=sharing"",""มุกดาหาร!J82"")"),1)</f>
        <v>1</v>
      </c>
      <c r="AI40" s="81">
        <f ca="1">IFERROR(__xludf.DUMMYFUNCTION("IMPORTRANGE(""https://docs.google.com/spreadsheets/d/1uMKqWwuNQ-TCKboGA3Bb1qXb5uj2-faACNUINCz8PN4/edit?usp=sharing"",""มุกดาหาร!J83"")"),30)</f>
        <v>30</v>
      </c>
      <c r="AJ40" s="81">
        <f ca="1">IFERROR(__xludf.DUMMYFUNCTION("IMPORTRANGE(""https://docs.google.com/spreadsheets/d/1uMKqWwuNQ-TCKboGA3Bb1qXb5uj2-faACNUINCz8PN4/edit?usp=sharing"",""มุกดาหาร!I84"")"),1)</f>
        <v>1</v>
      </c>
      <c r="AK40" s="81">
        <f ca="1">IFERROR(__xludf.DUMMYFUNCTION("IMPORTRANGE(""https://docs.google.com/spreadsheets/d/1uMKqWwuNQ-TCKboGA3Bb1qXb5uj2-faACNUINCz8PN4/edit?usp=sharing"",""มุกดาหาร!J84"")"),1)</f>
        <v>1</v>
      </c>
      <c r="AL40" s="82">
        <f t="shared" ca="1" si="27"/>
        <v>100</v>
      </c>
    </row>
    <row r="41" spans="1:38" ht="21" customHeight="1" x14ac:dyDescent="0.2">
      <c r="A41" s="73">
        <v>10</v>
      </c>
      <c r="B41" s="74" t="s">
        <v>63</v>
      </c>
      <c r="C41" s="75">
        <f t="shared" ca="1" si="0"/>
        <v>697000</v>
      </c>
      <c r="D41" s="76">
        <f t="shared" ca="1" si="37"/>
        <v>697000</v>
      </c>
      <c r="E41" s="77">
        <f ca="1">IFERROR(__xludf.DUMMYFUNCTION("IMPORTRANGE(""https://docs.google.com/spreadsheets/d/1MeEWN-I1oV_STSDYn1IFDPWt_1FKiwhDph83XaGc0o0/edit?usp=sharing"",""งบพรบ!AH41"")"),257000)</f>
        <v>257000</v>
      </c>
      <c r="F41" s="77">
        <f ca="1">IFERROR(__xludf.DUMMYFUNCTION("IMPORTRANGE(""https://docs.google.com/spreadsheets/d/1MeEWN-I1oV_STSDYn1IFDPWt_1FKiwhDph83XaGc0o0/edit?usp=sharing"",""งบพรบ!AI41"")"),440000)</f>
        <v>440000</v>
      </c>
      <c r="G41" s="77">
        <f ca="1">IFERROR(__xludf.DUMMYFUNCTION("IMPORTRANGE(""https://docs.google.com/spreadsheets/d/1MeEWN-I1oV_STSDYn1IFDPWt_1FKiwhDph83XaGc0o0/edit?usp=sharing"",""งบพรบ!AJ41"")"),0)</f>
        <v>0</v>
      </c>
      <c r="H41" s="77">
        <f ca="1">IFERROR(__xludf.DUMMYFUNCTION("IMPORTRANGE(""https://docs.google.com/spreadsheets/d/1MeEWN-I1oV_STSDYn1IFDPWt_1FKiwhDph83XaGc0o0/edit?usp=sharing"",""งบพรบ!AL41"")"),712320)</f>
        <v>712320</v>
      </c>
      <c r="I41" s="77">
        <f ca="1">IFERROR(__xludf.DUMMYFUNCTION("IMPORTRANGE(""https://docs.google.com/spreadsheets/d/1MeEWN-I1oV_STSDYn1IFDPWt_1FKiwhDph83XaGc0o0/edit?usp=sharing"",""งบพรบ!AM41"")"),0)</f>
        <v>0</v>
      </c>
      <c r="J41" s="77">
        <f t="shared" ca="1" si="3"/>
        <v>685881</v>
      </c>
      <c r="K41" s="78">
        <f t="shared" ca="1" si="4"/>
        <v>98.404734576757534</v>
      </c>
      <c r="L41" s="77">
        <f ca="1">IFERROR(__xludf.DUMMYFUNCTION("IMPORTRANGE(""https://docs.google.com/spreadsheets/d/1MeEWN-I1oV_STSDYn1IFDPWt_1FKiwhDph83XaGc0o0/edit?usp=sharing"",""งบพรบ!AN41"")"),685881)</f>
        <v>685881</v>
      </c>
      <c r="M41" s="79">
        <f t="shared" ca="1" si="5"/>
        <v>98.404734576757534</v>
      </c>
      <c r="N41" s="79">
        <f t="shared" ca="1" si="6"/>
        <v>96.288325471698116</v>
      </c>
      <c r="O41" s="80">
        <f ca="1">IFERROR(__xludf.DUMMYFUNCTION("IMPORTRANGE(""https://docs.google.com/spreadsheets/d/1MeEWN-I1oV_STSDYn1IFDPWt_1FKiwhDph83XaGc0o0/edit?usp=sharing"",""งบพรบ!AO41"")"),0)</f>
        <v>0</v>
      </c>
      <c r="P41" s="80">
        <f t="shared" ca="1" si="29"/>
        <v>0</v>
      </c>
      <c r="Q41" s="79">
        <f t="shared" ca="1" si="8"/>
        <v>0</v>
      </c>
      <c r="R41" s="81">
        <f t="shared" ca="1" si="30"/>
        <v>1</v>
      </c>
      <c r="S41" s="81">
        <f t="shared" ca="1" si="24"/>
        <v>40</v>
      </c>
      <c r="T41" s="81">
        <f t="shared" ca="1" si="38"/>
        <v>1</v>
      </c>
      <c r="U41" s="82">
        <f t="shared" ca="1" si="25"/>
        <v>100</v>
      </c>
      <c r="V41" s="81">
        <f t="shared" ca="1" si="39"/>
        <v>40</v>
      </c>
      <c r="W41" s="82">
        <f t="shared" ca="1" si="26"/>
        <v>100</v>
      </c>
      <c r="X41" s="81">
        <f ca="1">IFERROR(__xludf.DUMMYFUNCTION("IMPORTRANGE(""https://docs.google.com/spreadsheets/d/1oKaccgDdQABndOzGr688Dbfxb_V3YcF67VqEPBtdzsc/edit?usp=sharing"",""ยโสธร!I78"")"),0)</f>
        <v>0</v>
      </c>
      <c r="Y41" s="81">
        <f ca="1">IFERROR(__xludf.DUMMYFUNCTION("IMPORTRANGE(""https://docs.google.com/spreadsheets/d/1oKaccgDdQABndOzGr688Dbfxb_V3YcF67VqEPBtdzsc/edit?usp=sharing"",""ยโสธร!I79"")"),0)</f>
        <v>0</v>
      </c>
      <c r="Z41" s="81">
        <f ca="1">IFERROR(__xludf.DUMMYFUNCTION("IMPORTRANGE(""https://docs.google.com/spreadsheets/d/1oKaccgDdQABndOzGr688Dbfxb_V3YcF67VqEPBtdzsc/edit?usp=sharing"",""ยโสธร!J78"")"),0)</f>
        <v>0</v>
      </c>
      <c r="AA41" s="81">
        <f ca="1">IFERROR(__xludf.DUMMYFUNCTION("IMPORTRANGE(""https://docs.google.com/spreadsheets/d/1oKaccgDdQABndOzGr688Dbfxb_V3YcF67VqEPBtdzsc/edit?usp=sharing"",""ยโสธร!J79"")"),0)</f>
        <v>0</v>
      </c>
      <c r="AB41" s="81">
        <f ca="1">IFERROR(__xludf.DUMMYFUNCTION("IMPORTRANGE(""https://docs.google.com/spreadsheets/d/1oKaccgDdQABndOzGr688Dbfxb_V3YcF67VqEPBtdzsc/edit?usp=sharing"",""ยโสธร!I80"")"),1)</f>
        <v>1</v>
      </c>
      <c r="AC41" s="81">
        <f ca="1">IFERROR(__xludf.DUMMYFUNCTION("IMPORTRANGE(""https://docs.google.com/spreadsheets/d/1oKaccgDdQABndOzGr688Dbfxb_V3YcF67VqEPBtdzsc/edit?usp=sharing"",""ยโสธร!I81"")"),40)</f>
        <v>40</v>
      </c>
      <c r="AD41" s="81">
        <f ca="1">IFERROR(__xludf.DUMMYFUNCTION("IMPORTRANGE(""https://docs.google.com/spreadsheets/d/1oKaccgDdQABndOzGr688Dbfxb_V3YcF67VqEPBtdzsc/edit?usp=sharing"",""ยโสธร!J80"")"),1)</f>
        <v>1</v>
      </c>
      <c r="AE41" s="81">
        <f ca="1">IFERROR(__xludf.DUMMYFUNCTION("IMPORTRANGE(""https://docs.google.com/spreadsheets/d/1oKaccgDdQABndOzGr688Dbfxb_V3YcF67VqEPBtdzsc/edit?usp=sharing"",""ยโสธร!J81"")"),40)</f>
        <v>40</v>
      </c>
      <c r="AF41" s="81">
        <f ca="1">IFERROR(__xludf.DUMMYFUNCTION("IMPORTRANGE(""https://docs.google.com/spreadsheets/d/1oKaccgDdQABndOzGr688Dbfxb_V3YcF67VqEPBtdzsc/edit?usp=sharing"",""ยโสธร!I82"")"),0)</f>
        <v>0</v>
      </c>
      <c r="AG41" s="77">
        <f ca="1">IFERROR(__xludf.DUMMYFUNCTION("IMPORTRANGE(""https://docs.google.com/spreadsheets/d/1oKaccgDdQABndOzGr688Dbfxb_V3YcF67VqEPBtdzsc/edit?usp=sharing"",""ยโสธร!I83"")"),0)</f>
        <v>0</v>
      </c>
      <c r="AH41" s="81">
        <f ca="1">IFERROR(__xludf.DUMMYFUNCTION("IMPORTRANGE(""https://docs.google.com/spreadsheets/d/1oKaccgDdQABndOzGr688Dbfxb_V3YcF67VqEPBtdzsc/edit?usp=sharing"",""ยโสธร!J82"")"),0)</f>
        <v>0</v>
      </c>
      <c r="AI41" s="81">
        <f ca="1">IFERROR(__xludf.DUMMYFUNCTION("IMPORTRANGE(""https://docs.google.com/spreadsheets/d/1oKaccgDdQABndOzGr688Dbfxb_V3YcF67VqEPBtdzsc/edit?usp=sharing"",""ยโสธร!J83"")"),0)</f>
        <v>0</v>
      </c>
      <c r="AJ41" s="81">
        <f ca="1">IFERROR(__xludf.DUMMYFUNCTION("IMPORTRANGE(""https://docs.google.com/spreadsheets/d/1oKaccgDdQABndOzGr688Dbfxb_V3YcF67VqEPBtdzsc/edit?usp=sharing"",""ยโสธร!I84"")"),1)</f>
        <v>1</v>
      </c>
      <c r="AK41" s="81">
        <f ca="1">IFERROR(__xludf.DUMMYFUNCTION("IMPORTRANGE(""https://docs.google.com/spreadsheets/d/1oKaccgDdQABndOzGr688Dbfxb_V3YcF67VqEPBtdzsc/edit?usp=sharing"",""ยโสธร!J84"")"),1)</f>
        <v>1</v>
      </c>
      <c r="AL41" s="82">
        <f t="shared" ca="1" si="27"/>
        <v>100</v>
      </c>
    </row>
    <row r="42" spans="1:38" ht="21" customHeight="1" x14ac:dyDescent="0.2">
      <c r="A42" s="73">
        <v>11</v>
      </c>
      <c r="B42" s="74" t="s">
        <v>64</v>
      </c>
      <c r="C42" s="75">
        <f t="shared" ca="1" si="0"/>
        <v>954000</v>
      </c>
      <c r="D42" s="76">
        <f t="shared" ca="1" si="37"/>
        <v>954000</v>
      </c>
      <c r="E42" s="77">
        <f ca="1">IFERROR(__xludf.DUMMYFUNCTION("IMPORTRANGE(""https://docs.google.com/spreadsheets/d/1MeEWN-I1oV_STSDYn1IFDPWt_1FKiwhDph83XaGc0o0/edit?usp=sharing"",""งบพรบ!AH42"")"),514000)</f>
        <v>514000</v>
      </c>
      <c r="F42" s="77">
        <f ca="1">IFERROR(__xludf.DUMMYFUNCTION("IMPORTRANGE(""https://docs.google.com/spreadsheets/d/1MeEWN-I1oV_STSDYn1IFDPWt_1FKiwhDph83XaGc0o0/edit?usp=sharing"",""งบพรบ!AI42"")"),440000)</f>
        <v>440000</v>
      </c>
      <c r="G42" s="77">
        <f ca="1">IFERROR(__xludf.DUMMYFUNCTION("IMPORTRANGE(""https://docs.google.com/spreadsheets/d/1MeEWN-I1oV_STSDYn1IFDPWt_1FKiwhDph83XaGc0o0/edit?usp=sharing"",""งบพรบ!AJ42"")"),0)</f>
        <v>0</v>
      </c>
      <c r="H42" s="77">
        <f ca="1">IFERROR(__xludf.DUMMYFUNCTION("IMPORTRANGE(""https://docs.google.com/spreadsheets/d/1MeEWN-I1oV_STSDYn1IFDPWt_1FKiwhDph83XaGc0o0/edit?usp=sharing"",""งบพรบ!AL42"")"),969190)</f>
        <v>969190</v>
      </c>
      <c r="I42" s="77">
        <f ca="1">IFERROR(__xludf.DUMMYFUNCTION("IMPORTRANGE(""https://docs.google.com/spreadsheets/d/1MeEWN-I1oV_STSDYn1IFDPWt_1FKiwhDph83XaGc0o0/edit?usp=sharing"",""งบพรบ!AM42"")"),0)</f>
        <v>0</v>
      </c>
      <c r="J42" s="77">
        <f t="shared" ca="1" si="3"/>
        <v>845310.58</v>
      </c>
      <c r="K42" s="78">
        <f t="shared" ca="1" si="4"/>
        <v>88.606979035639412</v>
      </c>
      <c r="L42" s="77">
        <f ca="1">IFERROR(__xludf.DUMMYFUNCTION("IMPORTRANGE(""https://docs.google.com/spreadsheets/d/1MeEWN-I1oV_STSDYn1IFDPWt_1FKiwhDph83XaGc0o0/edit?usp=sharing"",""งบพรบ!AN42"")"),845310.58)</f>
        <v>845310.58</v>
      </c>
      <c r="M42" s="79">
        <f t="shared" ca="1" si="5"/>
        <v>88.606979035639412</v>
      </c>
      <c r="N42" s="79">
        <f t="shared" ca="1" si="6"/>
        <v>87.218252355059377</v>
      </c>
      <c r="O42" s="80">
        <f ca="1">IFERROR(__xludf.DUMMYFUNCTION("IMPORTRANGE(""https://docs.google.com/spreadsheets/d/1MeEWN-I1oV_STSDYn1IFDPWt_1FKiwhDph83XaGc0o0/edit?usp=sharing"",""งบพรบ!AO42"")"),0)</f>
        <v>0</v>
      </c>
      <c r="P42" s="80">
        <f t="shared" ca="1" si="29"/>
        <v>0</v>
      </c>
      <c r="Q42" s="79">
        <f t="shared" ca="1" si="8"/>
        <v>0</v>
      </c>
      <c r="R42" s="81">
        <f t="shared" ca="1" si="30"/>
        <v>1</v>
      </c>
      <c r="S42" s="81">
        <f t="shared" ca="1" si="24"/>
        <v>40</v>
      </c>
      <c r="T42" s="81">
        <f t="shared" ca="1" si="38"/>
        <v>1</v>
      </c>
      <c r="U42" s="82">
        <f t="shared" ca="1" si="25"/>
        <v>100</v>
      </c>
      <c r="V42" s="81">
        <f t="shared" ca="1" si="39"/>
        <v>40</v>
      </c>
      <c r="W42" s="82">
        <f t="shared" ca="1" si="26"/>
        <v>100</v>
      </c>
      <c r="X42" s="77">
        <f ca="1">IFERROR(__xludf.DUMMYFUNCTION("IMPORTRANGE(""https://docs.google.com/spreadsheets/d/1BRgc8xKpxZ0PX-gauieMVkV_IOxKSotf0yW8MabGprQ/edit?usp=sharing"",""ร้อยเอ็ด!I78"")"),0)</f>
        <v>0</v>
      </c>
      <c r="Y42" s="77">
        <f ca="1">IFERROR(__xludf.DUMMYFUNCTION("IMPORTRANGE(""https://docs.google.com/spreadsheets/d/1BRgc8xKpxZ0PX-gauieMVkV_IOxKSotf0yW8MabGprQ/edit?usp=sharing"",""ร้อยเอ็ด!I79"")"),0)</f>
        <v>0</v>
      </c>
      <c r="Z42" s="81">
        <f ca="1">IFERROR(__xludf.DUMMYFUNCTION("IMPORTRANGE(""https://docs.google.com/spreadsheets/d/1BRgc8xKpxZ0PX-gauieMVkV_IOxKSotf0yW8MabGprQ/edit?usp=sharing"",""ร้อยเอ็ด!J78"")"),0)</f>
        <v>0</v>
      </c>
      <c r="AA42" s="81">
        <f ca="1">IFERROR(__xludf.DUMMYFUNCTION("IMPORTRANGE(""https://docs.google.com/spreadsheets/d/1BRgc8xKpxZ0PX-gauieMVkV_IOxKSotf0yW8MabGprQ/edit?usp=sharing"",""ร้อยเอ็ด!J79"")"),0)</f>
        <v>0</v>
      </c>
      <c r="AB42" s="77">
        <f ca="1">IFERROR(__xludf.DUMMYFUNCTION("IMPORTRANGE(""https://docs.google.com/spreadsheets/d/1BRgc8xKpxZ0PX-gauieMVkV_IOxKSotf0yW8MabGprQ/edit?usp=sharing"",""ร้อยเอ็ด!I80"")"),0)</f>
        <v>0</v>
      </c>
      <c r="AC42" s="77">
        <f ca="1">IFERROR(__xludf.DUMMYFUNCTION("IMPORTRANGE(""https://docs.google.com/spreadsheets/d/1BRgc8xKpxZ0PX-gauieMVkV_IOxKSotf0yW8MabGprQ/edit?usp=sharing"",""ร้อยเอ็ด!I81"")"),0)</f>
        <v>0</v>
      </c>
      <c r="AD42" s="81">
        <f ca="1">IFERROR(__xludf.DUMMYFUNCTION("IMPORTRANGE(""https://docs.google.com/spreadsheets/d/1BRgc8xKpxZ0PX-gauieMVkV_IOxKSotf0yW8MabGprQ/edit?usp=sharing"",""ร้อยเอ็ด!J80"")"),0)</f>
        <v>0</v>
      </c>
      <c r="AE42" s="81">
        <f ca="1">IFERROR(__xludf.DUMMYFUNCTION("IMPORTRANGE(""https://docs.google.com/spreadsheets/d/1BRgc8xKpxZ0PX-gauieMVkV_IOxKSotf0yW8MabGprQ/edit?usp=sharing"",""ร้อยเอ็ด!J81"")"),0)</f>
        <v>0</v>
      </c>
      <c r="AF42" s="77">
        <f ca="1">IFERROR(__xludf.DUMMYFUNCTION("IMPORTRANGE(""https://docs.google.com/spreadsheets/d/1BRgc8xKpxZ0PX-gauieMVkV_IOxKSotf0yW8MabGprQ/edit?usp=sharing"",""ร้อยเอ็ด!I82"")"),1)</f>
        <v>1</v>
      </c>
      <c r="AG42" s="77">
        <f ca="1">IFERROR(__xludf.DUMMYFUNCTION("IMPORTRANGE(""https://docs.google.com/spreadsheets/d/1BRgc8xKpxZ0PX-gauieMVkV_IOxKSotf0yW8MabGprQ/edit?usp=sharing"",""ร้อยเอ็ด!I83"")"),40)</f>
        <v>40</v>
      </c>
      <c r="AH42" s="81">
        <f ca="1">IFERROR(__xludf.DUMMYFUNCTION("IMPORTRANGE(""https://docs.google.com/spreadsheets/d/1BRgc8xKpxZ0PX-gauieMVkV_IOxKSotf0yW8MabGprQ/edit?usp=sharing"",""ร้อยเอ็ด!J82"")"),1)</f>
        <v>1</v>
      </c>
      <c r="AI42" s="81">
        <f ca="1">IFERROR(__xludf.DUMMYFUNCTION("IMPORTRANGE(""https://docs.google.com/spreadsheets/d/1BRgc8xKpxZ0PX-gauieMVkV_IOxKSotf0yW8MabGprQ/edit?usp=sharing"",""ร้อยเอ็ด!J83"")"),40)</f>
        <v>40</v>
      </c>
      <c r="AJ42" s="77">
        <f ca="1">IFERROR(__xludf.DUMMYFUNCTION("IMPORTRANGE(""https://docs.google.com/spreadsheets/d/1BRgc8xKpxZ0PX-gauieMVkV_IOxKSotf0yW8MabGprQ/edit?usp=sharing"",""ร้อยเอ็ด!I84"")"),1)</f>
        <v>1</v>
      </c>
      <c r="AK42" s="81">
        <f ca="1">IFERROR(__xludf.DUMMYFUNCTION("IMPORTRANGE(""https://docs.google.com/spreadsheets/d/1BRgc8xKpxZ0PX-gauieMVkV_IOxKSotf0yW8MabGprQ/edit?usp=sharing"",""ร้อยเอ็ด!J84"")"),1)</f>
        <v>1</v>
      </c>
      <c r="AL42" s="79">
        <f t="shared" ca="1" si="27"/>
        <v>100</v>
      </c>
    </row>
    <row r="43" spans="1:38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37"/>
        <v>0</v>
      </c>
      <c r="E43" s="77">
        <f ca="1">IFERROR(__xludf.DUMMYFUNCTION("IMPORTRANGE(""https://docs.google.com/spreadsheets/d/1MeEWN-I1oV_STSDYn1IFDPWt_1FKiwhDph83XaGc0o0/edit?usp=sharing"",""งบพรบ!AH43"")"),0)</f>
        <v>0</v>
      </c>
      <c r="F43" s="77">
        <f ca="1">IFERROR(__xludf.DUMMYFUNCTION("IMPORTRANGE(""https://docs.google.com/spreadsheets/d/1MeEWN-I1oV_STSDYn1IFDPWt_1FKiwhDph83XaGc0o0/edit?usp=sharing"",""งบพรบ!AI43"")"),0)</f>
        <v>0</v>
      </c>
      <c r="G43" s="77">
        <f ca="1">IFERROR(__xludf.DUMMYFUNCTION("IMPORTRANGE(""https://docs.google.com/spreadsheets/d/1MeEWN-I1oV_STSDYn1IFDPWt_1FKiwhDph83XaGc0o0/edit?usp=sharing"",""งบพรบ!AJ43"")"),0)</f>
        <v>0</v>
      </c>
      <c r="H43" s="77">
        <f ca="1">IFERROR(__xludf.DUMMYFUNCTION("IMPORTRANGE(""https://docs.google.com/spreadsheets/d/1MeEWN-I1oV_STSDYn1IFDPWt_1FKiwhDph83XaGc0o0/edit?usp=sharing"",""งบพรบ!AL43"")"),0)</f>
        <v>0</v>
      </c>
      <c r="I43" s="77">
        <f ca="1">IFERROR(__xludf.DUMMYFUNCTION("IMPORTRANGE(""https://docs.google.com/spreadsheets/d/1MeEWN-I1oV_STSDYn1IFDPWt_1FKiwhDph83XaGc0o0/edit?usp=sharing"",""งบพรบ!AM43"")"),0)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IFERROR(__xludf.DUMMYFUNCTION("IMPORTRANGE(""https://docs.google.com/spreadsheets/d/1MeEWN-I1oV_STSDYn1IFDPWt_1FKiwhDph83XaGc0o0/edit?usp=sharing"",""งบพรบ!AN43"")"),0)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IFERROR(__xludf.DUMMYFUNCTION("IMPORTRANGE(""https://docs.google.com/spreadsheets/d/1MeEWN-I1oV_STSDYn1IFDPWt_1FKiwhDph83XaGc0o0/edit?usp=sharing"",""งบพรบ!AO43"")"),0)</f>
        <v>0</v>
      </c>
      <c r="P43" s="80">
        <f t="shared" ca="1" si="29"/>
        <v>0</v>
      </c>
      <c r="Q43" s="79">
        <f t="shared" ca="1" si="8"/>
        <v>0</v>
      </c>
      <c r="R43" s="81">
        <f t="shared" ca="1" si="30"/>
        <v>0</v>
      </c>
      <c r="S43" s="81">
        <f t="shared" ca="1" si="24"/>
        <v>0</v>
      </c>
      <c r="T43" s="81">
        <f t="shared" ca="1" si="38"/>
        <v>0</v>
      </c>
      <c r="U43" s="82">
        <f t="shared" ca="1" si="25"/>
        <v>0</v>
      </c>
      <c r="V43" s="81">
        <f t="shared" ca="1" si="39"/>
        <v>0</v>
      </c>
      <c r="W43" s="82">
        <f t="shared" ca="1" si="26"/>
        <v>0</v>
      </c>
      <c r="X43" s="77">
        <f ca="1">IFERROR(__xludf.DUMMYFUNCTION("IMPORTRANGE(""https://docs.google.com/spreadsheets/d/1IdolZc-dfdgMwAm_KZxYJl1sUOcIgnbGQzbWOlddedo/edit?usp=sharing"",""เลย!I78"")"),0)</f>
        <v>0</v>
      </c>
      <c r="Y43" s="77">
        <f ca="1">IFERROR(__xludf.DUMMYFUNCTION("IMPORTRANGE(""https://docs.google.com/spreadsheets/d/1IdolZc-dfdgMwAm_KZxYJl1sUOcIgnbGQzbWOlddedo/edit?usp=sharing"",""เลย!I79"")"),0)</f>
        <v>0</v>
      </c>
      <c r="Z43" s="81">
        <f ca="1">IFERROR(__xludf.DUMMYFUNCTION("IMPORTRANGE(""https://docs.google.com/spreadsheets/d/1IdolZc-dfdgMwAm_KZxYJl1sUOcIgnbGQzbWOlddedo/edit?usp=sharing"",""เลย!J78"")"),0)</f>
        <v>0</v>
      </c>
      <c r="AA43" s="81">
        <f ca="1">IFERROR(__xludf.DUMMYFUNCTION("IMPORTRANGE(""https://docs.google.com/spreadsheets/d/1IdolZc-dfdgMwAm_KZxYJl1sUOcIgnbGQzbWOlddedo/edit?usp=sharing"",""เลย!J79"")"),0)</f>
        <v>0</v>
      </c>
      <c r="AB43" s="77">
        <f ca="1">IFERROR(__xludf.DUMMYFUNCTION("IMPORTRANGE(""https://docs.google.com/spreadsheets/d/1IdolZc-dfdgMwAm_KZxYJl1sUOcIgnbGQzbWOlddedo/edit?usp=sharing"",""เลย!I80"")"),0)</f>
        <v>0</v>
      </c>
      <c r="AC43" s="77">
        <f ca="1">IFERROR(__xludf.DUMMYFUNCTION("IMPORTRANGE(""https://docs.google.com/spreadsheets/d/1IdolZc-dfdgMwAm_KZxYJl1sUOcIgnbGQzbWOlddedo/edit?usp=sharing"",""เลย!I81"")"),0)</f>
        <v>0</v>
      </c>
      <c r="AD43" s="81">
        <f ca="1">IFERROR(__xludf.DUMMYFUNCTION("IMPORTRANGE(""https://docs.google.com/spreadsheets/d/1IdolZc-dfdgMwAm_KZxYJl1sUOcIgnbGQzbWOlddedo/edit?usp=sharing"",""เลย!J80"")"),0)</f>
        <v>0</v>
      </c>
      <c r="AE43" s="81">
        <f ca="1">IFERROR(__xludf.DUMMYFUNCTION("IMPORTRANGE(""https://docs.google.com/spreadsheets/d/1IdolZc-dfdgMwAm_KZxYJl1sUOcIgnbGQzbWOlddedo/edit?usp=sharing"",""เลย!J81"")"),0)</f>
        <v>0</v>
      </c>
      <c r="AF43" s="77">
        <f ca="1">IFERROR(__xludf.DUMMYFUNCTION("IMPORTRANGE(""https://docs.google.com/spreadsheets/d/1IdolZc-dfdgMwAm_KZxYJl1sUOcIgnbGQzbWOlddedo/edit?usp=sharing"",""เลย!I82"")"),0)</f>
        <v>0</v>
      </c>
      <c r="AG43" s="77">
        <f ca="1">IFERROR(__xludf.DUMMYFUNCTION("IMPORTRANGE(""https://docs.google.com/spreadsheets/d/1IdolZc-dfdgMwAm_KZxYJl1sUOcIgnbGQzbWOlddedo/edit?usp=sharing"",""เลย!I83"")"),0)</f>
        <v>0</v>
      </c>
      <c r="AH43" s="81">
        <f ca="1">IFERROR(__xludf.DUMMYFUNCTION("IMPORTRANGE(""https://docs.google.com/spreadsheets/d/1IdolZc-dfdgMwAm_KZxYJl1sUOcIgnbGQzbWOlddedo/edit?usp=sharing"",""เลย!J82"")"),0)</f>
        <v>0</v>
      </c>
      <c r="AI43" s="81">
        <f ca="1">IFERROR(__xludf.DUMMYFUNCTION("IMPORTRANGE(""https://docs.google.com/spreadsheets/d/1IdolZc-dfdgMwAm_KZxYJl1sUOcIgnbGQzbWOlddedo/edit?usp=sharing"",""เลย!J83"")"),0)</f>
        <v>0</v>
      </c>
      <c r="AJ43" s="77">
        <f ca="1">IFERROR(__xludf.DUMMYFUNCTION("IMPORTRANGE(""https://docs.google.com/spreadsheets/d/1IdolZc-dfdgMwAm_KZxYJl1sUOcIgnbGQzbWOlddedo/edit?usp=sharing"",""เลย!I84"")"),0)</f>
        <v>0</v>
      </c>
      <c r="AK43" s="81">
        <f ca="1">IFERROR(__xludf.DUMMYFUNCTION("IMPORTRANGE(""https://docs.google.com/spreadsheets/d/1IdolZc-dfdgMwAm_KZxYJl1sUOcIgnbGQzbWOlddedo/edit?usp=sharing"",""เลย!J84"")"),0)</f>
        <v>0</v>
      </c>
      <c r="AL43" s="79">
        <f t="shared" ca="1" si="27"/>
        <v>0</v>
      </c>
    </row>
    <row r="44" spans="1:38" ht="21" customHeight="1" x14ac:dyDescent="0.2">
      <c r="A44" s="73">
        <v>13</v>
      </c>
      <c r="B44" s="74" t="s">
        <v>66</v>
      </c>
      <c r="C44" s="75">
        <f t="shared" ca="1" si="0"/>
        <v>937300</v>
      </c>
      <c r="D44" s="76">
        <f t="shared" ca="1" si="37"/>
        <v>937300</v>
      </c>
      <c r="E44" s="77">
        <f ca="1">IFERROR(__xludf.DUMMYFUNCTION("IMPORTRANGE(""https://docs.google.com/spreadsheets/d/1MeEWN-I1oV_STSDYn1IFDPWt_1FKiwhDph83XaGc0o0/edit?usp=sharing"",""งบพรบ!AH44"")"),313700)</f>
        <v>313700</v>
      </c>
      <c r="F44" s="77">
        <f ca="1">IFERROR(__xludf.DUMMYFUNCTION("IMPORTRANGE(""https://docs.google.com/spreadsheets/d/1MeEWN-I1oV_STSDYn1IFDPWt_1FKiwhDph83XaGc0o0/edit?usp=sharing"",""งบพรบ!AI44"")"),623600)</f>
        <v>623600</v>
      </c>
      <c r="G44" s="77">
        <f ca="1">IFERROR(__xludf.DUMMYFUNCTION("IMPORTRANGE(""https://docs.google.com/spreadsheets/d/1MeEWN-I1oV_STSDYn1IFDPWt_1FKiwhDph83XaGc0o0/edit?usp=sharing"",""งบพรบ!AJ44"")"),0)</f>
        <v>0</v>
      </c>
      <c r="H44" s="77">
        <f ca="1">IFERROR(__xludf.DUMMYFUNCTION("IMPORTRANGE(""https://docs.google.com/spreadsheets/d/1MeEWN-I1oV_STSDYn1IFDPWt_1FKiwhDph83XaGc0o0/edit?usp=sharing"",""งบพรบ!AL44"")"),952880)</f>
        <v>952880</v>
      </c>
      <c r="I44" s="77">
        <f ca="1">IFERROR(__xludf.DUMMYFUNCTION("IMPORTRANGE(""https://docs.google.com/spreadsheets/d/1MeEWN-I1oV_STSDYn1IFDPWt_1FKiwhDph83XaGc0o0/edit?usp=sharing"",""งบพรบ!AM44"")"),0)</f>
        <v>0</v>
      </c>
      <c r="J44" s="77">
        <f t="shared" ca="1" si="3"/>
        <v>904118.14</v>
      </c>
      <c r="K44" s="78">
        <f t="shared" ca="1" si="4"/>
        <v>96.459846367225012</v>
      </c>
      <c r="L44" s="77">
        <f ca="1">IFERROR(__xludf.DUMMYFUNCTION("IMPORTRANGE(""https://docs.google.com/spreadsheets/d/1MeEWN-I1oV_STSDYn1IFDPWt_1FKiwhDph83XaGc0o0/edit?usp=sharing"",""งบพรบ!AN44"")"),904118.14)</f>
        <v>904118.14</v>
      </c>
      <c r="M44" s="79">
        <f t="shared" ca="1" si="5"/>
        <v>96.459846367225012</v>
      </c>
      <c r="N44" s="79">
        <f t="shared" ca="1" si="6"/>
        <v>94.882686172445645</v>
      </c>
      <c r="O44" s="80">
        <f ca="1">IFERROR(__xludf.DUMMYFUNCTION("IMPORTRANGE(""https://docs.google.com/spreadsheets/d/1MeEWN-I1oV_STSDYn1IFDPWt_1FKiwhDph83XaGc0o0/edit?usp=sharing"",""งบพรบ!AO44"")"),0)</f>
        <v>0</v>
      </c>
      <c r="P44" s="80">
        <f t="shared" ca="1" si="29"/>
        <v>0</v>
      </c>
      <c r="Q44" s="79">
        <f t="shared" ca="1" si="8"/>
        <v>0</v>
      </c>
      <c r="R44" s="81">
        <f t="shared" ca="1" si="30"/>
        <v>1</v>
      </c>
      <c r="S44" s="81">
        <f t="shared" ca="1" si="24"/>
        <v>71</v>
      </c>
      <c r="T44" s="81">
        <f t="shared" ca="1" si="38"/>
        <v>1</v>
      </c>
      <c r="U44" s="82">
        <f t="shared" ca="1" si="25"/>
        <v>100</v>
      </c>
      <c r="V44" s="81">
        <f t="shared" ca="1" si="39"/>
        <v>71</v>
      </c>
      <c r="W44" s="82">
        <f t="shared" ca="1" si="26"/>
        <v>100</v>
      </c>
      <c r="X44" s="77">
        <f ca="1">IFERROR(__xludf.DUMMYFUNCTION("IMPORTRANGE(""https://docs.google.com/spreadsheets/d/1tZ0nmtGuIRCaGAMXHlQU8EpR9LOAJvyKfc4f7EFmE34/edit?usp=sharing"",""ศรีสะเกษ!I78"")"),0)</f>
        <v>0</v>
      </c>
      <c r="Y44" s="77">
        <f ca="1">IFERROR(__xludf.DUMMYFUNCTION("IMPORTRANGE(""https://docs.google.com/spreadsheets/d/1tZ0nmtGuIRCaGAMXHlQU8EpR9LOAJvyKfc4f7EFmE34/edit?usp=sharing"",""ศรีสะเกษ!I79"")"),0)</f>
        <v>0</v>
      </c>
      <c r="Z44" s="81">
        <f ca="1">IFERROR(__xludf.DUMMYFUNCTION("IMPORTRANGE(""https://docs.google.com/spreadsheets/d/1tZ0nmtGuIRCaGAMXHlQU8EpR9LOAJvyKfc4f7EFmE34/edit?usp=sharing"",""ศรีสะเกษ!J78"")"),0)</f>
        <v>0</v>
      </c>
      <c r="AA44" s="81">
        <f ca="1">IFERROR(__xludf.DUMMYFUNCTION("IMPORTRANGE(""https://docs.google.com/spreadsheets/d/1tZ0nmtGuIRCaGAMXHlQU8EpR9LOAJvyKfc4f7EFmE34/edit?usp=sharing"",""ศรีสะเกษ!J79"")"),0)</f>
        <v>0</v>
      </c>
      <c r="AB44" s="77">
        <f ca="1">IFERROR(__xludf.DUMMYFUNCTION("IMPORTRANGE(""https://docs.google.com/spreadsheets/d/1tZ0nmtGuIRCaGAMXHlQU8EpR9LOAJvyKfc4f7EFmE34/edit?usp=sharing"",""ศรีสะเกษ!I80"")"),0)</f>
        <v>0</v>
      </c>
      <c r="AC44" s="77">
        <f ca="1">IFERROR(__xludf.DUMMYFUNCTION("IMPORTRANGE(""https://docs.google.com/spreadsheets/d/1tZ0nmtGuIRCaGAMXHlQU8EpR9LOAJvyKfc4f7EFmE34/edit?usp=sharing"",""ศรีสะเกษ!I81"")"),0)</f>
        <v>0</v>
      </c>
      <c r="AD44" s="81">
        <f ca="1">IFERROR(__xludf.DUMMYFUNCTION("IMPORTRANGE(""https://docs.google.com/spreadsheets/d/1tZ0nmtGuIRCaGAMXHlQU8EpR9LOAJvyKfc4f7EFmE34/edit?usp=sharing"",""ศรีสะเกษ!J80"")"),0)</f>
        <v>0</v>
      </c>
      <c r="AE44" s="81">
        <f ca="1">IFERROR(__xludf.DUMMYFUNCTION("IMPORTRANGE(""https://docs.google.com/spreadsheets/d/1tZ0nmtGuIRCaGAMXHlQU8EpR9LOAJvyKfc4f7EFmE34/edit?usp=sharing"",""ศรีสะเกษ!J81"")"),0)</f>
        <v>0</v>
      </c>
      <c r="AF44" s="77">
        <f ca="1">IFERROR(__xludf.DUMMYFUNCTION("IMPORTRANGE(""https://docs.google.com/spreadsheets/d/1tZ0nmtGuIRCaGAMXHlQU8EpR9LOAJvyKfc4f7EFmE34/edit?usp=sharing"",""ศรีสะเกษ!I82"")"),1)</f>
        <v>1</v>
      </c>
      <c r="AG44" s="77">
        <f ca="1">IFERROR(__xludf.DUMMYFUNCTION("IMPORTRANGE(""https://docs.google.com/spreadsheets/d/1tZ0nmtGuIRCaGAMXHlQU8EpR9LOAJvyKfc4f7EFmE34/edit?usp=sharing"",""ศรีสะเกษ!I83"")"),71)</f>
        <v>71</v>
      </c>
      <c r="AH44" s="81">
        <f ca="1">IFERROR(__xludf.DUMMYFUNCTION("IMPORTRANGE(""https://docs.google.com/spreadsheets/d/1tZ0nmtGuIRCaGAMXHlQU8EpR9LOAJvyKfc4f7EFmE34/edit?usp=sharing"",""ศรีสะเกษ!J82"")"),1)</f>
        <v>1</v>
      </c>
      <c r="AI44" s="81">
        <f ca="1">IFERROR(__xludf.DUMMYFUNCTION("IMPORTRANGE(""https://docs.google.com/spreadsheets/d/1tZ0nmtGuIRCaGAMXHlQU8EpR9LOAJvyKfc4f7EFmE34/edit?usp=sharing"",""ศรีสะเกษ!J83"")"),71)</f>
        <v>71</v>
      </c>
      <c r="AJ44" s="77">
        <f ca="1">IFERROR(__xludf.DUMMYFUNCTION("IMPORTRANGE(""https://docs.google.com/spreadsheets/d/1tZ0nmtGuIRCaGAMXHlQU8EpR9LOAJvyKfc4f7EFmE34/edit?usp=sharing"",""ศรีสะเกษ!I84"")"),1)</f>
        <v>1</v>
      </c>
      <c r="AK44" s="81">
        <f ca="1">IFERROR(__xludf.DUMMYFUNCTION("IMPORTRANGE(""https://docs.google.com/spreadsheets/d/1tZ0nmtGuIRCaGAMXHlQU8EpR9LOAJvyKfc4f7EFmE34/edit?usp=sharing"",""ศรีสะเกษ!J84"")"),1)</f>
        <v>1</v>
      </c>
      <c r="AL44" s="79">
        <f t="shared" ca="1" si="27"/>
        <v>100</v>
      </c>
    </row>
    <row r="45" spans="1:38" ht="21" customHeight="1" x14ac:dyDescent="0.2">
      <c r="A45" s="73">
        <v>14</v>
      </c>
      <c r="B45" s="74" t="s">
        <v>67</v>
      </c>
      <c r="C45" s="75">
        <f t="shared" ca="1" si="0"/>
        <v>1012000</v>
      </c>
      <c r="D45" s="76">
        <f t="shared" ca="1" si="37"/>
        <v>1012000</v>
      </c>
      <c r="E45" s="77">
        <f ca="1">IFERROR(__xludf.DUMMYFUNCTION("IMPORTRANGE(""https://docs.google.com/spreadsheets/d/1MeEWN-I1oV_STSDYn1IFDPWt_1FKiwhDph83XaGc0o0/edit?usp=sharing"",""งบพรบ!AH45"")"),628000)</f>
        <v>628000</v>
      </c>
      <c r="F45" s="77">
        <f ca="1">IFERROR(__xludf.DUMMYFUNCTION("IMPORTRANGE(""https://docs.google.com/spreadsheets/d/1MeEWN-I1oV_STSDYn1IFDPWt_1FKiwhDph83XaGc0o0/edit?usp=sharing"",""งบพรบ!AI45"")"),384000)</f>
        <v>384000</v>
      </c>
      <c r="G45" s="77">
        <f ca="1">IFERROR(__xludf.DUMMYFUNCTION("IMPORTRANGE(""https://docs.google.com/spreadsheets/d/1MeEWN-I1oV_STSDYn1IFDPWt_1FKiwhDph83XaGc0o0/edit?usp=sharing"",""งบพรบ!AJ45"")"),0)</f>
        <v>0</v>
      </c>
      <c r="H45" s="77">
        <f ca="1">IFERROR(__xludf.DUMMYFUNCTION("IMPORTRANGE(""https://docs.google.com/spreadsheets/d/1MeEWN-I1oV_STSDYn1IFDPWt_1FKiwhDph83XaGc0o0/edit?usp=sharing"",""งบพรบ!AL45"")"),1032070)</f>
        <v>1032070</v>
      </c>
      <c r="I45" s="77">
        <f ca="1">IFERROR(__xludf.DUMMYFUNCTION("IMPORTRANGE(""https://docs.google.com/spreadsheets/d/1MeEWN-I1oV_STSDYn1IFDPWt_1FKiwhDph83XaGc0o0/edit?usp=sharing"",""งบพรบ!AM45"")"),0)</f>
        <v>0</v>
      </c>
      <c r="J45" s="77">
        <f t="shared" ca="1" si="3"/>
        <v>855167.07</v>
      </c>
      <c r="K45" s="78">
        <f t="shared" ca="1" si="4"/>
        <v>84.50267490118577</v>
      </c>
      <c r="L45" s="77">
        <f ca="1">IFERROR(__xludf.DUMMYFUNCTION("IMPORTRANGE(""https://docs.google.com/spreadsheets/d/1MeEWN-I1oV_STSDYn1IFDPWt_1FKiwhDph83XaGc0o0/edit?usp=sharing"",""งบพรบ!AN45"")"),855167.07)</f>
        <v>855167.07</v>
      </c>
      <c r="M45" s="79">
        <f t="shared" ca="1" si="5"/>
        <v>84.50267490118577</v>
      </c>
      <c r="N45" s="79">
        <f t="shared" ca="1" si="6"/>
        <v>82.859405854254078</v>
      </c>
      <c r="O45" s="80">
        <f ca="1">IFERROR(__xludf.DUMMYFUNCTION("IMPORTRANGE(""https://docs.google.com/spreadsheets/d/1MeEWN-I1oV_STSDYn1IFDPWt_1FKiwhDph83XaGc0o0/edit?usp=sharing"",""งบพรบ!AO45"")"),0)</f>
        <v>0</v>
      </c>
      <c r="P45" s="80">
        <f t="shared" ca="1" si="29"/>
        <v>0</v>
      </c>
      <c r="Q45" s="79">
        <f t="shared" ca="1" si="8"/>
        <v>0</v>
      </c>
      <c r="R45" s="81">
        <f t="shared" ca="1" si="30"/>
        <v>1</v>
      </c>
      <c r="S45" s="81">
        <f t="shared" ca="1" si="24"/>
        <v>30</v>
      </c>
      <c r="T45" s="81">
        <f t="shared" ca="1" si="38"/>
        <v>1</v>
      </c>
      <c r="U45" s="82">
        <f t="shared" ca="1" si="25"/>
        <v>100</v>
      </c>
      <c r="V45" s="81">
        <f t="shared" ca="1" si="39"/>
        <v>30</v>
      </c>
      <c r="W45" s="82">
        <f t="shared" ca="1" si="26"/>
        <v>100</v>
      </c>
      <c r="X45" s="77">
        <f ca="1">IFERROR(__xludf.DUMMYFUNCTION("IMPORTRANGE(""https://docs.google.com/spreadsheets/d/1QC8psz9w0f9IVE9Xuc2FT_btkaOzZbbUSgYObpBuetM/edit?usp=sharing"",""สกลนคร!I78"")"),0)</f>
        <v>0</v>
      </c>
      <c r="Y45" s="77">
        <f ca="1">IFERROR(__xludf.DUMMYFUNCTION("IMPORTRANGE(""https://docs.google.com/spreadsheets/d/1QC8psz9w0f9IVE9Xuc2FT_btkaOzZbbUSgYObpBuetM/edit?usp=sharing"",""สกลนคร!I79"")"),0)</f>
        <v>0</v>
      </c>
      <c r="Z45" s="81">
        <f ca="1">IFERROR(__xludf.DUMMYFUNCTION("IMPORTRANGE(""https://docs.google.com/spreadsheets/d/1QC8psz9w0f9IVE9Xuc2FT_btkaOzZbbUSgYObpBuetM/edit?usp=sharing"",""สกลนคร!J78"")"),0)</f>
        <v>0</v>
      </c>
      <c r="AA45" s="81">
        <f ca="1">IFERROR(__xludf.DUMMYFUNCTION("IMPORTRANGE(""https://docs.google.com/spreadsheets/d/1QC8psz9w0f9IVE9Xuc2FT_btkaOzZbbUSgYObpBuetM/edit?usp=sharing"",""สกลนคร!J79"")"),0)</f>
        <v>0</v>
      </c>
      <c r="AB45" s="77">
        <f ca="1">IFERROR(__xludf.DUMMYFUNCTION("IMPORTRANGE(""https://docs.google.com/spreadsheets/d/1QC8psz9w0f9IVE9Xuc2FT_btkaOzZbbUSgYObpBuetM/edit?usp=sharing"",""สกลนคร!I80"")"),0)</f>
        <v>0</v>
      </c>
      <c r="AC45" s="77">
        <f ca="1">IFERROR(__xludf.DUMMYFUNCTION("IMPORTRANGE(""https://docs.google.com/spreadsheets/d/1QC8psz9w0f9IVE9Xuc2FT_btkaOzZbbUSgYObpBuetM/edit?usp=sharing"",""สกลนคร!I81"")"),0)</f>
        <v>0</v>
      </c>
      <c r="AD45" s="81">
        <f ca="1">IFERROR(__xludf.DUMMYFUNCTION("IMPORTRANGE(""https://docs.google.com/spreadsheets/d/1QC8psz9w0f9IVE9Xuc2FT_btkaOzZbbUSgYObpBuetM/edit?usp=sharing"",""สกลนคร!J80"")"),0)</f>
        <v>0</v>
      </c>
      <c r="AE45" s="81">
        <f ca="1">IFERROR(__xludf.DUMMYFUNCTION("IMPORTRANGE(""https://docs.google.com/spreadsheets/d/1QC8psz9w0f9IVE9Xuc2FT_btkaOzZbbUSgYObpBuetM/edit?usp=sharing"",""สกลนคร!J81"")"),0)</f>
        <v>0</v>
      </c>
      <c r="AF45" s="77">
        <f ca="1">IFERROR(__xludf.DUMMYFUNCTION("IMPORTRANGE(""https://docs.google.com/spreadsheets/d/1QC8psz9w0f9IVE9Xuc2FT_btkaOzZbbUSgYObpBuetM/edit?usp=sharing"",""สกลนคร!I82"")"),1)</f>
        <v>1</v>
      </c>
      <c r="AG45" s="77">
        <f ca="1">IFERROR(__xludf.DUMMYFUNCTION("IMPORTRANGE(""https://docs.google.com/spreadsheets/d/1QC8psz9w0f9IVE9Xuc2FT_btkaOzZbbUSgYObpBuetM/edit?usp=sharing"",""สกลนคร!I83"")"),30)</f>
        <v>30</v>
      </c>
      <c r="AH45" s="81">
        <f ca="1">IFERROR(__xludf.DUMMYFUNCTION("IMPORTRANGE(""https://docs.google.com/spreadsheets/d/1QC8psz9w0f9IVE9Xuc2FT_btkaOzZbbUSgYObpBuetM/edit?usp=sharing"",""สกลนคร!J82"")"),1)</f>
        <v>1</v>
      </c>
      <c r="AI45" s="81">
        <f ca="1">IFERROR(__xludf.DUMMYFUNCTION("IMPORTRANGE(""https://docs.google.com/spreadsheets/d/1QC8psz9w0f9IVE9Xuc2FT_btkaOzZbbUSgYObpBuetM/edit?usp=sharing"",""สกลนคร!J83"")"),30)</f>
        <v>30</v>
      </c>
      <c r="AJ45" s="77">
        <f ca="1">IFERROR(__xludf.DUMMYFUNCTION("IMPORTRANGE(""https://docs.google.com/spreadsheets/d/1QC8psz9w0f9IVE9Xuc2FT_btkaOzZbbUSgYObpBuetM/edit?usp=sharing"",""สกลนคร!I84"")"),1)</f>
        <v>1</v>
      </c>
      <c r="AK45" s="81">
        <f ca="1">IFERROR(__xludf.DUMMYFUNCTION("IMPORTRANGE(""https://docs.google.com/spreadsheets/d/1QC8psz9w0f9IVE9Xuc2FT_btkaOzZbbUSgYObpBuetM/edit?usp=sharing"",""สกลนคร!J84"")"),0)</f>
        <v>0</v>
      </c>
      <c r="AL45" s="79">
        <f t="shared" ca="1" si="27"/>
        <v>0</v>
      </c>
    </row>
    <row r="46" spans="1:38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37"/>
        <v>0</v>
      </c>
      <c r="E46" s="77">
        <f ca="1">IFERROR(__xludf.DUMMYFUNCTION("IMPORTRANGE(""https://docs.google.com/spreadsheets/d/1MeEWN-I1oV_STSDYn1IFDPWt_1FKiwhDph83XaGc0o0/edit?usp=sharing"",""งบพรบ!AH46"")"),0)</f>
        <v>0</v>
      </c>
      <c r="F46" s="77">
        <f ca="1">IFERROR(__xludf.DUMMYFUNCTION("IMPORTRANGE(""https://docs.google.com/spreadsheets/d/1MeEWN-I1oV_STSDYn1IFDPWt_1FKiwhDph83XaGc0o0/edit?usp=sharing"",""งบพรบ!AI46"")"),0)</f>
        <v>0</v>
      </c>
      <c r="G46" s="77">
        <f ca="1">IFERROR(__xludf.DUMMYFUNCTION("IMPORTRANGE(""https://docs.google.com/spreadsheets/d/1MeEWN-I1oV_STSDYn1IFDPWt_1FKiwhDph83XaGc0o0/edit?usp=sharing"",""งบพรบ!AJ46"")"),0)</f>
        <v>0</v>
      </c>
      <c r="H46" s="77">
        <f ca="1">IFERROR(__xludf.DUMMYFUNCTION("IMPORTRANGE(""https://docs.google.com/spreadsheets/d/1MeEWN-I1oV_STSDYn1IFDPWt_1FKiwhDph83XaGc0o0/edit?usp=sharing"",""งบพรบ!AL46"")"),0)</f>
        <v>0</v>
      </c>
      <c r="I46" s="77">
        <f ca="1">IFERROR(__xludf.DUMMYFUNCTION("IMPORTRANGE(""https://docs.google.com/spreadsheets/d/1MeEWN-I1oV_STSDYn1IFDPWt_1FKiwhDph83XaGc0o0/edit?usp=sharing"",""งบพรบ!AM46"")"),0)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IFERROR(__xludf.DUMMYFUNCTION("IMPORTRANGE(""https://docs.google.com/spreadsheets/d/1MeEWN-I1oV_STSDYn1IFDPWt_1FKiwhDph83XaGc0o0/edit?usp=sharing"",""งบพรบ!AN46"")"),0)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IFERROR(__xludf.DUMMYFUNCTION("IMPORTRANGE(""https://docs.google.com/spreadsheets/d/1MeEWN-I1oV_STSDYn1IFDPWt_1FKiwhDph83XaGc0o0/edit?usp=sharing"",""งบพรบ!AO46"")"),0)</f>
        <v>0</v>
      </c>
      <c r="P46" s="80">
        <f t="shared" ca="1" si="29"/>
        <v>0</v>
      </c>
      <c r="Q46" s="79">
        <f t="shared" ca="1" si="8"/>
        <v>0</v>
      </c>
      <c r="R46" s="81">
        <f t="shared" ca="1" si="30"/>
        <v>0</v>
      </c>
      <c r="S46" s="81">
        <f t="shared" ca="1" si="24"/>
        <v>0</v>
      </c>
      <c r="T46" s="81">
        <f t="shared" ca="1" si="38"/>
        <v>0</v>
      </c>
      <c r="U46" s="82">
        <f t="shared" ca="1" si="25"/>
        <v>0</v>
      </c>
      <c r="V46" s="81">
        <f t="shared" ca="1" si="39"/>
        <v>0</v>
      </c>
      <c r="W46" s="82">
        <f t="shared" ca="1" si="26"/>
        <v>0</v>
      </c>
      <c r="X46" s="77">
        <f ca="1">IFERROR(__xludf.DUMMYFUNCTION("IMPORTRANGE(""https://docs.google.com/spreadsheets/d/1wPdvRbu02d33MYVlbsCnyTiZpefEBs9NNktAnT1HZvw/edit?usp=sharing"",""สุรินทร์!I78"")"),0)</f>
        <v>0</v>
      </c>
      <c r="Y46" s="77">
        <f ca="1">IFERROR(__xludf.DUMMYFUNCTION("IMPORTRANGE(""https://docs.google.com/spreadsheets/d/1wPdvRbu02d33MYVlbsCnyTiZpefEBs9NNktAnT1HZvw/edit?usp=sharing"",""สุรินทร์!I79"")"),0)</f>
        <v>0</v>
      </c>
      <c r="Z46" s="81">
        <f ca="1">IFERROR(__xludf.DUMMYFUNCTION("IMPORTRANGE(""https://docs.google.com/spreadsheets/d/1wPdvRbu02d33MYVlbsCnyTiZpefEBs9NNktAnT1HZvw/edit?usp=sharing"",""สุรินทร์!J78"")"),0)</f>
        <v>0</v>
      </c>
      <c r="AA46" s="81">
        <f ca="1">IFERROR(__xludf.DUMMYFUNCTION("IMPORTRANGE(""https://docs.google.com/spreadsheets/d/1wPdvRbu02d33MYVlbsCnyTiZpefEBs9NNktAnT1HZvw/edit?usp=sharing"",""สุรินทร์!J79"")"),0)</f>
        <v>0</v>
      </c>
      <c r="AB46" s="77">
        <f ca="1">IFERROR(__xludf.DUMMYFUNCTION("IMPORTRANGE(""https://docs.google.com/spreadsheets/d/1wPdvRbu02d33MYVlbsCnyTiZpefEBs9NNktAnT1HZvw/edit?usp=sharing"",""สุรินทร์!I80"")"),0)</f>
        <v>0</v>
      </c>
      <c r="AC46" s="77">
        <f ca="1">IFERROR(__xludf.DUMMYFUNCTION("IMPORTRANGE(""https://docs.google.com/spreadsheets/d/1wPdvRbu02d33MYVlbsCnyTiZpefEBs9NNktAnT1HZvw/edit?usp=sharing"",""สุรินทร์!I81"")"),0)</f>
        <v>0</v>
      </c>
      <c r="AD46" s="81">
        <f ca="1">IFERROR(__xludf.DUMMYFUNCTION("IMPORTRANGE(""https://docs.google.com/spreadsheets/d/1wPdvRbu02d33MYVlbsCnyTiZpefEBs9NNktAnT1HZvw/edit?usp=sharing"",""สุรินทร์!J80"")"),0)</f>
        <v>0</v>
      </c>
      <c r="AE46" s="81">
        <f ca="1">IFERROR(__xludf.DUMMYFUNCTION("IMPORTRANGE(""https://docs.google.com/spreadsheets/d/1wPdvRbu02d33MYVlbsCnyTiZpefEBs9NNktAnT1HZvw/edit?usp=sharing"",""สุรินทร์!J81"")"),0)</f>
        <v>0</v>
      </c>
      <c r="AF46" s="77">
        <f ca="1">IFERROR(__xludf.DUMMYFUNCTION("IMPORTRANGE(""https://docs.google.com/spreadsheets/d/1wPdvRbu02d33MYVlbsCnyTiZpefEBs9NNktAnT1HZvw/edit?usp=sharing"",""สุรินทร์!I82"")"),0)</f>
        <v>0</v>
      </c>
      <c r="AG46" s="77">
        <f ca="1">IFERROR(__xludf.DUMMYFUNCTION("IMPORTRANGE(""https://docs.google.com/spreadsheets/d/1wPdvRbu02d33MYVlbsCnyTiZpefEBs9NNktAnT1HZvw/edit?usp=sharing"",""สุรินทร์!I83"")"),0)</f>
        <v>0</v>
      </c>
      <c r="AH46" s="81">
        <f ca="1">IFERROR(__xludf.DUMMYFUNCTION("IMPORTRANGE(""https://docs.google.com/spreadsheets/d/1wPdvRbu02d33MYVlbsCnyTiZpefEBs9NNktAnT1HZvw/edit?usp=sharing"",""สุรินทร์!J82"")"),0)</f>
        <v>0</v>
      </c>
      <c r="AI46" s="81">
        <f ca="1">IFERROR(__xludf.DUMMYFUNCTION("IMPORTRANGE(""https://docs.google.com/spreadsheets/d/1wPdvRbu02d33MYVlbsCnyTiZpefEBs9NNktAnT1HZvw/edit?usp=sharing"",""สุรินทร์!J83"")"),0)</f>
        <v>0</v>
      </c>
      <c r="AJ46" s="77">
        <f ca="1">IFERROR(__xludf.DUMMYFUNCTION("IMPORTRANGE(""https://docs.google.com/spreadsheets/d/1wPdvRbu02d33MYVlbsCnyTiZpefEBs9NNktAnT1HZvw/edit?usp=sharing"",""สุรินทร์!I84"")"),0)</f>
        <v>0</v>
      </c>
      <c r="AK46" s="81">
        <f ca="1">IFERROR(__xludf.DUMMYFUNCTION("IMPORTRANGE(""https://docs.google.com/spreadsheets/d/1wPdvRbu02d33MYVlbsCnyTiZpefEBs9NNktAnT1HZvw/edit?usp=sharing"",""สุรินทร์!J84"")"),0)</f>
        <v>0</v>
      </c>
      <c r="AL46" s="79">
        <f t="shared" ca="1" si="27"/>
        <v>0</v>
      </c>
    </row>
    <row r="47" spans="1:38" ht="21" customHeight="1" x14ac:dyDescent="0.2">
      <c r="A47" s="73">
        <v>16</v>
      </c>
      <c r="B47" s="74" t="s">
        <v>69</v>
      </c>
      <c r="C47" s="75">
        <f t="shared" ca="1" si="0"/>
        <v>1380900</v>
      </c>
      <c r="D47" s="76">
        <f t="shared" ca="1" si="37"/>
        <v>1380900</v>
      </c>
      <c r="E47" s="77">
        <f ca="1">IFERROR(__xludf.DUMMYFUNCTION("IMPORTRANGE(""https://docs.google.com/spreadsheets/d/1MeEWN-I1oV_STSDYn1IFDPWt_1FKiwhDph83XaGc0o0/edit?usp=sharing"",""งบพรบ!AH47"")"),300500)</f>
        <v>300500</v>
      </c>
      <c r="F47" s="77">
        <f ca="1">IFERROR(__xludf.DUMMYFUNCTION("IMPORTRANGE(""https://docs.google.com/spreadsheets/d/1MeEWN-I1oV_STSDYn1IFDPWt_1FKiwhDph83XaGc0o0/edit?usp=sharing"",""งบพรบ!AI47"")"),1080400)</f>
        <v>1080400</v>
      </c>
      <c r="G47" s="77">
        <f ca="1">IFERROR(__xludf.DUMMYFUNCTION("IMPORTRANGE(""https://docs.google.com/spreadsheets/d/1MeEWN-I1oV_STSDYn1IFDPWt_1FKiwhDph83XaGc0o0/edit?usp=sharing"",""งบพรบ!AJ47"")"),0)</f>
        <v>0</v>
      </c>
      <c r="H47" s="77">
        <f ca="1">IFERROR(__xludf.DUMMYFUNCTION("IMPORTRANGE(""https://docs.google.com/spreadsheets/d/1MeEWN-I1oV_STSDYn1IFDPWt_1FKiwhDph83XaGc0o0/edit?usp=sharing"",""งบพรบ!AL47"")"),1416350)</f>
        <v>1416350</v>
      </c>
      <c r="I47" s="77">
        <f ca="1">IFERROR(__xludf.DUMMYFUNCTION("IMPORTRANGE(""https://docs.google.com/spreadsheets/d/1MeEWN-I1oV_STSDYn1IFDPWt_1FKiwhDph83XaGc0o0/edit?usp=sharing"",""งบพรบ!AM47"")"),0)</f>
        <v>0</v>
      </c>
      <c r="J47" s="77">
        <f t="shared" ca="1" si="3"/>
        <v>1319402.8799999999</v>
      </c>
      <c r="K47" s="78">
        <f t="shared" ca="1" si="4"/>
        <v>95.546591353465118</v>
      </c>
      <c r="L47" s="77">
        <f ca="1">IFERROR(__xludf.DUMMYFUNCTION("IMPORTRANGE(""https://docs.google.com/spreadsheets/d/1MeEWN-I1oV_STSDYn1IFDPWt_1FKiwhDph83XaGc0o0/edit?usp=sharing"",""งบพรบ!AN47"")"),1319402.88)</f>
        <v>1319402.8799999999</v>
      </c>
      <c r="M47" s="79">
        <f t="shared" ca="1" si="5"/>
        <v>95.546591353465118</v>
      </c>
      <c r="N47" s="79">
        <f t="shared" ca="1" si="6"/>
        <v>93.155143855685381</v>
      </c>
      <c r="O47" s="80">
        <f ca="1">IFERROR(__xludf.DUMMYFUNCTION("IMPORTRANGE(""https://docs.google.com/spreadsheets/d/1MeEWN-I1oV_STSDYn1IFDPWt_1FKiwhDph83XaGc0o0/edit?usp=sharing"",""งบพรบ!AO47"")"),0)</f>
        <v>0</v>
      </c>
      <c r="P47" s="80">
        <f t="shared" ca="1" si="29"/>
        <v>0</v>
      </c>
      <c r="Q47" s="79">
        <f t="shared" ca="1" si="8"/>
        <v>0</v>
      </c>
      <c r="R47" s="81">
        <f t="shared" ca="1" si="30"/>
        <v>2</v>
      </c>
      <c r="S47" s="81">
        <f t="shared" ca="1" si="24"/>
        <v>114</v>
      </c>
      <c r="T47" s="81">
        <f t="shared" ca="1" si="38"/>
        <v>2</v>
      </c>
      <c r="U47" s="82">
        <f t="shared" ca="1" si="25"/>
        <v>100</v>
      </c>
      <c r="V47" s="81">
        <f t="shared" ca="1" si="39"/>
        <v>114</v>
      </c>
      <c r="W47" s="82">
        <f t="shared" ca="1" si="26"/>
        <v>100</v>
      </c>
      <c r="X47" s="77">
        <f ca="1">IFERROR(__xludf.DUMMYFUNCTION("IMPORTRANGE(""https://docs.google.com/spreadsheets/d/1GVExpf-Exi_2gmuqTYH28fseTB9MoKPXWcXCbSt_YrM/edit?usp=sharing"",""หนองคาย!I78"")"),1)</f>
        <v>1</v>
      </c>
      <c r="Y47" s="77">
        <f ca="1">IFERROR(__xludf.DUMMYFUNCTION("IMPORTRANGE(""https://docs.google.com/spreadsheets/d/1GVExpf-Exi_2gmuqTYH28fseTB9MoKPXWcXCbSt_YrM/edit?usp=sharing"",""หนองคาย!I79"")"),50)</f>
        <v>50</v>
      </c>
      <c r="Z47" s="81">
        <f ca="1">IFERROR(__xludf.DUMMYFUNCTION("IMPORTRANGE(""https://docs.google.com/spreadsheets/d/1GVExpf-Exi_2gmuqTYH28fseTB9MoKPXWcXCbSt_YrM/edit?usp=sharing"",""หนองคาย!J78"")"),1)</f>
        <v>1</v>
      </c>
      <c r="AA47" s="81">
        <f ca="1">IFERROR(__xludf.DUMMYFUNCTION("IMPORTRANGE(""https://docs.google.com/spreadsheets/d/1GVExpf-Exi_2gmuqTYH28fseTB9MoKPXWcXCbSt_YrM/edit?usp=sharing"",""หนองคาย!J79"")"),50)</f>
        <v>50</v>
      </c>
      <c r="AB47" s="77">
        <f ca="1">IFERROR(__xludf.DUMMYFUNCTION("IMPORTRANGE(""https://docs.google.com/spreadsheets/d/1GVExpf-Exi_2gmuqTYH28fseTB9MoKPXWcXCbSt_YrM/edit?usp=sharing"",""หนองคาย!I80"")"),0)</f>
        <v>0</v>
      </c>
      <c r="AC47" s="77">
        <f ca="1">IFERROR(__xludf.DUMMYFUNCTION("IMPORTRANGE(""https://docs.google.com/spreadsheets/d/1GVExpf-Exi_2gmuqTYH28fseTB9MoKPXWcXCbSt_YrM/edit?usp=sharing"",""หนองคาย!I81"")"),0)</f>
        <v>0</v>
      </c>
      <c r="AD47" s="81">
        <f ca="1">IFERROR(__xludf.DUMMYFUNCTION("IMPORTRANGE(""https://docs.google.com/spreadsheets/d/1GVExpf-Exi_2gmuqTYH28fseTB9MoKPXWcXCbSt_YrM/edit?usp=sharing"",""หนองคาย!J80"")"),0)</f>
        <v>0</v>
      </c>
      <c r="AE47" s="81">
        <f ca="1">IFERROR(__xludf.DUMMYFUNCTION("IMPORTRANGE(""https://docs.google.com/spreadsheets/d/1GVExpf-Exi_2gmuqTYH28fseTB9MoKPXWcXCbSt_YrM/edit?usp=sharing"",""หนองคาย!J81"")"),0)</f>
        <v>0</v>
      </c>
      <c r="AF47" s="77">
        <f ca="1">IFERROR(__xludf.DUMMYFUNCTION("IMPORTRANGE(""https://docs.google.com/spreadsheets/d/1GVExpf-Exi_2gmuqTYH28fseTB9MoKPXWcXCbSt_YrM/edit?usp=sharing"",""หนองคาย!I82"")"),1)</f>
        <v>1</v>
      </c>
      <c r="AG47" s="77">
        <f ca="1">IFERROR(__xludf.DUMMYFUNCTION("IMPORTRANGE(""https://docs.google.com/spreadsheets/d/1GVExpf-Exi_2gmuqTYH28fseTB9MoKPXWcXCbSt_YrM/edit?usp=sharing"",""หนองคาย!I83"")"),64)</f>
        <v>64</v>
      </c>
      <c r="AH47" s="81">
        <f ca="1">IFERROR(__xludf.DUMMYFUNCTION("IMPORTRANGE(""https://docs.google.com/spreadsheets/d/1GVExpf-Exi_2gmuqTYH28fseTB9MoKPXWcXCbSt_YrM/edit?usp=sharing"",""หนองคาย!J82"")"),1)</f>
        <v>1</v>
      </c>
      <c r="AI47" s="81">
        <f ca="1">IFERROR(__xludf.DUMMYFUNCTION("IMPORTRANGE(""https://docs.google.com/spreadsheets/d/1GVExpf-Exi_2gmuqTYH28fseTB9MoKPXWcXCbSt_YrM/edit?usp=sharing"",""หนองคาย!J83"")"),64)</f>
        <v>64</v>
      </c>
      <c r="AJ47" s="77">
        <f ca="1">IFERROR(__xludf.DUMMYFUNCTION("IMPORTRANGE(""https://docs.google.com/spreadsheets/d/1GVExpf-Exi_2gmuqTYH28fseTB9MoKPXWcXCbSt_YrM/edit?usp=sharing"",""หนองคาย!I84"")"),2)</f>
        <v>2</v>
      </c>
      <c r="AK47" s="81">
        <f ca="1">IFERROR(__xludf.DUMMYFUNCTION("IMPORTRANGE(""https://docs.google.com/spreadsheets/d/1GVExpf-Exi_2gmuqTYH28fseTB9MoKPXWcXCbSt_YrM/edit?usp=sharing"",""หนองคาย!J84"")"),1)</f>
        <v>1</v>
      </c>
      <c r="AL47" s="79">
        <f t="shared" ca="1" si="27"/>
        <v>50</v>
      </c>
    </row>
    <row r="48" spans="1:38" ht="21" customHeight="1" x14ac:dyDescent="0.2">
      <c r="A48" s="73">
        <v>17</v>
      </c>
      <c r="B48" s="74" t="s">
        <v>70</v>
      </c>
      <c r="C48" s="75">
        <f t="shared" ca="1" si="0"/>
        <v>384000</v>
      </c>
      <c r="D48" s="76">
        <f t="shared" ca="1" si="37"/>
        <v>384000</v>
      </c>
      <c r="E48" s="77">
        <f ca="1">IFERROR(__xludf.DUMMYFUNCTION("IMPORTRANGE(""https://docs.google.com/spreadsheets/d/1MeEWN-I1oV_STSDYn1IFDPWt_1FKiwhDph83XaGc0o0/edit?usp=sharing"",""งบพรบ!AH48"")"),0)</f>
        <v>0</v>
      </c>
      <c r="F48" s="77">
        <f ca="1">IFERROR(__xludf.DUMMYFUNCTION("IMPORTRANGE(""https://docs.google.com/spreadsheets/d/1MeEWN-I1oV_STSDYn1IFDPWt_1FKiwhDph83XaGc0o0/edit?usp=sharing"",""งบพรบ!AI48"")"),384000)</f>
        <v>384000</v>
      </c>
      <c r="G48" s="77">
        <f ca="1">IFERROR(__xludf.DUMMYFUNCTION("IMPORTRANGE(""https://docs.google.com/spreadsheets/d/1MeEWN-I1oV_STSDYn1IFDPWt_1FKiwhDph83XaGc0o0/edit?usp=sharing"",""งบพรบ!AJ48"")"),0)</f>
        <v>0</v>
      </c>
      <c r="H48" s="77">
        <f ca="1">IFERROR(__xludf.DUMMYFUNCTION("IMPORTRANGE(""https://docs.google.com/spreadsheets/d/1MeEWN-I1oV_STSDYn1IFDPWt_1FKiwhDph83XaGc0o0/edit?usp=sharing"",""งบพรบ!AL48"")"),403620)</f>
        <v>403620</v>
      </c>
      <c r="I48" s="77">
        <f ca="1">IFERROR(__xludf.DUMMYFUNCTION("IMPORTRANGE(""https://docs.google.com/spreadsheets/d/1MeEWN-I1oV_STSDYn1IFDPWt_1FKiwhDph83XaGc0o0/edit?usp=sharing"",""งบพรบ!AM48"")"),0)</f>
        <v>0</v>
      </c>
      <c r="J48" s="77">
        <f t="shared" ca="1" si="3"/>
        <v>362527</v>
      </c>
      <c r="K48" s="78">
        <f t="shared" ca="1" si="4"/>
        <v>94.408072916666669</v>
      </c>
      <c r="L48" s="77">
        <f ca="1">IFERROR(__xludf.DUMMYFUNCTION("IMPORTRANGE(""https://docs.google.com/spreadsheets/d/1MeEWN-I1oV_STSDYn1IFDPWt_1FKiwhDph83XaGc0o0/edit?usp=sharing"",""งบพรบ!AN48"")"),362527)</f>
        <v>362527</v>
      </c>
      <c r="M48" s="79">
        <f t="shared" ca="1" si="5"/>
        <v>94.408072916666669</v>
      </c>
      <c r="N48" s="79">
        <f t="shared" ca="1" si="6"/>
        <v>89.818889054060747</v>
      </c>
      <c r="O48" s="80">
        <f ca="1">IFERROR(__xludf.DUMMYFUNCTION("IMPORTRANGE(""https://docs.google.com/spreadsheets/d/1MeEWN-I1oV_STSDYn1IFDPWt_1FKiwhDph83XaGc0o0/edit?usp=sharing"",""งบพรบ!AO48"")"),0)</f>
        <v>0</v>
      </c>
      <c r="P48" s="80">
        <f t="shared" ca="1" si="29"/>
        <v>0</v>
      </c>
      <c r="Q48" s="79">
        <f t="shared" ca="1" si="8"/>
        <v>0</v>
      </c>
      <c r="R48" s="81">
        <f t="shared" ca="1" si="30"/>
        <v>1</v>
      </c>
      <c r="S48" s="81">
        <f t="shared" ca="1" si="24"/>
        <v>30</v>
      </c>
      <c r="T48" s="81">
        <f t="shared" ca="1" si="38"/>
        <v>1</v>
      </c>
      <c r="U48" s="82">
        <f t="shared" ca="1" si="25"/>
        <v>100</v>
      </c>
      <c r="V48" s="81">
        <f t="shared" ca="1" si="39"/>
        <v>30</v>
      </c>
      <c r="W48" s="82">
        <f t="shared" ca="1" si="26"/>
        <v>100</v>
      </c>
      <c r="X48" s="77">
        <f ca="1">IFERROR(__xludf.DUMMYFUNCTION("IMPORTRANGE(""https://docs.google.com/spreadsheets/d/16UeMz0UgOB5BZcoxP75eYGcLFtGYRn9GoesD4OX9m5U/edit?usp=sharing"",""หนองบัวลำภู!I78"")"),0)</f>
        <v>0</v>
      </c>
      <c r="Y48" s="77">
        <f ca="1">IFERROR(__xludf.DUMMYFUNCTION("IMPORTRANGE(""https://docs.google.com/spreadsheets/d/16UeMz0UgOB5BZcoxP75eYGcLFtGYRn9GoesD4OX9m5U/edit?usp=sharing"",""หนองบัวลำภู!I79"")"),0)</f>
        <v>0</v>
      </c>
      <c r="Z48" s="81">
        <f ca="1">IFERROR(__xludf.DUMMYFUNCTION("IMPORTRANGE(""https://docs.google.com/spreadsheets/d/16UeMz0UgOB5BZcoxP75eYGcLFtGYRn9GoesD4OX9m5U/edit?usp=sharing"",""หนองบัวลำภู!J78"")"),0)</f>
        <v>0</v>
      </c>
      <c r="AA48" s="81">
        <f ca="1">IFERROR(__xludf.DUMMYFUNCTION("IMPORTRANGE(""https://docs.google.com/spreadsheets/d/16UeMz0UgOB5BZcoxP75eYGcLFtGYRn9GoesD4OX9m5U/edit?usp=sharing"",""หนองบัวลำภู!J79"")"),0)</f>
        <v>0</v>
      </c>
      <c r="AB48" s="77">
        <f ca="1">IFERROR(__xludf.DUMMYFUNCTION("IMPORTRANGE(""https://docs.google.com/spreadsheets/d/16UeMz0UgOB5BZcoxP75eYGcLFtGYRn9GoesD4OX9m5U/edit?usp=sharing"",""หนองบัวลำภู!I80"")"),1)</f>
        <v>1</v>
      </c>
      <c r="AC48" s="77">
        <f ca="1">IFERROR(__xludf.DUMMYFUNCTION("IMPORTRANGE(""https://docs.google.com/spreadsheets/d/16UeMz0UgOB5BZcoxP75eYGcLFtGYRn9GoesD4OX9m5U/edit?usp=sharing"",""หนองบัวลำภู!I81"")"),30)</f>
        <v>30</v>
      </c>
      <c r="AD48" s="81">
        <f ca="1">IFERROR(__xludf.DUMMYFUNCTION("IMPORTRANGE(""https://docs.google.com/spreadsheets/d/16UeMz0UgOB5BZcoxP75eYGcLFtGYRn9GoesD4OX9m5U/edit?usp=sharing"",""หนองบัวลำภู!J80"")"),1)</f>
        <v>1</v>
      </c>
      <c r="AE48" s="81">
        <f ca="1">IFERROR(__xludf.DUMMYFUNCTION("IMPORTRANGE(""https://docs.google.com/spreadsheets/d/16UeMz0UgOB5BZcoxP75eYGcLFtGYRn9GoesD4OX9m5U/edit?usp=sharing"",""หนองบัวลำภู!J81"")"),30)</f>
        <v>30</v>
      </c>
      <c r="AF48" s="77">
        <f ca="1">IFERROR(__xludf.DUMMYFUNCTION("IMPORTRANGE(""https://docs.google.com/spreadsheets/d/16UeMz0UgOB5BZcoxP75eYGcLFtGYRn9GoesD4OX9m5U/edit?usp=sharing"",""หนองบัวลำภู!I82"")"),0)</f>
        <v>0</v>
      </c>
      <c r="AG48" s="77">
        <f ca="1">IFERROR(__xludf.DUMMYFUNCTION("IMPORTRANGE(""https://docs.google.com/spreadsheets/d/16UeMz0UgOB5BZcoxP75eYGcLFtGYRn9GoesD4OX9m5U/edit?usp=sharing"",""หนองบัวลำภู!I83"")"),0)</f>
        <v>0</v>
      </c>
      <c r="AH48" s="81">
        <f ca="1">IFERROR(__xludf.DUMMYFUNCTION("IMPORTRANGE(""https://docs.google.com/spreadsheets/d/16UeMz0UgOB5BZcoxP75eYGcLFtGYRn9GoesD4OX9m5U/edit?usp=sharing"",""หนองบัวลำภู!J82"")"),0)</f>
        <v>0</v>
      </c>
      <c r="AI48" s="81">
        <f ca="1">IFERROR(__xludf.DUMMYFUNCTION("IMPORTRANGE(""https://docs.google.com/spreadsheets/d/16UeMz0UgOB5BZcoxP75eYGcLFtGYRn9GoesD4OX9m5U/edit?usp=sharing"",""หนองบัวลำภู!J83"")"),0)</f>
        <v>0</v>
      </c>
      <c r="AJ48" s="77">
        <f ca="1">IFERROR(__xludf.DUMMYFUNCTION("IMPORTRANGE(""https://docs.google.com/spreadsheets/d/16UeMz0UgOB5BZcoxP75eYGcLFtGYRn9GoesD4OX9m5U/edit?usp=sharing"",""หนองบัวลำภู!I84"")"),1)</f>
        <v>1</v>
      </c>
      <c r="AK48" s="81">
        <f ca="1">IFERROR(__xludf.DUMMYFUNCTION("IMPORTRANGE(""https://docs.google.com/spreadsheets/d/16UeMz0UgOB5BZcoxP75eYGcLFtGYRn9GoesD4OX9m5U/edit?usp=sharing"",""หนองบัวลำภู!J84"")"),1)</f>
        <v>1</v>
      </c>
      <c r="AL48" s="79">
        <f t="shared" ca="1" si="27"/>
        <v>100</v>
      </c>
    </row>
    <row r="49" spans="1:38" ht="21" customHeight="1" x14ac:dyDescent="0.2">
      <c r="A49" s="73">
        <v>18</v>
      </c>
      <c r="B49" s="74" t="s">
        <v>71</v>
      </c>
      <c r="C49" s="75">
        <f t="shared" ca="1" si="0"/>
        <v>781500</v>
      </c>
      <c r="D49" s="76">
        <f t="shared" ca="1" si="37"/>
        <v>781500</v>
      </c>
      <c r="E49" s="77">
        <f ca="1">IFERROR(__xludf.DUMMYFUNCTION("IMPORTRANGE(""https://docs.google.com/spreadsheets/d/1MeEWN-I1oV_STSDYn1IFDPWt_1FKiwhDph83XaGc0o0/edit?usp=sharing"",""งบพรบ!AH49"")"),296700)</f>
        <v>296700</v>
      </c>
      <c r="F49" s="77">
        <f ca="1">IFERROR(__xludf.DUMMYFUNCTION("IMPORTRANGE(""https://docs.google.com/spreadsheets/d/1MeEWN-I1oV_STSDYn1IFDPWt_1FKiwhDph83XaGc0o0/edit?usp=sharing"",""งบพรบ!AI49"")"),484800)</f>
        <v>484800</v>
      </c>
      <c r="G49" s="77">
        <f ca="1">IFERROR(__xludf.DUMMYFUNCTION("IMPORTRANGE(""https://docs.google.com/spreadsheets/d/1MeEWN-I1oV_STSDYn1IFDPWt_1FKiwhDph83XaGc0o0/edit?usp=sharing"",""งบพรบ!AJ49"")"),0)</f>
        <v>0</v>
      </c>
      <c r="H49" s="77">
        <f ca="1">IFERROR(__xludf.DUMMYFUNCTION("IMPORTRANGE(""https://docs.google.com/spreadsheets/d/1MeEWN-I1oV_STSDYn1IFDPWt_1FKiwhDph83XaGc0o0/edit?usp=sharing"",""งบพรบ!AL49"")"),797170)</f>
        <v>797170</v>
      </c>
      <c r="I49" s="77">
        <f ca="1">IFERROR(__xludf.DUMMYFUNCTION("IMPORTRANGE(""https://docs.google.com/spreadsheets/d/1MeEWN-I1oV_STSDYn1IFDPWt_1FKiwhDph83XaGc0o0/edit?usp=sharing"",""งบพรบ!AM49"")"),0)</f>
        <v>0</v>
      </c>
      <c r="J49" s="77">
        <f t="shared" ca="1" si="3"/>
        <v>688077</v>
      </c>
      <c r="K49" s="78">
        <f t="shared" ca="1" si="4"/>
        <v>88.045681381957777</v>
      </c>
      <c r="L49" s="77">
        <f ca="1">IFERROR(__xludf.DUMMYFUNCTION("IMPORTRANGE(""https://docs.google.com/spreadsheets/d/1MeEWN-I1oV_STSDYn1IFDPWt_1FKiwhDph83XaGc0o0/edit?usp=sharing"",""งบพรบ!AN49"")"),688077)</f>
        <v>688077</v>
      </c>
      <c r="M49" s="79">
        <f t="shared" ca="1" si="5"/>
        <v>88.045681381957777</v>
      </c>
      <c r="N49" s="79">
        <f t="shared" ca="1" si="6"/>
        <v>86.314964185807298</v>
      </c>
      <c r="O49" s="80">
        <f ca="1">IFERROR(__xludf.DUMMYFUNCTION("IMPORTRANGE(""https://docs.google.com/spreadsheets/d/1MeEWN-I1oV_STSDYn1IFDPWt_1FKiwhDph83XaGc0o0/edit?usp=sharing"",""งบพรบ!AO49"")"),0)</f>
        <v>0</v>
      </c>
      <c r="P49" s="80">
        <f t="shared" ca="1" si="29"/>
        <v>0</v>
      </c>
      <c r="Q49" s="79">
        <f t="shared" ca="1" si="8"/>
        <v>0</v>
      </c>
      <c r="R49" s="81">
        <f t="shared" ca="1" si="30"/>
        <v>1</v>
      </c>
      <c r="S49" s="81">
        <f t="shared" ca="1" si="24"/>
        <v>48</v>
      </c>
      <c r="T49" s="81">
        <f t="shared" ca="1" si="38"/>
        <v>1</v>
      </c>
      <c r="U49" s="82">
        <f t="shared" ca="1" si="25"/>
        <v>100</v>
      </c>
      <c r="V49" s="81">
        <f t="shared" ca="1" si="39"/>
        <v>48</v>
      </c>
      <c r="W49" s="82">
        <f t="shared" ca="1" si="26"/>
        <v>100</v>
      </c>
      <c r="X49" s="77">
        <f ca="1">IFERROR(__xludf.DUMMYFUNCTION("IMPORTRANGE(""https://docs.google.com/spreadsheets/d/1uUP8Zo1-qaJLuIkRU0qlwLSE3DHkbdrrj2JGJiWBQZE/edit?usp=sharing"",""อำนาจเจริญ!I78"")"),0)</f>
        <v>0</v>
      </c>
      <c r="Y49" s="77">
        <f ca="1">IFERROR(__xludf.DUMMYFUNCTION("IMPORTRANGE(""https://docs.google.com/spreadsheets/d/1uUP8Zo1-qaJLuIkRU0qlwLSE3DHkbdrrj2JGJiWBQZE/edit?usp=sharing"",""อำนาจเจริญ!I79"")"),0)</f>
        <v>0</v>
      </c>
      <c r="Z49" s="81">
        <f ca="1">IFERROR(__xludf.DUMMYFUNCTION("IMPORTRANGE(""https://docs.google.com/spreadsheets/d/1uUP8Zo1-qaJLuIkRU0qlwLSE3DHkbdrrj2JGJiWBQZE/edit?usp=sharing"",""อำนาจเจริญ!J78"")"),0)</f>
        <v>0</v>
      </c>
      <c r="AA49" s="81">
        <f ca="1">IFERROR(__xludf.DUMMYFUNCTION("IMPORTRANGE(""https://docs.google.com/spreadsheets/d/1uUP8Zo1-qaJLuIkRU0qlwLSE3DHkbdrrj2JGJiWBQZE/edit?usp=sharing"",""อำนาจเจริญ!J79"")"),0)</f>
        <v>0</v>
      </c>
      <c r="AB49" s="77">
        <f ca="1">IFERROR(__xludf.DUMMYFUNCTION("IMPORTRANGE(""https://docs.google.com/spreadsheets/d/1uUP8Zo1-qaJLuIkRU0qlwLSE3DHkbdrrj2JGJiWBQZE/edit?usp=sharing"",""อำนาจเจริญ!I80"")"),0)</f>
        <v>0</v>
      </c>
      <c r="AC49" s="77">
        <f ca="1">IFERROR(__xludf.DUMMYFUNCTION("IMPORTRANGE(""https://docs.google.com/spreadsheets/d/1uUP8Zo1-qaJLuIkRU0qlwLSE3DHkbdrrj2JGJiWBQZE/edit?usp=sharing"",""อำนาจเจริญ!I81"")"),0)</f>
        <v>0</v>
      </c>
      <c r="AD49" s="81">
        <f ca="1">IFERROR(__xludf.DUMMYFUNCTION("IMPORTRANGE(""https://docs.google.com/spreadsheets/d/1uUP8Zo1-qaJLuIkRU0qlwLSE3DHkbdrrj2JGJiWBQZE/edit?usp=sharing"",""อำนาจเจริญ!J80"")"),0)</f>
        <v>0</v>
      </c>
      <c r="AE49" s="81">
        <f ca="1">IFERROR(__xludf.DUMMYFUNCTION("IMPORTRANGE(""https://docs.google.com/spreadsheets/d/1uUP8Zo1-qaJLuIkRU0qlwLSE3DHkbdrrj2JGJiWBQZE/edit?usp=sharing"",""อำนาจเจริญ!J81"")"),0)</f>
        <v>0</v>
      </c>
      <c r="AF49" s="77">
        <f ca="1">IFERROR(__xludf.DUMMYFUNCTION("IMPORTRANGE(""https://docs.google.com/spreadsheets/d/1uUP8Zo1-qaJLuIkRU0qlwLSE3DHkbdrrj2JGJiWBQZE/edit?usp=sharing"",""อำนาจเจริญ!I82"")"),1)</f>
        <v>1</v>
      </c>
      <c r="AG49" s="77">
        <f ca="1">IFERROR(__xludf.DUMMYFUNCTION("IMPORTRANGE(""https://docs.google.com/spreadsheets/d/1uUP8Zo1-qaJLuIkRU0qlwLSE3DHkbdrrj2JGJiWBQZE/edit?usp=sharing"",""อำนาจเจริญ!I83"")"),48)</f>
        <v>48</v>
      </c>
      <c r="AH49" s="81">
        <f ca="1">IFERROR(__xludf.DUMMYFUNCTION("IMPORTRANGE(""https://docs.google.com/spreadsheets/d/1uUP8Zo1-qaJLuIkRU0qlwLSE3DHkbdrrj2JGJiWBQZE/edit?usp=sharing"",""อำนาจเจริญ!J82"")"),1)</f>
        <v>1</v>
      </c>
      <c r="AI49" s="81">
        <f ca="1">IFERROR(__xludf.DUMMYFUNCTION("IMPORTRANGE(""https://docs.google.com/spreadsheets/d/1uUP8Zo1-qaJLuIkRU0qlwLSE3DHkbdrrj2JGJiWBQZE/edit?usp=sharing"",""อำนาจเจริญ!J83"")"),48)</f>
        <v>48</v>
      </c>
      <c r="AJ49" s="77">
        <f ca="1">IFERROR(__xludf.DUMMYFUNCTION("IMPORTRANGE(""https://docs.google.com/spreadsheets/d/1uUP8Zo1-qaJLuIkRU0qlwLSE3DHkbdrrj2JGJiWBQZE/edit?usp=sharing"",""อำนาจเจริญ!I84"")"),1)</f>
        <v>1</v>
      </c>
      <c r="AK49" s="81">
        <f ca="1">IFERROR(__xludf.DUMMYFUNCTION("IMPORTRANGE(""https://docs.google.com/spreadsheets/d/1uUP8Zo1-qaJLuIkRU0qlwLSE3DHkbdrrj2JGJiWBQZE/edit?usp=sharing"",""อำนาจเจริญ!J84"")"),0)</f>
        <v>0</v>
      </c>
      <c r="AL49" s="79">
        <f t="shared" ca="1" si="27"/>
        <v>0</v>
      </c>
    </row>
    <row r="50" spans="1:38" ht="21" customHeight="1" x14ac:dyDescent="0.2">
      <c r="A50" s="73">
        <v>19</v>
      </c>
      <c r="B50" s="74" t="s">
        <v>72</v>
      </c>
      <c r="C50" s="75">
        <f t="shared" ca="1" si="0"/>
        <v>1079500</v>
      </c>
      <c r="D50" s="76">
        <f t="shared" ca="1" si="37"/>
        <v>1079500</v>
      </c>
      <c r="E50" s="77">
        <f ca="1">IFERROR(__xludf.DUMMYFUNCTION("IMPORTRANGE(""https://docs.google.com/spreadsheets/d/1MeEWN-I1oV_STSDYn1IFDPWt_1FKiwhDph83XaGc0o0/edit?usp=sharing"",""งบพรบ!AH50"")"),461500)</f>
        <v>461500</v>
      </c>
      <c r="F50" s="77">
        <f ca="1">IFERROR(__xludf.DUMMYFUNCTION("IMPORTRANGE(""https://docs.google.com/spreadsheets/d/1MeEWN-I1oV_STSDYn1IFDPWt_1FKiwhDph83XaGc0o0/edit?usp=sharing"",""งบพรบ!AI50"")"),618000)</f>
        <v>618000</v>
      </c>
      <c r="G50" s="77">
        <f ca="1">IFERROR(__xludf.DUMMYFUNCTION("IMPORTRANGE(""https://docs.google.com/spreadsheets/d/1MeEWN-I1oV_STSDYn1IFDPWt_1FKiwhDph83XaGc0o0/edit?usp=sharing"",""งบพรบ!AJ50"")"),0)</f>
        <v>0</v>
      </c>
      <c r="H50" s="77">
        <f ca="1">IFERROR(__xludf.DUMMYFUNCTION("IMPORTRANGE(""https://docs.google.com/spreadsheets/d/1MeEWN-I1oV_STSDYn1IFDPWt_1FKiwhDph83XaGc0o0/edit?usp=sharing"",""งบพรบ!AL50"")"),1099030)</f>
        <v>1099030</v>
      </c>
      <c r="I50" s="77">
        <f ca="1">IFERROR(__xludf.DUMMYFUNCTION("IMPORTRANGE(""https://docs.google.com/spreadsheets/d/1MeEWN-I1oV_STSDYn1IFDPWt_1FKiwhDph83XaGc0o0/edit?usp=sharing"",""งบพรบ!AM50"")"),0)</f>
        <v>0</v>
      </c>
      <c r="J50" s="77">
        <f t="shared" ca="1" si="3"/>
        <v>994161.95</v>
      </c>
      <c r="K50" s="78">
        <f t="shared" ca="1" si="4"/>
        <v>92.09466882816119</v>
      </c>
      <c r="L50" s="77">
        <f ca="1">IFERROR(__xludf.DUMMYFUNCTION("IMPORTRANGE(""https://docs.google.com/spreadsheets/d/1MeEWN-I1oV_STSDYn1IFDPWt_1FKiwhDph83XaGc0o0/edit?usp=sharing"",""งบพรบ!AN50"")"),994161.95)</f>
        <v>994161.95</v>
      </c>
      <c r="M50" s="79">
        <f t="shared" ca="1" si="5"/>
        <v>92.09466882816119</v>
      </c>
      <c r="N50" s="79">
        <f t="shared" ca="1" si="6"/>
        <v>90.45812671173671</v>
      </c>
      <c r="O50" s="80">
        <f ca="1">IFERROR(__xludf.DUMMYFUNCTION("IMPORTRANGE(""https://docs.google.com/spreadsheets/d/1MeEWN-I1oV_STSDYn1IFDPWt_1FKiwhDph83XaGc0o0/edit?usp=sharing"",""งบพรบ!AO50"")"),0)</f>
        <v>0</v>
      </c>
      <c r="P50" s="80">
        <f t="shared" ca="1" si="29"/>
        <v>0</v>
      </c>
      <c r="Q50" s="79">
        <f t="shared" ca="1" si="8"/>
        <v>0</v>
      </c>
      <c r="R50" s="81">
        <f t="shared" ca="1" si="30"/>
        <v>1</v>
      </c>
      <c r="S50" s="81">
        <f t="shared" ca="1" si="24"/>
        <v>70</v>
      </c>
      <c r="T50" s="81">
        <f t="shared" ca="1" si="38"/>
        <v>1</v>
      </c>
      <c r="U50" s="82">
        <f t="shared" ca="1" si="25"/>
        <v>100</v>
      </c>
      <c r="V50" s="81">
        <f t="shared" ca="1" si="39"/>
        <v>70</v>
      </c>
      <c r="W50" s="82">
        <f t="shared" ca="1" si="26"/>
        <v>100</v>
      </c>
      <c r="X50" s="77">
        <f ca="1">IFERROR(__xludf.DUMMYFUNCTION("IMPORTRANGE(""https://docs.google.com/spreadsheets/d/1hb_taSOHanzRjqfzWPiFo8yiT83VV1L7vvUCLhOiHKc/edit?usp=sharing"",""อุดรธานี!I78"")"),0)</f>
        <v>0</v>
      </c>
      <c r="Y50" s="77">
        <f ca="1">IFERROR(__xludf.DUMMYFUNCTION("IMPORTRANGE(""https://docs.google.com/spreadsheets/d/1hb_taSOHanzRjqfzWPiFo8yiT83VV1L7vvUCLhOiHKc/edit?usp=sharing"",""อุดรธานี!I79"")"),0)</f>
        <v>0</v>
      </c>
      <c r="Z50" s="81">
        <f ca="1">IFERROR(__xludf.DUMMYFUNCTION("IMPORTRANGE(""https://docs.google.com/spreadsheets/d/1hb_taSOHanzRjqfzWPiFo8yiT83VV1L7vvUCLhOiHKc/edit?usp=sharing"",""อุดรธานี!J78"")"),0)</f>
        <v>0</v>
      </c>
      <c r="AA50" s="81">
        <f ca="1">IFERROR(__xludf.DUMMYFUNCTION("IMPORTRANGE(""https://docs.google.com/spreadsheets/d/1hb_taSOHanzRjqfzWPiFo8yiT83VV1L7vvUCLhOiHKc/edit?usp=sharing"",""อุดรธานี!J79"")"),0)</f>
        <v>0</v>
      </c>
      <c r="AB50" s="77">
        <f ca="1">IFERROR(__xludf.DUMMYFUNCTION("IMPORTRANGE(""https://docs.google.com/spreadsheets/d/1hb_taSOHanzRjqfzWPiFo8yiT83VV1L7vvUCLhOiHKc/edit?usp=sharing"",""อุดรธานี!I80"")"),1)</f>
        <v>1</v>
      </c>
      <c r="AC50" s="77">
        <f ca="1">IFERROR(__xludf.DUMMYFUNCTION("IMPORTRANGE(""https://docs.google.com/spreadsheets/d/1hb_taSOHanzRjqfzWPiFo8yiT83VV1L7vvUCLhOiHKc/edit?usp=sharing"",""อุดรธานี!I81"")"),70)</f>
        <v>70</v>
      </c>
      <c r="AD50" s="81">
        <f ca="1">IFERROR(__xludf.DUMMYFUNCTION("IMPORTRANGE(""https://docs.google.com/spreadsheets/d/1hb_taSOHanzRjqfzWPiFo8yiT83VV1L7vvUCLhOiHKc/edit?usp=sharing"",""อุดรธานี!J80"")"),1)</f>
        <v>1</v>
      </c>
      <c r="AE50" s="81">
        <f ca="1">IFERROR(__xludf.DUMMYFUNCTION("IMPORTRANGE(""https://docs.google.com/spreadsheets/d/1hb_taSOHanzRjqfzWPiFo8yiT83VV1L7vvUCLhOiHKc/edit?usp=sharing"",""อุดรธานี!J81"")"),70)</f>
        <v>70</v>
      </c>
      <c r="AF50" s="77">
        <f ca="1">IFERROR(__xludf.DUMMYFUNCTION("IMPORTRANGE(""https://docs.google.com/spreadsheets/d/1hb_taSOHanzRjqfzWPiFo8yiT83VV1L7vvUCLhOiHKc/edit?usp=sharing"",""อุดรธานี!I82"")"),0)</f>
        <v>0</v>
      </c>
      <c r="AG50" s="77">
        <f ca="1">IFERROR(__xludf.DUMMYFUNCTION("IMPORTRANGE(""https://docs.google.com/spreadsheets/d/1hb_taSOHanzRjqfzWPiFo8yiT83VV1L7vvUCLhOiHKc/edit?usp=sharing"",""อุดรธานี!I83"")"),0)</f>
        <v>0</v>
      </c>
      <c r="AH50" s="81">
        <f ca="1">IFERROR(__xludf.DUMMYFUNCTION("IMPORTRANGE(""https://docs.google.com/spreadsheets/d/1hb_taSOHanzRjqfzWPiFo8yiT83VV1L7vvUCLhOiHKc/edit?usp=sharing"",""อุดรธานี!J82"")"),0)</f>
        <v>0</v>
      </c>
      <c r="AI50" s="81">
        <f ca="1">IFERROR(__xludf.DUMMYFUNCTION("IMPORTRANGE(""https://docs.google.com/spreadsheets/d/1hb_taSOHanzRjqfzWPiFo8yiT83VV1L7vvUCLhOiHKc/edit?usp=sharing"",""อุดรธานี!J83"")"),0)</f>
        <v>0</v>
      </c>
      <c r="AJ50" s="77">
        <f ca="1">IFERROR(__xludf.DUMMYFUNCTION("IMPORTRANGE(""https://docs.google.com/spreadsheets/d/1hb_taSOHanzRjqfzWPiFo8yiT83VV1L7vvUCLhOiHKc/edit?usp=sharing"",""อุดรธานี!I84"")"),1)</f>
        <v>1</v>
      </c>
      <c r="AK50" s="81">
        <f ca="1">IFERROR(__xludf.DUMMYFUNCTION("IMPORTRANGE(""https://docs.google.com/spreadsheets/d/1hb_taSOHanzRjqfzWPiFo8yiT83VV1L7vvUCLhOiHKc/edit?usp=sharing"",""อุดรธานี!J84"")"),0)</f>
        <v>0</v>
      </c>
      <c r="AL50" s="79">
        <f t="shared" ca="1" si="27"/>
        <v>0</v>
      </c>
    </row>
    <row r="51" spans="1:38" ht="21" customHeight="1" x14ac:dyDescent="0.2">
      <c r="A51" s="84">
        <v>20</v>
      </c>
      <c r="B51" s="85" t="s">
        <v>73</v>
      </c>
      <c r="C51" s="86">
        <f t="shared" ca="1" si="0"/>
        <v>412000</v>
      </c>
      <c r="D51" s="87">
        <f t="shared" ca="1" si="37"/>
        <v>412000</v>
      </c>
      <c r="E51" s="88">
        <f ca="1">IFERROR(__xludf.DUMMYFUNCTION("IMPORTRANGE(""https://docs.google.com/spreadsheets/d/1MeEWN-I1oV_STSDYn1IFDPWt_1FKiwhDph83XaGc0o0/edit?usp=sharing"",""งบพรบ!AH51"")"),0)</f>
        <v>0</v>
      </c>
      <c r="F51" s="88">
        <f ca="1">IFERROR(__xludf.DUMMYFUNCTION("IMPORTRANGE(""https://docs.google.com/spreadsheets/d/1MeEWN-I1oV_STSDYn1IFDPWt_1FKiwhDph83XaGc0o0/edit?usp=sharing"",""งบพรบ!AI51"")"),412000)</f>
        <v>412000</v>
      </c>
      <c r="G51" s="88">
        <f ca="1">IFERROR(__xludf.DUMMYFUNCTION("IMPORTRANGE(""https://docs.google.com/spreadsheets/d/1MeEWN-I1oV_STSDYn1IFDPWt_1FKiwhDph83XaGc0o0/edit?usp=sharing"",""งบพรบ!AJ51"")"),0)</f>
        <v>0</v>
      </c>
      <c r="H51" s="88">
        <f ca="1">IFERROR(__xludf.DUMMYFUNCTION("IMPORTRANGE(""https://docs.google.com/spreadsheets/d/1MeEWN-I1oV_STSDYn1IFDPWt_1FKiwhDph83XaGc0o0/edit?usp=sharing"",""งบพรบ!AL51"")"),443340)</f>
        <v>443340</v>
      </c>
      <c r="I51" s="88">
        <f ca="1">IFERROR(__xludf.DUMMYFUNCTION("IMPORTRANGE(""https://docs.google.com/spreadsheets/d/1MeEWN-I1oV_STSDYn1IFDPWt_1FKiwhDph83XaGc0o0/edit?usp=sharing"",""งบพรบ!AM51"")"),0)</f>
        <v>0</v>
      </c>
      <c r="J51" s="88">
        <f t="shared" ca="1" si="3"/>
        <v>432340</v>
      </c>
      <c r="K51" s="89">
        <f t="shared" ca="1" si="4"/>
        <v>104.9368932038835</v>
      </c>
      <c r="L51" s="88">
        <f ca="1">IFERROR(__xludf.DUMMYFUNCTION("IMPORTRANGE(""https://docs.google.com/spreadsheets/d/1MeEWN-I1oV_STSDYn1IFDPWt_1FKiwhDph83XaGc0o0/edit?usp=sharing"",""งบพรบ!AN51"")"),432340)</f>
        <v>432340</v>
      </c>
      <c r="M51" s="90">
        <f t="shared" ca="1" si="5"/>
        <v>104.9368932038835</v>
      </c>
      <c r="N51" s="90">
        <f t="shared" ca="1" si="6"/>
        <v>97.518834303243565</v>
      </c>
      <c r="O51" s="91">
        <f ca="1">IFERROR(__xludf.DUMMYFUNCTION("IMPORTRANGE(""https://docs.google.com/spreadsheets/d/1MeEWN-I1oV_STSDYn1IFDPWt_1FKiwhDph83XaGc0o0/edit?usp=sharing"",""งบพรบ!AO51"")"),0)</f>
        <v>0</v>
      </c>
      <c r="P51" s="91">
        <f t="shared" ca="1" si="29"/>
        <v>0</v>
      </c>
      <c r="Q51" s="90">
        <f t="shared" ca="1" si="8"/>
        <v>0</v>
      </c>
      <c r="R51" s="92">
        <f t="shared" ca="1" si="30"/>
        <v>1</v>
      </c>
      <c r="S51" s="92">
        <f t="shared" ca="1" si="24"/>
        <v>35</v>
      </c>
      <c r="T51" s="92">
        <f t="shared" ca="1" si="38"/>
        <v>1</v>
      </c>
      <c r="U51" s="93">
        <f t="shared" ca="1" si="25"/>
        <v>100</v>
      </c>
      <c r="V51" s="92">
        <f t="shared" ca="1" si="39"/>
        <v>35</v>
      </c>
      <c r="W51" s="93">
        <f t="shared" ca="1" si="26"/>
        <v>100</v>
      </c>
      <c r="X51" s="88">
        <f ca="1">IFERROR(__xludf.DUMMYFUNCTION("IMPORTRANGE(""https://docs.google.com/spreadsheets/d/17IOkEwkUd63EGNfyNDnM5de9YlZ7rwzTiW6-dokVjKI/edit?usp=sharing"",""อุบลราชธานี!I78"")"),1)</f>
        <v>1</v>
      </c>
      <c r="Y51" s="88">
        <f ca="1">IFERROR(__xludf.DUMMYFUNCTION("IMPORTRANGE(""https://docs.google.com/spreadsheets/d/17IOkEwkUd63EGNfyNDnM5de9YlZ7rwzTiW6-dokVjKI/edit?usp=sharing"",""อุบลราชธานี!I79"")"),35)</f>
        <v>35</v>
      </c>
      <c r="Z51" s="92">
        <f ca="1">IFERROR(__xludf.DUMMYFUNCTION("IMPORTRANGE(""https://docs.google.com/spreadsheets/d/17IOkEwkUd63EGNfyNDnM5de9YlZ7rwzTiW6-dokVjKI/edit?usp=sharing"",""อุบลราชธานี!J78"")"),1)</f>
        <v>1</v>
      </c>
      <c r="AA51" s="92">
        <f ca="1">IFERROR(__xludf.DUMMYFUNCTION("IMPORTRANGE(""https://docs.google.com/spreadsheets/d/17IOkEwkUd63EGNfyNDnM5de9YlZ7rwzTiW6-dokVjKI/edit?usp=sharing"",""อุบลราชธานี!J79"")"),35)</f>
        <v>35</v>
      </c>
      <c r="AB51" s="88">
        <f ca="1">IFERROR(__xludf.DUMMYFUNCTION("IMPORTRANGE(""https://docs.google.com/spreadsheets/d/17IOkEwkUd63EGNfyNDnM5de9YlZ7rwzTiW6-dokVjKI/edit?usp=sharing"",""อุบลราชธานี!I80"")"),0)</f>
        <v>0</v>
      </c>
      <c r="AC51" s="88">
        <f ca="1">IFERROR(__xludf.DUMMYFUNCTION("IMPORTRANGE(""https://docs.google.com/spreadsheets/d/17IOkEwkUd63EGNfyNDnM5de9YlZ7rwzTiW6-dokVjKI/edit?usp=sharing"",""อุบลราชธานี!I81"")"),0)</f>
        <v>0</v>
      </c>
      <c r="AD51" s="92">
        <f ca="1">IFERROR(__xludf.DUMMYFUNCTION("IMPORTRANGE(""https://docs.google.com/spreadsheets/d/17IOkEwkUd63EGNfyNDnM5de9YlZ7rwzTiW6-dokVjKI/edit?usp=sharing"",""อุบลราชธานี!J80"")"),0)</f>
        <v>0</v>
      </c>
      <c r="AE51" s="92">
        <f ca="1">IFERROR(__xludf.DUMMYFUNCTION("IMPORTRANGE(""https://docs.google.com/spreadsheets/d/17IOkEwkUd63EGNfyNDnM5de9YlZ7rwzTiW6-dokVjKI/edit?usp=sharing"",""อุบลราชธานี!J81"")"),0)</f>
        <v>0</v>
      </c>
      <c r="AF51" s="88">
        <f ca="1">IFERROR(__xludf.DUMMYFUNCTION("IMPORTRANGE(""https://docs.google.com/spreadsheets/d/17IOkEwkUd63EGNfyNDnM5de9YlZ7rwzTiW6-dokVjKI/edit?usp=sharing"",""อุบลราชธานี!I82"")"),0)</f>
        <v>0</v>
      </c>
      <c r="AG51" s="88">
        <f ca="1">IFERROR(__xludf.DUMMYFUNCTION("IMPORTRANGE(""https://docs.google.com/spreadsheets/d/17IOkEwkUd63EGNfyNDnM5de9YlZ7rwzTiW6-dokVjKI/edit?usp=sharing"",""อุบลราชธานี!I83"")"),0)</f>
        <v>0</v>
      </c>
      <c r="AH51" s="92">
        <f ca="1">IFERROR(__xludf.DUMMYFUNCTION("IMPORTRANGE(""https://docs.google.com/spreadsheets/d/17IOkEwkUd63EGNfyNDnM5de9YlZ7rwzTiW6-dokVjKI/edit?usp=sharing"",""อุบลราชธานี!J82"")"),0)</f>
        <v>0</v>
      </c>
      <c r="AI51" s="92">
        <f ca="1">IFERROR(__xludf.DUMMYFUNCTION("IMPORTRANGE(""https://docs.google.com/spreadsheets/d/17IOkEwkUd63EGNfyNDnM5de9YlZ7rwzTiW6-dokVjKI/edit?usp=sharing"",""อุบลราชธานี!J83"")"),0)</f>
        <v>0</v>
      </c>
      <c r="AJ51" s="88">
        <f ca="1">IFERROR(__xludf.DUMMYFUNCTION("IMPORTRANGE(""https://docs.google.com/spreadsheets/d/17IOkEwkUd63EGNfyNDnM5de9YlZ7rwzTiW6-dokVjKI/edit?usp=sharing"",""อุบลราชธานี!I84"")"),1)</f>
        <v>1</v>
      </c>
      <c r="AK51" s="92">
        <f ca="1">IFERROR(__xludf.DUMMYFUNCTION("IMPORTRANGE(""https://docs.google.com/spreadsheets/d/17IOkEwkUd63EGNfyNDnM5de9YlZ7rwzTiW6-dokVjKI/edit?usp=sharing"",""อุบลราชธานี!J84"")"),1)</f>
        <v>1</v>
      </c>
      <c r="AL51" s="90">
        <f t="shared" ca="1" si="27"/>
        <v>100</v>
      </c>
    </row>
    <row r="52" spans="1:38" ht="21" customHeight="1" x14ac:dyDescent="0.2">
      <c r="A52" s="385" t="s">
        <v>74</v>
      </c>
      <c r="B52" s="384"/>
      <c r="C52" s="94">
        <f t="shared" ca="1" si="0"/>
        <v>5761100</v>
      </c>
      <c r="D52" s="57">
        <f t="shared" ref="D52:I52" ca="1" si="40">SUM(D53:D73)</f>
        <v>5761100</v>
      </c>
      <c r="E52" s="57">
        <f t="shared" ca="1" si="40"/>
        <v>1765100</v>
      </c>
      <c r="F52" s="57">
        <f t="shared" ca="1" si="40"/>
        <v>3996000</v>
      </c>
      <c r="G52" s="57">
        <f t="shared" ca="1" si="40"/>
        <v>0</v>
      </c>
      <c r="H52" s="57">
        <f t="shared" ca="1" si="40"/>
        <v>5805940</v>
      </c>
      <c r="I52" s="57">
        <f t="shared" ca="1" si="40"/>
        <v>0</v>
      </c>
      <c r="J52" s="57">
        <f t="shared" ca="1" si="3"/>
        <v>5387948.6999999993</v>
      </c>
      <c r="K52" s="95">
        <f t="shared" ca="1" si="4"/>
        <v>93.522915762614758</v>
      </c>
      <c r="L52" s="57">
        <f ca="1">SUM(L53:L73)</f>
        <v>5387948.6999999993</v>
      </c>
      <c r="M52" s="96">
        <f t="shared" ca="1" si="5"/>
        <v>93.522915762614758</v>
      </c>
      <c r="N52" s="96">
        <f t="shared" ca="1" si="6"/>
        <v>92.800626599654819</v>
      </c>
      <c r="O52" s="97">
        <f ca="1">SUM(O53:O73)</f>
        <v>0</v>
      </c>
      <c r="P52" s="97">
        <f t="shared" ca="1" si="29"/>
        <v>0</v>
      </c>
      <c r="Q52" s="96">
        <f t="shared" ca="1" si="8"/>
        <v>0</v>
      </c>
      <c r="R52" s="57">
        <f t="shared" ca="1" si="30"/>
        <v>8</v>
      </c>
      <c r="S52" s="57">
        <f t="shared" ca="1" si="24"/>
        <v>450</v>
      </c>
      <c r="T52" s="57">
        <f ca="1">SUM(T53:T73)</f>
        <v>8</v>
      </c>
      <c r="U52" s="96">
        <f t="shared" ca="1" si="25"/>
        <v>100</v>
      </c>
      <c r="V52" s="57">
        <f ca="1">SUM(V53:V73)</f>
        <v>450</v>
      </c>
      <c r="W52" s="96">
        <f t="shared" ca="1" si="26"/>
        <v>100</v>
      </c>
      <c r="X52" s="57">
        <f t="shared" ref="X52:AK52" ca="1" si="41">SUM(X53:X73)</f>
        <v>4</v>
      </c>
      <c r="Y52" s="57">
        <f t="shared" ca="1" si="41"/>
        <v>170</v>
      </c>
      <c r="Z52" s="57">
        <f t="shared" ca="1" si="41"/>
        <v>4</v>
      </c>
      <c r="AA52" s="57">
        <f t="shared" ca="1" si="41"/>
        <v>170</v>
      </c>
      <c r="AB52" s="57">
        <f t="shared" ca="1" si="41"/>
        <v>2</v>
      </c>
      <c r="AC52" s="57">
        <f t="shared" ca="1" si="41"/>
        <v>150</v>
      </c>
      <c r="AD52" s="57">
        <f t="shared" ca="1" si="41"/>
        <v>2</v>
      </c>
      <c r="AE52" s="57">
        <f t="shared" ca="1" si="41"/>
        <v>150</v>
      </c>
      <c r="AF52" s="57">
        <f t="shared" ca="1" si="41"/>
        <v>2</v>
      </c>
      <c r="AG52" s="57">
        <f t="shared" ca="1" si="41"/>
        <v>130</v>
      </c>
      <c r="AH52" s="57">
        <f t="shared" ca="1" si="41"/>
        <v>2</v>
      </c>
      <c r="AI52" s="57">
        <f t="shared" ca="1" si="41"/>
        <v>130</v>
      </c>
      <c r="AJ52" s="57">
        <f t="shared" ca="1" si="41"/>
        <v>8</v>
      </c>
      <c r="AK52" s="57">
        <f t="shared" ca="1" si="41"/>
        <v>7</v>
      </c>
      <c r="AL52" s="96">
        <f t="shared" ca="1" si="27"/>
        <v>87.5</v>
      </c>
    </row>
    <row r="53" spans="1:38" ht="21" customHeight="1" x14ac:dyDescent="0.2">
      <c r="A53" s="63">
        <v>1</v>
      </c>
      <c r="B53" s="64" t="s">
        <v>75</v>
      </c>
      <c r="C53" s="98">
        <f t="shared" ca="1" si="0"/>
        <v>0</v>
      </c>
      <c r="D53" s="66">
        <f t="shared" ref="D53:D73" ca="1" si="42">+E53+F53</f>
        <v>0</v>
      </c>
      <c r="E53" s="67">
        <f ca="1">IFERROR(__xludf.DUMMYFUNCTION("IMPORTRANGE(""https://docs.google.com/spreadsheets/d/1MeEWN-I1oV_STSDYn1IFDPWt_1FKiwhDph83XaGc0o0/edit?usp=sharing"",""งบพรบ!AH53"")"),0)</f>
        <v>0</v>
      </c>
      <c r="F53" s="67">
        <f ca="1">IFERROR(__xludf.DUMMYFUNCTION("IMPORTRANGE(""https://docs.google.com/spreadsheets/d/1MeEWN-I1oV_STSDYn1IFDPWt_1FKiwhDph83XaGc0o0/edit?usp=sharing"",""งบพรบ!AI53"")"),0)</f>
        <v>0</v>
      </c>
      <c r="G53" s="68">
        <f ca="1">IFERROR(__xludf.DUMMYFUNCTION("IMPORTRANGE(""https://docs.google.com/spreadsheets/d/1MeEWN-I1oV_STSDYn1IFDPWt_1FKiwhDph83XaGc0o0/edit?usp=sharing"",""งบพรบ!AJ53"")"),0)</f>
        <v>0</v>
      </c>
      <c r="H53" s="68">
        <f ca="1">IFERROR(__xludf.DUMMYFUNCTION("IMPORTRANGE(""https://docs.google.com/spreadsheets/d/1MeEWN-I1oV_STSDYn1IFDPWt_1FKiwhDph83XaGc0o0/edit?usp=sharing"",""งบพรบ!AL53"")"),0)</f>
        <v>0</v>
      </c>
      <c r="I53" s="68">
        <f ca="1">IFERROR(__xludf.DUMMYFUNCTION("IMPORTRANGE(""https://docs.google.com/spreadsheets/d/1MeEWN-I1oV_STSDYn1IFDPWt_1FKiwhDph83XaGc0o0/edit?usp=sharing"",""งบพรบ!AM53"")"),0)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IFERROR(__xludf.DUMMYFUNCTION("IMPORTRANGE(""https://docs.google.com/spreadsheets/d/1MeEWN-I1oV_STSDYn1IFDPWt_1FKiwhDph83XaGc0o0/edit?usp=sharing"",""งบพรบ!AN53"")"),0)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IFERROR(__xludf.DUMMYFUNCTION("IMPORTRANGE(""https://docs.google.com/spreadsheets/d/1MeEWN-I1oV_STSDYn1IFDPWt_1FKiwhDph83XaGc0o0/edit?usp=sharing"",""งบพรบ!AO53"")"),0)</f>
        <v>0</v>
      </c>
      <c r="P53" s="71">
        <f t="shared" ca="1" si="29"/>
        <v>0</v>
      </c>
      <c r="Q53" s="70">
        <f t="shared" ca="1" si="8"/>
        <v>0</v>
      </c>
      <c r="R53" s="68">
        <f t="shared" ca="1" si="30"/>
        <v>0</v>
      </c>
      <c r="S53" s="68">
        <f t="shared" ca="1" si="24"/>
        <v>0</v>
      </c>
      <c r="T53" s="68">
        <f t="shared" ref="T53:T73" ca="1" si="43">Z53+AD53+AH53</f>
        <v>0</v>
      </c>
      <c r="U53" s="72">
        <f t="shared" ca="1" si="25"/>
        <v>0</v>
      </c>
      <c r="V53" s="68">
        <f t="shared" ref="V53:V73" ca="1" si="44">AA53+AE53+AI53</f>
        <v>0</v>
      </c>
      <c r="W53" s="72">
        <f t="shared" ca="1" si="26"/>
        <v>0</v>
      </c>
      <c r="X53" s="67">
        <f ca="1">IFERROR(__xludf.DUMMYFUNCTION("IMPORTRANGE(""https://docs.google.com/spreadsheets/d/1hKO5uv94SSRZWOvrh72HRcpyoEQF9TsE_Cvxl77XNU4/edit?usp=sharing"",""กาญจนบุรี!I78"")"),0)</f>
        <v>0</v>
      </c>
      <c r="Y53" s="67">
        <f ca="1">IFERROR(__xludf.DUMMYFUNCTION("IMPORTRANGE(""https://docs.google.com/spreadsheets/d/1hKO5uv94SSRZWOvrh72HRcpyoEQF9TsE_Cvxl77XNU4/edit?usp=sharing"",""กาญจนบุรี!I79"")"),0)</f>
        <v>0</v>
      </c>
      <c r="Z53" s="68">
        <f ca="1">IFERROR(__xludf.DUMMYFUNCTION("IMPORTRANGE(""https://docs.google.com/spreadsheets/d/1hKO5uv94SSRZWOvrh72HRcpyoEQF9TsE_Cvxl77XNU4/edit?usp=sharing"",""กาญจนบุรี!J78"")"),0)</f>
        <v>0</v>
      </c>
      <c r="AA53" s="68">
        <f ca="1">IFERROR(__xludf.DUMMYFUNCTION("IMPORTRANGE(""https://docs.google.com/spreadsheets/d/1hKO5uv94SSRZWOvrh72HRcpyoEQF9TsE_Cvxl77XNU4/edit?usp=sharing"",""กาญจนบุรี!J79"")"),0)</f>
        <v>0</v>
      </c>
      <c r="AB53" s="67">
        <f ca="1">IFERROR(__xludf.DUMMYFUNCTION("IMPORTRANGE(""https://docs.google.com/spreadsheets/d/1hKO5uv94SSRZWOvrh72HRcpyoEQF9TsE_Cvxl77XNU4/edit?usp=sharing"",""กาญจนบุรี!I80"")"),0)</f>
        <v>0</v>
      </c>
      <c r="AC53" s="67">
        <f ca="1">IFERROR(__xludf.DUMMYFUNCTION("IMPORTRANGE(""https://docs.google.com/spreadsheets/d/1hKO5uv94SSRZWOvrh72HRcpyoEQF9TsE_Cvxl77XNU4/edit?usp=sharing"",""กาญจนบุรี!I81"")"),0)</f>
        <v>0</v>
      </c>
      <c r="AD53" s="68">
        <f ca="1">IFERROR(__xludf.DUMMYFUNCTION("IMPORTRANGE(""https://docs.google.com/spreadsheets/d/1hKO5uv94SSRZWOvrh72HRcpyoEQF9TsE_Cvxl77XNU4/edit?usp=sharing"",""กาญจนบุรี!J80"")"),0)</f>
        <v>0</v>
      </c>
      <c r="AE53" s="68">
        <f ca="1">IFERROR(__xludf.DUMMYFUNCTION("IMPORTRANGE(""https://docs.google.com/spreadsheets/d/1hKO5uv94SSRZWOvrh72HRcpyoEQF9TsE_Cvxl77XNU4/edit?usp=sharing"",""กาญจนบุรี!J81"")"),0)</f>
        <v>0</v>
      </c>
      <c r="AF53" s="67">
        <f ca="1">IFERROR(__xludf.DUMMYFUNCTION("IMPORTRANGE(""https://docs.google.com/spreadsheets/d/1hKO5uv94SSRZWOvrh72HRcpyoEQF9TsE_Cvxl77XNU4/edit?usp=sharing"",""กาญจนบุรี!I82"")"),0)</f>
        <v>0</v>
      </c>
      <c r="AG53" s="67">
        <f ca="1">IFERROR(__xludf.DUMMYFUNCTION("IMPORTRANGE(""https://docs.google.com/spreadsheets/d/1hKO5uv94SSRZWOvrh72HRcpyoEQF9TsE_Cvxl77XNU4/edit?usp=sharing"",""กาญจนบุรี!I83"")"),0)</f>
        <v>0</v>
      </c>
      <c r="AH53" s="68">
        <f ca="1">IFERROR(__xludf.DUMMYFUNCTION("IMPORTRANGE(""https://docs.google.com/spreadsheets/d/1hKO5uv94SSRZWOvrh72HRcpyoEQF9TsE_Cvxl77XNU4/edit?usp=sharing"",""กาญจนบุรี!J82"")"),0)</f>
        <v>0</v>
      </c>
      <c r="AI53" s="68">
        <f ca="1">IFERROR(__xludf.DUMMYFUNCTION("IMPORTRANGE(""https://docs.google.com/spreadsheets/d/1hKO5uv94SSRZWOvrh72HRcpyoEQF9TsE_Cvxl77XNU4/edit?usp=sharing"",""กาญจนบุรี!J83"")"),0)</f>
        <v>0</v>
      </c>
      <c r="AJ53" s="67">
        <f ca="1">IFERROR(__xludf.DUMMYFUNCTION("IMPORTRANGE(""https://docs.google.com/spreadsheets/d/1hKO5uv94SSRZWOvrh72HRcpyoEQF9TsE_Cvxl77XNU4/edit?usp=sharing"",""กาญจนบุรี!I84"")"),0)</f>
        <v>0</v>
      </c>
      <c r="AK53" s="68">
        <f ca="1">IFERROR(__xludf.DUMMYFUNCTION("IMPORTRANGE(""https://docs.google.com/spreadsheets/d/1hKO5uv94SSRZWOvrh72HRcpyoEQF9TsE_Cvxl77XNU4/edit?usp=sharing"",""กาญจนบุรี!J84"")"),0)</f>
        <v>0</v>
      </c>
      <c r="AL53" s="70">
        <f t="shared" ca="1" si="27"/>
        <v>0</v>
      </c>
    </row>
    <row r="54" spans="1:38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2"/>
        <v>0</v>
      </c>
      <c r="E54" s="77">
        <f ca="1">IFERROR(__xludf.DUMMYFUNCTION("IMPORTRANGE(""https://docs.google.com/spreadsheets/d/1MeEWN-I1oV_STSDYn1IFDPWt_1FKiwhDph83XaGc0o0/edit?usp=sharing"",""งบพรบ!AH54"")"),0)</f>
        <v>0</v>
      </c>
      <c r="F54" s="77">
        <f ca="1">IFERROR(__xludf.DUMMYFUNCTION("IMPORTRANGE(""https://docs.google.com/spreadsheets/d/1MeEWN-I1oV_STSDYn1IFDPWt_1FKiwhDph83XaGc0o0/edit?usp=sharing"",""งบพรบ!AI54"")"),0)</f>
        <v>0</v>
      </c>
      <c r="G54" s="77">
        <f ca="1">IFERROR(__xludf.DUMMYFUNCTION("IMPORTRANGE(""https://docs.google.com/spreadsheets/d/1MeEWN-I1oV_STSDYn1IFDPWt_1FKiwhDph83XaGc0o0/edit?usp=sharing"",""งบพรบ!AJ54"")"),0)</f>
        <v>0</v>
      </c>
      <c r="H54" s="77">
        <f ca="1">IFERROR(__xludf.DUMMYFUNCTION("IMPORTRANGE(""https://docs.google.com/spreadsheets/d/1MeEWN-I1oV_STSDYn1IFDPWt_1FKiwhDph83XaGc0o0/edit?usp=sharing"",""งบพรบ!AL54"")"),0)</f>
        <v>0</v>
      </c>
      <c r="I54" s="77">
        <f ca="1">IFERROR(__xludf.DUMMYFUNCTION("IMPORTRANGE(""https://docs.google.com/spreadsheets/d/1MeEWN-I1oV_STSDYn1IFDPWt_1FKiwhDph83XaGc0o0/edit?usp=sharing"",""งบพรบ!AM54"")"),0)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IFERROR(__xludf.DUMMYFUNCTION("IMPORTRANGE(""https://docs.google.com/spreadsheets/d/1MeEWN-I1oV_STSDYn1IFDPWt_1FKiwhDph83XaGc0o0/edit?usp=sharing"",""งบพรบ!AN54"")"),0)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IFERROR(__xludf.DUMMYFUNCTION("IMPORTRANGE(""https://docs.google.com/spreadsheets/d/1MeEWN-I1oV_STSDYn1IFDPWt_1FKiwhDph83XaGc0o0/edit?usp=sharing"",""งบพรบ!AO54"")"),0)</f>
        <v>0</v>
      </c>
      <c r="P54" s="80">
        <f t="shared" ca="1" si="29"/>
        <v>0</v>
      </c>
      <c r="Q54" s="79">
        <f t="shared" ca="1" si="8"/>
        <v>0</v>
      </c>
      <c r="R54" s="81">
        <f t="shared" ca="1" si="30"/>
        <v>0</v>
      </c>
      <c r="S54" s="81">
        <f t="shared" ca="1" si="24"/>
        <v>0</v>
      </c>
      <c r="T54" s="81">
        <f t="shared" ca="1" si="43"/>
        <v>0</v>
      </c>
      <c r="U54" s="82">
        <f t="shared" ca="1" si="25"/>
        <v>0</v>
      </c>
      <c r="V54" s="81">
        <f t="shared" ca="1" si="44"/>
        <v>0</v>
      </c>
      <c r="W54" s="82">
        <f t="shared" ca="1" si="26"/>
        <v>0</v>
      </c>
      <c r="X54" s="77">
        <f ca="1">IFERROR(__xludf.DUMMYFUNCTION("IMPORTRANGE(""https://docs.google.com/spreadsheets/d/1njBaP_xXd-Uotvo2D9zb01TTCFkLJLDK97Tk1l9Qux0/edit?usp=sharing"",""จันทบุรี!I78"")"),0)</f>
        <v>0</v>
      </c>
      <c r="Y54" s="77">
        <f ca="1">IFERROR(__xludf.DUMMYFUNCTION("IMPORTRANGE(""https://docs.google.com/spreadsheets/d/1njBaP_xXd-Uotvo2D9zb01TTCFkLJLDK97Tk1l9Qux0/edit?usp=sharing"",""จันทบุรี!I79"")"),0)</f>
        <v>0</v>
      </c>
      <c r="Z54" s="81">
        <f ca="1">IFERROR(__xludf.DUMMYFUNCTION("IMPORTRANGE(""https://docs.google.com/spreadsheets/d/1njBaP_xXd-Uotvo2D9zb01TTCFkLJLDK97Tk1l9Qux0/edit?usp=sharing"",""จันทบุรี!J78"")"),0)</f>
        <v>0</v>
      </c>
      <c r="AA54" s="81">
        <f ca="1">IFERROR(__xludf.DUMMYFUNCTION("IMPORTRANGE(""https://docs.google.com/spreadsheets/d/1njBaP_xXd-Uotvo2D9zb01TTCFkLJLDK97Tk1l9Qux0/edit?usp=sharing"",""จันทบุรี!J79"")"),0)</f>
        <v>0</v>
      </c>
      <c r="AB54" s="77">
        <f ca="1">IFERROR(__xludf.DUMMYFUNCTION("IMPORTRANGE(""https://docs.google.com/spreadsheets/d/1njBaP_xXd-Uotvo2D9zb01TTCFkLJLDK97Tk1l9Qux0/edit?usp=sharing"",""จันทบุรี!I80"")"),0)</f>
        <v>0</v>
      </c>
      <c r="AC54" s="77">
        <f ca="1">IFERROR(__xludf.DUMMYFUNCTION("IMPORTRANGE(""https://docs.google.com/spreadsheets/d/1njBaP_xXd-Uotvo2D9zb01TTCFkLJLDK97Tk1l9Qux0/edit?usp=sharing"",""จันทบุรี!I81"")"),0)</f>
        <v>0</v>
      </c>
      <c r="AD54" s="81">
        <f ca="1">IFERROR(__xludf.DUMMYFUNCTION("IMPORTRANGE(""https://docs.google.com/spreadsheets/d/1njBaP_xXd-Uotvo2D9zb01TTCFkLJLDK97Tk1l9Qux0/edit?usp=sharing"",""จันทบุรี!J80"")"),0)</f>
        <v>0</v>
      </c>
      <c r="AE54" s="81">
        <f ca="1">IFERROR(__xludf.DUMMYFUNCTION("IMPORTRANGE(""https://docs.google.com/spreadsheets/d/1njBaP_xXd-Uotvo2D9zb01TTCFkLJLDK97Tk1l9Qux0/edit?usp=sharing"",""จันทบุรี!J81"")"),0)</f>
        <v>0</v>
      </c>
      <c r="AF54" s="77">
        <f ca="1">IFERROR(__xludf.DUMMYFUNCTION("IMPORTRANGE(""https://docs.google.com/spreadsheets/d/1njBaP_xXd-Uotvo2D9zb01TTCFkLJLDK97Tk1l9Qux0/edit?usp=sharing"",""จันทบุรี!I82"")"),0)</f>
        <v>0</v>
      </c>
      <c r="AG54" s="77">
        <f ca="1">IFERROR(__xludf.DUMMYFUNCTION("IMPORTRANGE(""https://docs.google.com/spreadsheets/d/1njBaP_xXd-Uotvo2D9zb01TTCFkLJLDK97Tk1l9Qux0/edit?usp=sharing"",""จันทบุรี!I83"")"),0)</f>
        <v>0</v>
      </c>
      <c r="AH54" s="81">
        <f ca="1">IFERROR(__xludf.DUMMYFUNCTION("IMPORTRANGE(""https://docs.google.com/spreadsheets/d/1njBaP_xXd-Uotvo2D9zb01TTCFkLJLDK97Tk1l9Qux0/edit?usp=sharing"",""จันทบุรี!J82"")"),0)</f>
        <v>0</v>
      </c>
      <c r="AI54" s="81">
        <f ca="1">IFERROR(__xludf.DUMMYFUNCTION("IMPORTRANGE(""https://docs.google.com/spreadsheets/d/1njBaP_xXd-Uotvo2D9zb01TTCFkLJLDK97Tk1l9Qux0/edit?usp=sharing"",""จันทบุรี!J83"")"),0)</f>
        <v>0</v>
      </c>
      <c r="AJ54" s="77">
        <f ca="1">IFERROR(__xludf.DUMMYFUNCTION("IMPORTRANGE(""https://docs.google.com/spreadsheets/d/1njBaP_xXd-Uotvo2D9zb01TTCFkLJLDK97Tk1l9Qux0/edit?usp=sharing"",""จันทบุรี!I84"")"),0)</f>
        <v>0</v>
      </c>
      <c r="AK54" s="81">
        <f ca="1">IFERROR(__xludf.DUMMYFUNCTION("IMPORTRANGE(""https://docs.google.com/spreadsheets/d/1njBaP_xXd-Uotvo2D9zb01TTCFkLJLDK97Tk1l9Qux0/edit?usp=sharing"",""จันทบุรี!J84"")"),0)</f>
        <v>0</v>
      </c>
      <c r="AL54" s="79">
        <f t="shared" ca="1" si="27"/>
        <v>0</v>
      </c>
    </row>
    <row r="55" spans="1:38" ht="21" customHeight="1" x14ac:dyDescent="0.2">
      <c r="A55" s="73">
        <v>3</v>
      </c>
      <c r="B55" s="74" t="s">
        <v>77</v>
      </c>
      <c r="C55" s="75">
        <f t="shared" ca="1" si="0"/>
        <v>0</v>
      </c>
      <c r="D55" s="76">
        <f t="shared" ca="1" si="42"/>
        <v>0</v>
      </c>
      <c r="E55" s="77">
        <f ca="1">IFERROR(__xludf.DUMMYFUNCTION("IMPORTRANGE(""https://docs.google.com/spreadsheets/d/1MeEWN-I1oV_STSDYn1IFDPWt_1FKiwhDph83XaGc0o0/edit?usp=sharing"",""งบพรบ!AH55"")"),0)</f>
        <v>0</v>
      </c>
      <c r="F55" s="77">
        <f ca="1">IFERROR(__xludf.DUMMYFUNCTION("IMPORTRANGE(""https://docs.google.com/spreadsheets/d/1MeEWN-I1oV_STSDYn1IFDPWt_1FKiwhDph83XaGc0o0/edit?usp=sharing"",""งบพรบ!AI55"")"),0)</f>
        <v>0</v>
      </c>
      <c r="G55" s="77">
        <f ca="1">IFERROR(__xludf.DUMMYFUNCTION("IMPORTRANGE(""https://docs.google.com/spreadsheets/d/1MeEWN-I1oV_STSDYn1IFDPWt_1FKiwhDph83XaGc0o0/edit?usp=sharing"",""งบพรบ!AJ55"")"),0)</f>
        <v>0</v>
      </c>
      <c r="H55" s="77">
        <f ca="1">IFERROR(__xludf.DUMMYFUNCTION("IMPORTRANGE(""https://docs.google.com/spreadsheets/d/1MeEWN-I1oV_STSDYn1IFDPWt_1FKiwhDph83XaGc0o0/edit?usp=sharing"",""งบพรบ!AL55"")"),0)</f>
        <v>0</v>
      </c>
      <c r="I55" s="77">
        <f ca="1">IFERROR(__xludf.DUMMYFUNCTION("IMPORTRANGE(""https://docs.google.com/spreadsheets/d/1MeEWN-I1oV_STSDYn1IFDPWt_1FKiwhDph83XaGc0o0/edit?usp=sharing"",""งบพรบ!AM55"")"),0)</f>
        <v>0</v>
      </c>
      <c r="J55" s="77">
        <f t="shared" ca="1" si="3"/>
        <v>0</v>
      </c>
      <c r="K55" s="78">
        <f t="shared" ca="1" si="4"/>
        <v>0</v>
      </c>
      <c r="L55" s="77">
        <f ca="1">IFERROR(__xludf.DUMMYFUNCTION("IMPORTRANGE(""https://docs.google.com/spreadsheets/d/1MeEWN-I1oV_STSDYn1IFDPWt_1FKiwhDph83XaGc0o0/edit?usp=sharing"",""งบพรบ!AN55"")"),0)</f>
        <v>0</v>
      </c>
      <c r="M55" s="79">
        <f t="shared" ca="1" si="5"/>
        <v>0</v>
      </c>
      <c r="N55" s="79">
        <f t="shared" ca="1" si="6"/>
        <v>0</v>
      </c>
      <c r="O55" s="80">
        <f ca="1">IFERROR(__xludf.DUMMYFUNCTION("IMPORTRANGE(""https://docs.google.com/spreadsheets/d/1MeEWN-I1oV_STSDYn1IFDPWt_1FKiwhDph83XaGc0o0/edit?usp=sharing"",""งบพรบ!AO55"")"),0)</f>
        <v>0</v>
      </c>
      <c r="P55" s="80">
        <f t="shared" ca="1" si="29"/>
        <v>0</v>
      </c>
      <c r="Q55" s="79">
        <f t="shared" ca="1" si="8"/>
        <v>0</v>
      </c>
      <c r="R55" s="81">
        <f t="shared" ca="1" si="30"/>
        <v>0</v>
      </c>
      <c r="S55" s="81">
        <f t="shared" ca="1" si="24"/>
        <v>0</v>
      </c>
      <c r="T55" s="81">
        <f t="shared" ca="1" si="43"/>
        <v>0</v>
      </c>
      <c r="U55" s="82">
        <f t="shared" ca="1" si="25"/>
        <v>0</v>
      </c>
      <c r="V55" s="81">
        <f t="shared" ca="1" si="44"/>
        <v>0</v>
      </c>
      <c r="W55" s="82">
        <f t="shared" ca="1" si="26"/>
        <v>0</v>
      </c>
      <c r="X55" s="77">
        <f ca="1">IFERROR(__xludf.DUMMYFUNCTION("IMPORTRANGE(""https://docs.google.com/spreadsheets/d/14xp6qUzrGFnUk_qnc1eEmfiaNRd4_grkhpfQH_46fa8/edit?usp=sharing"",""ฉะเชิงเทรา!I78"")"),0)</f>
        <v>0</v>
      </c>
      <c r="Y55" s="77">
        <f ca="1">IFERROR(__xludf.DUMMYFUNCTION("IMPORTRANGE(""https://docs.google.com/spreadsheets/d/14xp6qUzrGFnUk_qnc1eEmfiaNRd4_grkhpfQH_46fa8/edit?usp=sharing"",""ฉะเชิงเทรา!I79"")"),0)</f>
        <v>0</v>
      </c>
      <c r="Z55" s="81">
        <f ca="1">IFERROR(__xludf.DUMMYFUNCTION("IMPORTRANGE(""https://docs.google.com/spreadsheets/d/14xp6qUzrGFnUk_qnc1eEmfiaNRd4_grkhpfQH_46fa8/edit?usp=sharing"",""ฉะเชิงเทรา!J78"")"),0)</f>
        <v>0</v>
      </c>
      <c r="AA55" s="81">
        <f ca="1">IFERROR(__xludf.DUMMYFUNCTION("IMPORTRANGE(""https://docs.google.com/spreadsheets/d/14xp6qUzrGFnUk_qnc1eEmfiaNRd4_grkhpfQH_46fa8/edit?usp=sharing"",""ฉะเชิงเทรา!J79"")"),0)</f>
        <v>0</v>
      </c>
      <c r="AB55" s="77">
        <f ca="1">IFERROR(__xludf.DUMMYFUNCTION("IMPORTRANGE(""https://docs.google.com/spreadsheets/d/14xp6qUzrGFnUk_qnc1eEmfiaNRd4_grkhpfQH_46fa8/edit?usp=sharing"",""ฉะเชิงเทรา!I80"")"),0)</f>
        <v>0</v>
      </c>
      <c r="AC55" s="77">
        <f ca="1">IFERROR(__xludf.DUMMYFUNCTION("IMPORTRANGE(""https://docs.google.com/spreadsheets/d/14xp6qUzrGFnUk_qnc1eEmfiaNRd4_grkhpfQH_46fa8/edit?usp=sharing"",""ฉะเชิงเทรา!I81"")"),0)</f>
        <v>0</v>
      </c>
      <c r="AD55" s="81">
        <f ca="1">IFERROR(__xludf.DUMMYFUNCTION("IMPORTRANGE(""https://docs.google.com/spreadsheets/d/14xp6qUzrGFnUk_qnc1eEmfiaNRd4_grkhpfQH_46fa8/edit?usp=sharing"",""ฉะเชิงเทรา!J80"")"),0)</f>
        <v>0</v>
      </c>
      <c r="AE55" s="81">
        <f ca="1">IFERROR(__xludf.DUMMYFUNCTION("IMPORTRANGE(""https://docs.google.com/spreadsheets/d/14xp6qUzrGFnUk_qnc1eEmfiaNRd4_grkhpfQH_46fa8/edit?usp=sharing"",""ฉะเชิงเทรา!J81"")"),0)</f>
        <v>0</v>
      </c>
      <c r="AF55" s="77">
        <f ca="1">IFERROR(__xludf.DUMMYFUNCTION("IMPORTRANGE(""https://docs.google.com/spreadsheets/d/14xp6qUzrGFnUk_qnc1eEmfiaNRd4_grkhpfQH_46fa8/edit?usp=sharing"",""ฉะเชิงเทรา!I82"")"),0)</f>
        <v>0</v>
      </c>
      <c r="AG55" s="77">
        <f ca="1">IFERROR(__xludf.DUMMYFUNCTION("IMPORTRANGE(""https://docs.google.com/spreadsheets/d/14xp6qUzrGFnUk_qnc1eEmfiaNRd4_grkhpfQH_46fa8/edit?usp=sharing"",""ฉะเชิงเทรา!I83"")"),0)</f>
        <v>0</v>
      </c>
      <c r="AH55" s="81">
        <f ca="1">IFERROR(__xludf.DUMMYFUNCTION("IMPORTRANGE(""https://docs.google.com/spreadsheets/d/14xp6qUzrGFnUk_qnc1eEmfiaNRd4_grkhpfQH_46fa8/edit?usp=sharing"",""ฉะเชิงเทรา!J82"")"),0)</f>
        <v>0</v>
      </c>
      <c r="AI55" s="81">
        <f ca="1">IFERROR(__xludf.DUMMYFUNCTION("IMPORTRANGE(""https://docs.google.com/spreadsheets/d/14xp6qUzrGFnUk_qnc1eEmfiaNRd4_grkhpfQH_46fa8/edit?usp=sharing"",""ฉะเชิงเทรา!J83"")"),0)</f>
        <v>0</v>
      </c>
      <c r="AJ55" s="77">
        <f ca="1">IFERROR(__xludf.DUMMYFUNCTION("IMPORTRANGE(""https://docs.google.com/spreadsheets/d/14xp6qUzrGFnUk_qnc1eEmfiaNRd4_grkhpfQH_46fa8/edit?usp=sharing"",""ฉะเชิงเทรา!I84"")"),0)</f>
        <v>0</v>
      </c>
      <c r="AK55" s="81">
        <f ca="1">IFERROR(__xludf.DUMMYFUNCTION("IMPORTRANGE(""https://docs.google.com/spreadsheets/d/14xp6qUzrGFnUk_qnc1eEmfiaNRd4_grkhpfQH_46fa8/edit?usp=sharing"",""ฉะเชิงเทรา!J84"")"),0)</f>
        <v>0</v>
      </c>
      <c r="AL55" s="79">
        <f t="shared" ca="1" si="27"/>
        <v>0</v>
      </c>
    </row>
    <row r="56" spans="1:38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42"/>
        <v>0</v>
      </c>
      <c r="E56" s="77">
        <f ca="1">IFERROR(__xludf.DUMMYFUNCTION("IMPORTRANGE(""https://docs.google.com/spreadsheets/d/1MeEWN-I1oV_STSDYn1IFDPWt_1FKiwhDph83XaGc0o0/edit?usp=sharing"",""งบพรบ!AH56"")"),0)</f>
        <v>0</v>
      </c>
      <c r="F56" s="77">
        <f ca="1">IFERROR(__xludf.DUMMYFUNCTION("IMPORTRANGE(""https://docs.google.com/spreadsheets/d/1MeEWN-I1oV_STSDYn1IFDPWt_1FKiwhDph83XaGc0o0/edit?usp=sharing"",""งบพรบ!AI56"")"),0)</f>
        <v>0</v>
      </c>
      <c r="G56" s="77">
        <f ca="1">IFERROR(__xludf.DUMMYFUNCTION("IMPORTRANGE(""https://docs.google.com/spreadsheets/d/1MeEWN-I1oV_STSDYn1IFDPWt_1FKiwhDph83XaGc0o0/edit?usp=sharing"",""งบพรบ!AJ56"")"),0)</f>
        <v>0</v>
      </c>
      <c r="H56" s="77">
        <f ca="1">IFERROR(__xludf.DUMMYFUNCTION("IMPORTRANGE(""https://docs.google.com/spreadsheets/d/1MeEWN-I1oV_STSDYn1IFDPWt_1FKiwhDph83XaGc0o0/edit?usp=sharing"",""งบพรบ!AL56"")"),0)</f>
        <v>0</v>
      </c>
      <c r="I56" s="77">
        <f ca="1">IFERROR(__xludf.DUMMYFUNCTION("IMPORTRANGE(""https://docs.google.com/spreadsheets/d/1MeEWN-I1oV_STSDYn1IFDPWt_1FKiwhDph83XaGc0o0/edit?usp=sharing"",""งบพรบ!AM56"")"),0)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IFERROR(__xludf.DUMMYFUNCTION("IMPORTRANGE(""https://docs.google.com/spreadsheets/d/1MeEWN-I1oV_STSDYn1IFDPWt_1FKiwhDph83XaGc0o0/edit?usp=sharing"",""งบพรบ!AN56"")"),0)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IFERROR(__xludf.DUMMYFUNCTION("IMPORTRANGE(""https://docs.google.com/spreadsheets/d/1MeEWN-I1oV_STSDYn1IFDPWt_1FKiwhDph83XaGc0o0/edit?usp=sharing"",""งบพรบ!AO56"")"),0)</f>
        <v>0</v>
      </c>
      <c r="P56" s="80">
        <f t="shared" ca="1" si="29"/>
        <v>0</v>
      </c>
      <c r="Q56" s="79">
        <f t="shared" ca="1" si="8"/>
        <v>0</v>
      </c>
      <c r="R56" s="81">
        <f t="shared" ca="1" si="30"/>
        <v>0</v>
      </c>
      <c r="S56" s="81">
        <f t="shared" ca="1" si="24"/>
        <v>0</v>
      </c>
      <c r="T56" s="81">
        <f t="shared" ca="1" si="43"/>
        <v>0</v>
      </c>
      <c r="U56" s="82">
        <f t="shared" ca="1" si="25"/>
        <v>0</v>
      </c>
      <c r="V56" s="81">
        <f t="shared" ca="1" si="44"/>
        <v>0</v>
      </c>
      <c r="W56" s="82">
        <f t="shared" ca="1" si="26"/>
        <v>0</v>
      </c>
      <c r="X56" s="77">
        <f ca="1">IFERROR(__xludf.DUMMYFUNCTION("IMPORTRANGE(""https://docs.google.com/spreadsheets/d/1_Zwps30dlVa-pZFsorjVf1Pil6WXwzCsJU0U2whO3NI/edit?usp=sharing"",""ชลบุรี!I78"")"),0)</f>
        <v>0</v>
      </c>
      <c r="Y56" s="77">
        <f ca="1">IFERROR(__xludf.DUMMYFUNCTION("IMPORTRANGE(""https://docs.google.com/spreadsheets/d/1_Zwps30dlVa-pZFsorjVf1Pil6WXwzCsJU0U2whO3NI/edit?usp=sharing"",""ชลบุรี!I79"")"),0)</f>
        <v>0</v>
      </c>
      <c r="Z56" s="81">
        <f ca="1">IFERROR(__xludf.DUMMYFUNCTION("IMPORTRANGE(""https://docs.google.com/spreadsheets/d/1_Zwps30dlVa-pZFsorjVf1Pil6WXwzCsJU0U2whO3NI/edit?usp=sharing"",""ชลบุรี!J78"")"),0)</f>
        <v>0</v>
      </c>
      <c r="AA56" s="81">
        <f ca="1">IFERROR(__xludf.DUMMYFUNCTION("IMPORTRANGE(""https://docs.google.com/spreadsheets/d/1_Zwps30dlVa-pZFsorjVf1Pil6WXwzCsJU0U2whO3NI/edit?usp=sharing"",""ชลบุรี!J79"")"),0)</f>
        <v>0</v>
      </c>
      <c r="AB56" s="77">
        <f ca="1">IFERROR(__xludf.DUMMYFUNCTION("IMPORTRANGE(""https://docs.google.com/spreadsheets/d/1_Zwps30dlVa-pZFsorjVf1Pil6WXwzCsJU0U2whO3NI/edit?usp=sharing"",""ชลบุรี!I80"")"),0)</f>
        <v>0</v>
      </c>
      <c r="AC56" s="77">
        <f ca="1">IFERROR(__xludf.DUMMYFUNCTION("IMPORTRANGE(""https://docs.google.com/spreadsheets/d/1_Zwps30dlVa-pZFsorjVf1Pil6WXwzCsJU0U2whO3NI/edit?usp=sharing"",""ชลบุรี!I81"")"),0)</f>
        <v>0</v>
      </c>
      <c r="AD56" s="81">
        <f ca="1">IFERROR(__xludf.DUMMYFUNCTION("IMPORTRANGE(""https://docs.google.com/spreadsheets/d/1_Zwps30dlVa-pZFsorjVf1Pil6WXwzCsJU0U2whO3NI/edit?usp=sharing"",""ชลบุรี!J80"")"),0)</f>
        <v>0</v>
      </c>
      <c r="AE56" s="81">
        <f ca="1">IFERROR(__xludf.DUMMYFUNCTION("IMPORTRANGE(""https://docs.google.com/spreadsheets/d/1_Zwps30dlVa-pZFsorjVf1Pil6WXwzCsJU0U2whO3NI/edit?usp=sharing"",""ชลบุรี!J81"")"),0)</f>
        <v>0</v>
      </c>
      <c r="AF56" s="77">
        <f ca="1">IFERROR(__xludf.DUMMYFUNCTION("IMPORTRANGE(""https://docs.google.com/spreadsheets/d/1_Zwps30dlVa-pZFsorjVf1Pil6WXwzCsJU0U2whO3NI/edit?usp=sharing"",""ชลบุรี!I82"")"),0)</f>
        <v>0</v>
      </c>
      <c r="AG56" s="77">
        <f ca="1">IFERROR(__xludf.DUMMYFUNCTION("IMPORTRANGE(""https://docs.google.com/spreadsheets/d/1_Zwps30dlVa-pZFsorjVf1Pil6WXwzCsJU0U2whO3NI/edit?usp=sharing"",""ชลบุรี!I83"")"),0)</f>
        <v>0</v>
      </c>
      <c r="AH56" s="81">
        <f ca="1">IFERROR(__xludf.DUMMYFUNCTION("IMPORTRANGE(""https://docs.google.com/spreadsheets/d/1_Zwps30dlVa-pZFsorjVf1Pil6WXwzCsJU0U2whO3NI/edit?usp=sharing"",""ชลบุรี!J82"")"),0)</f>
        <v>0</v>
      </c>
      <c r="AI56" s="81">
        <f ca="1">IFERROR(__xludf.DUMMYFUNCTION("IMPORTRANGE(""https://docs.google.com/spreadsheets/d/1_Zwps30dlVa-pZFsorjVf1Pil6WXwzCsJU0U2whO3NI/edit?usp=sharing"",""ชลบุรี!J83"")"),0)</f>
        <v>0</v>
      </c>
      <c r="AJ56" s="77">
        <f ca="1">IFERROR(__xludf.DUMMYFUNCTION("IMPORTRANGE(""https://docs.google.com/spreadsheets/d/1_Zwps30dlVa-pZFsorjVf1Pil6WXwzCsJU0U2whO3NI/edit?usp=sharing"",""ชลบุรี!I84"")"),0)</f>
        <v>0</v>
      </c>
      <c r="AK56" s="81">
        <f ca="1">IFERROR(__xludf.DUMMYFUNCTION("IMPORTRANGE(""https://docs.google.com/spreadsheets/d/1_Zwps30dlVa-pZFsorjVf1Pil6WXwzCsJU0U2whO3NI/edit?usp=sharing"",""ชลบุรี!J84"")"),0)</f>
        <v>0</v>
      </c>
      <c r="AL56" s="79">
        <f t="shared" ca="1" si="27"/>
        <v>0</v>
      </c>
    </row>
    <row r="57" spans="1:38" ht="21" customHeight="1" x14ac:dyDescent="0.2">
      <c r="A57" s="73">
        <v>5</v>
      </c>
      <c r="B57" s="74" t="s">
        <v>79</v>
      </c>
      <c r="C57" s="75">
        <f t="shared" ca="1" si="0"/>
        <v>1150600</v>
      </c>
      <c r="D57" s="76">
        <f t="shared" ca="1" si="42"/>
        <v>1150600</v>
      </c>
      <c r="E57" s="77">
        <f ca="1">IFERROR(__xludf.DUMMYFUNCTION("IMPORTRANGE(""https://docs.google.com/spreadsheets/d/1MeEWN-I1oV_STSDYn1IFDPWt_1FKiwhDph83XaGc0o0/edit?usp=sharing"",""งบพรบ!AH57"")"),516200)</f>
        <v>516200</v>
      </c>
      <c r="F57" s="77">
        <f ca="1">IFERROR(__xludf.DUMMYFUNCTION("IMPORTRANGE(""https://docs.google.com/spreadsheets/d/1MeEWN-I1oV_STSDYn1IFDPWt_1FKiwhDph83XaGc0o0/edit?usp=sharing"",""งบพรบ!AI57"")"),634400)</f>
        <v>634400</v>
      </c>
      <c r="G57" s="77">
        <f ca="1">IFERROR(__xludf.DUMMYFUNCTION("IMPORTRANGE(""https://docs.google.com/spreadsheets/d/1MeEWN-I1oV_STSDYn1IFDPWt_1FKiwhDph83XaGc0o0/edit?usp=sharing"",""งบพรบ!AJ57"")"),0)</f>
        <v>0</v>
      </c>
      <c r="H57" s="77">
        <f ca="1">IFERROR(__xludf.DUMMYFUNCTION("IMPORTRANGE(""https://docs.google.com/spreadsheets/d/1MeEWN-I1oV_STSDYn1IFDPWt_1FKiwhDph83XaGc0o0/edit?usp=sharing"",""งบพรบ!AL57"")"),1161210)</f>
        <v>1161210</v>
      </c>
      <c r="I57" s="77">
        <f ca="1">IFERROR(__xludf.DUMMYFUNCTION("IMPORTRANGE(""https://docs.google.com/spreadsheets/d/1MeEWN-I1oV_STSDYn1IFDPWt_1FKiwhDph83XaGc0o0/edit?usp=sharing"",""งบพรบ!AM57"")"),0)</f>
        <v>0</v>
      </c>
      <c r="J57" s="77">
        <f t="shared" ca="1" si="3"/>
        <v>1076702.6299999999</v>
      </c>
      <c r="K57" s="78">
        <f t="shared" ca="1" si="4"/>
        <v>93.57749261254996</v>
      </c>
      <c r="L57" s="77">
        <f ca="1">IFERROR(__xludf.DUMMYFUNCTION("IMPORTRANGE(""https://docs.google.com/spreadsheets/d/1MeEWN-I1oV_STSDYn1IFDPWt_1FKiwhDph83XaGc0o0/edit?usp=sharing"",""งบพรบ!AN57"")"),1076702.63)</f>
        <v>1076702.6299999999</v>
      </c>
      <c r="M57" s="79">
        <f t="shared" ca="1" si="5"/>
        <v>93.57749261254996</v>
      </c>
      <c r="N57" s="79">
        <f t="shared" ca="1" si="6"/>
        <v>92.722473109945653</v>
      </c>
      <c r="O57" s="80">
        <f ca="1">IFERROR(__xludf.DUMMYFUNCTION("IMPORTRANGE(""https://docs.google.com/spreadsheets/d/1MeEWN-I1oV_STSDYn1IFDPWt_1FKiwhDph83XaGc0o0/edit?usp=sharing"",""งบพรบ!AO57"")"),0)</f>
        <v>0</v>
      </c>
      <c r="P57" s="80">
        <f t="shared" ca="1" si="29"/>
        <v>0</v>
      </c>
      <c r="Q57" s="79">
        <f t="shared" ca="1" si="8"/>
        <v>0</v>
      </c>
      <c r="R57" s="81">
        <f t="shared" ca="1" si="30"/>
        <v>2</v>
      </c>
      <c r="S57" s="81">
        <f t="shared" ca="1" si="24"/>
        <v>64</v>
      </c>
      <c r="T57" s="81">
        <f t="shared" ca="1" si="43"/>
        <v>2</v>
      </c>
      <c r="U57" s="82">
        <f t="shared" ca="1" si="25"/>
        <v>100</v>
      </c>
      <c r="V57" s="81">
        <f t="shared" ca="1" si="44"/>
        <v>64</v>
      </c>
      <c r="W57" s="82">
        <f t="shared" ca="1" si="26"/>
        <v>100</v>
      </c>
      <c r="X57" s="77">
        <f ca="1">IFERROR(__xludf.DUMMYFUNCTION("IMPORTRANGE(""https://docs.google.com/spreadsheets/d/1xAsT4sUbBlom7l0acStESh_15nvjZcXjZM7fK5uZSq8/edit?usp=sharing"",""ชัยนาท!I78"")"),1)</f>
        <v>1</v>
      </c>
      <c r="Y57" s="77">
        <f ca="1">IFERROR(__xludf.DUMMYFUNCTION("IMPORTRANGE(""https://docs.google.com/spreadsheets/d/1xAsT4sUbBlom7l0acStESh_15nvjZcXjZM7fK5uZSq8/edit?usp=sharing"",""ชัยนาท!I79"")"),34)</f>
        <v>34</v>
      </c>
      <c r="Z57" s="81">
        <f ca="1">IFERROR(__xludf.DUMMYFUNCTION("IMPORTRANGE(""https://docs.google.com/spreadsheets/d/1xAsT4sUbBlom7l0acStESh_15nvjZcXjZM7fK5uZSq8/edit?usp=sharing"",""ชัยนาท!J78"")"),1)</f>
        <v>1</v>
      </c>
      <c r="AA57" s="81">
        <f ca="1">IFERROR(__xludf.DUMMYFUNCTION("IMPORTRANGE(""https://docs.google.com/spreadsheets/d/1xAsT4sUbBlom7l0acStESh_15nvjZcXjZM7fK5uZSq8/edit?usp=sharing"",""ชัยนาท!J79"")"),34)</f>
        <v>34</v>
      </c>
      <c r="AB57" s="77">
        <f ca="1">IFERROR(__xludf.DUMMYFUNCTION("IMPORTRANGE(""https://docs.google.com/spreadsheets/d/1xAsT4sUbBlom7l0acStESh_15nvjZcXjZM7fK5uZSq8/edit?usp=sharing"",""ชัยนาท!I80"")"),0)</f>
        <v>0</v>
      </c>
      <c r="AC57" s="77">
        <f ca="1">IFERROR(__xludf.DUMMYFUNCTION("IMPORTRANGE(""https://docs.google.com/spreadsheets/d/1xAsT4sUbBlom7l0acStESh_15nvjZcXjZM7fK5uZSq8/edit?usp=sharing"",""ชัยนาท!I81"")"),0)</f>
        <v>0</v>
      </c>
      <c r="AD57" s="81">
        <f ca="1">IFERROR(__xludf.DUMMYFUNCTION("IMPORTRANGE(""https://docs.google.com/spreadsheets/d/1xAsT4sUbBlom7l0acStESh_15nvjZcXjZM7fK5uZSq8/edit?usp=sharing"",""ชัยนาท!J80"")"),0)</f>
        <v>0</v>
      </c>
      <c r="AE57" s="81">
        <f ca="1">IFERROR(__xludf.DUMMYFUNCTION("IMPORTRANGE(""https://docs.google.com/spreadsheets/d/1xAsT4sUbBlom7l0acStESh_15nvjZcXjZM7fK5uZSq8/edit?usp=sharing"",""ชัยนาท!J81"")"),0)</f>
        <v>0</v>
      </c>
      <c r="AF57" s="77">
        <f ca="1">IFERROR(__xludf.DUMMYFUNCTION("IMPORTRANGE(""https://docs.google.com/spreadsheets/d/1xAsT4sUbBlom7l0acStESh_15nvjZcXjZM7fK5uZSq8/edit?usp=sharing"",""ชัยนาท!I82"")"),1)</f>
        <v>1</v>
      </c>
      <c r="AG57" s="77">
        <f ca="1">IFERROR(__xludf.DUMMYFUNCTION("IMPORTRANGE(""https://docs.google.com/spreadsheets/d/1xAsT4sUbBlom7l0acStESh_15nvjZcXjZM7fK5uZSq8/edit?usp=sharing"",""ชัยนาท!I83"")"),30)</f>
        <v>30</v>
      </c>
      <c r="AH57" s="81">
        <f ca="1">IFERROR(__xludf.DUMMYFUNCTION("IMPORTRANGE(""https://docs.google.com/spreadsheets/d/1xAsT4sUbBlom7l0acStESh_15nvjZcXjZM7fK5uZSq8/edit?usp=sharing"",""ชัยนาท!J82"")"),1)</f>
        <v>1</v>
      </c>
      <c r="AI57" s="81">
        <f ca="1">IFERROR(__xludf.DUMMYFUNCTION("IMPORTRANGE(""https://docs.google.com/spreadsheets/d/1xAsT4sUbBlom7l0acStESh_15nvjZcXjZM7fK5uZSq8/edit?usp=sharing"",""ชัยนาท!J83"")"),30)</f>
        <v>30</v>
      </c>
      <c r="AJ57" s="77">
        <f ca="1">IFERROR(__xludf.DUMMYFUNCTION("IMPORTRANGE(""https://docs.google.com/spreadsheets/d/1xAsT4sUbBlom7l0acStESh_15nvjZcXjZM7fK5uZSq8/edit?usp=sharing"",""ชัยนาท!I84"")"),2)</f>
        <v>2</v>
      </c>
      <c r="AK57" s="81">
        <f ca="1">IFERROR(__xludf.DUMMYFUNCTION("IMPORTRANGE(""https://docs.google.com/spreadsheets/d/1xAsT4sUbBlom7l0acStESh_15nvjZcXjZM7fK5uZSq8/edit?usp=sharing"",""ชัยนาท!J84"")"),1)</f>
        <v>1</v>
      </c>
      <c r="AL57" s="79">
        <f t="shared" ca="1" si="27"/>
        <v>50</v>
      </c>
    </row>
    <row r="58" spans="1:38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2"/>
        <v>0</v>
      </c>
      <c r="E58" s="77">
        <f ca="1">IFERROR(__xludf.DUMMYFUNCTION("IMPORTRANGE(""https://docs.google.com/spreadsheets/d/1MeEWN-I1oV_STSDYn1IFDPWt_1FKiwhDph83XaGc0o0/edit?usp=sharing"",""งบพรบ!AH58"")"),0)</f>
        <v>0</v>
      </c>
      <c r="F58" s="77">
        <f ca="1">IFERROR(__xludf.DUMMYFUNCTION("IMPORTRANGE(""https://docs.google.com/spreadsheets/d/1MeEWN-I1oV_STSDYn1IFDPWt_1FKiwhDph83XaGc0o0/edit?usp=sharing"",""งบพรบ!AI58"")"),0)</f>
        <v>0</v>
      </c>
      <c r="G58" s="77">
        <f ca="1">IFERROR(__xludf.DUMMYFUNCTION("IMPORTRANGE(""https://docs.google.com/spreadsheets/d/1MeEWN-I1oV_STSDYn1IFDPWt_1FKiwhDph83XaGc0o0/edit?usp=sharing"",""งบพรบ!AJ58"")"),0)</f>
        <v>0</v>
      </c>
      <c r="H58" s="77">
        <f ca="1">IFERROR(__xludf.DUMMYFUNCTION("IMPORTRANGE(""https://docs.google.com/spreadsheets/d/1MeEWN-I1oV_STSDYn1IFDPWt_1FKiwhDph83XaGc0o0/edit?usp=sharing"",""งบพรบ!AL58"")"),0)</f>
        <v>0</v>
      </c>
      <c r="I58" s="77">
        <f ca="1">IFERROR(__xludf.DUMMYFUNCTION("IMPORTRANGE(""https://docs.google.com/spreadsheets/d/1MeEWN-I1oV_STSDYn1IFDPWt_1FKiwhDph83XaGc0o0/edit?usp=sharing"",""งบพรบ!AM58"")"),0)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IFERROR(__xludf.DUMMYFUNCTION("IMPORTRANGE(""https://docs.google.com/spreadsheets/d/1MeEWN-I1oV_STSDYn1IFDPWt_1FKiwhDph83XaGc0o0/edit?usp=sharing"",""งบพรบ!AN58"")"),0)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IFERROR(__xludf.DUMMYFUNCTION("IMPORTRANGE(""https://docs.google.com/spreadsheets/d/1MeEWN-I1oV_STSDYn1IFDPWt_1FKiwhDph83XaGc0o0/edit?usp=sharing"",""งบพรบ!AO58"")"),0)</f>
        <v>0</v>
      </c>
      <c r="P58" s="80">
        <f t="shared" ca="1" si="29"/>
        <v>0</v>
      </c>
      <c r="Q58" s="79">
        <f t="shared" ca="1" si="8"/>
        <v>0</v>
      </c>
      <c r="R58" s="81">
        <f t="shared" ca="1" si="30"/>
        <v>0</v>
      </c>
      <c r="S58" s="81">
        <f t="shared" ca="1" si="24"/>
        <v>0</v>
      </c>
      <c r="T58" s="81">
        <f t="shared" ca="1" si="43"/>
        <v>0</v>
      </c>
      <c r="U58" s="82">
        <f t="shared" ca="1" si="25"/>
        <v>0</v>
      </c>
      <c r="V58" s="81">
        <f t="shared" ca="1" si="44"/>
        <v>0</v>
      </c>
      <c r="W58" s="82">
        <f t="shared" ca="1" si="26"/>
        <v>0</v>
      </c>
      <c r="X58" s="77">
        <f ca="1">IFERROR(__xludf.DUMMYFUNCTION("IMPORTRANGE(""https://docs.google.com/spreadsheets/d/1vWPVBOAaZ6mHSI8yf95DNqHwTJ1cpeFsvqt6cxV34QA/edit?usp=sharing"",""ตราด!I78"")"),0)</f>
        <v>0</v>
      </c>
      <c r="Y58" s="77">
        <f ca="1">IFERROR(__xludf.DUMMYFUNCTION("IMPORTRANGE(""https://docs.google.com/spreadsheets/d/1vWPVBOAaZ6mHSI8yf95DNqHwTJ1cpeFsvqt6cxV34QA/edit?usp=sharing"",""ตราด!I79"")"),0)</f>
        <v>0</v>
      </c>
      <c r="Z58" s="81">
        <f ca="1">IFERROR(__xludf.DUMMYFUNCTION("IMPORTRANGE(""https://docs.google.com/spreadsheets/d/1vWPVBOAaZ6mHSI8yf95DNqHwTJ1cpeFsvqt6cxV34QA/edit?usp=sharing"",""ตราด!J78"")"),0)</f>
        <v>0</v>
      </c>
      <c r="AA58" s="81">
        <f ca="1">IFERROR(__xludf.DUMMYFUNCTION("IMPORTRANGE(""https://docs.google.com/spreadsheets/d/1vWPVBOAaZ6mHSI8yf95DNqHwTJ1cpeFsvqt6cxV34QA/edit?usp=sharing"",""ตราด!J79"")"),0)</f>
        <v>0</v>
      </c>
      <c r="AB58" s="77">
        <f ca="1">IFERROR(__xludf.DUMMYFUNCTION("IMPORTRANGE(""https://docs.google.com/spreadsheets/d/1vWPVBOAaZ6mHSI8yf95DNqHwTJ1cpeFsvqt6cxV34QA/edit?usp=sharing"",""ตราด!I80"")"),0)</f>
        <v>0</v>
      </c>
      <c r="AC58" s="77">
        <f ca="1">IFERROR(__xludf.DUMMYFUNCTION("IMPORTRANGE(""https://docs.google.com/spreadsheets/d/1vWPVBOAaZ6mHSI8yf95DNqHwTJ1cpeFsvqt6cxV34QA/edit?usp=sharing"",""ตราด!I81"")"),0)</f>
        <v>0</v>
      </c>
      <c r="AD58" s="81">
        <f ca="1">IFERROR(__xludf.DUMMYFUNCTION("IMPORTRANGE(""https://docs.google.com/spreadsheets/d/1vWPVBOAaZ6mHSI8yf95DNqHwTJ1cpeFsvqt6cxV34QA/edit?usp=sharing"",""ตราด!J80"")"),0)</f>
        <v>0</v>
      </c>
      <c r="AE58" s="81">
        <f ca="1">IFERROR(__xludf.DUMMYFUNCTION("IMPORTRANGE(""https://docs.google.com/spreadsheets/d/1vWPVBOAaZ6mHSI8yf95DNqHwTJ1cpeFsvqt6cxV34QA/edit?usp=sharing"",""ตราด!J81"")"),0)</f>
        <v>0</v>
      </c>
      <c r="AF58" s="77">
        <f ca="1">IFERROR(__xludf.DUMMYFUNCTION("IMPORTRANGE(""https://docs.google.com/spreadsheets/d/1vWPVBOAaZ6mHSI8yf95DNqHwTJ1cpeFsvqt6cxV34QA/edit?usp=sharing"",""ตราด!I82"")"),0)</f>
        <v>0</v>
      </c>
      <c r="AG58" s="77">
        <f ca="1">IFERROR(__xludf.DUMMYFUNCTION("IMPORTRANGE(""https://docs.google.com/spreadsheets/d/1vWPVBOAaZ6mHSI8yf95DNqHwTJ1cpeFsvqt6cxV34QA/edit?usp=sharing"",""ตราด!I83"")"),0)</f>
        <v>0</v>
      </c>
      <c r="AH58" s="81">
        <f ca="1">IFERROR(__xludf.DUMMYFUNCTION("IMPORTRANGE(""https://docs.google.com/spreadsheets/d/1vWPVBOAaZ6mHSI8yf95DNqHwTJ1cpeFsvqt6cxV34QA/edit?usp=sharing"",""ตราด!J82"")"),0)</f>
        <v>0</v>
      </c>
      <c r="AI58" s="81">
        <f ca="1">IFERROR(__xludf.DUMMYFUNCTION("IMPORTRANGE(""https://docs.google.com/spreadsheets/d/1vWPVBOAaZ6mHSI8yf95DNqHwTJ1cpeFsvqt6cxV34QA/edit?usp=sharing"",""ตราด!J83"")"),0)</f>
        <v>0</v>
      </c>
      <c r="AJ58" s="77">
        <f ca="1">IFERROR(__xludf.DUMMYFUNCTION("IMPORTRANGE(""https://docs.google.com/spreadsheets/d/1vWPVBOAaZ6mHSI8yf95DNqHwTJ1cpeFsvqt6cxV34QA/edit?usp=sharing"",""ตราด!I84"")"),0)</f>
        <v>0</v>
      </c>
      <c r="AK58" s="81">
        <f ca="1">IFERROR(__xludf.DUMMYFUNCTION("IMPORTRANGE(""https://docs.google.com/spreadsheets/d/1vWPVBOAaZ6mHSI8yf95DNqHwTJ1cpeFsvqt6cxV34QA/edit?usp=sharing"",""ตราด!J84"")"),0)</f>
        <v>0</v>
      </c>
      <c r="AL58" s="79">
        <f t="shared" ca="1" si="27"/>
        <v>0</v>
      </c>
    </row>
    <row r="59" spans="1:38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42"/>
        <v>0</v>
      </c>
      <c r="E59" s="77">
        <f ca="1">IFERROR(__xludf.DUMMYFUNCTION("IMPORTRANGE(""https://docs.google.com/spreadsheets/d/1MeEWN-I1oV_STSDYn1IFDPWt_1FKiwhDph83XaGc0o0/edit?usp=sharing"",""งบพรบ!AH59"")"),0)</f>
        <v>0</v>
      </c>
      <c r="F59" s="77">
        <f ca="1">IFERROR(__xludf.DUMMYFUNCTION("IMPORTRANGE(""https://docs.google.com/spreadsheets/d/1MeEWN-I1oV_STSDYn1IFDPWt_1FKiwhDph83XaGc0o0/edit?usp=sharing"",""งบพรบ!AI59"")"),0)</f>
        <v>0</v>
      </c>
      <c r="G59" s="77">
        <f ca="1">IFERROR(__xludf.DUMMYFUNCTION("IMPORTRANGE(""https://docs.google.com/spreadsheets/d/1MeEWN-I1oV_STSDYn1IFDPWt_1FKiwhDph83XaGc0o0/edit?usp=sharing"",""งบพรบ!AJ59"")"),0)</f>
        <v>0</v>
      </c>
      <c r="H59" s="77">
        <f ca="1">IFERROR(__xludf.DUMMYFUNCTION("IMPORTRANGE(""https://docs.google.com/spreadsheets/d/1MeEWN-I1oV_STSDYn1IFDPWt_1FKiwhDph83XaGc0o0/edit?usp=sharing"",""งบพรบ!AL59"")"),0)</f>
        <v>0</v>
      </c>
      <c r="I59" s="77">
        <f ca="1">IFERROR(__xludf.DUMMYFUNCTION("IMPORTRANGE(""https://docs.google.com/spreadsheets/d/1MeEWN-I1oV_STSDYn1IFDPWt_1FKiwhDph83XaGc0o0/edit?usp=sharing"",""งบพรบ!AM59"")"),0)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IFERROR(__xludf.DUMMYFUNCTION("IMPORTRANGE(""https://docs.google.com/spreadsheets/d/1MeEWN-I1oV_STSDYn1IFDPWt_1FKiwhDph83XaGc0o0/edit?usp=sharing"",""งบพรบ!AN59"")"),0)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IFERROR(__xludf.DUMMYFUNCTION("IMPORTRANGE(""https://docs.google.com/spreadsheets/d/1MeEWN-I1oV_STSDYn1IFDPWt_1FKiwhDph83XaGc0o0/edit?usp=sharing"",""งบพรบ!AO59"")"),0)</f>
        <v>0</v>
      </c>
      <c r="P59" s="80">
        <f t="shared" ca="1" si="29"/>
        <v>0</v>
      </c>
      <c r="Q59" s="79">
        <f t="shared" ca="1" si="8"/>
        <v>0</v>
      </c>
      <c r="R59" s="81">
        <f t="shared" ca="1" si="30"/>
        <v>0</v>
      </c>
      <c r="S59" s="81">
        <f t="shared" ca="1" si="24"/>
        <v>0</v>
      </c>
      <c r="T59" s="81">
        <f t="shared" ca="1" si="43"/>
        <v>0</v>
      </c>
      <c r="U59" s="82">
        <f t="shared" ca="1" si="25"/>
        <v>0</v>
      </c>
      <c r="V59" s="81">
        <f t="shared" ca="1" si="44"/>
        <v>0</v>
      </c>
      <c r="W59" s="82">
        <f t="shared" ca="1" si="26"/>
        <v>0</v>
      </c>
      <c r="X59" s="77">
        <f ca="1">IFERROR(__xludf.DUMMYFUNCTION("IMPORTRANGE(""https://docs.google.com/spreadsheets/d/1phaeSb9lTGgzDpbvVqI9hfmOQQzUom07-HEvpbARzEg/edit?usp=sharing"",""นครนายก!I78"")"),0)</f>
        <v>0</v>
      </c>
      <c r="Y59" s="77">
        <f ca="1">IFERROR(__xludf.DUMMYFUNCTION("IMPORTRANGE(""https://docs.google.com/spreadsheets/d/1phaeSb9lTGgzDpbvVqI9hfmOQQzUom07-HEvpbARzEg/edit?usp=sharing"",""นครนายก!I79"")"),0)</f>
        <v>0</v>
      </c>
      <c r="Z59" s="81">
        <f ca="1">IFERROR(__xludf.DUMMYFUNCTION("IMPORTRANGE(""https://docs.google.com/spreadsheets/d/1phaeSb9lTGgzDpbvVqI9hfmOQQzUom07-HEvpbARzEg/edit?usp=sharing"",""นครนายก!J78"")"),0)</f>
        <v>0</v>
      </c>
      <c r="AA59" s="81">
        <f ca="1">IFERROR(__xludf.DUMMYFUNCTION("IMPORTRANGE(""https://docs.google.com/spreadsheets/d/1phaeSb9lTGgzDpbvVqI9hfmOQQzUom07-HEvpbARzEg/edit?usp=sharing"",""นครนายก!J79"")"),0)</f>
        <v>0</v>
      </c>
      <c r="AB59" s="77">
        <f ca="1">IFERROR(__xludf.DUMMYFUNCTION("IMPORTRANGE(""https://docs.google.com/spreadsheets/d/1phaeSb9lTGgzDpbvVqI9hfmOQQzUom07-HEvpbARzEg/edit?usp=sharing"",""นครนายก!I80"")"),0)</f>
        <v>0</v>
      </c>
      <c r="AC59" s="77">
        <f ca="1">IFERROR(__xludf.DUMMYFUNCTION("IMPORTRANGE(""https://docs.google.com/spreadsheets/d/1phaeSb9lTGgzDpbvVqI9hfmOQQzUom07-HEvpbARzEg/edit?usp=sharing"",""นครนายก!I81"")"),0)</f>
        <v>0</v>
      </c>
      <c r="AD59" s="81">
        <f ca="1">IFERROR(__xludf.DUMMYFUNCTION("IMPORTRANGE(""https://docs.google.com/spreadsheets/d/1phaeSb9lTGgzDpbvVqI9hfmOQQzUom07-HEvpbARzEg/edit?usp=sharing"",""นครนายก!J80"")"),0)</f>
        <v>0</v>
      </c>
      <c r="AE59" s="81">
        <f ca="1">IFERROR(__xludf.DUMMYFUNCTION("IMPORTRANGE(""https://docs.google.com/spreadsheets/d/1phaeSb9lTGgzDpbvVqI9hfmOQQzUom07-HEvpbARzEg/edit?usp=sharing"",""นครนายก!J81"")"),0)</f>
        <v>0</v>
      </c>
      <c r="AF59" s="77">
        <f ca="1">IFERROR(__xludf.DUMMYFUNCTION("IMPORTRANGE(""https://docs.google.com/spreadsheets/d/1phaeSb9lTGgzDpbvVqI9hfmOQQzUom07-HEvpbARzEg/edit?usp=sharing"",""นครนายก!I82"")"),0)</f>
        <v>0</v>
      </c>
      <c r="AG59" s="77">
        <f ca="1">IFERROR(__xludf.DUMMYFUNCTION("IMPORTRANGE(""https://docs.google.com/spreadsheets/d/1phaeSb9lTGgzDpbvVqI9hfmOQQzUom07-HEvpbARzEg/edit?usp=sharing"",""นครนายก!I83"")"),0)</f>
        <v>0</v>
      </c>
      <c r="AH59" s="81">
        <f ca="1">IFERROR(__xludf.DUMMYFUNCTION("IMPORTRANGE(""https://docs.google.com/spreadsheets/d/1phaeSb9lTGgzDpbvVqI9hfmOQQzUom07-HEvpbARzEg/edit?usp=sharing"",""นครนายก!J82"")"),0)</f>
        <v>0</v>
      </c>
      <c r="AI59" s="81">
        <f ca="1">IFERROR(__xludf.DUMMYFUNCTION("IMPORTRANGE(""https://docs.google.com/spreadsheets/d/1phaeSb9lTGgzDpbvVqI9hfmOQQzUom07-HEvpbARzEg/edit?usp=sharing"",""นครนายก!J83"")"),0)</f>
        <v>0</v>
      </c>
      <c r="AJ59" s="77">
        <f ca="1">IFERROR(__xludf.DUMMYFUNCTION("IMPORTRANGE(""https://docs.google.com/spreadsheets/d/1phaeSb9lTGgzDpbvVqI9hfmOQQzUom07-HEvpbARzEg/edit?usp=sharing"",""นครนายก!I84"")"),0)</f>
        <v>0</v>
      </c>
      <c r="AK59" s="81">
        <f ca="1">IFERROR(__xludf.DUMMYFUNCTION("IMPORTRANGE(""https://docs.google.com/spreadsheets/d/1phaeSb9lTGgzDpbvVqI9hfmOQQzUom07-HEvpbARzEg/edit?usp=sharing"",""นครนายก!J84"")"),0)</f>
        <v>0</v>
      </c>
      <c r="AL59" s="79">
        <f t="shared" ca="1" si="27"/>
        <v>0</v>
      </c>
    </row>
    <row r="60" spans="1:38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2"/>
        <v>0</v>
      </c>
      <c r="E60" s="77">
        <f ca="1">IFERROR(__xludf.DUMMYFUNCTION("IMPORTRANGE(""https://docs.google.com/spreadsheets/d/1MeEWN-I1oV_STSDYn1IFDPWt_1FKiwhDph83XaGc0o0/edit?usp=sharing"",""งบพรบ!AH60"")"),0)</f>
        <v>0</v>
      </c>
      <c r="F60" s="77">
        <f ca="1">IFERROR(__xludf.DUMMYFUNCTION("IMPORTRANGE(""https://docs.google.com/spreadsheets/d/1MeEWN-I1oV_STSDYn1IFDPWt_1FKiwhDph83XaGc0o0/edit?usp=sharing"",""งบพรบ!AI60"")"),0)</f>
        <v>0</v>
      </c>
      <c r="G60" s="77">
        <f ca="1">IFERROR(__xludf.DUMMYFUNCTION("IMPORTRANGE(""https://docs.google.com/spreadsheets/d/1MeEWN-I1oV_STSDYn1IFDPWt_1FKiwhDph83XaGc0o0/edit?usp=sharing"",""งบพรบ!AJ60"")"),0)</f>
        <v>0</v>
      </c>
      <c r="H60" s="77">
        <f ca="1">IFERROR(__xludf.DUMMYFUNCTION("IMPORTRANGE(""https://docs.google.com/spreadsheets/d/1MeEWN-I1oV_STSDYn1IFDPWt_1FKiwhDph83XaGc0o0/edit?usp=sharing"",""งบพรบ!AL60"")"),0)</f>
        <v>0</v>
      </c>
      <c r="I60" s="77">
        <f ca="1">IFERROR(__xludf.DUMMYFUNCTION("IMPORTRANGE(""https://docs.google.com/spreadsheets/d/1MeEWN-I1oV_STSDYn1IFDPWt_1FKiwhDph83XaGc0o0/edit?usp=sharing"",""งบพรบ!AM60"")"),0)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IFERROR(__xludf.DUMMYFUNCTION("IMPORTRANGE(""https://docs.google.com/spreadsheets/d/1MeEWN-I1oV_STSDYn1IFDPWt_1FKiwhDph83XaGc0o0/edit?usp=sharing"",""งบพรบ!AN60"")"),0)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IFERROR(__xludf.DUMMYFUNCTION("IMPORTRANGE(""https://docs.google.com/spreadsheets/d/1MeEWN-I1oV_STSDYn1IFDPWt_1FKiwhDph83XaGc0o0/edit?usp=sharing"",""งบพรบ!AO60"")"),0)</f>
        <v>0</v>
      </c>
      <c r="P60" s="80">
        <f t="shared" ca="1" si="29"/>
        <v>0</v>
      </c>
      <c r="Q60" s="79">
        <f t="shared" ca="1" si="8"/>
        <v>0</v>
      </c>
      <c r="R60" s="81">
        <f t="shared" ca="1" si="30"/>
        <v>0</v>
      </c>
      <c r="S60" s="81">
        <f t="shared" ca="1" si="24"/>
        <v>0</v>
      </c>
      <c r="T60" s="81">
        <f t="shared" ca="1" si="43"/>
        <v>0</v>
      </c>
      <c r="U60" s="82">
        <f t="shared" ca="1" si="25"/>
        <v>0</v>
      </c>
      <c r="V60" s="81">
        <f t="shared" ca="1" si="44"/>
        <v>0</v>
      </c>
      <c r="W60" s="82">
        <f t="shared" ca="1" si="26"/>
        <v>0</v>
      </c>
      <c r="X60" s="77">
        <f ca="1">IFERROR(__xludf.DUMMYFUNCTION("IMPORTRANGE(""https://docs.google.com/spreadsheets/d/1tpwhWwkqkBeiSWCcfB5f2fbwPRbM9hHOEDSDHpl2MIc/edit?usp=sharing"",""นครปฐม!I78"")"),0)</f>
        <v>0</v>
      </c>
      <c r="Y60" s="77">
        <f ca="1">IFERROR(__xludf.DUMMYFUNCTION("IMPORTRANGE(""https://docs.google.com/spreadsheets/d/1tpwhWwkqkBeiSWCcfB5f2fbwPRbM9hHOEDSDHpl2MIc/edit?usp=sharing"",""นครปฐม!I79"")"),0)</f>
        <v>0</v>
      </c>
      <c r="Z60" s="81">
        <f ca="1">IFERROR(__xludf.DUMMYFUNCTION("IMPORTRANGE(""https://docs.google.com/spreadsheets/d/1tpwhWwkqkBeiSWCcfB5f2fbwPRbM9hHOEDSDHpl2MIc/edit?usp=sharing"",""นครปฐม!J78"")"),0)</f>
        <v>0</v>
      </c>
      <c r="AA60" s="81">
        <f ca="1">IFERROR(__xludf.DUMMYFUNCTION("IMPORTRANGE(""https://docs.google.com/spreadsheets/d/1tpwhWwkqkBeiSWCcfB5f2fbwPRbM9hHOEDSDHpl2MIc/edit?usp=sharing"",""นครปฐม!J79"")"),0)</f>
        <v>0</v>
      </c>
      <c r="AB60" s="77">
        <f ca="1">IFERROR(__xludf.DUMMYFUNCTION("IMPORTRANGE(""https://docs.google.com/spreadsheets/d/1tpwhWwkqkBeiSWCcfB5f2fbwPRbM9hHOEDSDHpl2MIc/edit?usp=sharing"",""นครปฐม!I80"")"),0)</f>
        <v>0</v>
      </c>
      <c r="AC60" s="77">
        <f ca="1">IFERROR(__xludf.DUMMYFUNCTION("IMPORTRANGE(""https://docs.google.com/spreadsheets/d/1tpwhWwkqkBeiSWCcfB5f2fbwPRbM9hHOEDSDHpl2MIc/edit?usp=sharing"",""นครปฐม!I81"")"),0)</f>
        <v>0</v>
      </c>
      <c r="AD60" s="81">
        <f ca="1">IFERROR(__xludf.DUMMYFUNCTION("IMPORTRANGE(""https://docs.google.com/spreadsheets/d/1tpwhWwkqkBeiSWCcfB5f2fbwPRbM9hHOEDSDHpl2MIc/edit?usp=sharing"",""นครปฐม!J80"")"),0)</f>
        <v>0</v>
      </c>
      <c r="AE60" s="81">
        <f ca="1">IFERROR(__xludf.DUMMYFUNCTION("IMPORTRANGE(""https://docs.google.com/spreadsheets/d/1tpwhWwkqkBeiSWCcfB5f2fbwPRbM9hHOEDSDHpl2MIc/edit?usp=sharing"",""นครปฐม!J81"")"),0)</f>
        <v>0</v>
      </c>
      <c r="AF60" s="77">
        <f ca="1">IFERROR(__xludf.DUMMYFUNCTION("IMPORTRANGE(""https://docs.google.com/spreadsheets/d/1tpwhWwkqkBeiSWCcfB5f2fbwPRbM9hHOEDSDHpl2MIc/edit?usp=sharing"",""นครปฐม!I82"")"),0)</f>
        <v>0</v>
      </c>
      <c r="AG60" s="77">
        <f ca="1">IFERROR(__xludf.DUMMYFUNCTION("IMPORTRANGE(""https://docs.google.com/spreadsheets/d/1tpwhWwkqkBeiSWCcfB5f2fbwPRbM9hHOEDSDHpl2MIc/edit?usp=sharing"",""นครปฐม!I83"")"),0)</f>
        <v>0</v>
      </c>
      <c r="AH60" s="81">
        <f ca="1">IFERROR(__xludf.DUMMYFUNCTION("IMPORTRANGE(""https://docs.google.com/spreadsheets/d/1tpwhWwkqkBeiSWCcfB5f2fbwPRbM9hHOEDSDHpl2MIc/edit?usp=sharing"",""นครปฐม!J82"")"),0)</f>
        <v>0</v>
      </c>
      <c r="AI60" s="81">
        <f ca="1">IFERROR(__xludf.DUMMYFUNCTION("IMPORTRANGE(""https://docs.google.com/spreadsheets/d/1tpwhWwkqkBeiSWCcfB5f2fbwPRbM9hHOEDSDHpl2MIc/edit?usp=sharing"",""นครปฐม!J83"")"),0)</f>
        <v>0</v>
      </c>
      <c r="AJ60" s="77">
        <f ca="1">IFERROR(__xludf.DUMMYFUNCTION("IMPORTRANGE(""https://docs.google.com/spreadsheets/d/1tpwhWwkqkBeiSWCcfB5f2fbwPRbM9hHOEDSDHpl2MIc/edit?usp=sharing"",""นครปฐม!I84"")"),0)</f>
        <v>0</v>
      </c>
      <c r="AK60" s="81">
        <f ca="1">IFERROR(__xludf.DUMMYFUNCTION("IMPORTRANGE(""https://docs.google.com/spreadsheets/d/1tpwhWwkqkBeiSWCcfB5f2fbwPRbM9hHOEDSDHpl2MIc/edit?usp=sharing"",""นครปฐม!J84"")"),0)</f>
        <v>0</v>
      </c>
      <c r="AL60" s="79">
        <f t="shared" ca="1" si="27"/>
        <v>0</v>
      </c>
    </row>
    <row r="61" spans="1:38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2"/>
        <v>0</v>
      </c>
      <c r="E61" s="77">
        <f ca="1">IFERROR(__xludf.DUMMYFUNCTION("IMPORTRANGE(""https://docs.google.com/spreadsheets/d/1MeEWN-I1oV_STSDYn1IFDPWt_1FKiwhDph83XaGc0o0/edit?usp=sharing"",""งบพรบ!AH61"")"),0)</f>
        <v>0</v>
      </c>
      <c r="F61" s="77">
        <f ca="1">IFERROR(__xludf.DUMMYFUNCTION("IMPORTRANGE(""https://docs.google.com/spreadsheets/d/1MeEWN-I1oV_STSDYn1IFDPWt_1FKiwhDph83XaGc0o0/edit?usp=sharing"",""งบพรบ!AI61"")"),0)</f>
        <v>0</v>
      </c>
      <c r="G61" s="77">
        <f ca="1">IFERROR(__xludf.DUMMYFUNCTION("IMPORTRANGE(""https://docs.google.com/spreadsheets/d/1MeEWN-I1oV_STSDYn1IFDPWt_1FKiwhDph83XaGc0o0/edit?usp=sharing"",""งบพรบ!AJ61"")"),0)</f>
        <v>0</v>
      </c>
      <c r="H61" s="77">
        <f ca="1">IFERROR(__xludf.DUMMYFUNCTION("IMPORTRANGE(""https://docs.google.com/spreadsheets/d/1MeEWN-I1oV_STSDYn1IFDPWt_1FKiwhDph83XaGc0o0/edit?usp=sharing"",""งบพรบ!AL61"")"),0)</f>
        <v>0</v>
      </c>
      <c r="I61" s="77">
        <f ca="1">IFERROR(__xludf.DUMMYFUNCTION("IMPORTRANGE(""https://docs.google.com/spreadsheets/d/1MeEWN-I1oV_STSDYn1IFDPWt_1FKiwhDph83XaGc0o0/edit?usp=sharing"",""งบพรบ!AM61"")"),0)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IFERROR(__xludf.DUMMYFUNCTION("IMPORTRANGE(""https://docs.google.com/spreadsheets/d/1MeEWN-I1oV_STSDYn1IFDPWt_1FKiwhDph83XaGc0o0/edit?usp=sharing"",""งบพรบ!AN61"")"),0)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IFERROR(__xludf.DUMMYFUNCTION("IMPORTRANGE(""https://docs.google.com/spreadsheets/d/1MeEWN-I1oV_STSDYn1IFDPWt_1FKiwhDph83XaGc0o0/edit?usp=sharing"",""งบพรบ!AO61"")"),0)</f>
        <v>0</v>
      </c>
      <c r="P61" s="80">
        <f t="shared" ca="1" si="29"/>
        <v>0</v>
      </c>
      <c r="Q61" s="79">
        <f t="shared" ca="1" si="8"/>
        <v>0</v>
      </c>
      <c r="R61" s="81">
        <f t="shared" ca="1" si="30"/>
        <v>0</v>
      </c>
      <c r="S61" s="81">
        <f t="shared" ca="1" si="24"/>
        <v>0</v>
      </c>
      <c r="T61" s="81">
        <f t="shared" ca="1" si="43"/>
        <v>0</v>
      </c>
      <c r="U61" s="82">
        <f t="shared" ca="1" si="25"/>
        <v>0</v>
      </c>
      <c r="V61" s="81">
        <f t="shared" ca="1" si="44"/>
        <v>0</v>
      </c>
      <c r="W61" s="82">
        <f t="shared" ca="1" si="26"/>
        <v>0</v>
      </c>
      <c r="X61" s="77">
        <f ca="1">IFERROR(__xludf.DUMMYFUNCTION("IMPORTRANGE(""https://docs.google.com/spreadsheets/d/1fJJCVBkBnhriyv0Cp5ZFMr0I_yrfdEITNpb4zILJgUQ/edit?usp=sharing"",""ปทุมธานี!I78"")"),0)</f>
        <v>0</v>
      </c>
      <c r="Y61" s="77">
        <f ca="1">IFERROR(__xludf.DUMMYFUNCTION("IMPORTRANGE(""https://docs.google.com/spreadsheets/d/1fJJCVBkBnhriyv0Cp5ZFMr0I_yrfdEITNpb4zILJgUQ/edit?usp=sharing"",""ปทุมธานี!I79"")"),0)</f>
        <v>0</v>
      </c>
      <c r="Z61" s="81">
        <f ca="1">IFERROR(__xludf.DUMMYFUNCTION("IMPORTRANGE(""https://docs.google.com/spreadsheets/d/1fJJCVBkBnhriyv0Cp5ZFMr0I_yrfdEITNpb4zILJgUQ/edit?usp=sharing"",""ปทุมธานี!J78"")"),0)</f>
        <v>0</v>
      </c>
      <c r="AA61" s="81">
        <f ca="1">IFERROR(__xludf.DUMMYFUNCTION("IMPORTRANGE(""https://docs.google.com/spreadsheets/d/1fJJCVBkBnhriyv0Cp5ZFMr0I_yrfdEITNpb4zILJgUQ/edit?usp=sharing"",""ปทุมธานี!J79"")"),0)</f>
        <v>0</v>
      </c>
      <c r="AB61" s="77">
        <f ca="1">IFERROR(__xludf.DUMMYFUNCTION("IMPORTRANGE(""https://docs.google.com/spreadsheets/d/1fJJCVBkBnhriyv0Cp5ZFMr0I_yrfdEITNpb4zILJgUQ/edit?usp=sharing"",""ปทุมธานี!I80"")"),0)</f>
        <v>0</v>
      </c>
      <c r="AC61" s="77">
        <f ca="1">IFERROR(__xludf.DUMMYFUNCTION("IMPORTRANGE(""https://docs.google.com/spreadsheets/d/1fJJCVBkBnhriyv0Cp5ZFMr0I_yrfdEITNpb4zILJgUQ/edit?usp=sharing"",""ปทุมธานี!I81"")"),0)</f>
        <v>0</v>
      </c>
      <c r="AD61" s="81">
        <f ca="1">IFERROR(__xludf.DUMMYFUNCTION("IMPORTRANGE(""https://docs.google.com/spreadsheets/d/1fJJCVBkBnhriyv0Cp5ZFMr0I_yrfdEITNpb4zILJgUQ/edit?usp=sharing"",""ปทุมธานี!J80"")"),0)</f>
        <v>0</v>
      </c>
      <c r="AE61" s="81">
        <f ca="1">IFERROR(__xludf.DUMMYFUNCTION("IMPORTRANGE(""https://docs.google.com/spreadsheets/d/1fJJCVBkBnhriyv0Cp5ZFMr0I_yrfdEITNpb4zILJgUQ/edit?usp=sharing"",""ปทุมธานี!J81"")"),0)</f>
        <v>0</v>
      </c>
      <c r="AF61" s="77">
        <f ca="1">IFERROR(__xludf.DUMMYFUNCTION("IMPORTRANGE(""https://docs.google.com/spreadsheets/d/1fJJCVBkBnhriyv0Cp5ZFMr0I_yrfdEITNpb4zILJgUQ/edit?usp=sharing"",""ปทุมธานี!I82"")"),0)</f>
        <v>0</v>
      </c>
      <c r="AG61" s="77">
        <f ca="1">IFERROR(__xludf.DUMMYFUNCTION("IMPORTRANGE(""https://docs.google.com/spreadsheets/d/1fJJCVBkBnhriyv0Cp5ZFMr0I_yrfdEITNpb4zILJgUQ/edit?usp=sharing"",""ปทุมธานี!I83"")"),0)</f>
        <v>0</v>
      </c>
      <c r="AH61" s="81">
        <f ca="1">IFERROR(__xludf.DUMMYFUNCTION("IMPORTRANGE(""https://docs.google.com/spreadsheets/d/1fJJCVBkBnhriyv0Cp5ZFMr0I_yrfdEITNpb4zILJgUQ/edit?usp=sharing"",""ปทุมธานี!J82"")"),0)</f>
        <v>0</v>
      </c>
      <c r="AI61" s="81">
        <f ca="1">IFERROR(__xludf.DUMMYFUNCTION("IMPORTRANGE(""https://docs.google.com/spreadsheets/d/1fJJCVBkBnhriyv0Cp5ZFMr0I_yrfdEITNpb4zILJgUQ/edit?usp=sharing"",""ปทุมธานี!J83"")"),0)</f>
        <v>0</v>
      </c>
      <c r="AJ61" s="77">
        <f ca="1">IFERROR(__xludf.DUMMYFUNCTION("IMPORTRANGE(""https://docs.google.com/spreadsheets/d/1fJJCVBkBnhriyv0Cp5ZFMr0I_yrfdEITNpb4zILJgUQ/edit?usp=sharing"",""ปทุมธานี!I84"")"),0)</f>
        <v>0</v>
      </c>
      <c r="AK61" s="81">
        <f ca="1">IFERROR(__xludf.DUMMYFUNCTION("IMPORTRANGE(""https://docs.google.com/spreadsheets/d/1fJJCVBkBnhriyv0Cp5ZFMr0I_yrfdEITNpb4zILJgUQ/edit?usp=sharing"",""ปทุมธานี!J84"")"),0)</f>
        <v>0</v>
      </c>
      <c r="AL61" s="79">
        <f t="shared" ca="1" si="27"/>
        <v>0</v>
      </c>
    </row>
    <row r="62" spans="1:38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2"/>
        <v>0</v>
      </c>
      <c r="E62" s="77">
        <f ca="1">IFERROR(__xludf.DUMMYFUNCTION("IMPORTRANGE(""https://docs.google.com/spreadsheets/d/1MeEWN-I1oV_STSDYn1IFDPWt_1FKiwhDph83XaGc0o0/edit?usp=sharing"",""งบพรบ!AH62"")"),0)</f>
        <v>0</v>
      </c>
      <c r="F62" s="77">
        <f ca="1">IFERROR(__xludf.DUMMYFUNCTION("IMPORTRANGE(""https://docs.google.com/spreadsheets/d/1MeEWN-I1oV_STSDYn1IFDPWt_1FKiwhDph83XaGc0o0/edit?usp=sharing"",""งบพรบ!AI62"")"),0)</f>
        <v>0</v>
      </c>
      <c r="G62" s="77">
        <f ca="1">IFERROR(__xludf.DUMMYFUNCTION("IMPORTRANGE(""https://docs.google.com/spreadsheets/d/1MeEWN-I1oV_STSDYn1IFDPWt_1FKiwhDph83XaGc0o0/edit?usp=sharing"",""งบพรบ!AJ62"")"),0)</f>
        <v>0</v>
      </c>
      <c r="H62" s="77">
        <f ca="1">IFERROR(__xludf.DUMMYFUNCTION("IMPORTRANGE(""https://docs.google.com/spreadsheets/d/1MeEWN-I1oV_STSDYn1IFDPWt_1FKiwhDph83XaGc0o0/edit?usp=sharing"",""งบพรบ!AL62"")"),0)</f>
        <v>0</v>
      </c>
      <c r="I62" s="77">
        <f ca="1">IFERROR(__xludf.DUMMYFUNCTION("IMPORTRANGE(""https://docs.google.com/spreadsheets/d/1MeEWN-I1oV_STSDYn1IFDPWt_1FKiwhDph83XaGc0o0/edit?usp=sharing"",""งบพรบ!AM62"")"),0)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IFERROR(__xludf.DUMMYFUNCTION("IMPORTRANGE(""https://docs.google.com/spreadsheets/d/1MeEWN-I1oV_STSDYn1IFDPWt_1FKiwhDph83XaGc0o0/edit?usp=sharing"",""งบพรบ!AN62"")"),0)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IFERROR(__xludf.DUMMYFUNCTION("IMPORTRANGE(""https://docs.google.com/spreadsheets/d/1MeEWN-I1oV_STSDYn1IFDPWt_1FKiwhDph83XaGc0o0/edit?usp=sharing"",""งบพรบ!AO62"")"),0)</f>
        <v>0</v>
      </c>
      <c r="P62" s="80">
        <f t="shared" ca="1" si="29"/>
        <v>0</v>
      </c>
      <c r="Q62" s="79">
        <f t="shared" ca="1" si="8"/>
        <v>0</v>
      </c>
      <c r="R62" s="81">
        <f t="shared" ca="1" si="30"/>
        <v>0</v>
      </c>
      <c r="S62" s="81">
        <f t="shared" ca="1" si="24"/>
        <v>0</v>
      </c>
      <c r="T62" s="81">
        <f t="shared" ca="1" si="43"/>
        <v>0</v>
      </c>
      <c r="U62" s="82">
        <f t="shared" ca="1" si="25"/>
        <v>0</v>
      </c>
      <c r="V62" s="81">
        <f t="shared" ca="1" si="44"/>
        <v>0</v>
      </c>
      <c r="W62" s="82">
        <f t="shared" ca="1" si="26"/>
        <v>0</v>
      </c>
      <c r="X62" s="77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77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81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77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77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81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81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77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77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81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81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77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79">
        <f t="shared" ca="1" si="27"/>
        <v>0</v>
      </c>
    </row>
    <row r="63" spans="1:38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42"/>
        <v>0</v>
      </c>
      <c r="E63" s="77">
        <f ca="1">IFERROR(__xludf.DUMMYFUNCTION("IMPORTRANGE(""https://docs.google.com/spreadsheets/d/1MeEWN-I1oV_STSDYn1IFDPWt_1FKiwhDph83XaGc0o0/edit?usp=sharing"",""งบพรบ!AH63"")"),0)</f>
        <v>0</v>
      </c>
      <c r="F63" s="77">
        <f ca="1">IFERROR(__xludf.DUMMYFUNCTION("IMPORTRANGE(""https://docs.google.com/spreadsheets/d/1MeEWN-I1oV_STSDYn1IFDPWt_1FKiwhDph83XaGc0o0/edit?usp=sharing"",""งบพรบ!AI63"")"),0)</f>
        <v>0</v>
      </c>
      <c r="G63" s="77">
        <f ca="1">IFERROR(__xludf.DUMMYFUNCTION("IMPORTRANGE(""https://docs.google.com/spreadsheets/d/1MeEWN-I1oV_STSDYn1IFDPWt_1FKiwhDph83XaGc0o0/edit?usp=sharing"",""งบพรบ!AJ63"")"),0)</f>
        <v>0</v>
      </c>
      <c r="H63" s="77">
        <f ca="1">IFERROR(__xludf.DUMMYFUNCTION("IMPORTRANGE(""https://docs.google.com/spreadsheets/d/1MeEWN-I1oV_STSDYn1IFDPWt_1FKiwhDph83XaGc0o0/edit?usp=sharing"",""งบพรบ!AL63"")"),0)</f>
        <v>0</v>
      </c>
      <c r="I63" s="77">
        <f ca="1">IFERROR(__xludf.DUMMYFUNCTION("IMPORTRANGE(""https://docs.google.com/spreadsheets/d/1MeEWN-I1oV_STSDYn1IFDPWt_1FKiwhDph83XaGc0o0/edit?usp=sharing"",""งบพรบ!AM63"")"),0)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IFERROR(__xludf.DUMMYFUNCTION("IMPORTRANGE(""https://docs.google.com/spreadsheets/d/1MeEWN-I1oV_STSDYn1IFDPWt_1FKiwhDph83XaGc0o0/edit?usp=sharing"",""งบพรบ!AN63"")"),0)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IFERROR(__xludf.DUMMYFUNCTION("IMPORTRANGE(""https://docs.google.com/spreadsheets/d/1MeEWN-I1oV_STSDYn1IFDPWt_1FKiwhDph83XaGc0o0/edit?usp=sharing"",""งบพรบ!AO63"")"),0)</f>
        <v>0</v>
      </c>
      <c r="P63" s="80">
        <f t="shared" ca="1" si="29"/>
        <v>0</v>
      </c>
      <c r="Q63" s="79">
        <f t="shared" ca="1" si="8"/>
        <v>0</v>
      </c>
      <c r="R63" s="81">
        <f t="shared" ca="1" si="30"/>
        <v>0</v>
      </c>
      <c r="S63" s="81">
        <f t="shared" ca="1" si="24"/>
        <v>0</v>
      </c>
      <c r="T63" s="81">
        <f t="shared" ca="1" si="43"/>
        <v>0</v>
      </c>
      <c r="U63" s="82">
        <f t="shared" ca="1" si="25"/>
        <v>0</v>
      </c>
      <c r="V63" s="81">
        <f t="shared" ca="1" si="44"/>
        <v>0</v>
      </c>
      <c r="W63" s="82">
        <f t="shared" ca="1" si="26"/>
        <v>0</v>
      </c>
      <c r="X63" s="77">
        <f ca="1">IFERROR(__xludf.DUMMYFUNCTION("IMPORTRANGE(""https://docs.google.com/spreadsheets/d/1nYxRXgnCfTXtqUY1otYuTlnrzE0Tn-Y0YRsW5pkRVqo/edit?usp=sharing"",""ปราจีนบุรี!I78"")"),0)</f>
        <v>0</v>
      </c>
      <c r="Y63" s="77">
        <f ca="1">IFERROR(__xludf.DUMMYFUNCTION("IMPORTRANGE(""https://docs.google.com/spreadsheets/d/1nYxRXgnCfTXtqUY1otYuTlnrzE0Tn-Y0YRsW5pkRVqo/edit?usp=sharing"",""ปราจีนบุรี!I79"")"),0)</f>
        <v>0</v>
      </c>
      <c r="Z63" s="81">
        <f ca="1">IFERROR(__xludf.DUMMYFUNCTION("IMPORTRANGE(""https://docs.google.com/spreadsheets/d/1nYxRXgnCfTXtqUY1otYuTlnrzE0Tn-Y0YRsW5pkRVqo/edit?usp=sharing"",""ปราจีนบุรี!J78"")"),0)</f>
        <v>0</v>
      </c>
      <c r="AA63" s="81">
        <f ca="1">IFERROR(__xludf.DUMMYFUNCTION("IMPORTRANGE(""https://docs.google.com/spreadsheets/d/1nYxRXgnCfTXtqUY1otYuTlnrzE0Tn-Y0YRsW5pkRVqo/edit?usp=sharing"",""ปราจีนบุรี!J79"")"),0)</f>
        <v>0</v>
      </c>
      <c r="AB63" s="77">
        <f ca="1">IFERROR(__xludf.DUMMYFUNCTION("IMPORTRANGE(""https://docs.google.com/spreadsheets/d/1nYxRXgnCfTXtqUY1otYuTlnrzE0Tn-Y0YRsW5pkRVqo/edit?usp=sharing"",""ปราจีนบุรี!I80"")"),0)</f>
        <v>0</v>
      </c>
      <c r="AC63" s="77">
        <f ca="1">IFERROR(__xludf.DUMMYFUNCTION("IMPORTRANGE(""https://docs.google.com/spreadsheets/d/1nYxRXgnCfTXtqUY1otYuTlnrzE0Tn-Y0YRsW5pkRVqo/edit?usp=sharing"",""ปราจีนบุรี!I81"")"),0)</f>
        <v>0</v>
      </c>
      <c r="AD63" s="81">
        <f ca="1">IFERROR(__xludf.DUMMYFUNCTION("IMPORTRANGE(""https://docs.google.com/spreadsheets/d/1nYxRXgnCfTXtqUY1otYuTlnrzE0Tn-Y0YRsW5pkRVqo/edit?usp=sharing"",""ปราจีนบุรี!J80"")"),0)</f>
        <v>0</v>
      </c>
      <c r="AE63" s="81">
        <f ca="1">IFERROR(__xludf.DUMMYFUNCTION("IMPORTRANGE(""https://docs.google.com/spreadsheets/d/1nYxRXgnCfTXtqUY1otYuTlnrzE0Tn-Y0YRsW5pkRVqo/edit?usp=sharing"",""ปราจีนบุรี!J81"")"),0)</f>
        <v>0</v>
      </c>
      <c r="AF63" s="77">
        <f ca="1">IFERROR(__xludf.DUMMYFUNCTION("IMPORTRANGE(""https://docs.google.com/spreadsheets/d/1nYxRXgnCfTXtqUY1otYuTlnrzE0Tn-Y0YRsW5pkRVqo/edit?usp=sharing"",""ปราจีนบุรี!I82"")"),0)</f>
        <v>0</v>
      </c>
      <c r="AG63" s="77">
        <f ca="1">IFERROR(__xludf.DUMMYFUNCTION("IMPORTRANGE(""https://docs.google.com/spreadsheets/d/1nYxRXgnCfTXtqUY1otYuTlnrzE0Tn-Y0YRsW5pkRVqo/edit?usp=sharing"",""ปราจีนบุรี!I83"")"),0)</f>
        <v>0</v>
      </c>
      <c r="AH63" s="81">
        <f ca="1">IFERROR(__xludf.DUMMYFUNCTION("IMPORTRANGE(""https://docs.google.com/spreadsheets/d/1nYxRXgnCfTXtqUY1otYuTlnrzE0Tn-Y0YRsW5pkRVqo/edit?usp=sharing"",""ปราจีนบุรี!J82"")"),0)</f>
        <v>0</v>
      </c>
      <c r="AI63" s="81">
        <f ca="1">IFERROR(__xludf.DUMMYFUNCTION("IMPORTRANGE(""https://docs.google.com/spreadsheets/d/1nYxRXgnCfTXtqUY1otYuTlnrzE0Tn-Y0YRsW5pkRVqo/edit?usp=sharing"",""ปราจีนบุรี!J83"")"),0)</f>
        <v>0</v>
      </c>
      <c r="AJ63" s="77">
        <f ca="1">IFERROR(__xludf.DUMMYFUNCTION("IMPORTRANGE(""https://docs.google.com/spreadsheets/d/1nYxRXgnCfTXtqUY1otYuTlnrzE0Tn-Y0YRsW5pkRVqo/edit?usp=sharing"",""ปราจีนบุรี!I84"")"),0)</f>
        <v>0</v>
      </c>
      <c r="AK63" s="81">
        <f ca="1">IFERROR(__xludf.DUMMYFUNCTION("IMPORTRANGE(""https://docs.google.com/spreadsheets/d/1nYxRXgnCfTXtqUY1otYuTlnrzE0Tn-Y0YRsW5pkRVqo/edit?usp=sharing"",""ปราจีนบุรี!J84"")"),0)</f>
        <v>0</v>
      </c>
      <c r="AL63" s="79">
        <f t="shared" ca="1" si="27"/>
        <v>0</v>
      </c>
    </row>
    <row r="64" spans="1:38" ht="21" customHeight="1" x14ac:dyDescent="0.2">
      <c r="A64" s="73">
        <v>12</v>
      </c>
      <c r="B64" s="74" t="s">
        <v>86</v>
      </c>
      <c r="C64" s="75">
        <f t="shared" ca="1" si="0"/>
        <v>609800</v>
      </c>
      <c r="D64" s="76">
        <f t="shared" ca="1" si="42"/>
        <v>609800</v>
      </c>
      <c r="E64" s="77">
        <f ca="1">IFERROR(__xludf.DUMMYFUNCTION("IMPORTRANGE(""https://docs.google.com/spreadsheets/d/1MeEWN-I1oV_STSDYn1IFDPWt_1FKiwhDph83XaGc0o0/edit?usp=sharing"",""งบพรบ!AH64"")"),158600)</f>
        <v>158600</v>
      </c>
      <c r="F64" s="77">
        <f ca="1">IFERROR(__xludf.DUMMYFUNCTION("IMPORTRANGE(""https://docs.google.com/spreadsheets/d/1MeEWN-I1oV_STSDYn1IFDPWt_1FKiwhDph83XaGc0o0/edit?usp=sharing"",""งบพรบ!AI64"")"),451200)</f>
        <v>451200</v>
      </c>
      <c r="G64" s="77">
        <f ca="1">IFERROR(__xludf.DUMMYFUNCTION("IMPORTRANGE(""https://docs.google.com/spreadsheets/d/1MeEWN-I1oV_STSDYn1IFDPWt_1FKiwhDph83XaGc0o0/edit?usp=sharing"",""งบพรบ!AJ64"")"),0)</f>
        <v>0</v>
      </c>
      <c r="H64" s="77">
        <f ca="1">IFERROR(__xludf.DUMMYFUNCTION("IMPORTRANGE(""https://docs.google.com/spreadsheets/d/1MeEWN-I1oV_STSDYn1IFDPWt_1FKiwhDph83XaGc0o0/edit?usp=sharing"",""งบพรบ!AL64"")"),622800)</f>
        <v>622800</v>
      </c>
      <c r="I64" s="77">
        <f ca="1">IFERROR(__xludf.DUMMYFUNCTION("IMPORTRANGE(""https://docs.google.com/spreadsheets/d/1MeEWN-I1oV_STSDYn1IFDPWt_1FKiwhDph83XaGc0o0/edit?usp=sharing"",""งบพรบ!AM64"")"),0)</f>
        <v>0</v>
      </c>
      <c r="J64" s="77">
        <f t="shared" ca="1" si="3"/>
        <v>583512.6</v>
      </c>
      <c r="K64" s="78">
        <f t="shared" ca="1" si="4"/>
        <v>95.689176779271889</v>
      </c>
      <c r="L64" s="77">
        <f ca="1">IFERROR(__xludf.DUMMYFUNCTION("IMPORTRANGE(""https://docs.google.com/spreadsheets/d/1MeEWN-I1oV_STSDYn1IFDPWt_1FKiwhDph83XaGc0o0/edit?usp=sharing"",""งบพรบ!AN64"")"),583512.6)</f>
        <v>583512.6</v>
      </c>
      <c r="M64" s="79">
        <f t="shared" ca="1" si="5"/>
        <v>95.689176779271889</v>
      </c>
      <c r="N64" s="79">
        <f t="shared" ca="1" si="6"/>
        <v>93.691811175337193</v>
      </c>
      <c r="O64" s="80">
        <f ca="1">IFERROR(__xludf.DUMMYFUNCTION("IMPORTRANGE(""https://docs.google.com/spreadsheets/d/1MeEWN-I1oV_STSDYn1IFDPWt_1FKiwhDph83XaGc0o0/edit?usp=sharing"",""งบพรบ!AO64"")"),0)</f>
        <v>0</v>
      </c>
      <c r="P64" s="80">
        <f t="shared" ca="1" si="29"/>
        <v>0</v>
      </c>
      <c r="Q64" s="79">
        <f t="shared" ca="1" si="8"/>
        <v>0</v>
      </c>
      <c r="R64" s="81">
        <f t="shared" ca="1" si="30"/>
        <v>1</v>
      </c>
      <c r="S64" s="81">
        <f t="shared" ca="1" si="24"/>
        <v>42</v>
      </c>
      <c r="T64" s="81">
        <f t="shared" ca="1" si="43"/>
        <v>1</v>
      </c>
      <c r="U64" s="82">
        <f t="shared" ca="1" si="25"/>
        <v>100</v>
      </c>
      <c r="V64" s="81">
        <f t="shared" ca="1" si="44"/>
        <v>42</v>
      </c>
      <c r="W64" s="82">
        <f t="shared" ca="1" si="26"/>
        <v>100</v>
      </c>
      <c r="X64" s="77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77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81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81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77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77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81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81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77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77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81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77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81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79">
        <f t="shared" ca="1" si="27"/>
        <v>100</v>
      </c>
    </row>
    <row r="65" spans="1:38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2"/>
        <v>0</v>
      </c>
      <c r="E65" s="77">
        <f ca="1">IFERROR(__xludf.DUMMYFUNCTION("IMPORTRANGE(""https://docs.google.com/spreadsheets/d/1MeEWN-I1oV_STSDYn1IFDPWt_1FKiwhDph83XaGc0o0/edit?usp=sharing"",""งบพรบ!AH65"")"),0)</f>
        <v>0</v>
      </c>
      <c r="F65" s="77">
        <f ca="1">IFERROR(__xludf.DUMMYFUNCTION("IMPORTRANGE(""https://docs.google.com/spreadsheets/d/1MeEWN-I1oV_STSDYn1IFDPWt_1FKiwhDph83XaGc0o0/edit?usp=sharing"",""งบพรบ!AI65"")"),0)</f>
        <v>0</v>
      </c>
      <c r="G65" s="77">
        <f ca="1">IFERROR(__xludf.DUMMYFUNCTION("IMPORTRANGE(""https://docs.google.com/spreadsheets/d/1MeEWN-I1oV_STSDYn1IFDPWt_1FKiwhDph83XaGc0o0/edit?usp=sharing"",""งบพรบ!AJ65"")"),0)</f>
        <v>0</v>
      </c>
      <c r="H65" s="77">
        <f ca="1">IFERROR(__xludf.DUMMYFUNCTION("IMPORTRANGE(""https://docs.google.com/spreadsheets/d/1MeEWN-I1oV_STSDYn1IFDPWt_1FKiwhDph83XaGc0o0/edit?usp=sharing"",""งบพรบ!AL65"")"),0)</f>
        <v>0</v>
      </c>
      <c r="I65" s="77">
        <f ca="1">IFERROR(__xludf.DUMMYFUNCTION("IMPORTRANGE(""https://docs.google.com/spreadsheets/d/1MeEWN-I1oV_STSDYn1IFDPWt_1FKiwhDph83XaGc0o0/edit?usp=sharing"",""งบพรบ!AM65"")"),0)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IFERROR(__xludf.DUMMYFUNCTION("IMPORTRANGE(""https://docs.google.com/spreadsheets/d/1MeEWN-I1oV_STSDYn1IFDPWt_1FKiwhDph83XaGc0o0/edit?usp=sharing"",""งบพรบ!AN65"")"),0)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IFERROR(__xludf.DUMMYFUNCTION("IMPORTRANGE(""https://docs.google.com/spreadsheets/d/1MeEWN-I1oV_STSDYn1IFDPWt_1FKiwhDph83XaGc0o0/edit?usp=sharing"",""งบพรบ!AO65"")"),0)</f>
        <v>0</v>
      </c>
      <c r="P65" s="80">
        <f t="shared" ca="1" si="29"/>
        <v>0</v>
      </c>
      <c r="Q65" s="79">
        <f t="shared" ca="1" si="8"/>
        <v>0</v>
      </c>
      <c r="R65" s="81">
        <f t="shared" ca="1" si="30"/>
        <v>0</v>
      </c>
      <c r="S65" s="81">
        <f t="shared" ca="1" si="24"/>
        <v>0</v>
      </c>
      <c r="T65" s="81">
        <f t="shared" ca="1" si="43"/>
        <v>0</v>
      </c>
      <c r="U65" s="82">
        <f t="shared" ca="1" si="25"/>
        <v>0</v>
      </c>
      <c r="V65" s="81">
        <f t="shared" ca="1" si="44"/>
        <v>0</v>
      </c>
      <c r="W65" s="82">
        <f t="shared" ca="1" si="26"/>
        <v>0</v>
      </c>
      <c r="X65" s="77">
        <f ca="1">IFERROR(__xludf.DUMMYFUNCTION("IMPORTRANGE(""https://docs.google.com/spreadsheets/d/1CdNicvf3i6yt4tJlCePe3V1Va76wYqW0QzMzTsaGRrA/edit?usp=sharing"",""เพชรบุรี!I78"")"),0)</f>
        <v>0</v>
      </c>
      <c r="Y65" s="77">
        <f ca="1">IFERROR(__xludf.DUMMYFUNCTION("IMPORTRANGE(""https://docs.google.com/spreadsheets/d/1CdNicvf3i6yt4tJlCePe3V1Va76wYqW0QzMzTsaGRrA/edit?usp=sharing"",""เพชรบุรี!I79"")"),0)</f>
        <v>0</v>
      </c>
      <c r="Z65" s="81">
        <f ca="1">IFERROR(__xludf.DUMMYFUNCTION("IMPORTRANGE(""https://docs.google.com/spreadsheets/d/1CdNicvf3i6yt4tJlCePe3V1Va76wYqW0QzMzTsaGRrA/edit?usp=sharing"",""เพชรบุรี!J78"")"),0)</f>
        <v>0</v>
      </c>
      <c r="AA65" s="81">
        <f ca="1">IFERROR(__xludf.DUMMYFUNCTION("IMPORTRANGE(""https://docs.google.com/spreadsheets/d/1CdNicvf3i6yt4tJlCePe3V1Va76wYqW0QzMzTsaGRrA/edit?usp=sharing"",""เพชรบุรี!J79"")"),0)</f>
        <v>0</v>
      </c>
      <c r="AB65" s="77">
        <f ca="1">IFERROR(__xludf.DUMMYFUNCTION("IMPORTRANGE(""https://docs.google.com/spreadsheets/d/1CdNicvf3i6yt4tJlCePe3V1Va76wYqW0QzMzTsaGRrA/edit?usp=sharing"",""เพชรบุรี!I80"")"),0)</f>
        <v>0</v>
      </c>
      <c r="AC65" s="77">
        <f ca="1">IFERROR(__xludf.DUMMYFUNCTION("IMPORTRANGE(""https://docs.google.com/spreadsheets/d/1CdNicvf3i6yt4tJlCePe3V1Va76wYqW0QzMzTsaGRrA/edit?usp=sharing"",""เพชรบุรี!I81"")"),0)</f>
        <v>0</v>
      </c>
      <c r="AD65" s="81">
        <f ca="1">IFERROR(__xludf.DUMMYFUNCTION("IMPORTRANGE(""https://docs.google.com/spreadsheets/d/1CdNicvf3i6yt4tJlCePe3V1Va76wYqW0QzMzTsaGRrA/edit?usp=sharing"",""เพชรบุรี!J80"")"),0)</f>
        <v>0</v>
      </c>
      <c r="AE65" s="81">
        <f ca="1">IFERROR(__xludf.DUMMYFUNCTION("IMPORTRANGE(""https://docs.google.com/spreadsheets/d/1CdNicvf3i6yt4tJlCePe3V1Va76wYqW0QzMzTsaGRrA/edit?usp=sharing"",""เพชรบุรี!J81"")"),0)</f>
        <v>0</v>
      </c>
      <c r="AF65" s="77">
        <f ca="1">IFERROR(__xludf.DUMMYFUNCTION("IMPORTRANGE(""https://docs.google.com/spreadsheets/d/1CdNicvf3i6yt4tJlCePe3V1Va76wYqW0QzMzTsaGRrA/edit?usp=sharing"",""เพชรบุรี!I82"")"),0)</f>
        <v>0</v>
      </c>
      <c r="AG65" s="77">
        <f ca="1">IFERROR(__xludf.DUMMYFUNCTION("IMPORTRANGE(""https://docs.google.com/spreadsheets/d/1CdNicvf3i6yt4tJlCePe3V1Va76wYqW0QzMzTsaGRrA/edit?usp=sharing"",""เพชรบุรี!I83"")"),0)</f>
        <v>0</v>
      </c>
      <c r="AH65" s="81">
        <f ca="1">IFERROR(__xludf.DUMMYFUNCTION("IMPORTRANGE(""https://docs.google.com/spreadsheets/d/1CdNicvf3i6yt4tJlCePe3V1Va76wYqW0QzMzTsaGRrA/edit?usp=sharing"",""เพชรบุรี!J82"")"),0)</f>
        <v>0</v>
      </c>
      <c r="AI65" s="81">
        <f ca="1">IFERROR(__xludf.DUMMYFUNCTION("IMPORTRANGE(""https://docs.google.com/spreadsheets/d/1CdNicvf3i6yt4tJlCePe3V1Va76wYqW0QzMzTsaGRrA/edit?usp=sharing"",""เพชรบุรี!J83"")"),0)</f>
        <v>0</v>
      </c>
      <c r="AJ65" s="77">
        <f ca="1">IFERROR(__xludf.DUMMYFUNCTION("IMPORTRANGE(""https://docs.google.com/spreadsheets/d/1CdNicvf3i6yt4tJlCePe3V1Va76wYqW0QzMzTsaGRrA/edit?usp=sharing"",""เพชรบุรี!I84"")"),0)</f>
        <v>0</v>
      </c>
      <c r="AK65" s="81">
        <f ca="1">IFERROR(__xludf.DUMMYFUNCTION("IMPORTRANGE(""https://docs.google.com/spreadsheets/d/1CdNicvf3i6yt4tJlCePe3V1Va76wYqW0QzMzTsaGRrA/edit?usp=sharing"",""เพชรบุรี!J84"")"),0)</f>
        <v>0</v>
      </c>
      <c r="AL65" s="79">
        <f t="shared" ca="1" si="27"/>
        <v>0</v>
      </c>
    </row>
    <row r="66" spans="1:38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2"/>
        <v>0</v>
      </c>
      <c r="E66" s="77">
        <f ca="1">IFERROR(__xludf.DUMMYFUNCTION("IMPORTRANGE(""https://docs.google.com/spreadsheets/d/1MeEWN-I1oV_STSDYn1IFDPWt_1FKiwhDph83XaGc0o0/edit?usp=sharing"",""งบพรบ!AH66"")"),0)</f>
        <v>0</v>
      </c>
      <c r="F66" s="77">
        <f ca="1">IFERROR(__xludf.DUMMYFUNCTION("IMPORTRANGE(""https://docs.google.com/spreadsheets/d/1MeEWN-I1oV_STSDYn1IFDPWt_1FKiwhDph83XaGc0o0/edit?usp=sharing"",""งบพรบ!AI66"")"),0)</f>
        <v>0</v>
      </c>
      <c r="G66" s="77">
        <f ca="1">IFERROR(__xludf.DUMMYFUNCTION("IMPORTRANGE(""https://docs.google.com/spreadsheets/d/1MeEWN-I1oV_STSDYn1IFDPWt_1FKiwhDph83XaGc0o0/edit?usp=sharing"",""งบพรบ!AJ66"")"),0)</f>
        <v>0</v>
      </c>
      <c r="H66" s="77">
        <f ca="1">IFERROR(__xludf.DUMMYFUNCTION("IMPORTRANGE(""https://docs.google.com/spreadsheets/d/1MeEWN-I1oV_STSDYn1IFDPWt_1FKiwhDph83XaGc0o0/edit?usp=sharing"",""งบพรบ!AL66"")"),0)</f>
        <v>0</v>
      </c>
      <c r="I66" s="77">
        <f ca="1">IFERROR(__xludf.DUMMYFUNCTION("IMPORTRANGE(""https://docs.google.com/spreadsheets/d/1MeEWN-I1oV_STSDYn1IFDPWt_1FKiwhDph83XaGc0o0/edit?usp=sharing"",""งบพรบ!AM66"")"),0)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IFERROR(__xludf.DUMMYFUNCTION("IMPORTRANGE(""https://docs.google.com/spreadsheets/d/1MeEWN-I1oV_STSDYn1IFDPWt_1FKiwhDph83XaGc0o0/edit?usp=sharing"",""งบพรบ!AN66"")"),0)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IFERROR(__xludf.DUMMYFUNCTION("IMPORTRANGE(""https://docs.google.com/spreadsheets/d/1MeEWN-I1oV_STSDYn1IFDPWt_1FKiwhDph83XaGc0o0/edit?usp=sharing"",""งบพรบ!AO66"")"),0)</f>
        <v>0</v>
      </c>
      <c r="P66" s="80">
        <f t="shared" ca="1" si="29"/>
        <v>0</v>
      </c>
      <c r="Q66" s="79">
        <f t="shared" ca="1" si="8"/>
        <v>0</v>
      </c>
      <c r="R66" s="81">
        <f t="shared" ca="1" si="30"/>
        <v>0</v>
      </c>
      <c r="S66" s="81">
        <f t="shared" ca="1" si="24"/>
        <v>0</v>
      </c>
      <c r="T66" s="81">
        <f t="shared" ca="1" si="43"/>
        <v>0</v>
      </c>
      <c r="U66" s="82">
        <f t="shared" ca="1" si="25"/>
        <v>0</v>
      </c>
      <c r="V66" s="81">
        <f t="shared" ca="1" si="44"/>
        <v>0</v>
      </c>
      <c r="W66" s="82">
        <f t="shared" ca="1" si="26"/>
        <v>0</v>
      </c>
      <c r="X66" s="77">
        <f ca="1">IFERROR(__xludf.DUMMYFUNCTION("IMPORTRANGE(""https://docs.google.com/spreadsheets/d/1XiF77UIVHV0Kjc6xbXuOuJ10WgJYxd4p_22ngKVV5oM/edit?usp=sharing"",""ระยอง!I78"")"),0)</f>
        <v>0</v>
      </c>
      <c r="Y66" s="77">
        <f ca="1">IFERROR(__xludf.DUMMYFUNCTION("IMPORTRANGE(""https://docs.google.com/spreadsheets/d/1XiF77UIVHV0Kjc6xbXuOuJ10WgJYxd4p_22ngKVV5oM/edit?usp=sharing"",""ระยอง!I79"")"),0)</f>
        <v>0</v>
      </c>
      <c r="Z66" s="81">
        <f ca="1">IFERROR(__xludf.DUMMYFUNCTION("IMPORTRANGE(""https://docs.google.com/spreadsheets/d/1XiF77UIVHV0Kjc6xbXuOuJ10WgJYxd4p_22ngKVV5oM/edit?usp=sharing"",""ระยอง!J78"")"),0)</f>
        <v>0</v>
      </c>
      <c r="AA66" s="81">
        <f ca="1">IFERROR(__xludf.DUMMYFUNCTION("IMPORTRANGE(""https://docs.google.com/spreadsheets/d/1XiF77UIVHV0Kjc6xbXuOuJ10WgJYxd4p_22ngKVV5oM/edit?usp=sharing"",""ระยอง!J79"")"),0)</f>
        <v>0</v>
      </c>
      <c r="AB66" s="77">
        <f ca="1">IFERROR(__xludf.DUMMYFUNCTION("IMPORTRANGE(""https://docs.google.com/spreadsheets/d/1XiF77UIVHV0Kjc6xbXuOuJ10WgJYxd4p_22ngKVV5oM/edit?usp=sharing"",""ระยอง!I80"")"),0)</f>
        <v>0</v>
      </c>
      <c r="AC66" s="77">
        <f ca="1">IFERROR(__xludf.DUMMYFUNCTION("IMPORTRANGE(""https://docs.google.com/spreadsheets/d/1XiF77UIVHV0Kjc6xbXuOuJ10WgJYxd4p_22ngKVV5oM/edit?usp=sharing"",""ระยอง!I81"")"),0)</f>
        <v>0</v>
      </c>
      <c r="AD66" s="81">
        <f ca="1">IFERROR(__xludf.DUMMYFUNCTION("IMPORTRANGE(""https://docs.google.com/spreadsheets/d/1XiF77UIVHV0Kjc6xbXuOuJ10WgJYxd4p_22ngKVV5oM/edit?usp=sharing"",""ระยอง!J80"")"),0)</f>
        <v>0</v>
      </c>
      <c r="AE66" s="81">
        <f ca="1">IFERROR(__xludf.DUMMYFUNCTION("IMPORTRANGE(""https://docs.google.com/spreadsheets/d/1XiF77UIVHV0Kjc6xbXuOuJ10WgJYxd4p_22ngKVV5oM/edit?usp=sharing"",""ระยอง!J81"")"),0)</f>
        <v>0</v>
      </c>
      <c r="AF66" s="77">
        <f ca="1">IFERROR(__xludf.DUMMYFUNCTION("IMPORTRANGE(""https://docs.google.com/spreadsheets/d/1XiF77UIVHV0Kjc6xbXuOuJ10WgJYxd4p_22ngKVV5oM/edit?usp=sharing"",""ระยอง!I82"")"),0)</f>
        <v>0</v>
      </c>
      <c r="AG66" s="77">
        <f ca="1">IFERROR(__xludf.DUMMYFUNCTION("IMPORTRANGE(""https://docs.google.com/spreadsheets/d/1XiF77UIVHV0Kjc6xbXuOuJ10WgJYxd4p_22ngKVV5oM/edit?usp=sharing"",""ระยอง!I83"")"),0)</f>
        <v>0</v>
      </c>
      <c r="AH66" s="81">
        <f ca="1">IFERROR(__xludf.DUMMYFUNCTION("IMPORTRANGE(""https://docs.google.com/spreadsheets/d/1XiF77UIVHV0Kjc6xbXuOuJ10WgJYxd4p_22ngKVV5oM/edit?usp=sharing"",""ระยอง!J82"")"),0)</f>
        <v>0</v>
      </c>
      <c r="AI66" s="81">
        <f ca="1">IFERROR(__xludf.DUMMYFUNCTION("IMPORTRANGE(""https://docs.google.com/spreadsheets/d/1XiF77UIVHV0Kjc6xbXuOuJ10WgJYxd4p_22ngKVV5oM/edit?usp=sharing"",""ระยอง!J83"")"),0)</f>
        <v>0</v>
      </c>
      <c r="AJ66" s="77">
        <f ca="1">IFERROR(__xludf.DUMMYFUNCTION("IMPORTRANGE(""https://docs.google.com/spreadsheets/d/1XiF77UIVHV0Kjc6xbXuOuJ10WgJYxd4p_22ngKVV5oM/edit?usp=sharing"",""ระยอง!I84"")"),0)</f>
        <v>0</v>
      </c>
      <c r="AK66" s="81">
        <f ca="1">IFERROR(__xludf.DUMMYFUNCTION("IMPORTRANGE(""https://docs.google.com/spreadsheets/d/1XiF77UIVHV0Kjc6xbXuOuJ10WgJYxd4p_22ngKVV5oM/edit?usp=sharing"",""ระยอง!J84"")"),0)</f>
        <v>0</v>
      </c>
      <c r="AL66" s="79">
        <f t="shared" ca="1" si="27"/>
        <v>0</v>
      </c>
    </row>
    <row r="67" spans="1:38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42"/>
        <v>0</v>
      </c>
      <c r="E67" s="77">
        <f ca="1">IFERROR(__xludf.DUMMYFUNCTION("IMPORTRANGE(""https://docs.google.com/spreadsheets/d/1MeEWN-I1oV_STSDYn1IFDPWt_1FKiwhDph83XaGc0o0/edit?usp=sharing"",""งบพรบ!AH67"")"),0)</f>
        <v>0</v>
      </c>
      <c r="F67" s="77">
        <f ca="1">IFERROR(__xludf.DUMMYFUNCTION("IMPORTRANGE(""https://docs.google.com/spreadsheets/d/1MeEWN-I1oV_STSDYn1IFDPWt_1FKiwhDph83XaGc0o0/edit?usp=sharing"",""งบพรบ!AI67"")"),0)</f>
        <v>0</v>
      </c>
      <c r="G67" s="77">
        <f ca="1">IFERROR(__xludf.DUMMYFUNCTION("IMPORTRANGE(""https://docs.google.com/spreadsheets/d/1MeEWN-I1oV_STSDYn1IFDPWt_1FKiwhDph83XaGc0o0/edit?usp=sharing"",""งบพรบ!AJ67"")"),0)</f>
        <v>0</v>
      </c>
      <c r="H67" s="77">
        <f ca="1">IFERROR(__xludf.DUMMYFUNCTION("IMPORTRANGE(""https://docs.google.com/spreadsheets/d/1MeEWN-I1oV_STSDYn1IFDPWt_1FKiwhDph83XaGc0o0/edit?usp=sharing"",""งบพรบ!AL67"")"),0)</f>
        <v>0</v>
      </c>
      <c r="I67" s="77">
        <f ca="1">IFERROR(__xludf.DUMMYFUNCTION("IMPORTRANGE(""https://docs.google.com/spreadsheets/d/1MeEWN-I1oV_STSDYn1IFDPWt_1FKiwhDph83XaGc0o0/edit?usp=sharing"",""งบพรบ!AM67"")"),0)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IFERROR(__xludf.DUMMYFUNCTION("IMPORTRANGE(""https://docs.google.com/spreadsheets/d/1MeEWN-I1oV_STSDYn1IFDPWt_1FKiwhDph83XaGc0o0/edit?usp=sharing"",""งบพรบ!AN67"")"),0)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IFERROR(__xludf.DUMMYFUNCTION("IMPORTRANGE(""https://docs.google.com/spreadsheets/d/1MeEWN-I1oV_STSDYn1IFDPWt_1FKiwhDph83XaGc0o0/edit?usp=sharing"",""งบพรบ!AO67"")"),0)</f>
        <v>0</v>
      </c>
      <c r="P67" s="80">
        <f t="shared" ca="1" si="29"/>
        <v>0</v>
      </c>
      <c r="Q67" s="79">
        <f t="shared" ca="1" si="8"/>
        <v>0</v>
      </c>
      <c r="R67" s="81">
        <f t="shared" ca="1" si="30"/>
        <v>0</v>
      </c>
      <c r="S67" s="81">
        <f t="shared" ca="1" si="24"/>
        <v>0</v>
      </c>
      <c r="T67" s="81">
        <f t="shared" ca="1" si="43"/>
        <v>0</v>
      </c>
      <c r="U67" s="82">
        <f t="shared" ca="1" si="25"/>
        <v>0</v>
      </c>
      <c r="V67" s="81">
        <f t="shared" ca="1" si="44"/>
        <v>0</v>
      </c>
      <c r="W67" s="82">
        <f t="shared" ca="1" si="26"/>
        <v>0</v>
      </c>
      <c r="X67" s="77">
        <f ca="1">IFERROR(__xludf.DUMMYFUNCTION("IMPORTRANGE(""https://docs.google.com/spreadsheets/d/1qU-W_9MCQD1pgIVXGEOjCFo9QqlmJywuebyGgaN92r8/edit?usp=sharing"",""ราชบุรี!I78"")"),0)</f>
        <v>0</v>
      </c>
      <c r="Y67" s="77">
        <f ca="1">IFERROR(__xludf.DUMMYFUNCTION("IMPORTRANGE(""https://docs.google.com/spreadsheets/d/1qU-W_9MCQD1pgIVXGEOjCFo9QqlmJywuebyGgaN92r8/edit?usp=sharing"",""ราชบุรี!I79"")"),0)</f>
        <v>0</v>
      </c>
      <c r="Z67" s="81">
        <f ca="1">IFERROR(__xludf.DUMMYFUNCTION("IMPORTRANGE(""https://docs.google.com/spreadsheets/d/1qU-W_9MCQD1pgIVXGEOjCFo9QqlmJywuebyGgaN92r8/edit?usp=sharing"",""ราชบุรี!J78"")"),0)</f>
        <v>0</v>
      </c>
      <c r="AA67" s="81">
        <f ca="1">IFERROR(__xludf.DUMMYFUNCTION("IMPORTRANGE(""https://docs.google.com/spreadsheets/d/1qU-W_9MCQD1pgIVXGEOjCFo9QqlmJywuebyGgaN92r8/edit?usp=sharing"",""ราชบุรี!J79"")"),0)</f>
        <v>0</v>
      </c>
      <c r="AB67" s="77">
        <f ca="1">IFERROR(__xludf.DUMMYFUNCTION("IMPORTRANGE(""https://docs.google.com/spreadsheets/d/1qU-W_9MCQD1pgIVXGEOjCFo9QqlmJywuebyGgaN92r8/edit?usp=sharing"",""ราชบุรี!I80"")"),0)</f>
        <v>0</v>
      </c>
      <c r="AC67" s="77">
        <f ca="1">IFERROR(__xludf.DUMMYFUNCTION("IMPORTRANGE(""https://docs.google.com/spreadsheets/d/1qU-W_9MCQD1pgIVXGEOjCFo9QqlmJywuebyGgaN92r8/edit?usp=sharing"",""ราชบุรี!I81"")"),0)</f>
        <v>0</v>
      </c>
      <c r="AD67" s="81">
        <f ca="1">IFERROR(__xludf.DUMMYFUNCTION("IMPORTRANGE(""https://docs.google.com/spreadsheets/d/1qU-W_9MCQD1pgIVXGEOjCFo9QqlmJywuebyGgaN92r8/edit?usp=sharing"",""ราชบุรี!J80"")"),0)</f>
        <v>0</v>
      </c>
      <c r="AE67" s="81">
        <f ca="1">IFERROR(__xludf.DUMMYFUNCTION("IMPORTRANGE(""https://docs.google.com/spreadsheets/d/1qU-W_9MCQD1pgIVXGEOjCFo9QqlmJywuebyGgaN92r8/edit?usp=sharing"",""ราชบุรี!J81"")"),0)</f>
        <v>0</v>
      </c>
      <c r="AF67" s="77">
        <f ca="1">IFERROR(__xludf.DUMMYFUNCTION("IMPORTRANGE(""https://docs.google.com/spreadsheets/d/1qU-W_9MCQD1pgIVXGEOjCFo9QqlmJywuebyGgaN92r8/edit?usp=sharing"",""ราชบุรี!I82"")"),0)</f>
        <v>0</v>
      </c>
      <c r="AG67" s="77">
        <f ca="1">IFERROR(__xludf.DUMMYFUNCTION("IMPORTRANGE(""https://docs.google.com/spreadsheets/d/1qU-W_9MCQD1pgIVXGEOjCFo9QqlmJywuebyGgaN92r8/edit?usp=sharing"",""ราชบุรี!I83"")"),0)</f>
        <v>0</v>
      </c>
      <c r="AH67" s="81">
        <f ca="1">IFERROR(__xludf.DUMMYFUNCTION("IMPORTRANGE(""https://docs.google.com/spreadsheets/d/1qU-W_9MCQD1pgIVXGEOjCFo9QqlmJywuebyGgaN92r8/edit?usp=sharing"",""ราชบุรี!J82"")"),0)</f>
        <v>0</v>
      </c>
      <c r="AI67" s="81">
        <f ca="1">IFERROR(__xludf.DUMMYFUNCTION("IMPORTRANGE(""https://docs.google.com/spreadsheets/d/1qU-W_9MCQD1pgIVXGEOjCFo9QqlmJywuebyGgaN92r8/edit?usp=sharing"",""ราชบุรี!J83"")"),0)</f>
        <v>0</v>
      </c>
      <c r="AJ67" s="77">
        <f ca="1">IFERROR(__xludf.DUMMYFUNCTION("IMPORTRANGE(""https://docs.google.com/spreadsheets/d/1qU-W_9MCQD1pgIVXGEOjCFo9QqlmJywuebyGgaN92r8/edit?usp=sharing"",""ราชบุรี!I84"")"),0)</f>
        <v>0</v>
      </c>
      <c r="AK67" s="81">
        <f ca="1">IFERROR(__xludf.DUMMYFUNCTION("IMPORTRANGE(""https://docs.google.com/spreadsheets/d/1qU-W_9MCQD1pgIVXGEOjCFo9QqlmJywuebyGgaN92r8/edit?usp=sharing"",""ราชบุรี!J84"")"),0)</f>
        <v>0</v>
      </c>
      <c r="AL67" s="79">
        <f t="shared" ca="1" si="27"/>
        <v>0</v>
      </c>
    </row>
    <row r="68" spans="1:38" ht="24" customHeight="1" x14ac:dyDescent="0.2">
      <c r="A68" s="73">
        <v>16</v>
      </c>
      <c r="B68" s="74" t="s">
        <v>90</v>
      </c>
      <c r="C68" s="75">
        <f t="shared" ca="1" si="0"/>
        <v>1972000</v>
      </c>
      <c r="D68" s="76">
        <f t="shared" ca="1" si="42"/>
        <v>1972000</v>
      </c>
      <c r="E68" s="77">
        <f ca="1">IFERROR(__xludf.DUMMYFUNCTION("IMPORTRANGE(""https://docs.google.com/spreadsheets/d/1MeEWN-I1oV_STSDYn1IFDPWt_1FKiwhDph83XaGc0o0/edit?usp=sharing"",""งบพรบ!AH68"")"),492000)</f>
        <v>492000</v>
      </c>
      <c r="F68" s="77">
        <f ca="1">IFERROR(__xludf.DUMMYFUNCTION("IMPORTRANGE(""https://docs.google.com/spreadsheets/d/1MeEWN-I1oV_STSDYn1IFDPWt_1FKiwhDph83XaGc0o0/edit?usp=sharing"",""งบพรบ!AI68"")"),1480000)</f>
        <v>1480000</v>
      </c>
      <c r="G68" s="77">
        <f ca="1">IFERROR(__xludf.DUMMYFUNCTION("IMPORTRANGE(""https://docs.google.com/spreadsheets/d/1MeEWN-I1oV_STSDYn1IFDPWt_1FKiwhDph83XaGc0o0/edit?usp=sharing"",""งบพรบ!AJ68"")"),0)</f>
        <v>0</v>
      </c>
      <c r="H68" s="77">
        <f ca="1">IFERROR(__xludf.DUMMYFUNCTION("IMPORTRANGE(""https://docs.google.com/spreadsheets/d/1MeEWN-I1oV_STSDYn1IFDPWt_1FKiwhDph83XaGc0o0/edit?usp=sharing"",""งบพรบ!AL68"")"),1982340)</f>
        <v>1982340</v>
      </c>
      <c r="I68" s="77">
        <f ca="1">IFERROR(__xludf.DUMMYFUNCTION("IMPORTRANGE(""https://docs.google.com/spreadsheets/d/1MeEWN-I1oV_STSDYn1IFDPWt_1FKiwhDph83XaGc0o0/edit?usp=sharing"",""งบพรบ!AM68"")"),0)</f>
        <v>0</v>
      </c>
      <c r="J68" s="77">
        <f t="shared" ca="1" si="3"/>
        <v>1780079.99</v>
      </c>
      <c r="K68" s="78">
        <f t="shared" ca="1" si="4"/>
        <v>90.267747971602432</v>
      </c>
      <c r="L68" s="77">
        <f ca="1">IFERROR(__xludf.DUMMYFUNCTION("IMPORTRANGE(""https://docs.google.com/spreadsheets/d/1MeEWN-I1oV_STSDYn1IFDPWt_1FKiwhDph83XaGc0o0/edit?usp=sharing"",""งบพรบ!AN68"")"),1780079.99)</f>
        <v>1780079.99</v>
      </c>
      <c r="M68" s="79">
        <f t="shared" ca="1" si="5"/>
        <v>90.267747971602432</v>
      </c>
      <c r="N68" s="79">
        <f t="shared" ca="1" si="6"/>
        <v>89.796906181583381</v>
      </c>
      <c r="O68" s="80">
        <f ca="1">IFERROR(__xludf.DUMMYFUNCTION("IMPORTRANGE(""https://docs.google.com/spreadsheets/d/1MeEWN-I1oV_STSDYn1IFDPWt_1FKiwhDph83XaGc0o0/edit?usp=sharing"",""งบพรบ!AO68"")"),0)</f>
        <v>0</v>
      </c>
      <c r="P68" s="80">
        <f t="shared" ca="1" si="29"/>
        <v>0</v>
      </c>
      <c r="Q68" s="79">
        <f t="shared" ca="1" si="8"/>
        <v>0</v>
      </c>
      <c r="R68" s="81">
        <f t="shared" ca="1" si="30"/>
        <v>2</v>
      </c>
      <c r="S68" s="81">
        <f t="shared" ca="1" si="24"/>
        <v>180</v>
      </c>
      <c r="T68" s="81">
        <f t="shared" ca="1" si="43"/>
        <v>2</v>
      </c>
      <c r="U68" s="82">
        <f t="shared" ca="1" si="25"/>
        <v>100</v>
      </c>
      <c r="V68" s="81">
        <f t="shared" ca="1" si="44"/>
        <v>180</v>
      </c>
      <c r="W68" s="82">
        <f t="shared" ca="1" si="26"/>
        <v>100</v>
      </c>
      <c r="X68" s="81">
        <f ca="1">IFERROR(__xludf.DUMMYFUNCTION("IMPORTRANGE(""https://docs.google.com/spreadsheets/d/1xYFIxIM_CspAP5Q-5Zx_V0T_Ut3cjryrjd2hss28vGk/edit?usp=sharing"",""ลพบุรี!I78"")"),0)</f>
        <v>0</v>
      </c>
      <c r="Y68" s="81">
        <f ca="1">IFERROR(__xludf.DUMMYFUNCTION("IMPORTRANGE(""https://docs.google.com/spreadsheets/d/1xYFIxIM_CspAP5Q-5Zx_V0T_Ut3cjryrjd2hss28vGk/edit?usp=sharing"",""ลพบุรี!I79"")"),0)</f>
        <v>0</v>
      </c>
      <c r="Z68" s="81">
        <f ca="1">IFERROR(__xludf.DUMMYFUNCTION("IMPORTRANGE(""https://docs.google.com/spreadsheets/d/1xYFIxIM_CspAP5Q-5Zx_V0T_Ut3cjryrjd2hss28vGk/edit?usp=sharing"",""ลพบุรี!J78"")"),0)</f>
        <v>0</v>
      </c>
      <c r="AA68" s="81">
        <f ca="1">IFERROR(__xludf.DUMMYFUNCTION("IMPORTRANGE(""https://docs.google.com/spreadsheets/d/1xYFIxIM_CspAP5Q-5Zx_V0T_Ut3cjryrjd2hss28vGk/edit?usp=sharing"",""ลพบุรี!J79"")"),0)</f>
        <v>0</v>
      </c>
      <c r="AB68" s="81">
        <f ca="1">IFERROR(__xludf.DUMMYFUNCTION("IMPORTRANGE(""https://docs.google.com/spreadsheets/d/1xYFIxIM_CspAP5Q-5Zx_V0T_Ut3cjryrjd2hss28vGk/edit?usp=sharing"",""ลพบุรี!I80"")"),1)</f>
        <v>1</v>
      </c>
      <c r="AC68" s="81">
        <f ca="1">IFERROR(__xludf.DUMMYFUNCTION("IMPORTRANGE(""https://docs.google.com/spreadsheets/d/1xYFIxIM_CspAP5Q-5Zx_V0T_Ut3cjryrjd2hss28vGk/edit?usp=sharing"",""ลพบุรี!I81"")"),80)</f>
        <v>80</v>
      </c>
      <c r="AD68" s="81">
        <f ca="1">IFERROR(__xludf.DUMMYFUNCTION("IMPORTRANGE(""https://docs.google.com/spreadsheets/d/1xYFIxIM_CspAP5Q-5Zx_V0T_Ut3cjryrjd2hss28vGk/edit?usp=sharing"",""ลพบุรี!J80"")"),1)</f>
        <v>1</v>
      </c>
      <c r="AE68" s="81">
        <f ca="1">IFERROR(__xludf.DUMMYFUNCTION("IMPORTRANGE(""https://docs.google.com/spreadsheets/d/1xYFIxIM_CspAP5Q-5Zx_V0T_Ut3cjryrjd2hss28vGk/edit?usp=sharing"",""ลพบุรี!J81"")"),80)</f>
        <v>80</v>
      </c>
      <c r="AF68" s="77">
        <f ca="1">IFERROR(__xludf.DUMMYFUNCTION("IMPORTRANGE(""https://docs.google.com/spreadsheets/d/1xYFIxIM_CspAP5Q-5Zx_V0T_Ut3cjryrjd2hss28vGk/edit?usp=sharing"",""ลพบุรี!I82"")"),1)</f>
        <v>1</v>
      </c>
      <c r="AG68" s="77">
        <f ca="1">IFERROR(__xludf.DUMMYFUNCTION("IMPORTRANGE(""https://docs.google.com/spreadsheets/d/1xYFIxIM_CspAP5Q-5Zx_V0T_Ut3cjryrjd2hss28vGk/edit?usp=sharing"",""ลพบุรี!I83"")"),100)</f>
        <v>100</v>
      </c>
      <c r="AH68" s="81">
        <f ca="1">IFERROR(__xludf.DUMMYFUNCTION("IMPORTRANGE(""https://docs.google.com/spreadsheets/d/1xYFIxIM_CspAP5Q-5Zx_V0T_Ut3cjryrjd2hss28vGk/edit?usp=sharing"",""ลพบุรี!J82"")"),1)</f>
        <v>1</v>
      </c>
      <c r="AI68" s="81">
        <f ca="1">IFERROR(__xludf.DUMMYFUNCTION("IMPORTRANGE(""https://docs.google.com/spreadsheets/d/1xYFIxIM_CspAP5Q-5Zx_V0T_Ut3cjryrjd2hss28vGk/edit?usp=sharing"",""ลพบุรี!J83"")"),100)</f>
        <v>100</v>
      </c>
      <c r="AJ68" s="81">
        <f ca="1">IFERROR(__xludf.DUMMYFUNCTION("IMPORTRANGE(""https://docs.google.com/spreadsheets/d/1xYFIxIM_CspAP5Q-5Zx_V0T_Ut3cjryrjd2hss28vGk/edit?usp=sharing"",""ลพบุรี!I84"")"),2)</f>
        <v>2</v>
      </c>
      <c r="AK68" s="81">
        <f ca="1">IFERROR(__xludf.DUMMYFUNCTION("IMPORTRANGE(""https://docs.google.com/spreadsheets/d/1xYFIxIM_CspAP5Q-5Zx_V0T_Ut3cjryrjd2hss28vGk/edit?usp=sharing"",""ลพบุรี!J84"")"),2)</f>
        <v>2</v>
      </c>
      <c r="AL68" s="82">
        <f t="shared" ca="1" si="27"/>
        <v>100</v>
      </c>
    </row>
    <row r="69" spans="1:38" ht="21" customHeight="1" x14ac:dyDescent="0.2">
      <c r="A69" s="73">
        <v>17</v>
      </c>
      <c r="B69" s="74" t="s">
        <v>91</v>
      </c>
      <c r="C69" s="75">
        <f t="shared" ca="1" si="0"/>
        <v>914700</v>
      </c>
      <c r="D69" s="76">
        <f t="shared" ca="1" si="42"/>
        <v>914700</v>
      </c>
      <c r="E69" s="77">
        <f ca="1">IFERROR(__xludf.DUMMYFUNCTION("IMPORTRANGE(""https://docs.google.com/spreadsheets/d/1MeEWN-I1oV_STSDYn1IFDPWt_1FKiwhDph83XaGc0o0/edit?usp=sharing"",""งบพรบ!AH69"")"),296700)</f>
        <v>296700</v>
      </c>
      <c r="F69" s="77">
        <f ca="1">IFERROR(__xludf.DUMMYFUNCTION("IMPORTRANGE(""https://docs.google.com/spreadsheets/d/1MeEWN-I1oV_STSDYn1IFDPWt_1FKiwhDph83XaGc0o0/edit?usp=sharing"",""งบพรบ!AI69"")"),618000)</f>
        <v>618000</v>
      </c>
      <c r="G69" s="77">
        <f ca="1">IFERROR(__xludf.DUMMYFUNCTION("IMPORTRANGE(""https://docs.google.com/spreadsheets/d/1MeEWN-I1oV_STSDYn1IFDPWt_1FKiwhDph83XaGc0o0/edit?usp=sharing"",""งบพรบ!AJ69"")"),0)</f>
        <v>0</v>
      </c>
      <c r="H69" s="77">
        <f ca="1">IFERROR(__xludf.DUMMYFUNCTION("IMPORTRANGE(""https://docs.google.com/spreadsheets/d/1MeEWN-I1oV_STSDYn1IFDPWt_1FKiwhDph83XaGc0o0/edit?usp=sharing"",""งบพรบ!AL69"")"),925590)</f>
        <v>925590</v>
      </c>
      <c r="I69" s="77">
        <f ca="1">IFERROR(__xludf.DUMMYFUNCTION("IMPORTRANGE(""https://docs.google.com/spreadsheets/d/1MeEWN-I1oV_STSDYn1IFDPWt_1FKiwhDph83XaGc0o0/edit?usp=sharing"",""งบพรบ!AM69"")"),0)</f>
        <v>0</v>
      </c>
      <c r="J69" s="77">
        <f t="shared" ca="1" si="3"/>
        <v>879832.17</v>
      </c>
      <c r="K69" s="78">
        <f t="shared" ca="1" si="4"/>
        <v>96.188058379796658</v>
      </c>
      <c r="L69" s="77">
        <f ca="1">IFERROR(__xludf.DUMMYFUNCTION("IMPORTRANGE(""https://docs.google.com/spreadsheets/d/1MeEWN-I1oV_STSDYn1IFDPWt_1FKiwhDph83XaGc0o0/edit?usp=sharing"",""งบพรบ!AN69"")"),879832.17)</f>
        <v>879832.17</v>
      </c>
      <c r="M69" s="79">
        <f t="shared" ca="1" si="5"/>
        <v>96.188058379796658</v>
      </c>
      <c r="N69" s="79">
        <f t="shared" ca="1" si="6"/>
        <v>95.05636080770104</v>
      </c>
      <c r="O69" s="80">
        <f ca="1">IFERROR(__xludf.DUMMYFUNCTION("IMPORTRANGE(""https://docs.google.com/spreadsheets/d/1MeEWN-I1oV_STSDYn1IFDPWt_1FKiwhDph83XaGc0o0/edit?usp=sharing"",""งบพรบ!AO69"")"),0)</f>
        <v>0</v>
      </c>
      <c r="P69" s="80">
        <f t="shared" ca="1" si="29"/>
        <v>0</v>
      </c>
      <c r="Q69" s="79">
        <f t="shared" ca="1" si="8"/>
        <v>0</v>
      </c>
      <c r="R69" s="81">
        <f t="shared" ca="1" si="30"/>
        <v>1</v>
      </c>
      <c r="S69" s="81">
        <f t="shared" ca="1" si="24"/>
        <v>70</v>
      </c>
      <c r="T69" s="81">
        <f t="shared" ca="1" si="43"/>
        <v>1</v>
      </c>
      <c r="U69" s="82">
        <f t="shared" ca="1" si="25"/>
        <v>100</v>
      </c>
      <c r="V69" s="81">
        <f t="shared" ca="1" si="44"/>
        <v>70</v>
      </c>
      <c r="W69" s="82">
        <f t="shared" ca="1" si="26"/>
        <v>100</v>
      </c>
      <c r="X69" s="77">
        <f ca="1">IFERROR(__xludf.DUMMYFUNCTION("IMPORTRANGE(""https://docs.google.com/spreadsheets/d/11s9m3tKsCBdPWq6syhZm27eBGbKneDLZc75co106bio/edit?usp=sharing"",""สระแก้ว!I78"")"),0)</f>
        <v>0</v>
      </c>
      <c r="Y69" s="77">
        <f ca="1">IFERROR(__xludf.DUMMYFUNCTION("IMPORTRANGE(""https://docs.google.com/spreadsheets/d/11s9m3tKsCBdPWq6syhZm27eBGbKneDLZc75co106bio/edit?usp=sharing"",""สระแก้ว!I79"")"),0)</f>
        <v>0</v>
      </c>
      <c r="Z69" s="81">
        <f ca="1">IFERROR(__xludf.DUMMYFUNCTION("IMPORTRANGE(""https://docs.google.com/spreadsheets/d/11s9m3tKsCBdPWq6syhZm27eBGbKneDLZc75co106bio/edit?usp=sharing"",""สระแก้ว!J78"")"),0)</f>
        <v>0</v>
      </c>
      <c r="AA69" s="81">
        <f ca="1">IFERROR(__xludf.DUMMYFUNCTION("IMPORTRANGE(""https://docs.google.com/spreadsheets/d/11s9m3tKsCBdPWq6syhZm27eBGbKneDLZc75co106bio/edit?usp=sharing"",""สระแก้ว!J79"")"),0)</f>
        <v>0</v>
      </c>
      <c r="AB69" s="77">
        <f ca="1">IFERROR(__xludf.DUMMYFUNCTION("IMPORTRANGE(""https://docs.google.com/spreadsheets/d/11s9m3tKsCBdPWq6syhZm27eBGbKneDLZc75co106bio/edit?usp=sharing"",""สระแก้ว!I80"")"),1)</f>
        <v>1</v>
      </c>
      <c r="AC69" s="77">
        <f ca="1">IFERROR(__xludf.DUMMYFUNCTION("IMPORTRANGE(""https://docs.google.com/spreadsheets/d/11s9m3tKsCBdPWq6syhZm27eBGbKneDLZc75co106bio/edit?usp=sharing"",""สระแก้ว!I81"")"),70)</f>
        <v>70</v>
      </c>
      <c r="AD69" s="81">
        <f ca="1">IFERROR(__xludf.DUMMYFUNCTION("IMPORTRANGE(""https://docs.google.com/spreadsheets/d/11s9m3tKsCBdPWq6syhZm27eBGbKneDLZc75co106bio/edit?usp=sharing"",""สระแก้ว!J80"")"),1)</f>
        <v>1</v>
      </c>
      <c r="AE69" s="81">
        <f ca="1">IFERROR(__xludf.DUMMYFUNCTION("IMPORTRANGE(""https://docs.google.com/spreadsheets/d/11s9m3tKsCBdPWq6syhZm27eBGbKneDLZc75co106bio/edit?usp=sharing"",""สระแก้ว!J81"")"),70)</f>
        <v>70</v>
      </c>
      <c r="AF69" s="77">
        <f ca="1">IFERROR(__xludf.DUMMYFUNCTION("IMPORTRANGE(""https://docs.google.com/spreadsheets/d/11s9m3tKsCBdPWq6syhZm27eBGbKneDLZc75co106bio/edit?usp=sharing"",""สระแก้ว!I82"")"),0)</f>
        <v>0</v>
      </c>
      <c r="AG69" s="77">
        <f ca="1">IFERROR(__xludf.DUMMYFUNCTION("IMPORTRANGE(""https://docs.google.com/spreadsheets/d/11s9m3tKsCBdPWq6syhZm27eBGbKneDLZc75co106bio/edit?usp=sharing"",""สระแก้ว!I83"")"),0)</f>
        <v>0</v>
      </c>
      <c r="AH69" s="81">
        <f ca="1">IFERROR(__xludf.DUMMYFUNCTION("IMPORTRANGE(""https://docs.google.com/spreadsheets/d/11s9m3tKsCBdPWq6syhZm27eBGbKneDLZc75co106bio/edit?usp=sharing"",""สระแก้ว!J82"")"),0)</f>
        <v>0</v>
      </c>
      <c r="AI69" s="81">
        <f ca="1">IFERROR(__xludf.DUMMYFUNCTION("IMPORTRANGE(""https://docs.google.com/spreadsheets/d/11s9m3tKsCBdPWq6syhZm27eBGbKneDLZc75co106bio/edit?usp=sharing"",""สระแก้ว!J83"")"),0)</f>
        <v>0</v>
      </c>
      <c r="AJ69" s="77">
        <f ca="1">IFERROR(__xludf.DUMMYFUNCTION("IMPORTRANGE(""https://docs.google.com/spreadsheets/d/11s9m3tKsCBdPWq6syhZm27eBGbKneDLZc75co106bio/edit?usp=sharing"",""สระแก้ว!I84"")"),1)</f>
        <v>1</v>
      </c>
      <c r="AK69" s="81">
        <f ca="1">IFERROR(__xludf.DUMMYFUNCTION("IMPORTRANGE(""https://docs.google.com/spreadsheets/d/11s9m3tKsCBdPWq6syhZm27eBGbKneDLZc75co106bio/edit?usp=sharing"",""สระแก้ว!J84"")"),1)</f>
        <v>1</v>
      </c>
      <c r="AL69" s="79">
        <f t="shared" ca="1" si="27"/>
        <v>100</v>
      </c>
    </row>
    <row r="70" spans="1:38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2"/>
        <v>0</v>
      </c>
      <c r="E70" s="77">
        <f ca="1">IFERROR(__xludf.DUMMYFUNCTION("IMPORTRANGE(""https://docs.google.com/spreadsheets/d/1MeEWN-I1oV_STSDYn1IFDPWt_1FKiwhDph83XaGc0o0/edit?usp=sharing"",""งบพรบ!AH70"")"),0)</f>
        <v>0</v>
      </c>
      <c r="F70" s="77">
        <f ca="1">IFERROR(__xludf.DUMMYFUNCTION("IMPORTRANGE(""https://docs.google.com/spreadsheets/d/1MeEWN-I1oV_STSDYn1IFDPWt_1FKiwhDph83XaGc0o0/edit?usp=sharing"",""งบพรบ!AI70"")"),0)</f>
        <v>0</v>
      </c>
      <c r="G70" s="77">
        <f ca="1">IFERROR(__xludf.DUMMYFUNCTION("IMPORTRANGE(""https://docs.google.com/spreadsheets/d/1MeEWN-I1oV_STSDYn1IFDPWt_1FKiwhDph83XaGc0o0/edit?usp=sharing"",""งบพรบ!AJ70"")"),0)</f>
        <v>0</v>
      </c>
      <c r="H70" s="77">
        <f ca="1">IFERROR(__xludf.DUMMYFUNCTION("IMPORTRANGE(""https://docs.google.com/spreadsheets/d/1MeEWN-I1oV_STSDYn1IFDPWt_1FKiwhDph83XaGc0o0/edit?usp=sharing"",""งบพรบ!AL70"")"),0)</f>
        <v>0</v>
      </c>
      <c r="I70" s="77">
        <f ca="1">IFERROR(__xludf.DUMMYFUNCTION("IMPORTRANGE(""https://docs.google.com/spreadsheets/d/1MeEWN-I1oV_STSDYn1IFDPWt_1FKiwhDph83XaGc0o0/edit?usp=sharing"",""งบพรบ!AM70"")"),0)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IFERROR(__xludf.DUMMYFUNCTION("IMPORTRANGE(""https://docs.google.com/spreadsheets/d/1MeEWN-I1oV_STSDYn1IFDPWt_1FKiwhDph83XaGc0o0/edit?usp=sharing"",""งบพรบ!AN70"")"),0)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IFERROR(__xludf.DUMMYFUNCTION("IMPORTRANGE(""https://docs.google.com/spreadsheets/d/1MeEWN-I1oV_STSDYn1IFDPWt_1FKiwhDph83XaGc0o0/edit?usp=sharing"",""งบพรบ!AO70"")"),0)</f>
        <v>0</v>
      </c>
      <c r="P70" s="80">
        <f t="shared" ca="1" si="29"/>
        <v>0</v>
      </c>
      <c r="Q70" s="79">
        <f t="shared" ca="1" si="8"/>
        <v>0</v>
      </c>
      <c r="R70" s="81">
        <f t="shared" ca="1" si="30"/>
        <v>0</v>
      </c>
      <c r="S70" s="81">
        <f t="shared" ca="1" si="24"/>
        <v>0</v>
      </c>
      <c r="T70" s="81">
        <f t="shared" ca="1" si="43"/>
        <v>0</v>
      </c>
      <c r="U70" s="82">
        <f t="shared" ca="1" si="25"/>
        <v>0</v>
      </c>
      <c r="V70" s="81">
        <f t="shared" ca="1" si="44"/>
        <v>0</v>
      </c>
      <c r="W70" s="82">
        <f t="shared" ca="1" si="26"/>
        <v>0</v>
      </c>
      <c r="X70" s="77">
        <f ca="1">IFERROR(__xludf.DUMMYFUNCTION("IMPORTRANGE(""https://docs.google.com/spreadsheets/d/1Nn1EvsFPtXldgpgVb3Rcng2K2cls68LFQsBh2FyW0Bg/edit?usp=sharing"",""สระบุรี!I78"")"),0)</f>
        <v>0</v>
      </c>
      <c r="Y70" s="77">
        <f ca="1">IFERROR(__xludf.DUMMYFUNCTION("IMPORTRANGE(""https://docs.google.com/spreadsheets/d/1Nn1EvsFPtXldgpgVb3Rcng2K2cls68LFQsBh2FyW0Bg/edit?usp=sharing"",""สระบุรี!I79"")"),0)</f>
        <v>0</v>
      </c>
      <c r="Z70" s="81">
        <f ca="1">IFERROR(__xludf.DUMMYFUNCTION("IMPORTRANGE(""https://docs.google.com/spreadsheets/d/1Nn1EvsFPtXldgpgVb3Rcng2K2cls68LFQsBh2FyW0Bg/edit?usp=sharing"",""สระบุรี!J78"")"),0)</f>
        <v>0</v>
      </c>
      <c r="AA70" s="81">
        <f ca="1">IFERROR(__xludf.DUMMYFUNCTION("IMPORTRANGE(""https://docs.google.com/spreadsheets/d/1Nn1EvsFPtXldgpgVb3Rcng2K2cls68LFQsBh2FyW0Bg/edit?usp=sharing"",""สระบุรี!J79"")"),0)</f>
        <v>0</v>
      </c>
      <c r="AB70" s="77">
        <f ca="1">IFERROR(__xludf.DUMMYFUNCTION("IMPORTRANGE(""https://docs.google.com/spreadsheets/d/1Nn1EvsFPtXldgpgVb3Rcng2K2cls68LFQsBh2FyW0Bg/edit?usp=sharing"",""สระบุรี!I80"")"),0)</f>
        <v>0</v>
      </c>
      <c r="AC70" s="77">
        <f ca="1">IFERROR(__xludf.DUMMYFUNCTION("IMPORTRANGE(""https://docs.google.com/spreadsheets/d/1Nn1EvsFPtXldgpgVb3Rcng2K2cls68LFQsBh2FyW0Bg/edit?usp=sharing"",""สระบุรี!I81"")"),0)</f>
        <v>0</v>
      </c>
      <c r="AD70" s="81">
        <f ca="1">IFERROR(__xludf.DUMMYFUNCTION("IMPORTRANGE(""https://docs.google.com/spreadsheets/d/1Nn1EvsFPtXldgpgVb3Rcng2K2cls68LFQsBh2FyW0Bg/edit?usp=sharing"",""สระบุรี!J80"")"),0)</f>
        <v>0</v>
      </c>
      <c r="AE70" s="81">
        <f ca="1">IFERROR(__xludf.DUMMYFUNCTION("IMPORTRANGE(""https://docs.google.com/spreadsheets/d/1Nn1EvsFPtXldgpgVb3Rcng2K2cls68LFQsBh2FyW0Bg/edit?usp=sharing"",""สระบุรี!J81"")"),0)</f>
        <v>0</v>
      </c>
      <c r="AF70" s="77">
        <f ca="1">IFERROR(__xludf.DUMMYFUNCTION("IMPORTRANGE(""https://docs.google.com/spreadsheets/d/1Nn1EvsFPtXldgpgVb3Rcng2K2cls68LFQsBh2FyW0Bg/edit?usp=sharing"",""สระบุรี!I82"")"),0)</f>
        <v>0</v>
      </c>
      <c r="AG70" s="77">
        <f ca="1">IFERROR(__xludf.DUMMYFUNCTION("IMPORTRANGE(""https://docs.google.com/spreadsheets/d/1Nn1EvsFPtXldgpgVb3Rcng2K2cls68LFQsBh2FyW0Bg/edit?usp=sharing"",""สระบุรี!I83"")"),0)</f>
        <v>0</v>
      </c>
      <c r="AH70" s="81">
        <f ca="1">IFERROR(__xludf.DUMMYFUNCTION("IMPORTRANGE(""https://docs.google.com/spreadsheets/d/1Nn1EvsFPtXldgpgVb3Rcng2K2cls68LFQsBh2FyW0Bg/edit?usp=sharing"",""สระบุรี!J82"")"),0)</f>
        <v>0</v>
      </c>
      <c r="AI70" s="81">
        <f ca="1">IFERROR(__xludf.DUMMYFUNCTION("IMPORTRANGE(""https://docs.google.com/spreadsheets/d/1Nn1EvsFPtXldgpgVb3Rcng2K2cls68LFQsBh2FyW0Bg/edit?usp=sharing"",""สระบุรี!J83"")"),0)</f>
        <v>0</v>
      </c>
      <c r="AJ70" s="77">
        <f ca="1">IFERROR(__xludf.DUMMYFUNCTION("IMPORTRANGE(""https://docs.google.com/spreadsheets/d/1Nn1EvsFPtXldgpgVb3Rcng2K2cls68LFQsBh2FyW0Bg/edit?usp=sharing"",""สระบุรี!I84"")"),0)</f>
        <v>0</v>
      </c>
      <c r="AK70" s="81">
        <f ca="1">IFERROR(__xludf.DUMMYFUNCTION("IMPORTRANGE(""https://docs.google.com/spreadsheets/d/1Nn1EvsFPtXldgpgVb3Rcng2K2cls68LFQsBh2FyW0Bg/edit?usp=sharing"",""สระบุรี!J84"")"),0)</f>
        <v>0</v>
      </c>
      <c r="AL70" s="79">
        <f t="shared" ca="1" si="27"/>
        <v>0</v>
      </c>
    </row>
    <row r="71" spans="1:38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2"/>
        <v>0</v>
      </c>
      <c r="E71" s="77">
        <f ca="1">IFERROR(__xludf.DUMMYFUNCTION("IMPORTRANGE(""https://docs.google.com/spreadsheets/d/1MeEWN-I1oV_STSDYn1IFDPWt_1FKiwhDph83XaGc0o0/edit?usp=sharing"",""งบพรบ!AH71"")"),0)</f>
        <v>0</v>
      </c>
      <c r="F71" s="77">
        <f ca="1">IFERROR(__xludf.DUMMYFUNCTION("IMPORTRANGE(""https://docs.google.com/spreadsheets/d/1MeEWN-I1oV_STSDYn1IFDPWt_1FKiwhDph83XaGc0o0/edit?usp=sharing"",""งบพรบ!AI71"")"),0)</f>
        <v>0</v>
      </c>
      <c r="G71" s="77">
        <f ca="1">IFERROR(__xludf.DUMMYFUNCTION("IMPORTRANGE(""https://docs.google.com/spreadsheets/d/1MeEWN-I1oV_STSDYn1IFDPWt_1FKiwhDph83XaGc0o0/edit?usp=sharing"",""งบพรบ!AJ71"")"),0)</f>
        <v>0</v>
      </c>
      <c r="H71" s="77">
        <f ca="1">IFERROR(__xludf.DUMMYFUNCTION("IMPORTRANGE(""https://docs.google.com/spreadsheets/d/1MeEWN-I1oV_STSDYn1IFDPWt_1FKiwhDph83XaGc0o0/edit?usp=sharing"",""งบพรบ!AL71"")"),0)</f>
        <v>0</v>
      </c>
      <c r="I71" s="77">
        <f ca="1">IFERROR(__xludf.DUMMYFUNCTION("IMPORTRANGE(""https://docs.google.com/spreadsheets/d/1MeEWN-I1oV_STSDYn1IFDPWt_1FKiwhDph83XaGc0o0/edit?usp=sharing"",""งบพรบ!AM71"")"),0)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IFERROR(__xludf.DUMMYFUNCTION("IMPORTRANGE(""https://docs.google.com/spreadsheets/d/1MeEWN-I1oV_STSDYn1IFDPWt_1FKiwhDph83XaGc0o0/edit?usp=sharing"",""งบพรบ!AN71"")"),0)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IFERROR(__xludf.DUMMYFUNCTION("IMPORTRANGE(""https://docs.google.com/spreadsheets/d/1MeEWN-I1oV_STSDYn1IFDPWt_1FKiwhDph83XaGc0o0/edit?usp=sharing"",""งบพรบ!AO71"")"),0)</f>
        <v>0</v>
      </c>
      <c r="P71" s="80">
        <f t="shared" ca="1" si="29"/>
        <v>0</v>
      </c>
      <c r="Q71" s="79">
        <f t="shared" ca="1" si="8"/>
        <v>0</v>
      </c>
      <c r="R71" s="81">
        <f t="shared" ca="1" si="30"/>
        <v>0</v>
      </c>
      <c r="S71" s="81">
        <f t="shared" ca="1" si="24"/>
        <v>0</v>
      </c>
      <c r="T71" s="81">
        <f t="shared" ca="1" si="43"/>
        <v>0</v>
      </c>
      <c r="U71" s="82">
        <f t="shared" ca="1" si="25"/>
        <v>0</v>
      </c>
      <c r="V71" s="81">
        <f t="shared" ca="1" si="44"/>
        <v>0</v>
      </c>
      <c r="W71" s="82">
        <f t="shared" ca="1" si="26"/>
        <v>0</v>
      </c>
      <c r="X71" s="77">
        <f ca="1">IFERROR(__xludf.DUMMYFUNCTION("IMPORTRANGE(""https://docs.google.com/spreadsheets/d/149xufxukrnEciK3WPbNpHwUK8BKEJxp3UcBG3Al6dA4/edit?usp=sharing"",""สิงห์บุรี!I78"")"),0)</f>
        <v>0</v>
      </c>
      <c r="Y71" s="77">
        <f ca="1">IFERROR(__xludf.DUMMYFUNCTION("IMPORTRANGE(""https://docs.google.com/spreadsheets/d/149xufxukrnEciK3WPbNpHwUK8BKEJxp3UcBG3Al6dA4/edit?usp=sharing"",""สิงห์บุรี!I79"")"),0)</f>
        <v>0</v>
      </c>
      <c r="Z71" s="81">
        <f ca="1">IFERROR(__xludf.DUMMYFUNCTION("IMPORTRANGE(""https://docs.google.com/spreadsheets/d/149xufxukrnEciK3WPbNpHwUK8BKEJxp3UcBG3Al6dA4/edit?usp=sharing"",""สิงห์บุรี!J78"")"),0)</f>
        <v>0</v>
      </c>
      <c r="AA71" s="81">
        <f ca="1">IFERROR(__xludf.DUMMYFUNCTION("IMPORTRANGE(""https://docs.google.com/spreadsheets/d/149xufxukrnEciK3WPbNpHwUK8BKEJxp3UcBG3Al6dA4/edit?usp=sharing"",""สิงห์บุรี!J79"")"),0)</f>
        <v>0</v>
      </c>
      <c r="AB71" s="77">
        <f ca="1">IFERROR(__xludf.DUMMYFUNCTION("IMPORTRANGE(""https://docs.google.com/spreadsheets/d/149xufxukrnEciK3WPbNpHwUK8BKEJxp3UcBG3Al6dA4/edit?usp=sharing"",""สิงห์บุรี!I80"")"),0)</f>
        <v>0</v>
      </c>
      <c r="AC71" s="77">
        <f ca="1">IFERROR(__xludf.DUMMYFUNCTION("IMPORTRANGE(""https://docs.google.com/spreadsheets/d/149xufxukrnEciK3WPbNpHwUK8BKEJxp3UcBG3Al6dA4/edit?usp=sharing"",""สิงห์บุรี!I81"")"),0)</f>
        <v>0</v>
      </c>
      <c r="AD71" s="81">
        <f ca="1">IFERROR(__xludf.DUMMYFUNCTION("IMPORTRANGE(""https://docs.google.com/spreadsheets/d/149xufxukrnEciK3WPbNpHwUK8BKEJxp3UcBG3Al6dA4/edit?usp=sharing"",""สิงห์บุรี!J80"")"),0)</f>
        <v>0</v>
      </c>
      <c r="AE71" s="81">
        <f ca="1">IFERROR(__xludf.DUMMYFUNCTION("IMPORTRANGE(""https://docs.google.com/spreadsheets/d/149xufxukrnEciK3WPbNpHwUK8BKEJxp3UcBG3Al6dA4/edit?usp=sharing"",""สิงห์บุรี!J81"")"),0)</f>
        <v>0</v>
      </c>
      <c r="AF71" s="77">
        <f ca="1">IFERROR(__xludf.DUMMYFUNCTION("IMPORTRANGE(""https://docs.google.com/spreadsheets/d/149xufxukrnEciK3WPbNpHwUK8BKEJxp3UcBG3Al6dA4/edit?usp=sharing"",""สิงห์บุรี!I82"")"),0)</f>
        <v>0</v>
      </c>
      <c r="AG71" s="77">
        <f ca="1">IFERROR(__xludf.DUMMYFUNCTION("IMPORTRANGE(""https://docs.google.com/spreadsheets/d/149xufxukrnEciK3WPbNpHwUK8BKEJxp3UcBG3Al6dA4/edit?usp=sharing"",""สิงห์บุรี!I83"")"),0)</f>
        <v>0</v>
      </c>
      <c r="AH71" s="81">
        <f ca="1">IFERROR(__xludf.DUMMYFUNCTION("IMPORTRANGE(""https://docs.google.com/spreadsheets/d/149xufxukrnEciK3WPbNpHwUK8BKEJxp3UcBG3Al6dA4/edit?usp=sharing"",""สิงห์บุรี!J82"")"),0)</f>
        <v>0</v>
      </c>
      <c r="AI71" s="81">
        <f ca="1">IFERROR(__xludf.DUMMYFUNCTION("IMPORTRANGE(""https://docs.google.com/spreadsheets/d/149xufxukrnEciK3WPbNpHwUK8BKEJxp3UcBG3Al6dA4/edit?usp=sharing"",""สิงห์บุรี!J83"")"),0)</f>
        <v>0</v>
      </c>
      <c r="AJ71" s="77">
        <f ca="1">IFERROR(__xludf.DUMMYFUNCTION("IMPORTRANGE(""https://docs.google.com/spreadsheets/d/149xufxukrnEciK3WPbNpHwUK8BKEJxp3UcBG3Al6dA4/edit?usp=sharing"",""สิงห์บุรี!I84"")"),0)</f>
        <v>0</v>
      </c>
      <c r="AK71" s="81">
        <f ca="1">IFERROR(__xludf.DUMMYFUNCTION("IMPORTRANGE(""https://docs.google.com/spreadsheets/d/149xufxukrnEciK3WPbNpHwUK8BKEJxp3UcBG3Al6dA4/edit?usp=sharing"",""สิงห์บุรี!J84"")"),0)</f>
        <v>0</v>
      </c>
      <c r="AL71" s="79">
        <f t="shared" ca="1" si="27"/>
        <v>0</v>
      </c>
    </row>
    <row r="72" spans="1:38" ht="21" customHeight="1" x14ac:dyDescent="0.2">
      <c r="A72" s="73">
        <v>20</v>
      </c>
      <c r="B72" s="74" t="s">
        <v>94</v>
      </c>
      <c r="C72" s="75">
        <f t="shared" ca="1" si="0"/>
        <v>1114000</v>
      </c>
      <c r="D72" s="76">
        <f t="shared" ca="1" si="42"/>
        <v>1114000</v>
      </c>
      <c r="E72" s="77">
        <f ca="1">IFERROR(__xludf.DUMMYFUNCTION("IMPORTRANGE(""https://docs.google.com/spreadsheets/d/1MeEWN-I1oV_STSDYn1IFDPWt_1FKiwhDph83XaGc0o0/edit?usp=sharing"",""งบพรบ!AH72"")"),301600)</f>
        <v>301600</v>
      </c>
      <c r="F72" s="77">
        <f ca="1">IFERROR(__xludf.DUMMYFUNCTION("IMPORTRANGE(""https://docs.google.com/spreadsheets/d/1MeEWN-I1oV_STSDYn1IFDPWt_1FKiwhDph83XaGc0o0/edit?usp=sharing"",""งบพรบ!AI72"")"),812400)</f>
        <v>812400</v>
      </c>
      <c r="G72" s="77">
        <f ca="1">IFERROR(__xludf.DUMMYFUNCTION("IMPORTRANGE(""https://docs.google.com/spreadsheets/d/1MeEWN-I1oV_STSDYn1IFDPWt_1FKiwhDph83XaGc0o0/edit?usp=sharing"",""งบพรบ!AJ72"")"),0)</f>
        <v>0</v>
      </c>
      <c r="H72" s="77">
        <f ca="1">IFERROR(__xludf.DUMMYFUNCTION("IMPORTRANGE(""https://docs.google.com/spreadsheets/d/1MeEWN-I1oV_STSDYn1IFDPWt_1FKiwhDph83XaGc0o0/edit?usp=sharing"",""งบพรบ!AL72"")"),1114000)</f>
        <v>1114000</v>
      </c>
      <c r="I72" s="77">
        <f ca="1">IFERROR(__xludf.DUMMYFUNCTION("IMPORTRANGE(""https://docs.google.com/spreadsheets/d/1MeEWN-I1oV_STSDYn1IFDPWt_1FKiwhDph83XaGc0o0/edit?usp=sharing"",""งบพรบ!AM72"")"),0)</f>
        <v>0</v>
      </c>
      <c r="J72" s="77">
        <f t="shared" ca="1" si="3"/>
        <v>1067821.31</v>
      </c>
      <c r="K72" s="78">
        <f t="shared" ca="1" si="4"/>
        <v>95.854695691202878</v>
      </c>
      <c r="L72" s="77">
        <f ca="1">IFERROR(__xludf.DUMMYFUNCTION("IMPORTRANGE(""https://docs.google.com/spreadsheets/d/1MeEWN-I1oV_STSDYn1IFDPWt_1FKiwhDph83XaGc0o0/edit?usp=sharing"",""งบพรบ!AN72"")"),1067821.31)</f>
        <v>1067821.31</v>
      </c>
      <c r="M72" s="79">
        <f t="shared" ca="1" si="5"/>
        <v>95.854695691202878</v>
      </c>
      <c r="N72" s="79">
        <f t="shared" ca="1" si="6"/>
        <v>95.854695691202878</v>
      </c>
      <c r="O72" s="80">
        <f ca="1">IFERROR(__xludf.DUMMYFUNCTION("IMPORTRANGE(""https://docs.google.com/spreadsheets/d/1MeEWN-I1oV_STSDYn1IFDPWt_1FKiwhDph83XaGc0o0/edit?usp=sharing"",""งบพรบ!AO72"")"),0)</f>
        <v>0</v>
      </c>
      <c r="P72" s="80">
        <f t="shared" ca="1" si="29"/>
        <v>0</v>
      </c>
      <c r="Q72" s="79">
        <f t="shared" ca="1" si="8"/>
        <v>0</v>
      </c>
      <c r="R72" s="81">
        <f t="shared" ca="1" si="30"/>
        <v>2</v>
      </c>
      <c r="S72" s="81">
        <f t="shared" ca="1" si="24"/>
        <v>94</v>
      </c>
      <c r="T72" s="81">
        <f t="shared" ca="1" si="43"/>
        <v>2</v>
      </c>
      <c r="U72" s="82">
        <f t="shared" ca="1" si="25"/>
        <v>100</v>
      </c>
      <c r="V72" s="81">
        <f t="shared" ca="1" si="44"/>
        <v>94</v>
      </c>
      <c r="W72" s="82">
        <f t="shared" ca="1" si="26"/>
        <v>100</v>
      </c>
      <c r="X72" s="77">
        <f ca="1">IFERROR(__xludf.DUMMYFUNCTION("IMPORTRANGE(""https://docs.google.com/spreadsheets/d/132g-zJpz2uMKimp17uOIx8A7o3w1Z25zwJyXnwsB56c/edit?usp=sharing"",""สุพรรณบุรี!I78"")"),2)</f>
        <v>2</v>
      </c>
      <c r="Y72" s="77">
        <f ca="1">IFERROR(__xludf.DUMMYFUNCTION("IMPORTRANGE(""https://docs.google.com/spreadsheets/d/132g-zJpz2uMKimp17uOIx8A7o3w1Z25zwJyXnwsB56c/edit?usp=sharing"",""สุพรรณบุรี!I79"")"),94)</f>
        <v>94</v>
      </c>
      <c r="Z72" s="81">
        <f ca="1">IFERROR(__xludf.DUMMYFUNCTION("IMPORTRANGE(""https://docs.google.com/spreadsheets/d/132g-zJpz2uMKimp17uOIx8A7o3w1Z25zwJyXnwsB56c/edit?usp=sharing"",""สุพรรณบุรี!J78"")"),2)</f>
        <v>2</v>
      </c>
      <c r="AA72" s="81">
        <f ca="1">IFERROR(__xludf.DUMMYFUNCTION("IMPORTRANGE(""https://docs.google.com/spreadsheets/d/132g-zJpz2uMKimp17uOIx8A7o3w1Z25zwJyXnwsB56c/edit?usp=sharing"",""สุพรรณบุรี!J79"")"),94)</f>
        <v>94</v>
      </c>
      <c r="AB72" s="77">
        <f ca="1">IFERROR(__xludf.DUMMYFUNCTION("IMPORTRANGE(""https://docs.google.com/spreadsheets/d/132g-zJpz2uMKimp17uOIx8A7o3w1Z25zwJyXnwsB56c/edit?usp=sharing"",""สุพรรณบุรี!I80"")"),0)</f>
        <v>0</v>
      </c>
      <c r="AC72" s="77">
        <f ca="1">IFERROR(__xludf.DUMMYFUNCTION("IMPORTRANGE(""https://docs.google.com/spreadsheets/d/132g-zJpz2uMKimp17uOIx8A7o3w1Z25zwJyXnwsB56c/edit?usp=sharing"",""สุพรรณบุรี!I81"")"),0)</f>
        <v>0</v>
      </c>
      <c r="AD72" s="81">
        <f ca="1">IFERROR(__xludf.DUMMYFUNCTION("IMPORTRANGE(""https://docs.google.com/spreadsheets/d/132g-zJpz2uMKimp17uOIx8A7o3w1Z25zwJyXnwsB56c/edit?usp=sharing"",""สุพรรณบุรี!J80"")"),0)</f>
        <v>0</v>
      </c>
      <c r="AE72" s="81">
        <f ca="1">IFERROR(__xludf.DUMMYFUNCTION("IMPORTRANGE(""https://docs.google.com/spreadsheets/d/132g-zJpz2uMKimp17uOIx8A7o3w1Z25zwJyXnwsB56c/edit?usp=sharing"",""สุพรรณบุรี!J81"")"),0)</f>
        <v>0</v>
      </c>
      <c r="AF72" s="77">
        <f ca="1">IFERROR(__xludf.DUMMYFUNCTION("IMPORTRANGE(""https://docs.google.com/spreadsheets/d/132g-zJpz2uMKimp17uOIx8A7o3w1Z25zwJyXnwsB56c/edit?usp=sharing"",""สุพรรณบุรี!I82"")"),0)</f>
        <v>0</v>
      </c>
      <c r="AG72" s="77">
        <f ca="1">IFERROR(__xludf.DUMMYFUNCTION("IMPORTRANGE(""https://docs.google.com/spreadsheets/d/132g-zJpz2uMKimp17uOIx8A7o3w1Z25zwJyXnwsB56c/edit?usp=sharing"",""สุพรรณบุรี!I83"")"),0)</f>
        <v>0</v>
      </c>
      <c r="AH72" s="81">
        <f ca="1">IFERROR(__xludf.DUMMYFUNCTION("IMPORTRANGE(""https://docs.google.com/spreadsheets/d/132g-zJpz2uMKimp17uOIx8A7o3w1Z25zwJyXnwsB56c/edit?usp=sharing"",""สุพรรณบุรี!J82"")"),0)</f>
        <v>0</v>
      </c>
      <c r="AI72" s="81">
        <f ca="1">IFERROR(__xludf.DUMMYFUNCTION("IMPORTRANGE(""https://docs.google.com/spreadsheets/d/132g-zJpz2uMKimp17uOIx8A7o3w1Z25zwJyXnwsB56c/edit?usp=sharing"",""สุพรรณบุรี!J83"")"),0)</f>
        <v>0</v>
      </c>
      <c r="AJ72" s="77">
        <f ca="1">IFERROR(__xludf.DUMMYFUNCTION("IMPORTRANGE(""https://docs.google.com/spreadsheets/d/132g-zJpz2uMKimp17uOIx8A7o3w1Z25zwJyXnwsB56c/edit?usp=sharing"",""สุพรรณบุรี!I84"")"),2)</f>
        <v>2</v>
      </c>
      <c r="AK72" s="81">
        <f ca="1">IFERROR(__xludf.DUMMYFUNCTION("IMPORTRANGE(""https://docs.google.com/spreadsheets/d/132g-zJpz2uMKimp17uOIx8A7o3w1Z25zwJyXnwsB56c/edit?usp=sharing"",""สุพรรณบุรี!J84"")"),2)</f>
        <v>2</v>
      </c>
      <c r="AL72" s="79">
        <f t="shared" ca="1" si="27"/>
        <v>100</v>
      </c>
    </row>
    <row r="73" spans="1:38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2"/>
        <v>0</v>
      </c>
      <c r="E73" s="88">
        <f ca="1">IFERROR(__xludf.DUMMYFUNCTION("IMPORTRANGE(""https://docs.google.com/spreadsheets/d/1MeEWN-I1oV_STSDYn1IFDPWt_1FKiwhDph83XaGc0o0/edit?usp=sharing"",""งบพรบ!AH73"")"),0)</f>
        <v>0</v>
      </c>
      <c r="F73" s="88">
        <f ca="1">IFERROR(__xludf.DUMMYFUNCTION("IMPORTRANGE(""https://docs.google.com/spreadsheets/d/1MeEWN-I1oV_STSDYn1IFDPWt_1FKiwhDph83XaGc0o0/edit?usp=sharing"",""งบพรบ!AI73"")"),0)</f>
        <v>0</v>
      </c>
      <c r="G73" s="88">
        <f ca="1">IFERROR(__xludf.DUMMYFUNCTION("IMPORTRANGE(""https://docs.google.com/spreadsheets/d/1MeEWN-I1oV_STSDYn1IFDPWt_1FKiwhDph83XaGc0o0/edit?usp=sharing"",""งบพรบ!AJ73"")"),0)</f>
        <v>0</v>
      </c>
      <c r="H73" s="88">
        <f ca="1">IFERROR(__xludf.DUMMYFUNCTION("IMPORTRANGE(""https://docs.google.com/spreadsheets/d/1MeEWN-I1oV_STSDYn1IFDPWt_1FKiwhDph83XaGc0o0/edit?usp=sharing"",""งบพรบ!AL73"")"),0)</f>
        <v>0</v>
      </c>
      <c r="I73" s="88">
        <f ca="1">IFERROR(__xludf.DUMMYFUNCTION("IMPORTRANGE(""https://docs.google.com/spreadsheets/d/1MeEWN-I1oV_STSDYn1IFDPWt_1FKiwhDph83XaGc0o0/edit?usp=sharing"",""งบพรบ!AM73"")"),0)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IFERROR(__xludf.DUMMYFUNCTION("IMPORTRANGE(""https://docs.google.com/spreadsheets/d/1MeEWN-I1oV_STSDYn1IFDPWt_1FKiwhDph83XaGc0o0/edit?usp=sharing"",""งบพรบ!AN73"")"),0)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IFERROR(__xludf.DUMMYFUNCTION("IMPORTRANGE(""https://docs.google.com/spreadsheets/d/1MeEWN-I1oV_STSDYn1IFDPWt_1FKiwhDph83XaGc0o0/edit?usp=sharing"",""งบพรบ!AO73"")"),0)</f>
        <v>0</v>
      </c>
      <c r="P73" s="91">
        <f t="shared" ca="1" si="29"/>
        <v>0</v>
      </c>
      <c r="Q73" s="90">
        <f t="shared" ca="1" si="8"/>
        <v>0</v>
      </c>
      <c r="R73" s="92">
        <f t="shared" ca="1" si="30"/>
        <v>0</v>
      </c>
      <c r="S73" s="92">
        <f t="shared" ca="1" si="24"/>
        <v>0</v>
      </c>
      <c r="T73" s="92">
        <f t="shared" ca="1" si="43"/>
        <v>0</v>
      </c>
      <c r="U73" s="93">
        <f t="shared" ca="1" si="25"/>
        <v>0</v>
      </c>
      <c r="V73" s="92">
        <f t="shared" ca="1" si="44"/>
        <v>0</v>
      </c>
      <c r="W73" s="93">
        <f t="shared" ca="1" si="26"/>
        <v>0</v>
      </c>
      <c r="X73" s="88">
        <f ca="1">IFERROR(__xludf.DUMMYFUNCTION("IMPORTRANGE(""https://docs.google.com/spreadsheets/d/12Q_U0nVnFdxDFwa0pej9xvx8ZvLC9Dpi_vRro_aiG5g/edit?usp=sharing"",""อ่างทอง!I78"")"),0)</f>
        <v>0</v>
      </c>
      <c r="Y73" s="88">
        <f ca="1">IFERROR(__xludf.DUMMYFUNCTION("IMPORTRANGE(""https://docs.google.com/spreadsheets/d/12Q_U0nVnFdxDFwa0pej9xvx8ZvLC9Dpi_vRro_aiG5g/edit?usp=sharing"",""อ่างทอง!I79"")"),0)</f>
        <v>0</v>
      </c>
      <c r="Z73" s="92">
        <f ca="1">IFERROR(__xludf.DUMMYFUNCTION("IMPORTRANGE(""https://docs.google.com/spreadsheets/d/12Q_U0nVnFdxDFwa0pej9xvx8ZvLC9Dpi_vRro_aiG5g/edit?usp=sharing"",""อ่างทอง!J78"")"),0)</f>
        <v>0</v>
      </c>
      <c r="AA73" s="92">
        <f ca="1">IFERROR(__xludf.DUMMYFUNCTION("IMPORTRANGE(""https://docs.google.com/spreadsheets/d/12Q_U0nVnFdxDFwa0pej9xvx8ZvLC9Dpi_vRro_aiG5g/edit?usp=sharing"",""อ่างทอง!J79"")"),0)</f>
        <v>0</v>
      </c>
      <c r="AB73" s="88">
        <f ca="1">IFERROR(__xludf.DUMMYFUNCTION("IMPORTRANGE(""https://docs.google.com/spreadsheets/d/12Q_U0nVnFdxDFwa0pej9xvx8ZvLC9Dpi_vRro_aiG5g/edit?usp=sharing"",""อ่างทอง!I80"")"),0)</f>
        <v>0</v>
      </c>
      <c r="AC73" s="88">
        <f ca="1">IFERROR(__xludf.DUMMYFUNCTION("IMPORTRANGE(""https://docs.google.com/spreadsheets/d/12Q_U0nVnFdxDFwa0pej9xvx8ZvLC9Dpi_vRro_aiG5g/edit?usp=sharing"",""อ่างทอง!I81"")"),0)</f>
        <v>0</v>
      </c>
      <c r="AD73" s="92">
        <f ca="1">IFERROR(__xludf.DUMMYFUNCTION("IMPORTRANGE(""https://docs.google.com/spreadsheets/d/12Q_U0nVnFdxDFwa0pej9xvx8ZvLC9Dpi_vRro_aiG5g/edit?usp=sharing"",""อ่างทอง!J80"")"),0)</f>
        <v>0</v>
      </c>
      <c r="AE73" s="92">
        <f ca="1">IFERROR(__xludf.DUMMYFUNCTION("IMPORTRANGE(""https://docs.google.com/spreadsheets/d/12Q_U0nVnFdxDFwa0pej9xvx8ZvLC9Dpi_vRro_aiG5g/edit?usp=sharing"",""อ่างทอง!J81"")"),0)</f>
        <v>0</v>
      </c>
      <c r="AF73" s="88">
        <f ca="1">IFERROR(__xludf.DUMMYFUNCTION("IMPORTRANGE(""https://docs.google.com/spreadsheets/d/12Q_U0nVnFdxDFwa0pej9xvx8ZvLC9Dpi_vRro_aiG5g/edit?usp=sharing"",""อ่างทอง!I82"")"),0)</f>
        <v>0</v>
      </c>
      <c r="AG73" s="88">
        <f ca="1">IFERROR(__xludf.DUMMYFUNCTION("IMPORTRANGE(""https://docs.google.com/spreadsheets/d/12Q_U0nVnFdxDFwa0pej9xvx8ZvLC9Dpi_vRro_aiG5g/edit?usp=sharing"",""อ่างทอง!I83"")"),0)</f>
        <v>0</v>
      </c>
      <c r="AH73" s="92">
        <f ca="1">IFERROR(__xludf.DUMMYFUNCTION("IMPORTRANGE(""https://docs.google.com/spreadsheets/d/12Q_U0nVnFdxDFwa0pej9xvx8ZvLC9Dpi_vRro_aiG5g/edit?usp=sharing"",""อ่างทอง!J82"")"),0)</f>
        <v>0</v>
      </c>
      <c r="AI73" s="92">
        <f ca="1">IFERROR(__xludf.DUMMYFUNCTION("IMPORTRANGE(""https://docs.google.com/spreadsheets/d/12Q_U0nVnFdxDFwa0pej9xvx8ZvLC9Dpi_vRro_aiG5g/edit?usp=sharing"",""อ่างทอง!J83"")"),0)</f>
        <v>0</v>
      </c>
      <c r="AJ73" s="88">
        <f ca="1">IFERROR(__xludf.DUMMYFUNCTION("IMPORTRANGE(""https://docs.google.com/spreadsheets/d/12Q_U0nVnFdxDFwa0pej9xvx8ZvLC9Dpi_vRro_aiG5g/edit?usp=sharing"",""อ่างทอง!I84"")"),0)</f>
        <v>0</v>
      </c>
      <c r="AK73" s="92">
        <f ca="1">IFERROR(__xludf.DUMMYFUNCTION("IMPORTRANGE(""https://docs.google.com/spreadsheets/d/12Q_U0nVnFdxDFwa0pej9xvx8ZvLC9Dpi_vRro_aiG5g/edit?usp=sharing"",""อ่างทอง!J84"")"),0)</f>
        <v>0</v>
      </c>
      <c r="AL73" s="90">
        <f t="shared" ca="1" si="27"/>
        <v>0</v>
      </c>
    </row>
    <row r="74" spans="1:38" ht="21" customHeight="1" x14ac:dyDescent="0.2">
      <c r="A74" s="381" t="s">
        <v>96</v>
      </c>
      <c r="B74" s="370"/>
      <c r="C74" s="99">
        <f t="shared" ca="1" si="0"/>
        <v>2784200</v>
      </c>
      <c r="D74" s="57">
        <f t="shared" ref="D74:I74" ca="1" si="45">SUM(D75:D88)</f>
        <v>2784200</v>
      </c>
      <c r="E74" s="57">
        <f t="shared" ca="1" si="45"/>
        <v>1248200</v>
      </c>
      <c r="F74" s="57">
        <f t="shared" ca="1" si="45"/>
        <v>1536000</v>
      </c>
      <c r="G74" s="57">
        <f t="shared" ca="1" si="45"/>
        <v>0</v>
      </c>
      <c r="H74" s="57">
        <f t="shared" ca="1" si="45"/>
        <v>3086200</v>
      </c>
      <c r="I74" s="57">
        <f t="shared" ca="1" si="45"/>
        <v>0</v>
      </c>
      <c r="J74" s="57">
        <f t="shared" ca="1" si="3"/>
        <v>2836425.1499999994</v>
      </c>
      <c r="K74" s="95">
        <f t="shared" ca="1" si="4"/>
        <v>101.87576862294374</v>
      </c>
      <c r="L74" s="57">
        <f ca="1">SUM(L75:L88)</f>
        <v>2836425.1499999994</v>
      </c>
      <c r="M74" s="96">
        <f t="shared" ca="1" si="5"/>
        <v>101.87576862294374</v>
      </c>
      <c r="N74" s="96">
        <f t="shared" ca="1" si="6"/>
        <v>91.906718618365602</v>
      </c>
      <c r="O74" s="97">
        <f ca="1">SUM(O75:O88)</f>
        <v>0</v>
      </c>
      <c r="P74" s="97">
        <f t="shared" ca="1" si="29"/>
        <v>0</v>
      </c>
      <c r="Q74" s="96">
        <f t="shared" ca="1" si="8"/>
        <v>0</v>
      </c>
      <c r="R74" s="57">
        <f t="shared" ca="1" si="30"/>
        <v>4</v>
      </c>
      <c r="S74" s="57">
        <f t="shared" ca="1" si="24"/>
        <v>120</v>
      </c>
      <c r="T74" s="57">
        <f ca="1">SUM(T75:T88)</f>
        <v>4</v>
      </c>
      <c r="U74" s="96">
        <f t="shared" ca="1" si="25"/>
        <v>100</v>
      </c>
      <c r="V74" s="57">
        <f ca="1">SUM(V75:V88)</f>
        <v>120</v>
      </c>
      <c r="W74" s="96">
        <f t="shared" ca="1" si="26"/>
        <v>100</v>
      </c>
      <c r="X74" s="57">
        <f t="shared" ref="X74:AK74" ca="1" si="46">SUM(X75:X88)</f>
        <v>2</v>
      </c>
      <c r="Y74" s="57">
        <f t="shared" ca="1" si="46"/>
        <v>60</v>
      </c>
      <c r="Z74" s="57">
        <f t="shared" ca="1" si="46"/>
        <v>2</v>
      </c>
      <c r="AA74" s="57">
        <f t="shared" ca="1" si="46"/>
        <v>60</v>
      </c>
      <c r="AB74" s="57">
        <f t="shared" ca="1" si="46"/>
        <v>1</v>
      </c>
      <c r="AC74" s="57">
        <f t="shared" ca="1" si="46"/>
        <v>30</v>
      </c>
      <c r="AD74" s="57">
        <f t="shared" ca="1" si="46"/>
        <v>1</v>
      </c>
      <c r="AE74" s="57">
        <f t="shared" ca="1" si="46"/>
        <v>30</v>
      </c>
      <c r="AF74" s="57">
        <f t="shared" ca="1" si="46"/>
        <v>1</v>
      </c>
      <c r="AG74" s="57">
        <f t="shared" ca="1" si="46"/>
        <v>30</v>
      </c>
      <c r="AH74" s="57">
        <f t="shared" ca="1" si="46"/>
        <v>1</v>
      </c>
      <c r="AI74" s="57">
        <f t="shared" ca="1" si="46"/>
        <v>30</v>
      </c>
      <c r="AJ74" s="57">
        <f t="shared" ca="1" si="46"/>
        <v>4</v>
      </c>
      <c r="AK74" s="57">
        <f t="shared" ca="1" si="46"/>
        <v>3</v>
      </c>
      <c r="AL74" s="96">
        <f t="shared" ca="1" si="27"/>
        <v>75</v>
      </c>
    </row>
    <row r="75" spans="1:38" ht="21" customHeight="1" x14ac:dyDescent="0.2">
      <c r="A75" s="63">
        <v>1</v>
      </c>
      <c r="B75" s="64" t="s">
        <v>97</v>
      </c>
      <c r="C75" s="98">
        <f t="shared" ca="1" si="0"/>
        <v>688200</v>
      </c>
      <c r="D75" s="66">
        <f t="shared" ref="D75:D88" ca="1" si="47">+E75+F75</f>
        <v>688200</v>
      </c>
      <c r="E75" s="67">
        <f ca="1">IFERROR(__xludf.DUMMYFUNCTION("IMPORTRANGE(""https://docs.google.com/spreadsheets/d/1MeEWN-I1oV_STSDYn1IFDPWt_1FKiwhDph83XaGc0o0/edit?usp=sharing"",""งบพรบ!AH75"")"),304200)</f>
        <v>304200</v>
      </c>
      <c r="F75" s="67">
        <f ca="1">IFERROR(__xludf.DUMMYFUNCTION("IMPORTRANGE(""https://docs.google.com/spreadsheets/d/1MeEWN-I1oV_STSDYn1IFDPWt_1FKiwhDph83XaGc0o0/edit?usp=sharing"",""งบพรบ!AI75"")"),384000)</f>
        <v>384000</v>
      </c>
      <c r="G75" s="100">
        <f ca="1">IFERROR(__xludf.DUMMYFUNCTION("IMPORTRANGE(""https://docs.google.com/spreadsheets/d/1MeEWN-I1oV_STSDYn1IFDPWt_1FKiwhDph83XaGc0o0/edit?usp=sharing"",""งบพรบ!AJ75"")"),0)</f>
        <v>0</v>
      </c>
      <c r="H75" s="100">
        <f ca="1">IFERROR(__xludf.DUMMYFUNCTION("IMPORTRANGE(""https://docs.google.com/spreadsheets/d/1MeEWN-I1oV_STSDYn1IFDPWt_1FKiwhDph83XaGc0o0/edit?usp=sharing"",""งบพรบ!AL75"")"),688200)</f>
        <v>688200</v>
      </c>
      <c r="I75" s="100">
        <f ca="1">IFERROR(__xludf.DUMMYFUNCTION("IMPORTRANGE(""https://docs.google.com/spreadsheets/d/1MeEWN-I1oV_STSDYn1IFDPWt_1FKiwhDph83XaGc0o0/edit?usp=sharing"",""งบพรบ!AM75"")"),0)</f>
        <v>0</v>
      </c>
      <c r="J75" s="100">
        <f t="shared" ca="1" si="3"/>
        <v>628116.94999999995</v>
      </c>
      <c r="K75" s="101">
        <f t="shared" ca="1" si="4"/>
        <v>91.269536471955817</v>
      </c>
      <c r="L75" s="77">
        <f ca="1">IFERROR(__xludf.DUMMYFUNCTION("IMPORTRANGE(""https://docs.google.com/spreadsheets/d/1MeEWN-I1oV_STSDYn1IFDPWt_1FKiwhDph83XaGc0o0/edit?usp=sharing"",""งบพรบ!AN75"")"),628116.95)</f>
        <v>628116.94999999995</v>
      </c>
      <c r="M75" s="70">
        <f t="shared" ca="1" si="5"/>
        <v>91.269536471955817</v>
      </c>
      <c r="N75" s="70">
        <f t="shared" ca="1" si="6"/>
        <v>91.269536471955817</v>
      </c>
      <c r="O75" s="71">
        <f ca="1">IFERROR(__xludf.DUMMYFUNCTION("IMPORTRANGE(""https://docs.google.com/spreadsheets/d/1MeEWN-I1oV_STSDYn1IFDPWt_1FKiwhDph83XaGc0o0/edit?usp=sharing"",""งบพรบ!AO75"")"),0)</f>
        <v>0</v>
      </c>
      <c r="P75" s="71">
        <f t="shared" ca="1" si="29"/>
        <v>0</v>
      </c>
      <c r="Q75" s="70">
        <f t="shared" ca="1" si="8"/>
        <v>0</v>
      </c>
      <c r="R75" s="68">
        <f t="shared" ca="1" si="30"/>
        <v>1</v>
      </c>
      <c r="S75" s="68">
        <f t="shared" ca="1" si="24"/>
        <v>30</v>
      </c>
      <c r="T75" s="68">
        <f t="shared" ref="T75:T88" ca="1" si="48">Z75+AD75+AH75</f>
        <v>1</v>
      </c>
      <c r="U75" s="72">
        <f t="shared" ca="1" si="25"/>
        <v>100</v>
      </c>
      <c r="V75" s="68">
        <f t="shared" ref="V75:V88" ca="1" si="49">AA75+AE75+AI75</f>
        <v>30</v>
      </c>
      <c r="W75" s="72">
        <f t="shared" ca="1" si="26"/>
        <v>100</v>
      </c>
      <c r="X75" s="67">
        <f ca="1">IFERROR(__xludf.DUMMYFUNCTION("IMPORTRANGE(""https://docs.google.com/spreadsheets/d/1kC41EOXpGBFOW658Fs3oD8beYlym0-zO54WY-2Qnp9I/edit?usp=sharing"",""กระบี่!I78"")"),0)</f>
        <v>0</v>
      </c>
      <c r="Y75" s="67">
        <f ca="1">IFERROR(__xludf.DUMMYFUNCTION("IMPORTRANGE(""https://docs.google.com/spreadsheets/d/1kC41EOXpGBFOW658Fs3oD8beYlym0-zO54WY-2Qnp9I/edit?usp=sharing"",""กระบี่!I79"")"),0)</f>
        <v>0</v>
      </c>
      <c r="Z75" s="68">
        <f ca="1">IFERROR(__xludf.DUMMYFUNCTION("IMPORTRANGE(""https://docs.google.com/spreadsheets/d/1kC41EOXpGBFOW658Fs3oD8beYlym0-zO54WY-2Qnp9I/edit?usp=sharing"",""กระบี่!J78"")"),0)</f>
        <v>0</v>
      </c>
      <c r="AA75" s="68">
        <f ca="1">IFERROR(__xludf.DUMMYFUNCTION("IMPORTRANGE(""https://docs.google.com/spreadsheets/d/1kC41EOXpGBFOW658Fs3oD8beYlym0-zO54WY-2Qnp9I/edit?usp=sharing"",""กระบี่!J79"")"),0)</f>
        <v>0</v>
      </c>
      <c r="AB75" s="67">
        <f ca="1">IFERROR(__xludf.DUMMYFUNCTION("IMPORTRANGE(""https://docs.google.com/spreadsheets/d/1kC41EOXpGBFOW658Fs3oD8beYlym0-zO54WY-2Qnp9I/edit?usp=sharing"",""กระบี่!I80"")"),0)</f>
        <v>0</v>
      </c>
      <c r="AC75" s="67">
        <f ca="1">IFERROR(__xludf.DUMMYFUNCTION("IMPORTRANGE(""https://docs.google.com/spreadsheets/d/1kC41EOXpGBFOW658Fs3oD8beYlym0-zO54WY-2Qnp9I/edit?usp=sharing"",""กระบี่!I81"")"),0)</f>
        <v>0</v>
      </c>
      <c r="AD75" s="68">
        <f ca="1">IFERROR(__xludf.DUMMYFUNCTION("IMPORTRANGE(""https://docs.google.com/spreadsheets/d/1kC41EOXpGBFOW658Fs3oD8beYlym0-zO54WY-2Qnp9I/edit?usp=sharing"",""กระบี่!J80"")"),0)</f>
        <v>0</v>
      </c>
      <c r="AE75" s="68">
        <f ca="1">IFERROR(__xludf.DUMMYFUNCTION("IMPORTRANGE(""https://docs.google.com/spreadsheets/d/1kC41EOXpGBFOW658Fs3oD8beYlym0-zO54WY-2Qnp9I/edit?usp=sharing"",""กระบี่!J81"")"),0)</f>
        <v>0</v>
      </c>
      <c r="AF75" s="67">
        <f ca="1">IFERROR(__xludf.DUMMYFUNCTION("IMPORTRANGE(""https://docs.google.com/spreadsheets/d/1kC41EOXpGBFOW658Fs3oD8beYlym0-zO54WY-2Qnp9I/edit?usp=sharing"",""กระบี่!I82"")"),1)</f>
        <v>1</v>
      </c>
      <c r="AG75" s="67">
        <f ca="1">IFERROR(__xludf.DUMMYFUNCTION("IMPORTRANGE(""https://docs.google.com/spreadsheets/d/1kC41EOXpGBFOW658Fs3oD8beYlym0-zO54WY-2Qnp9I/edit?usp=sharing"",""กระบี่!I83"")"),30)</f>
        <v>30</v>
      </c>
      <c r="AH75" s="68">
        <f ca="1">IFERROR(__xludf.DUMMYFUNCTION("IMPORTRANGE(""https://docs.google.com/spreadsheets/d/1kC41EOXpGBFOW658Fs3oD8beYlym0-zO54WY-2Qnp9I/edit?usp=sharing"",""กระบี่!J82"")"),1)</f>
        <v>1</v>
      </c>
      <c r="AI75" s="68">
        <f ca="1">IFERROR(__xludf.DUMMYFUNCTION("IMPORTRANGE(""https://docs.google.com/spreadsheets/d/1kC41EOXpGBFOW658Fs3oD8beYlym0-zO54WY-2Qnp9I/edit?usp=sharing"",""กระบี่!J83"")"),30)</f>
        <v>30</v>
      </c>
      <c r="AJ75" s="67">
        <f ca="1">IFERROR(__xludf.DUMMYFUNCTION("IMPORTRANGE(""https://docs.google.com/spreadsheets/d/1kC41EOXpGBFOW658Fs3oD8beYlym0-zO54WY-2Qnp9I/edit?usp=sharing"",""กระบี่!I84"")"),1)</f>
        <v>1</v>
      </c>
      <c r="AK75" s="68">
        <f ca="1">IFERROR(__xludf.DUMMYFUNCTION("IMPORTRANGE(""https://docs.google.com/spreadsheets/d/1kC41EOXpGBFOW658Fs3oD8beYlym0-zO54WY-2Qnp9I/edit?usp=sharing"",""กระบี่!J84"")"),1)</f>
        <v>1</v>
      </c>
      <c r="AL75" s="70">
        <f t="shared" ca="1" si="27"/>
        <v>100</v>
      </c>
    </row>
    <row r="76" spans="1:38" ht="21" customHeight="1" x14ac:dyDescent="0.2">
      <c r="A76" s="73">
        <v>2</v>
      </c>
      <c r="B76" s="74" t="s">
        <v>98</v>
      </c>
      <c r="C76" s="75">
        <f t="shared" ca="1" si="0"/>
        <v>795800</v>
      </c>
      <c r="D76" s="76">
        <f t="shared" ca="1" si="47"/>
        <v>795800</v>
      </c>
      <c r="E76" s="77">
        <f ca="1">IFERROR(__xludf.DUMMYFUNCTION("IMPORTRANGE(""https://docs.google.com/spreadsheets/d/1MeEWN-I1oV_STSDYn1IFDPWt_1FKiwhDph83XaGc0o0/edit?usp=sharing"",""งบพรบ!AH76"")"),411800)</f>
        <v>411800</v>
      </c>
      <c r="F76" s="77">
        <f ca="1">IFERROR(__xludf.DUMMYFUNCTION("IMPORTRANGE(""https://docs.google.com/spreadsheets/d/1MeEWN-I1oV_STSDYn1IFDPWt_1FKiwhDph83XaGc0o0/edit?usp=sharing"",""งบพรบ!AI76"")"),384000)</f>
        <v>384000</v>
      </c>
      <c r="G76" s="77">
        <f ca="1">IFERROR(__xludf.DUMMYFUNCTION("IMPORTRANGE(""https://docs.google.com/spreadsheets/d/1MeEWN-I1oV_STSDYn1IFDPWt_1FKiwhDph83XaGc0o0/edit?usp=sharing"",""งบพรบ!AJ76"")"),0)</f>
        <v>0</v>
      </c>
      <c r="H76" s="77">
        <f ca="1">IFERROR(__xludf.DUMMYFUNCTION("IMPORTRANGE(""https://docs.google.com/spreadsheets/d/1MeEWN-I1oV_STSDYn1IFDPWt_1FKiwhDph83XaGc0o0/edit?usp=sharing"",""งบพรบ!AL76"")"),1055800)</f>
        <v>1055800</v>
      </c>
      <c r="I76" s="77">
        <f ca="1">IFERROR(__xludf.DUMMYFUNCTION("IMPORTRANGE(""https://docs.google.com/spreadsheets/d/1MeEWN-I1oV_STSDYn1IFDPWt_1FKiwhDph83XaGc0o0/edit?usp=sharing"",""งบพรบ!AM76"")"),0)</f>
        <v>0</v>
      </c>
      <c r="J76" s="77">
        <f t="shared" ca="1" si="3"/>
        <v>968364.2</v>
      </c>
      <c r="K76" s="78">
        <f t="shared" ca="1" si="4"/>
        <v>121.68436793164112</v>
      </c>
      <c r="L76" s="77">
        <f ca="1">IFERROR(__xludf.DUMMYFUNCTION("IMPORTRANGE(""https://docs.google.com/spreadsheets/d/1MeEWN-I1oV_STSDYn1IFDPWt_1FKiwhDph83XaGc0o0/edit?usp=sharing"",""งบพรบ!AN76"")"),968364.2)</f>
        <v>968364.2</v>
      </c>
      <c r="M76" s="79">
        <f t="shared" ca="1" si="5"/>
        <v>121.68436793164112</v>
      </c>
      <c r="N76" s="79">
        <f t="shared" ca="1" si="6"/>
        <v>91.718526236029547</v>
      </c>
      <c r="O76" s="80">
        <f ca="1">IFERROR(__xludf.DUMMYFUNCTION("IMPORTRANGE(""https://docs.google.com/spreadsheets/d/1MeEWN-I1oV_STSDYn1IFDPWt_1FKiwhDph83XaGc0o0/edit?usp=sharing"",""งบพรบ!AO76"")"),0)</f>
        <v>0</v>
      </c>
      <c r="P76" s="80">
        <f t="shared" ca="1" si="29"/>
        <v>0</v>
      </c>
      <c r="Q76" s="79">
        <f t="shared" ca="1" si="8"/>
        <v>0</v>
      </c>
      <c r="R76" s="81">
        <f t="shared" ca="1" si="30"/>
        <v>1</v>
      </c>
      <c r="S76" s="81">
        <f t="shared" ca="1" si="24"/>
        <v>30</v>
      </c>
      <c r="T76" s="81">
        <f t="shared" ca="1" si="48"/>
        <v>1</v>
      </c>
      <c r="U76" s="82">
        <f t="shared" ca="1" si="25"/>
        <v>100</v>
      </c>
      <c r="V76" s="81">
        <f t="shared" ca="1" si="49"/>
        <v>30</v>
      </c>
      <c r="W76" s="82">
        <f t="shared" ca="1" si="26"/>
        <v>100</v>
      </c>
      <c r="X76" s="77">
        <f ca="1">IFERROR(__xludf.DUMMYFUNCTION("IMPORTRANGE(""https://docs.google.com/spreadsheets/d/1FbzMZY_f3MDiEuK7RpCQKrilJ_kpX0Wm7QBZ1L7EjIU/edit?usp=sharing"",""ชุมพร!I78"")"),1)</f>
        <v>1</v>
      </c>
      <c r="Y76" s="77">
        <f ca="1">IFERROR(__xludf.DUMMYFUNCTION("IMPORTRANGE(""https://docs.google.com/spreadsheets/d/1FbzMZY_f3MDiEuK7RpCQKrilJ_kpX0Wm7QBZ1L7EjIU/edit?usp=sharing"",""ชุมพร!I79"")"),30)</f>
        <v>30</v>
      </c>
      <c r="Z76" s="81">
        <f ca="1">IFERROR(__xludf.DUMMYFUNCTION("IMPORTRANGE(""https://docs.google.com/spreadsheets/d/1FbzMZY_f3MDiEuK7RpCQKrilJ_kpX0Wm7QBZ1L7EjIU/edit?usp=sharing"",""ชุมพร!J78"")"),1)</f>
        <v>1</v>
      </c>
      <c r="AA76" s="81">
        <f ca="1">IFERROR(__xludf.DUMMYFUNCTION("IMPORTRANGE(""https://docs.google.com/spreadsheets/d/1FbzMZY_f3MDiEuK7RpCQKrilJ_kpX0Wm7QBZ1L7EjIU/edit?usp=sharing"",""ชุมพร!J79"")"),30)</f>
        <v>30</v>
      </c>
      <c r="AB76" s="77">
        <f ca="1">IFERROR(__xludf.DUMMYFUNCTION("IMPORTRANGE(""https://docs.google.com/spreadsheets/d/1FbzMZY_f3MDiEuK7RpCQKrilJ_kpX0Wm7QBZ1L7EjIU/edit?usp=sharing"",""ชุมพร!I80"")"),0)</f>
        <v>0</v>
      </c>
      <c r="AC76" s="77">
        <f ca="1">IFERROR(__xludf.DUMMYFUNCTION("IMPORTRANGE(""https://docs.google.com/spreadsheets/d/1FbzMZY_f3MDiEuK7RpCQKrilJ_kpX0Wm7QBZ1L7EjIU/edit?usp=sharing"",""ชุมพร!I81"")"),0)</f>
        <v>0</v>
      </c>
      <c r="AD76" s="81">
        <f ca="1">IFERROR(__xludf.DUMMYFUNCTION("IMPORTRANGE(""https://docs.google.com/spreadsheets/d/1FbzMZY_f3MDiEuK7RpCQKrilJ_kpX0Wm7QBZ1L7EjIU/edit?usp=sharing"",""ชุมพร!J80"")"),0)</f>
        <v>0</v>
      </c>
      <c r="AE76" s="81">
        <f ca="1">IFERROR(__xludf.DUMMYFUNCTION("IMPORTRANGE(""https://docs.google.com/spreadsheets/d/1FbzMZY_f3MDiEuK7RpCQKrilJ_kpX0Wm7QBZ1L7EjIU/edit?usp=sharing"",""ชุมพร!J81"")"),0)</f>
        <v>0</v>
      </c>
      <c r="AF76" s="77">
        <f ca="1">IFERROR(__xludf.DUMMYFUNCTION("IMPORTRANGE(""https://docs.google.com/spreadsheets/d/1FbzMZY_f3MDiEuK7RpCQKrilJ_kpX0Wm7QBZ1L7EjIU/edit?usp=sharing"",""ชุมพร!I82"")"),0)</f>
        <v>0</v>
      </c>
      <c r="AG76" s="77">
        <f ca="1">IFERROR(__xludf.DUMMYFUNCTION("IMPORTRANGE(""https://docs.google.com/spreadsheets/d/1FbzMZY_f3MDiEuK7RpCQKrilJ_kpX0Wm7QBZ1L7EjIU/edit?usp=sharing"",""ชุมพร!I83"")"),0)</f>
        <v>0</v>
      </c>
      <c r="AH76" s="81">
        <f ca="1">IFERROR(__xludf.DUMMYFUNCTION("IMPORTRANGE(""https://docs.google.com/spreadsheets/d/1FbzMZY_f3MDiEuK7RpCQKrilJ_kpX0Wm7QBZ1L7EjIU/edit?usp=sharing"",""ชุมพร!J82"")"),0)</f>
        <v>0</v>
      </c>
      <c r="AI76" s="81">
        <f ca="1">IFERROR(__xludf.DUMMYFUNCTION("IMPORTRANGE(""https://docs.google.com/spreadsheets/d/1FbzMZY_f3MDiEuK7RpCQKrilJ_kpX0Wm7QBZ1L7EjIU/edit?usp=sharing"",""ชุมพร!J83"")"),0)</f>
        <v>0</v>
      </c>
      <c r="AJ76" s="77">
        <f ca="1">IFERROR(__xludf.DUMMYFUNCTION("IMPORTRANGE(""https://docs.google.com/spreadsheets/d/1FbzMZY_f3MDiEuK7RpCQKrilJ_kpX0Wm7QBZ1L7EjIU/edit?usp=sharing"",""ชุมพร!I84"")"),1)</f>
        <v>1</v>
      </c>
      <c r="AK76" s="81">
        <f ca="1">IFERROR(__xludf.DUMMYFUNCTION("IMPORTRANGE(""https://docs.google.com/spreadsheets/d/1FbzMZY_f3MDiEuK7RpCQKrilJ_kpX0Wm7QBZ1L7EjIU/edit?usp=sharing"",""ชุมพร!J84"")"),1)</f>
        <v>1</v>
      </c>
      <c r="AL76" s="79">
        <f t="shared" ca="1" si="27"/>
        <v>100</v>
      </c>
    </row>
    <row r="77" spans="1:38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47"/>
        <v>0</v>
      </c>
      <c r="E77" s="77">
        <f ca="1">IFERROR(__xludf.DUMMYFUNCTION("IMPORTRANGE(""https://docs.google.com/spreadsheets/d/1MeEWN-I1oV_STSDYn1IFDPWt_1FKiwhDph83XaGc0o0/edit?usp=sharing"",""งบพรบ!AH77"")"),0)</f>
        <v>0</v>
      </c>
      <c r="F77" s="77">
        <f ca="1">IFERROR(__xludf.DUMMYFUNCTION("IMPORTRANGE(""https://docs.google.com/spreadsheets/d/1MeEWN-I1oV_STSDYn1IFDPWt_1FKiwhDph83XaGc0o0/edit?usp=sharing"",""งบพรบ!AI77"")"),0)</f>
        <v>0</v>
      </c>
      <c r="G77" s="77">
        <f ca="1">IFERROR(__xludf.DUMMYFUNCTION("IMPORTRANGE(""https://docs.google.com/spreadsheets/d/1MeEWN-I1oV_STSDYn1IFDPWt_1FKiwhDph83XaGc0o0/edit?usp=sharing"",""งบพรบ!AJ77"")"),0)</f>
        <v>0</v>
      </c>
      <c r="H77" s="77">
        <f ca="1">IFERROR(__xludf.DUMMYFUNCTION("IMPORTRANGE(""https://docs.google.com/spreadsheets/d/1MeEWN-I1oV_STSDYn1IFDPWt_1FKiwhDph83XaGc0o0/edit?usp=sharing"",""งบพรบ!AL77"")"),0)</f>
        <v>0</v>
      </c>
      <c r="I77" s="77">
        <f ca="1">IFERROR(__xludf.DUMMYFUNCTION("IMPORTRANGE(""https://docs.google.com/spreadsheets/d/1MeEWN-I1oV_STSDYn1IFDPWt_1FKiwhDph83XaGc0o0/edit?usp=sharing"",""งบพรบ!AM77"")"),0)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IFERROR(__xludf.DUMMYFUNCTION("IMPORTRANGE(""https://docs.google.com/spreadsheets/d/1MeEWN-I1oV_STSDYn1IFDPWt_1FKiwhDph83XaGc0o0/edit?usp=sharing"",""งบพรบ!AN77"")"),0)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IFERROR(__xludf.DUMMYFUNCTION("IMPORTRANGE(""https://docs.google.com/spreadsheets/d/1MeEWN-I1oV_STSDYn1IFDPWt_1FKiwhDph83XaGc0o0/edit?usp=sharing"",""งบพรบ!AO77"")"),0)</f>
        <v>0</v>
      </c>
      <c r="P77" s="80">
        <f t="shared" ca="1" si="29"/>
        <v>0</v>
      </c>
      <c r="Q77" s="79">
        <f t="shared" ca="1" si="8"/>
        <v>0</v>
      </c>
      <c r="R77" s="81">
        <f t="shared" ca="1" si="30"/>
        <v>0</v>
      </c>
      <c r="S77" s="81">
        <f t="shared" ca="1" si="24"/>
        <v>0</v>
      </c>
      <c r="T77" s="81">
        <f t="shared" ca="1" si="48"/>
        <v>0</v>
      </c>
      <c r="U77" s="82">
        <f t="shared" ca="1" si="25"/>
        <v>0</v>
      </c>
      <c r="V77" s="81">
        <f t="shared" ca="1" si="49"/>
        <v>0</v>
      </c>
      <c r="W77" s="82">
        <f t="shared" ca="1" si="26"/>
        <v>0</v>
      </c>
      <c r="X77" s="77">
        <f ca="1">IFERROR(__xludf.DUMMYFUNCTION("IMPORTRANGE(""https://docs.google.com/spreadsheets/d/1v5sN-00LrXuhBxw4dkh2GrG_z4l5oAqOdJRBCsUyMaM/edit?usp=sharing"",""ตรัง!I78"")"),0)</f>
        <v>0</v>
      </c>
      <c r="Y77" s="77">
        <f ca="1">IFERROR(__xludf.DUMMYFUNCTION("IMPORTRANGE(""https://docs.google.com/spreadsheets/d/1v5sN-00LrXuhBxw4dkh2GrG_z4l5oAqOdJRBCsUyMaM/edit?usp=sharing"",""ตรัง!I79"")"),0)</f>
        <v>0</v>
      </c>
      <c r="Z77" s="81">
        <f ca="1">IFERROR(__xludf.DUMMYFUNCTION("IMPORTRANGE(""https://docs.google.com/spreadsheets/d/1v5sN-00LrXuhBxw4dkh2GrG_z4l5oAqOdJRBCsUyMaM/edit?usp=sharing"",""ตรัง!J78"")"),0)</f>
        <v>0</v>
      </c>
      <c r="AA77" s="81">
        <f ca="1">IFERROR(__xludf.DUMMYFUNCTION("IMPORTRANGE(""https://docs.google.com/spreadsheets/d/1v5sN-00LrXuhBxw4dkh2GrG_z4l5oAqOdJRBCsUyMaM/edit?usp=sharing"",""ตรัง!J79"")"),0)</f>
        <v>0</v>
      </c>
      <c r="AB77" s="77">
        <f ca="1">IFERROR(__xludf.DUMMYFUNCTION("IMPORTRANGE(""https://docs.google.com/spreadsheets/d/1v5sN-00LrXuhBxw4dkh2GrG_z4l5oAqOdJRBCsUyMaM/edit?usp=sharing"",""ตรัง!I80"")"),0)</f>
        <v>0</v>
      </c>
      <c r="AC77" s="77">
        <f ca="1">IFERROR(__xludf.DUMMYFUNCTION("IMPORTRANGE(""https://docs.google.com/spreadsheets/d/1v5sN-00LrXuhBxw4dkh2GrG_z4l5oAqOdJRBCsUyMaM/edit?usp=sharing"",""ตรัง!I81"")"),0)</f>
        <v>0</v>
      </c>
      <c r="AD77" s="81">
        <f ca="1">IFERROR(__xludf.DUMMYFUNCTION("IMPORTRANGE(""https://docs.google.com/spreadsheets/d/1v5sN-00LrXuhBxw4dkh2GrG_z4l5oAqOdJRBCsUyMaM/edit?usp=sharing"",""ตรัง!J80"")"),0)</f>
        <v>0</v>
      </c>
      <c r="AE77" s="81">
        <f ca="1">IFERROR(__xludf.DUMMYFUNCTION("IMPORTRANGE(""https://docs.google.com/spreadsheets/d/1v5sN-00LrXuhBxw4dkh2GrG_z4l5oAqOdJRBCsUyMaM/edit?usp=sharing"",""ตรัง!J81"")"),0)</f>
        <v>0</v>
      </c>
      <c r="AF77" s="77">
        <f ca="1">IFERROR(__xludf.DUMMYFUNCTION("IMPORTRANGE(""https://docs.google.com/spreadsheets/d/1v5sN-00LrXuhBxw4dkh2GrG_z4l5oAqOdJRBCsUyMaM/edit?usp=sharing"",""ตรัง!I82"")"),0)</f>
        <v>0</v>
      </c>
      <c r="AG77" s="77">
        <f ca="1">IFERROR(__xludf.DUMMYFUNCTION("IMPORTRANGE(""https://docs.google.com/spreadsheets/d/1v5sN-00LrXuhBxw4dkh2GrG_z4l5oAqOdJRBCsUyMaM/edit?usp=sharing"",""ตรัง!I83"")"),0)</f>
        <v>0</v>
      </c>
      <c r="AH77" s="81">
        <f ca="1">IFERROR(__xludf.DUMMYFUNCTION("IMPORTRANGE(""https://docs.google.com/spreadsheets/d/1v5sN-00LrXuhBxw4dkh2GrG_z4l5oAqOdJRBCsUyMaM/edit?usp=sharing"",""ตรัง!J82"")"),0)</f>
        <v>0</v>
      </c>
      <c r="AI77" s="81">
        <f ca="1">IFERROR(__xludf.DUMMYFUNCTION("IMPORTRANGE(""https://docs.google.com/spreadsheets/d/1v5sN-00LrXuhBxw4dkh2GrG_z4l5oAqOdJRBCsUyMaM/edit?usp=sharing"",""ตรัง!J83"")"),0)</f>
        <v>0</v>
      </c>
      <c r="AJ77" s="77">
        <f ca="1">IFERROR(__xludf.DUMMYFUNCTION("IMPORTRANGE(""https://docs.google.com/spreadsheets/d/1v5sN-00LrXuhBxw4dkh2GrG_z4l5oAqOdJRBCsUyMaM/edit?usp=sharing"",""ตรัง!I84"")"),0)</f>
        <v>0</v>
      </c>
      <c r="AK77" s="81">
        <f ca="1">IFERROR(__xludf.DUMMYFUNCTION("IMPORTRANGE(""https://docs.google.com/spreadsheets/d/1v5sN-00LrXuhBxw4dkh2GrG_z4l5oAqOdJRBCsUyMaM/edit?usp=sharing"",""ตรัง!J84"")"),0)</f>
        <v>0</v>
      </c>
      <c r="AL77" s="79">
        <f t="shared" ca="1" si="27"/>
        <v>0</v>
      </c>
    </row>
    <row r="78" spans="1:38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47"/>
        <v>0</v>
      </c>
      <c r="E78" s="77">
        <f ca="1">IFERROR(__xludf.DUMMYFUNCTION("IMPORTRANGE(""https://docs.google.com/spreadsheets/d/1MeEWN-I1oV_STSDYn1IFDPWt_1FKiwhDph83XaGc0o0/edit?usp=sharing"",""งบพรบ!AH78"")"),0)</f>
        <v>0</v>
      </c>
      <c r="F78" s="77">
        <f ca="1">IFERROR(__xludf.DUMMYFUNCTION("IMPORTRANGE(""https://docs.google.com/spreadsheets/d/1MeEWN-I1oV_STSDYn1IFDPWt_1FKiwhDph83XaGc0o0/edit?usp=sharing"",""งบพรบ!AI78"")"),0)</f>
        <v>0</v>
      </c>
      <c r="G78" s="77">
        <f ca="1">IFERROR(__xludf.DUMMYFUNCTION("IMPORTRANGE(""https://docs.google.com/spreadsheets/d/1MeEWN-I1oV_STSDYn1IFDPWt_1FKiwhDph83XaGc0o0/edit?usp=sharing"",""งบพรบ!AJ78"")"),0)</f>
        <v>0</v>
      </c>
      <c r="H78" s="77">
        <f ca="1">IFERROR(__xludf.DUMMYFUNCTION("IMPORTRANGE(""https://docs.google.com/spreadsheets/d/1MeEWN-I1oV_STSDYn1IFDPWt_1FKiwhDph83XaGc0o0/edit?usp=sharing"",""งบพรบ!AL78"")"),0)</f>
        <v>0</v>
      </c>
      <c r="I78" s="77">
        <f ca="1">IFERROR(__xludf.DUMMYFUNCTION("IMPORTRANGE(""https://docs.google.com/spreadsheets/d/1MeEWN-I1oV_STSDYn1IFDPWt_1FKiwhDph83XaGc0o0/edit?usp=sharing"",""งบพรบ!AM78"")"),0)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IFERROR(__xludf.DUMMYFUNCTION("IMPORTRANGE(""https://docs.google.com/spreadsheets/d/1MeEWN-I1oV_STSDYn1IFDPWt_1FKiwhDph83XaGc0o0/edit?usp=sharing"",""งบพรบ!AN78"")"),0)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IFERROR(__xludf.DUMMYFUNCTION("IMPORTRANGE(""https://docs.google.com/spreadsheets/d/1MeEWN-I1oV_STSDYn1IFDPWt_1FKiwhDph83XaGc0o0/edit?usp=sharing"",""งบพรบ!AO78"")"),0)</f>
        <v>0</v>
      </c>
      <c r="P78" s="80">
        <f t="shared" ca="1" si="29"/>
        <v>0</v>
      </c>
      <c r="Q78" s="79">
        <f t="shared" ca="1" si="8"/>
        <v>0</v>
      </c>
      <c r="R78" s="81">
        <f t="shared" ca="1" si="30"/>
        <v>0</v>
      </c>
      <c r="S78" s="81">
        <f t="shared" ca="1" si="24"/>
        <v>0</v>
      </c>
      <c r="T78" s="81">
        <f t="shared" ca="1" si="48"/>
        <v>0</v>
      </c>
      <c r="U78" s="82">
        <f t="shared" ca="1" si="25"/>
        <v>0</v>
      </c>
      <c r="V78" s="81">
        <f t="shared" ca="1" si="49"/>
        <v>0</v>
      </c>
      <c r="W78" s="82">
        <f t="shared" ca="1" si="26"/>
        <v>0</v>
      </c>
      <c r="X78" s="77">
        <f ca="1">IFERROR(__xludf.DUMMYFUNCTION("IMPORTRANGE(""https://docs.google.com/spreadsheets/d/1T5rRTzFc79aSIvqnzkZNvwPstq829QYz_xALlO1Z0s8/edit?usp=sharing"",""นครศรีธรรมราช!I78"")"),0)</f>
        <v>0</v>
      </c>
      <c r="Y78" s="77">
        <f ca="1">IFERROR(__xludf.DUMMYFUNCTION("IMPORTRANGE(""https://docs.google.com/spreadsheets/d/1T5rRTzFc79aSIvqnzkZNvwPstq829QYz_xALlO1Z0s8/edit?usp=sharing"",""นครศรีธรรมราช!I79"")"),0)</f>
        <v>0</v>
      </c>
      <c r="Z78" s="81">
        <f ca="1">IFERROR(__xludf.DUMMYFUNCTION("IMPORTRANGE(""https://docs.google.com/spreadsheets/d/1T5rRTzFc79aSIvqnzkZNvwPstq829QYz_xALlO1Z0s8/edit?usp=sharing"",""นครศรีธรรมราช!J78"")"),0)</f>
        <v>0</v>
      </c>
      <c r="AA78" s="81">
        <f ca="1">IFERROR(__xludf.DUMMYFUNCTION("IMPORTRANGE(""https://docs.google.com/spreadsheets/d/1T5rRTzFc79aSIvqnzkZNvwPstq829QYz_xALlO1Z0s8/edit?usp=sharing"",""นครศรีธรรมราช!J79"")"),0)</f>
        <v>0</v>
      </c>
      <c r="AB78" s="77">
        <f ca="1">IFERROR(__xludf.DUMMYFUNCTION("IMPORTRANGE(""https://docs.google.com/spreadsheets/d/1T5rRTzFc79aSIvqnzkZNvwPstq829QYz_xALlO1Z0s8/edit?usp=sharing"",""นครศรีธรรมราช!I80"")"),0)</f>
        <v>0</v>
      </c>
      <c r="AC78" s="77">
        <f ca="1">IFERROR(__xludf.DUMMYFUNCTION("IMPORTRANGE(""https://docs.google.com/spreadsheets/d/1T5rRTzFc79aSIvqnzkZNvwPstq829QYz_xALlO1Z0s8/edit?usp=sharing"",""นครศรีธรรมราช!I81"")"),0)</f>
        <v>0</v>
      </c>
      <c r="AD78" s="81">
        <f ca="1">IFERROR(__xludf.DUMMYFUNCTION("IMPORTRANGE(""https://docs.google.com/spreadsheets/d/1T5rRTzFc79aSIvqnzkZNvwPstq829QYz_xALlO1Z0s8/edit?usp=sharing"",""นครศรีธรรมราช!J80"")"),0)</f>
        <v>0</v>
      </c>
      <c r="AE78" s="81">
        <f ca="1">IFERROR(__xludf.DUMMYFUNCTION("IMPORTRANGE(""https://docs.google.com/spreadsheets/d/1T5rRTzFc79aSIvqnzkZNvwPstq829QYz_xALlO1Z0s8/edit?usp=sharing"",""นครศรีธรรมราช!J81"")"),0)</f>
        <v>0</v>
      </c>
      <c r="AF78" s="77">
        <f ca="1">IFERROR(__xludf.DUMMYFUNCTION("IMPORTRANGE(""https://docs.google.com/spreadsheets/d/1T5rRTzFc79aSIvqnzkZNvwPstq829QYz_xALlO1Z0s8/edit?usp=sharing"",""นครศรีธรรมราช!I82"")"),0)</f>
        <v>0</v>
      </c>
      <c r="AG78" s="77">
        <f ca="1">IFERROR(__xludf.DUMMYFUNCTION("IMPORTRANGE(""https://docs.google.com/spreadsheets/d/1T5rRTzFc79aSIvqnzkZNvwPstq829QYz_xALlO1Z0s8/edit?usp=sharing"",""นครศรีธรรมราช!I83"")"),0)</f>
        <v>0</v>
      </c>
      <c r="AH78" s="81">
        <f ca="1">IFERROR(__xludf.DUMMYFUNCTION("IMPORTRANGE(""https://docs.google.com/spreadsheets/d/1T5rRTzFc79aSIvqnzkZNvwPstq829QYz_xALlO1Z0s8/edit?usp=sharing"",""นครศรีธรรมราช!J82"")"),0)</f>
        <v>0</v>
      </c>
      <c r="AI78" s="81">
        <f ca="1">IFERROR(__xludf.DUMMYFUNCTION("IMPORTRANGE(""https://docs.google.com/spreadsheets/d/1T5rRTzFc79aSIvqnzkZNvwPstq829QYz_xALlO1Z0s8/edit?usp=sharing"",""นครศรีธรรมราช!J83"")"),0)</f>
        <v>0</v>
      </c>
      <c r="AJ78" s="77">
        <f ca="1">IFERROR(__xludf.DUMMYFUNCTION("IMPORTRANGE(""https://docs.google.com/spreadsheets/d/1T5rRTzFc79aSIvqnzkZNvwPstq829QYz_xALlO1Z0s8/edit?usp=sharing"",""นครศรีธรรมราช!I84"")"),0)</f>
        <v>0</v>
      </c>
      <c r="AK78" s="81">
        <f ca="1">IFERROR(__xludf.DUMMYFUNCTION("IMPORTRANGE(""https://docs.google.com/spreadsheets/d/1T5rRTzFc79aSIvqnzkZNvwPstq829QYz_xALlO1Z0s8/edit?usp=sharing"",""นครศรีธรรมราช!J84"")"),0)</f>
        <v>0</v>
      </c>
      <c r="AL78" s="79">
        <f t="shared" ca="1" si="27"/>
        <v>0</v>
      </c>
    </row>
    <row r="79" spans="1:38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47"/>
        <v>0</v>
      </c>
      <c r="E79" s="77">
        <f ca="1">IFERROR(__xludf.DUMMYFUNCTION("IMPORTRANGE(""https://docs.google.com/spreadsheets/d/1MeEWN-I1oV_STSDYn1IFDPWt_1FKiwhDph83XaGc0o0/edit?usp=sharing"",""งบพรบ!AH79"")"),0)</f>
        <v>0</v>
      </c>
      <c r="F79" s="77">
        <f ca="1">IFERROR(__xludf.DUMMYFUNCTION("IMPORTRANGE(""https://docs.google.com/spreadsheets/d/1MeEWN-I1oV_STSDYn1IFDPWt_1FKiwhDph83XaGc0o0/edit?usp=sharing"",""งบพรบ!AI79"")"),0)</f>
        <v>0</v>
      </c>
      <c r="G79" s="77">
        <f ca="1">IFERROR(__xludf.DUMMYFUNCTION("IMPORTRANGE(""https://docs.google.com/spreadsheets/d/1MeEWN-I1oV_STSDYn1IFDPWt_1FKiwhDph83XaGc0o0/edit?usp=sharing"",""งบพรบ!AJ79"")"),0)</f>
        <v>0</v>
      </c>
      <c r="H79" s="77">
        <f ca="1">IFERROR(__xludf.DUMMYFUNCTION("IMPORTRANGE(""https://docs.google.com/spreadsheets/d/1MeEWN-I1oV_STSDYn1IFDPWt_1FKiwhDph83XaGc0o0/edit?usp=sharing"",""งบพรบ!AL79"")"),0)</f>
        <v>0</v>
      </c>
      <c r="I79" s="77">
        <f ca="1">IFERROR(__xludf.DUMMYFUNCTION("IMPORTRANGE(""https://docs.google.com/spreadsheets/d/1MeEWN-I1oV_STSDYn1IFDPWt_1FKiwhDph83XaGc0o0/edit?usp=sharing"",""งบพรบ!AM79"")"),0)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IFERROR(__xludf.DUMMYFUNCTION("IMPORTRANGE(""https://docs.google.com/spreadsheets/d/1MeEWN-I1oV_STSDYn1IFDPWt_1FKiwhDph83XaGc0o0/edit?usp=sharing"",""งบพรบ!AN79"")"),0)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IFERROR(__xludf.DUMMYFUNCTION("IMPORTRANGE(""https://docs.google.com/spreadsheets/d/1MeEWN-I1oV_STSDYn1IFDPWt_1FKiwhDph83XaGc0o0/edit?usp=sharing"",""งบพรบ!AO79"")"),0)</f>
        <v>0</v>
      </c>
      <c r="P79" s="80">
        <f t="shared" ca="1" si="29"/>
        <v>0</v>
      </c>
      <c r="Q79" s="79">
        <f t="shared" ca="1" si="8"/>
        <v>0</v>
      </c>
      <c r="R79" s="81">
        <f t="shared" ca="1" si="30"/>
        <v>0</v>
      </c>
      <c r="S79" s="81">
        <f t="shared" ca="1" si="24"/>
        <v>0</v>
      </c>
      <c r="T79" s="81">
        <f t="shared" ca="1" si="48"/>
        <v>0</v>
      </c>
      <c r="U79" s="82">
        <f t="shared" ca="1" si="25"/>
        <v>0</v>
      </c>
      <c r="V79" s="81">
        <f t="shared" ca="1" si="49"/>
        <v>0</v>
      </c>
      <c r="W79" s="82">
        <f t="shared" ca="1" si="26"/>
        <v>0</v>
      </c>
      <c r="X79" s="77">
        <f ca="1">IFERROR(__xludf.DUMMYFUNCTION("IMPORTRANGE(""https://docs.google.com/spreadsheets/d/1BeghqumK0IvCmRd2QOy6_afsZq7ZtAGrSnVJy2u7WmY/edit?usp=sharing"",""นราธิวาส!I78"")"),0)</f>
        <v>0</v>
      </c>
      <c r="Y79" s="77">
        <f ca="1">IFERROR(__xludf.DUMMYFUNCTION("IMPORTRANGE(""https://docs.google.com/spreadsheets/d/1BeghqumK0IvCmRd2QOy6_afsZq7ZtAGrSnVJy2u7WmY/edit?usp=sharing"",""นราธิวาส!I79"")"),0)</f>
        <v>0</v>
      </c>
      <c r="Z79" s="81">
        <f ca="1">IFERROR(__xludf.DUMMYFUNCTION("IMPORTRANGE(""https://docs.google.com/spreadsheets/d/1BeghqumK0IvCmRd2QOy6_afsZq7ZtAGrSnVJy2u7WmY/edit?usp=sharing"",""นราธิวาส!J78"")"),0)</f>
        <v>0</v>
      </c>
      <c r="AA79" s="81">
        <f ca="1">IFERROR(__xludf.DUMMYFUNCTION("IMPORTRANGE(""https://docs.google.com/spreadsheets/d/1BeghqumK0IvCmRd2QOy6_afsZq7ZtAGrSnVJy2u7WmY/edit?usp=sharing"",""นราธิวาส!J79"")"),0)</f>
        <v>0</v>
      </c>
      <c r="AB79" s="77">
        <f ca="1">IFERROR(__xludf.DUMMYFUNCTION("IMPORTRANGE(""https://docs.google.com/spreadsheets/d/1BeghqumK0IvCmRd2QOy6_afsZq7ZtAGrSnVJy2u7WmY/edit?usp=sharing"",""นราธิวาส!I80"")"),0)</f>
        <v>0</v>
      </c>
      <c r="AC79" s="77">
        <f ca="1">IFERROR(__xludf.DUMMYFUNCTION("IMPORTRANGE(""https://docs.google.com/spreadsheets/d/1BeghqumK0IvCmRd2QOy6_afsZq7ZtAGrSnVJy2u7WmY/edit?usp=sharing"",""นราธิวาส!I81"")"),0)</f>
        <v>0</v>
      </c>
      <c r="AD79" s="81">
        <f ca="1">IFERROR(__xludf.DUMMYFUNCTION("IMPORTRANGE(""https://docs.google.com/spreadsheets/d/1BeghqumK0IvCmRd2QOy6_afsZq7ZtAGrSnVJy2u7WmY/edit?usp=sharing"",""นราธิวาส!J80"")"),0)</f>
        <v>0</v>
      </c>
      <c r="AE79" s="81">
        <f ca="1">IFERROR(__xludf.DUMMYFUNCTION("IMPORTRANGE(""https://docs.google.com/spreadsheets/d/1BeghqumK0IvCmRd2QOy6_afsZq7ZtAGrSnVJy2u7WmY/edit?usp=sharing"",""นราธิวาส!J81"")"),0)</f>
        <v>0</v>
      </c>
      <c r="AF79" s="77">
        <f ca="1">IFERROR(__xludf.DUMMYFUNCTION("IMPORTRANGE(""https://docs.google.com/spreadsheets/d/1BeghqumK0IvCmRd2QOy6_afsZq7ZtAGrSnVJy2u7WmY/edit?usp=sharing"",""นราธิวาส!I82"")"),0)</f>
        <v>0</v>
      </c>
      <c r="AG79" s="77">
        <f ca="1">IFERROR(__xludf.DUMMYFUNCTION("IMPORTRANGE(""https://docs.google.com/spreadsheets/d/1BeghqumK0IvCmRd2QOy6_afsZq7ZtAGrSnVJy2u7WmY/edit?usp=sharing"",""นราธิวาส!I83"")"),0)</f>
        <v>0</v>
      </c>
      <c r="AH79" s="81">
        <f ca="1">IFERROR(__xludf.DUMMYFUNCTION("IMPORTRANGE(""https://docs.google.com/spreadsheets/d/1BeghqumK0IvCmRd2QOy6_afsZq7ZtAGrSnVJy2u7WmY/edit?usp=sharing"",""นราธิวาส!J82"")"),0)</f>
        <v>0</v>
      </c>
      <c r="AI79" s="81">
        <f ca="1">IFERROR(__xludf.DUMMYFUNCTION("IMPORTRANGE(""https://docs.google.com/spreadsheets/d/1BeghqumK0IvCmRd2QOy6_afsZq7ZtAGrSnVJy2u7WmY/edit?usp=sharing"",""นราธิวาส!J83"")"),0)</f>
        <v>0</v>
      </c>
      <c r="AJ79" s="77">
        <f ca="1">IFERROR(__xludf.DUMMYFUNCTION("IMPORTRANGE(""https://docs.google.com/spreadsheets/d/1BeghqumK0IvCmRd2QOy6_afsZq7ZtAGrSnVJy2u7WmY/edit?usp=sharing"",""นราธิวาส!I84"")"),0)</f>
        <v>0</v>
      </c>
      <c r="AK79" s="81">
        <f ca="1">IFERROR(__xludf.DUMMYFUNCTION("IMPORTRANGE(""https://docs.google.com/spreadsheets/d/1BeghqumK0IvCmRd2QOy6_afsZq7ZtAGrSnVJy2u7WmY/edit?usp=sharing"",""นราธิวาส!J84"")"),0)</f>
        <v>0</v>
      </c>
      <c r="AL79" s="79">
        <f t="shared" ca="1" si="27"/>
        <v>0</v>
      </c>
    </row>
    <row r="80" spans="1:38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47"/>
        <v>0</v>
      </c>
      <c r="E80" s="77">
        <f ca="1">IFERROR(__xludf.DUMMYFUNCTION("IMPORTRANGE(""https://docs.google.com/spreadsheets/d/1MeEWN-I1oV_STSDYn1IFDPWt_1FKiwhDph83XaGc0o0/edit?usp=sharing"",""งบพรบ!AH80"")"),0)</f>
        <v>0</v>
      </c>
      <c r="F80" s="77">
        <f ca="1">IFERROR(__xludf.DUMMYFUNCTION("IMPORTRANGE(""https://docs.google.com/spreadsheets/d/1MeEWN-I1oV_STSDYn1IFDPWt_1FKiwhDph83XaGc0o0/edit?usp=sharing"",""งบพรบ!AI80"")"),0)</f>
        <v>0</v>
      </c>
      <c r="G80" s="77">
        <f ca="1">IFERROR(__xludf.DUMMYFUNCTION("IMPORTRANGE(""https://docs.google.com/spreadsheets/d/1MeEWN-I1oV_STSDYn1IFDPWt_1FKiwhDph83XaGc0o0/edit?usp=sharing"",""งบพรบ!AJ80"")"),0)</f>
        <v>0</v>
      </c>
      <c r="H80" s="77">
        <f ca="1">IFERROR(__xludf.DUMMYFUNCTION("IMPORTRANGE(""https://docs.google.com/spreadsheets/d/1MeEWN-I1oV_STSDYn1IFDPWt_1FKiwhDph83XaGc0o0/edit?usp=sharing"",""งบพรบ!AL80"")"),0)</f>
        <v>0</v>
      </c>
      <c r="I80" s="77">
        <f ca="1">IFERROR(__xludf.DUMMYFUNCTION("IMPORTRANGE(""https://docs.google.com/spreadsheets/d/1MeEWN-I1oV_STSDYn1IFDPWt_1FKiwhDph83XaGc0o0/edit?usp=sharing"",""งบพรบ!AM80"")"),0)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IFERROR(__xludf.DUMMYFUNCTION("IMPORTRANGE(""https://docs.google.com/spreadsheets/d/1MeEWN-I1oV_STSDYn1IFDPWt_1FKiwhDph83XaGc0o0/edit?usp=sharing"",""งบพรบ!AN80"")"),0)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IFERROR(__xludf.DUMMYFUNCTION("IMPORTRANGE(""https://docs.google.com/spreadsheets/d/1MeEWN-I1oV_STSDYn1IFDPWt_1FKiwhDph83XaGc0o0/edit?usp=sharing"",""งบพรบ!AO80"")"),0)</f>
        <v>0</v>
      </c>
      <c r="P80" s="80">
        <f t="shared" ca="1" si="29"/>
        <v>0</v>
      </c>
      <c r="Q80" s="79">
        <f t="shared" ca="1" si="8"/>
        <v>0</v>
      </c>
      <c r="R80" s="81">
        <f t="shared" ca="1" si="30"/>
        <v>0</v>
      </c>
      <c r="S80" s="81">
        <f t="shared" ca="1" si="24"/>
        <v>0</v>
      </c>
      <c r="T80" s="81">
        <f t="shared" ca="1" si="48"/>
        <v>0</v>
      </c>
      <c r="U80" s="82">
        <f t="shared" ca="1" si="25"/>
        <v>0</v>
      </c>
      <c r="V80" s="81">
        <f t="shared" ca="1" si="49"/>
        <v>0</v>
      </c>
      <c r="W80" s="82">
        <f t="shared" ca="1" si="26"/>
        <v>0</v>
      </c>
      <c r="X80" s="77">
        <f ca="1">IFERROR(__xludf.DUMMYFUNCTION("IMPORTRANGE(""https://docs.google.com/spreadsheets/d/1IwnW3-jjRf74MCLW-6PiFwMUffRQXZwZA7YM609NmRc/edit?usp=sharing"",""ปัตตานี!I78"")"),0)</f>
        <v>0</v>
      </c>
      <c r="Y80" s="77">
        <f ca="1">IFERROR(__xludf.DUMMYFUNCTION("IMPORTRANGE(""https://docs.google.com/spreadsheets/d/1IwnW3-jjRf74MCLW-6PiFwMUffRQXZwZA7YM609NmRc/edit?usp=sharing"",""ปัตตานี!I79"")"),0)</f>
        <v>0</v>
      </c>
      <c r="Z80" s="81">
        <f ca="1">IFERROR(__xludf.DUMMYFUNCTION("IMPORTRANGE(""https://docs.google.com/spreadsheets/d/1IwnW3-jjRf74MCLW-6PiFwMUffRQXZwZA7YM609NmRc/edit?usp=sharing"",""ปัตตานี!J78"")"),0)</f>
        <v>0</v>
      </c>
      <c r="AA80" s="81">
        <f ca="1">IFERROR(__xludf.DUMMYFUNCTION("IMPORTRANGE(""https://docs.google.com/spreadsheets/d/1IwnW3-jjRf74MCLW-6PiFwMUffRQXZwZA7YM609NmRc/edit?usp=sharing"",""ปัตตานี!J79"")"),0)</f>
        <v>0</v>
      </c>
      <c r="AB80" s="77">
        <f ca="1">IFERROR(__xludf.DUMMYFUNCTION("IMPORTRANGE(""https://docs.google.com/spreadsheets/d/1IwnW3-jjRf74MCLW-6PiFwMUffRQXZwZA7YM609NmRc/edit?usp=sharing"",""ปัตตานี!I80"")"),0)</f>
        <v>0</v>
      </c>
      <c r="AC80" s="77">
        <f ca="1">IFERROR(__xludf.DUMMYFUNCTION("IMPORTRANGE(""https://docs.google.com/spreadsheets/d/1IwnW3-jjRf74MCLW-6PiFwMUffRQXZwZA7YM609NmRc/edit?usp=sharing"",""ปัตตานี!I81"")"),0)</f>
        <v>0</v>
      </c>
      <c r="AD80" s="81">
        <f ca="1">IFERROR(__xludf.DUMMYFUNCTION("IMPORTRANGE(""https://docs.google.com/spreadsheets/d/1IwnW3-jjRf74MCLW-6PiFwMUffRQXZwZA7YM609NmRc/edit?usp=sharing"",""ปัตตานี!J80"")"),0)</f>
        <v>0</v>
      </c>
      <c r="AE80" s="81">
        <f ca="1">IFERROR(__xludf.DUMMYFUNCTION("IMPORTRANGE(""https://docs.google.com/spreadsheets/d/1IwnW3-jjRf74MCLW-6PiFwMUffRQXZwZA7YM609NmRc/edit?usp=sharing"",""ปัตตานี!J81"")"),0)</f>
        <v>0</v>
      </c>
      <c r="AF80" s="77">
        <f ca="1">IFERROR(__xludf.DUMMYFUNCTION("IMPORTRANGE(""https://docs.google.com/spreadsheets/d/1IwnW3-jjRf74MCLW-6PiFwMUffRQXZwZA7YM609NmRc/edit?usp=sharing"",""ปัตตานี!I82"")"),0)</f>
        <v>0</v>
      </c>
      <c r="AG80" s="77">
        <f ca="1">IFERROR(__xludf.DUMMYFUNCTION("IMPORTRANGE(""https://docs.google.com/spreadsheets/d/1IwnW3-jjRf74MCLW-6PiFwMUffRQXZwZA7YM609NmRc/edit?usp=sharing"",""ปัตตานี!I83"")"),0)</f>
        <v>0</v>
      </c>
      <c r="AH80" s="81">
        <f ca="1">IFERROR(__xludf.DUMMYFUNCTION("IMPORTRANGE(""https://docs.google.com/spreadsheets/d/1IwnW3-jjRf74MCLW-6PiFwMUffRQXZwZA7YM609NmRc/edit?usp=sharing"",""ปัตตานี!J82"")"),0)</f>
        <v>0</v>
      </c>
      <c r="AI80" s="81">
        <f ca="1">IFERROR(__xludf.DUMMYFUNCTION("IMPORTRANGE(""https://docs.google.com/spreadsheets/d/1IwnW3-jjRf74MCLW-6PiFwMUffRQXZwZA7YM609NmRc/edit?usp=sharing"",""ปัตตานี!J83"")"),0)</f>
        <v>0</v>
      </c>
      <c r="AJ80" s="77">
        <f ca="1">IFERROR(__xludf.DUMMYFUNCTION("IMPORTRANGE(""https://docs.google.com/spreadsheets/d/1IwnW3-jjRf74MCLW-6PiFwMUffRQXZwZA7YM609NmRc/edit?usp=sharing"",""ปัตตานี!I84"")"),0)</f>
        <v>0</v>
      </c>
      <c r="AK80" s="81">
        <f ca="1">IFERROR(__xludf.DUMMYFUNCTION("IMPORTRANGE(""https://docs.google.com/spreadsheets/d/1IwnW3-jjRf74MCLW-6PiFwMUffRQXZwZA7YM609NmRc/edit?usp=sharing"",""ปัตตานี!J84"")"),0)</f>
        <v>0</v>
      </c>
      <c r="AL80" s="79">
        <f t="shared" ca="1" si="27"/>
        <v>0</v>
      </c>
    </row>
    <row r="81" spans="1:38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47"/>
        <v>0</v>
      </c>
      <c r="E81" s="77">
        <f ca="1">IFERROR(__xludf.DUMMYFUNCTION("IMPORTRANGE(""https://docs.google.com/spreadsheets/d/1MeEWN-I1oV_STSDYn1IFDPWt_1FKiwhDph83XaGc0o0/edit?usp=sharing"",""งบพรบ!AH81"")"),0)</f>
        <v>0</v>
      </c>
      <c r="F81" s="77">
        <f ca="1">IFERROR(__xludf.DUMMYFUNCTION("IMPORTRANGE(""https://docs.google.com/spreadsheets/d/1MeEWN-I1oV_STSDYn1IFDPWt_1FKiwhDph83XaGc0o0/edit?usp=sharing"",""งบพรบ!AI81"")"),0)</f>
        <v>0</v>
      </c>
      <c r="G81" s="77">
        <f ca="1">IFERROR(__xludf.DUMMYFUNCTION("IMPORTRANGE(""https://docs.google.com/spreadsheets/d/1MeEWN-I1oV_STSDYn1IFDPWt_1FKiwhDph83XaGc0o0/edit?usp=sharing"",""งบพรบ!AJ81"")"),0)</f>
        <v>0</v>
      </c>
      <c r="H81" s="77">
        <f ca="1">IFERROR(__xludf.DUMMYFUNCTION("IMPORTRANGE(""https://docs.google.com/spreadsheets/d/1MeEWN-I1oV_STSDYn1IFDPWt_1FKiwhDph83XaGc0o0/edit?usp=sharing"",""งบพรบ!AL81"")"),0)</f>
        <v>0</v>
      </c>
      <c r="I81" s="77">
        <f ca="1">IFERROR(__xludf.DUMMYFUNCTION("IMPORTRANGE(""https://docs.google.com/spreadsheets/d/1MeEWN-I1oV_STSDYn1IFDPWt_1FKiwhDph83XaGc0o0/edit?usp=sharing"",""งบพรบ!AM81"")"),0)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IFERROR(__xludf.DUMMYFUNCTION("IMPORTRANGE(""https://docs.google.com/spreadsheets/d/1MeEWN-I1oV_STSDYn1IFDPWt_1FKiwhDph83XaGc0o0/edit?usp=sharing"",""งบพรบ!AN81"")"),0)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IFERROR(__xludf.DUMMYFUNCTION("IMPORTRANGE(""https://docs.google.com/spreadsheets/d/1MeEWN-I1oV_STSDYn1IFDPWt_1FKiwhDph83XaGc0o0/edit?usp=sharing"",""งบพรบ!AO81"")"),0)</f>
        <v>0</v>
      </c>
      <c r="P81" s="80">
        <f t="shared" ca="1" si="29"/>
        <v>0</v>
      </c>
      <c r="Q81" s="79">
        <f t="shared" ca="1" si="8"/>
        <v>0</v>
      </c>
      <c r="R81" s="81">
        <f t="shared" ca="1" si="30"/>
        <v>0</v>
      </c>
      <c r="S81" s="81">
        <f t="shared" ca="1" si="24"/>
        <v>0</v>
      </c>
      <c r="T81" s="81">
        <f t="shared" ca="1" si="48"/>
        <v>0</v>
      </c>
      <c r="U81" s="82">
        <f t="shared" ca="1" si="25"/>
        <v>0</v>
      </c>
      <c r="V81" s="81">
        <f t="shared" ca="1" si="49"/>
        <v>0</v>
      </c>
      <c r="W81" s="82">
        <f t="shared" ca="1" si="26"/>
        <v>0</v>
      </c>
      <c r="X81" s="77">
        <f ca="1">IFERROR(__xludf.DUMMYFUNCTION("IMPORTRANGE(""https://docs.google.com/spreadsheets/d/1vl4QWbWdFruual5o_wdo6ZSqXZ_it806oja4CctTLKs/edit?usp=sharing"",""พังงา!I78"")"),0)</f>
        <v>0</v>
      </c>
      <c r="Y81" s="77">
        <f ca="1">IFERROR(__xludf.DUMMYFUNCTION("IMPORTRANGE(""https://docs.google.com/spreadsheets/d/1vl4QWbWdFruual5o_wdo6ZSqXZ_it806oja4CctTLKs/edit?usp=sharing"",""พังงา!I79"")"),0)</f>
        <v>0</v>
      </c>
      <c r="Z81" s="81">
        <f ca="1">IFERROR(__xludf.DUMMYFUNCTION("IMPORTRANGE(""https://docs.google.com/spreadsheets/d/1vl4QWbWdFruual5o_wdo6ZSqXZ_it806oja4CctTLKs/edit?usp=sharing"",""พังงา!J78"")"),0)</f>
        <v>0</v>
      </c>
      <c r="AA81" s="81">
        <f ca="1">IFERROR(__xludf.DUMMYFUNCTION("IMPORTRANGE(""https://docs.google.com/spreadsheets/d/1vl4QWbWdFruual5o_wdo6ZSqXZ_it806oja4CctTLKs/edit?usp=sharing"",""พังงา!J79"")"),0)</f>
        <v>0</v>
      </c>
      <c r="AB81" s="77">
        <f ca="1">IFERROR(__xludf.DUMMYFUNCTION("IMPORTRANGE(""https://docs.google.com/spreadsheets/d/1vl4QWbWdFruual5o_wdo6ZSqXZ_it806oja4CctTLKs/edit?usp=sharing"",""พังงา!I80"")"),0)</f>
        <v>0</v>
      </c>
      <c r="AC81" s="77">
        <f ca="1">IFERROR(__xludf.DUMMYFUNCTION("IMPORTRANGE(""https://docs.google.com/spreadsheets/d/1vl4QWbWdFruual5o_wdo6ZSqXZ_it806oja4CctTLKs/edit?usp=sharing"",""พังงา!I81"")"),0)</f>
        <v>0</v>
      </c>
      <c r="AD81" s="81">
        <f ca="1">IFERROR(__xludf.DUMMYFUNCTION("IMPORTRANGE(""https://docs.google.com/spreadsheets/d/1vl4QWbWdFruual5o_wdo6ZSqXZ_it806oja4CctTLKs/edit?usp=sharing"",""พังงา!J80"")"),0)</f>
        <v>0</v>
      </c>
      <c r="AE81" s="81">
        <f ca="1">IFERROR(__xludf.DUMMYFUNCTION("IMPORTRANGE(""https://docs.google.com/spreadsheets/d/1vl4QWbWdFruual5o_wdo6ZSqXZ_it806oja4CctTLKs/edit?usp=sharing"",""พังงา!J81"")"),0)</f>
        <v>0</v>
      </c>
      <c r="AF81" s="77">
        <f ca="1">IFERROR(__xludf.DUMMYFUNCTION("IMPORTRANGE(""https://docs.google.com/spreadsheets/d/1vl4QWbWdFruual5o_wdo6ZSqXZ_it806oja4CctTLKs/edit?usp=sharing"",""พังงา!I82"")"),0)</f>
        <v>0</v>
      </c>
      <c r="AG81" s="77">
        <f ca="1">IFERROR(__xludf.DUMMYFUNCTION("IMPORTRANGE(""https://docs.google.com/spreadsheets/d/1vl4QWbWdFruual5o_wdo6ZSqXZ_it806oja4CctTLKs/edit?usp=sharing"",""พังงา!I83"")"),0)</f>
        <v>0</v>
      </c>
      <c r="AH81" s="81">
        <f ca="1">IFERROR(__xludf.DUMMYFUNCTION("IMPORTRANGE(""https://docs.google.com/spreadsheets/d/1vl4QWbWdFruual5o_wdo6ZSqXZ_it806oja4CctTLKs/edit?usp=sharing"",""พังงา!J82"")"),0)</f>
        <v>0</v>
      </c>
      <c r="AI81" s="81">
        <f ca="1">IFERROR(__xludf.DUMMYFUNCTION("IMPORTRANGE(""https://docs.google.com/spreadsheets/d/1vl4QWbWdFruual5o_wdo6ZSqXZ_it806oja4CctTLKs/edit?usp=sharing"",""พังงา!J83"")"),0)</f>
        <v>0</v>
      </c>
      <c r="AJ81" s="77">
        <f ca="1">IFERROR(__xludf.DUMMYFUNCTION("IMPORTRANGE(""https://docs.google.com/spreadsheets/d/1vl4QWbWdFruual5o_wdo6ZSqXZ_it806oja4CctTLKs/edit?usp=sharing"",""พังงา!I84"")"),0)</f>
        <v>0</v>
      </c>
      <c r="AK81" s="81">
        <f ca="1">IFERROR(__xludf.DUMMYFUNCTION("IMPORTRANGE(""https://docs.google.com/spreadsheets/d/1vl4QWbWdFruual5o_wdo6ZSqXZ_it806oja4CctTLKs/edit?usp=sharing"",""พังงา!J84"")"),0)</f>
        <v>0</v>
      </c>
      <c r="AL81" s="79">
        <f t="shared" ca="1" si="27"/>
        <v>0</v>
      </c>
    </row>
    <row r="82" spans="1:38" ht="21" customHeight="1" x14ac:dyDescent="0.2">
      <c r="A82" s="73">
        <v>8</v>
      </c>
      <c r="B82" s="74" t="s">
        <v>104</v>
      </c>
      <c r="C82" s="75">
        <f t="shared" ca="1" si="0"/>
        <v>916200</v>
      </c>
      <c r="D82" s="76">
        <f t="shared" ca="1" si="47"/>
        <v>916200</v>
      </c>
      <c r="E82" s="77">
        <f ca="1">IFERROR(__xludf.DUMMYFUNCTION("IMPORTRANGE(""https://docs.google.com/spreadsheets/d/1MeEWN-I1oV_STSDYn1IFDPWt_1FKiwhDph83XaGc0o0/edit?usp=sharing"",""งบพรบ!AH82"")"),532200)</f>
        <v>532200</v>
      </c>
      <c r="F82" s="77">
        <f ca="1">IFERROR(__xludf.DUMMYFUNCTION("IMPORTRANGE(""https://docs.google.com/spreadsheets/d/1MeEWN-I1oV_STSDYn1IFDPWt_1FKiwhDph83XaGc0o0/edit?usp=sharing"",""งบพรบ!AI82"")"),384000)</f>
        <v>384000</v>
      </c>
      <c r="G82" s="77">
        <f ca="1">IFERROR(__xludf.DUMMYFUNCTION("IMPORTRANGE(""https://docs.google.com/spreadsheets/d/1MeEWN-I1oV_STSDYn1IFDPWt_1FKiwhDph83XaGc0o0/edit?usp=sharing"",""งบพรบ!AJ82"")"),0)</f>
        <v>0</v>
      </c>
      <c r="H82" s="77">
        <f ca="1">IFERROR(__xludf.DUMMYFUNCTION("IMPORTRANGE(""https://docs.google.com/spreadsheets/d/1MeEWN-I1oV_STSDYn1IFDPWt_1FKiwhDph83XaGc0o0/edit?usp=sharing"",""งบพรบ!AL82"")"),933200)</f>
        <v>933200</v>
      </c>
      <c r="I82" s="77">
        <f ca="1">IFERROR(__xludf.DUMMYFUNCTION("IMPORTRANGE(""https://docs.google.com/spreadsheets/d/1MeEWN-I1oV_STSDYn1IFDPWt_1FKiwhDph83XaGc0o0/edit?usp=sharing"",""งบพรบ!AM82"")"),0)</f>
        <v>0</v>
      </c>
      <c r="J82" s="77">
        <f t="shared" ca="1" si="3"/>
        <v>866044.24</v>
      </c>
      <c r="K82" s="78">
        <f t="shared" ca="1" si="4"/>
        <v>94.525675616677574</v>
      </c>
      <c r="L82" s="77">
        <f ca="1">IFERROR(__xludf.DUMMYFUNCTION("IMPORTRANGE(""https://docs.google.com/spreadsheets/d/1MeEWN-I1oV_STSDYn1IFDPWt_1FKiwhDph83XaGc0o0/edit?usp=sharing"",""งบพรบ!AN82"")"),866044.24)</f>
        <v>866044.24</v>
      </c>
      <c r="M82" s="79">
        <f t="shared" ca="1" si="5"/>
        <v>94.525675616677574</v>
      </c>
      <c r="N82" s="79">
        <f t="shared" ca="1" si="6"/>
        <v>92.803711958851267</v>
      </c>
      <c r="O82" s="80">
        <f ca="1">IFERROR(__xludf.DUMMYFUNCTION("IMPORTRANGE(""https://docs.google.com/spreadsheets/d/1MeEWN-I1oV_STSDYn1IFDPWt_1FKiwhDph83XaGc0o0/edit?usp=sharing"",""งบพรบ!AO82"")"),0)</f>
        <v>0</v>
      </c>
      <c r="P82" s="80">
        <f t="shared" ca="1" si="29"/>
        <v>0</v>
      </c>
      <c r="Q82" s="79">
        <f t="shared" ca="1" si="8"/>
        <v>0</v>
      </c>
      <c r="R82" s="81">
        <f t="shared" ca="1" si="30"/>
        <v>1</v>
      </c>
      <c r="S82" s="81">
        <f t="shared" ca="1" si="24"/>
        <v>30</v>
      </c>
      <c r="T82" s="81">
        <f t="shared" ca="1" si="48"/>
        <v>1</v>
      </c>
      <c r="U82" s="82">
        <f t="shared" ca="1" si="25"/>
        <v>100</v>
      </c>
      <c r="V82" s="81">
        <f t="shared" ca="1" si="49"/>
        <v>30</v>
      </c>
      <c r="W82" s="82">
        <f t="shared" ca="1" si="26"/>
        <v>100</v>
      </c>
      <c r="X82" s="77">
        <f ca="1">IFERROR(__xludf.DUMMYFUNCTION("IMPORTRANGE(""https://docs.google.com/spreadsheets/d/1b6QssHQp2FoAPSMKHOy273KNzAomaIKhtdlvuZ_zDNE/edit?usp=sharing"",""พัทลุง!I78"")"),0)</f>
        <v>0</v>
      </c>
      <c r="Y82" s="77">
        <f ca="1">IFERROR(__xludf.DUMMYFUNCTION("IMPORTRANGE(""https://docs.google.com/spreadsheets/d/1b6QssHQp2FoAPSMKHOy273KNzAomaIKhtdlvuZ_zDNE/edit?usp=sharing"",""พัทลุง!I79"")"),0)</f>
        <v>0</v>
      </c>
      <c r="Z82" s="81">
        <f ca="1">IFERROR(__xludf.DUMMYFUNCTION("IMPORTRANGE(""https://docs.google.com/spreadsheets/d/1b6QssHQp2FoAPSMKHOy273KNzAomaIKhtdlvuZ_zDNE/edit?usp=sharing"",""พัทลุง!J78"")"),0)</f>
        <v>0</v>
      </c>
      <c r="AA82" s="81">
        <f ca="1">IFERROR(__xludf.DUMMYFUNCTION("IMPORTRANGE(""https://docs.google.com/spreadsheets/d/1b6QssHQp2FoAPSMKHOy273KNzAomaIKhtdlvuZ_zDNE/edit?usp=sharing"",""พัทลุง!J79"")"),0)</f>
        <v>0</v>
      </c>
      <c r="AB82" s="77">
        <f ca="1">IFERROR(__xludf.DUMMYFUNCTION("IMPORTRANGE(""https://docs.google.com/spreadsheets/d/1b6QssHQp2FoAPSMKHOy273KNzAomaIKhtdlvuZ_zDNE/edit?usp=sharing"",""พัทลุง!I80"")"),1)</f>
        <v>1</v>
      </c>
      <c r="AC82" s="77">
        <f ca="1">IFERROR(__xludf.DUMMYFUNCTION("IMPORTRANGE(""https://docs.google.com/spreadsheets/d/1b6QssHQp2FoAPSMKHOy273KNzAomaIKhtdlvuZ_zDNE/edit?usp=sharing"",""พัทลุง!I81"")"),30)</f>
        <v>30</v>
      </c>
      <c r="AD82" s="81">
        <f ca="1">IFERROR(__xludf.DUMMYFUNCTION("IMPORTRANGE(""https://docs.google.com/spreadsheets/d/1b6QssHQp2FoAPSMKHOy273KNzAomaIKhtdlvuZ_zDNE/edit?usp=sharing"",""พัทลุง!J80"")"),1)</f>
        <v>1</v>
      </c>
      <c r="AE82" s="81">
        <f ca="1">IFERROR(__xludf.DUMMYFUNCTION("IMPORTRANGE(""https://docs.google.com/spreadsheets/d/1b6QssHQp2FoAPSMKHOy273KNzAomaIKhtdlvuZ_zDNE/edit?usp=sharing"",""พัทลุง!J81"")"),30)</f>
        <v>30</v>
      </c>
      <c r="AF82" s="77">
        <f ca="1">IFERROR(__xludf.DUMMYFUNCTION("IMPORTRANGE(""https://docs.google.com/spreadsheets/d/1b6QssHQp2FoAPSMKHOy273KNzAomaIKhtdlvuZ_zDNE/edit?usp=sharing"",""พัทลุง!I82"")"),0)</f>
        <v>0</v>
      </c>
      <c r="AG82" s="77">
        <f ca="1">IFERROR(__xludf.DUMMYFUNCTION("IMPORTRANGE(""https://docs.google.com/spreadsheets/d/1b6QssHQp2FoAPSMKHOy273KNzAomaIKhtdlvuZ_zDNE/edit?usp=sharing"",""พัทลุง!I83"")"),0)</f>
        <v>0</v>
      </c>
      <c r="AH82" s="81">
        <f ca="1">IFERROR(__xludf.DUMMYFUNCTION("IMPORTRANGE(""https://docs.google.com/spreadsheets/d/1b6QssHQp2FoAPSMKHOy273KNzAomaIKhtdlvuZ_zDNE/edit?usp=sharing"",""พัทลุง!J82"")"),0)</f>
        <v>0</v>
      </c>
      <c r="AI82" s="81">
        <f ca="1">IFERROR(__xludf.DUMMYFUNCTION("IMPORTRANGE(""https://docs.google.com/spreadsheets/d/1b6QssHQp2FoAPSMKHOy273KNzAomaIKhtdlvuZ_zDNE/edit?usp=sharing"",""พัทลุง!J83"")"),0)</f>
        <v>0</v>
      </c>
      <c r="AJ82" s="77">
        <f ca="1">IFERROR(__xludf.DUMMYFUNCTION("IMPORTRANGE(""https://docs.google.com/spreadsheets/d/1b6QssHQp2FoAPSMKHOy273KNzAomaIKhtdlvuZ_zDNE/edit?usp=sharing"",""พัทลุง!I84"")"),1)</f>
        <v>1</v>
      </c>
      <c r="AK82" s="81">
        <f ca="1">IFERROR(__xludf.DUMMYFUNCTION("IMPORTRANGE(""https://docs.google.com/spreadsheets/d/1b6QssHQp2FoAPSMKHOy273KNzAomaIKhtdlvuZ_zDNE/edit?usp=sharing"",""พัทลุง!J84"")"),0)</f>
        <v>0</v>
      </c>
      <c r="AL82" s="79">
        <f t="shared" ca="1" si="27"/>
        <v>0</v>
      </c>
    </row>
    <row r="83" spans="1:38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47"/>
        <v>0</v>
      </c>
      <c r="E83" s="77">
        <f ca="1">IFERROR(__xludf.DUMMYFUNCTION("IMPORTRANGE(""https://docs.google.com/spreadsheets/d/1MeEWN-I1oV_STSDYn1IFDPWt_1FKiwhDph83XaGc0o0/edit?usp=sharing"",""งบพรบ!AH83"")"),0)</f>
        <v>0</v>
      </c>
      <c r="F83" s="77">
        <f ca="1">IFERROR(__xludf.DUMMYFUNCTION("IMPORTRANGE(""https://docs.google.com/spreadsheets/d/1MeEWN-I1oV_STSDYn1IFDPWt_1FKiwhDph83XaGc0o0/edit?usp=sharing"",""งบพรบ!AI83"")"),0)</f>
        <v>0</v>
      </c>
      <c r="G83" s="77">
        <f ca="1">IFERROR(__xludf.DUMMYFUNCTION("IMPORTRANGE(""https://docs.google.com/spreadsheets/d/1MeEWN-I1oV_STSDYn1IFDPWt_1FKiwhDph83XaGc0o0/edit?usp=sharing"",""งบพรบ!AJ83"")"),0)</f>
        <v>0</v>
      </c>
      <c r="H83" s="77">
        <f ca="1">IFERROR(__xludf.DUMMYFUNCTION("IMPORTRANGE(""https://docs.google.com/spreadsheets/d/1MeEWN-I1oV_STSDYn1IFDPWt_1FKiwhDph83XaGc0o0/edit?usp=sharing"",""งบพรบ!AL83"")"),0)</f>
        <v>0</v>
      </c>
      <c r="I83" s="77">
        <f ca="1">IFERROR(__xludf.DUMMYFUNCTION("IMPORTRANGE(""https://docs.google.com/spreadsheets/d/1MeEWN-I1oV_STSDYn1IFDPWt_1FKiwhDph83XaGc0o0/edit?usp=sharing"",""งบพรบ!AM83"")"),0)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IFERROR(__xludf.DUMMYFUNCTION("IMPORTRANGE(""https://docs.google.com/spreadsheets/d/1MeEWN-I1oV_STSDYn1IFDPWt_1FKiwhDph83XaGc0o0/edit?usp=sharing"",""งบพรบ!AN83"")"),0)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IFERROR(__xludf.DUMMYFUNCTION("IMPORTRANGE(""https://docs.google.com/spreadsheets/d/1MeEWN-I1oV_STSDYn1IFDPWt_1FKiwhDph83XaGc0o0/edit?usp=sharing"",""งบพรบ!AO83"")"),0)</f>
        <v>0</v>
      </c>
      <c r="P83" s="80">
        <f t="shared" ca="1" si="29"/>
        <v>0</v>
      </c>
      <c r="Q83" s="79">
        <f t="shared" ca="1" si="8"/>
        <v>0</v>
      </c>
      <c r="R83" s="81">
        <f t="shared" ca="1" si="30"/>
        <v>0</v>
      </c>
      <c r="S83" s="81">
        <f t="shared" ca="1" si="24"/>
        <v>0</v>
      </c>
      <c r="T83" s="81">
        <f t="shared" ca="1" si="48"/>
        <v>0</v>
      </c>
      <c r="U83" s="82">
        <f t="shared" ca="1" si="25"/>
        <v>0</v>
      </c>
      <c r="V83" s="81">
        <f t="shared" ca="1" si="49"/>
        <v>0</v>
      </c>
      <c r="W83" s="82">
        <f t="shared" ca="1" si="26"/>
        <v>0</v>
      </c>
      <c r="X83" s="77">
        <f ca="1">IFERROR(__xludf.DUMMYFUNCTION("IMPORTRANGE(""https://docs.google.com/spreadsheets/d/1o7UZe4_OqlqtLDHrj01Z2YFRSZDf1DMy1n3XViHaxRc/edit?usp=sharing"",""ภูเก็ต!I78"")"),0)</f>
        <v>0</v>
      </c>
      <c r="Y83" s="77">
        <f ca="1">IFERROR(__xludf.DUMMYFUNCTION("IMPORTRANGE(""https://docs.google.com/spreadsheets/d/1o7UZe4_OqlqtLDHrj01Z2YFRSZDf1DMy1n3XViHaxRc/edit?usp=sharing"",""ภูเก็ต!I79"")"),0)</f>
        <v>0</v>
      </c>
      <c r="Z83" s="81">
        <f ca="1">IFERROR(__xludf.DUMMYFUNCTION("IMPORTRANGE(""https://docs.google.com/spreadsheets/d/1o7UZe4_OqlqtLDHrj01Z2YFRSZDf1DMy1n3XViHaxRc/edit?usp=sharing"",""ภูเก็ต!J78"")"),0)</f>
        <v>0</v>
      </c>
      <c r="AA83" s="81">
        <f ca="1">IFERROR(__xludf.DUMMYFUNCTION("IMPORTRANGE(""https://docs.google.com/spreadsheets/d/1o7UZe4_OqlqtLDHrj01Z2YFRSZDf1DMy1n3XViHaxRc/edit?usp=sharing"",""ภูเก็ต!J79"")"),0)</f>
        <v>0</v>
      </c>
      <c r="AB83" s="77">
        <f ca="1">IFERROR(__xludf.DUMMYFUNCTION("IMPORTRANGE(""https://docs.google.com/spreadsheets/d/1o7UZe4_OqlqtLDHrj01Z2YFRSZDf1DMy1n3XViHaxRc/edit?usp=sharing"",""ภูเก็ต!I80"")"),0)</f>
        <v>0</v>
      </c>
      <c r="AC83" s="77">
        <f ca="1">IFERROR(__xludf.DUMMYFUNCTION("IMPORTRANGE(""https://docs.google.com/spreadsheets/d/1o7UZe4_OqlqtLDHrj01Z2YFRSZDf1DMy1n3XViHaxRc/edit?usp=sharing"",""ภูเก็ต!I81"")"),0)</f>
        <v>0</v>
      </c>
      <c r="AD83" s="81">
        <f ca="1">IFERROR(__xludf.DUMMYFUNCTION("IMPORTRANGE(""https://docs.google.com/spreadsheets/d/1o7UZe4_OqlqtLDHrj01Z2YFRSZDf1DMy1n3XViHaxRc/edit?usp=sharing"",""ภูเก็ต!J80"")"),0)</f>
        <v>0</v>
      </c>
      <c r="AE83" s="81">
        <f ca="1">IFERROR(__xludf.DUMMYFUNCTION("IMPORTRANGE(""https://docs.google.com/spreadsheets/d/1o7UZe4_OqlqtLDHrj01Z2YFRSZDf1DMy1n3XViHaxRc/edit?usp=sharing"",""ภูเก็ต!J81"")"),0)</f>
        <v>0</v>
      </c>
      <c r="AF83" s="77">
        <f ca="1">IFERROR(__xludf.DUMMYFUNCTION("IMPORTRANGE(""https://docs.google.com/spreadsheets/d/1o7UZe4_OqlqtLDHrj01Z2YFRSZDf1DMy1n3XViHaxRc/edit?usp=sharing"",""ภูเก็ต!I82"")"),0)</f>
        <v>0</v>
      </c>
      <c r="AG83" s="77">
        <f ca="1">IFERROR(__xludf.DUMMYFUNCTION("IMPORTRANGE(""https://docs.google.com/spreadsheets/d/1o7UZe4_OqlqtLDHrj01Z2YFRSZDf1DMy1n3XViHaxRc/edit?usp=sharing"",""ภูเก็ต!I83"")"),0)</f>
        <v>0</v>
      </c>
      <c r="AH83" s="81">
        <f ca="1">IFERROR(__xludf.DUMMYFUNCTION("IMPORTRANGE(""https://docs.google.com/spreadsheets/d/1o7UZe4_OqlqtLDHrj01Z2YFRSZDf1DMy1n3XViHaxRc/edit?usp=sharing"",""ภูเก็ต!J82"")"),0)</f>
        <v>0</v>
      </c>
      <c r="AI83" s="81">
        <f ca="1">IFERROR(__xludf.DUMMYFUNCTION("IMPORTRANGE(""https://docs.google.com/spreadsheets/d/1o7UZe4_OqlqtLDHrj01Z2YFRSZDf1DMy1n3XViHaxRc/edit?usp=sharing"",""ภูเก็ต!J83"")"),0)</f>
        <v>0</v>
      </c>
      <c r="AJ83" s="77">
        <f ca="1">IFERROR(__xludf.DUMMYFUNCTION("IMPORTRANGE(""https://docs.google.com/spreadsheets/d/1o7UZe4_OqlqtLDHrj01Z2YFRSZDf1DMy1n3XViHaxRc/edit?usp=sharing"",""ภูเก็ต!I84"")"),0)</f>
        <v>0</v>
      </c>
      <c r="AK83" s="81">
        <f ca="1">IFERROR(__xludf.DUMMYFUNCTION("IMPORTRANGE(""https://docs.google.com/spreadsheets/d/1o7UZe4_OqlqtLDHrj01Z2YFRSZDf1DMy1n3XViHaxRc/edit?usp=sharing"",""ภูเก็ต!J84"")"),0)</f>
        <v>0</v>
      </c>
      <c r="AL83" s="79">
        <f t="shared" ca="1" si="27"/>
        <v>0</v>
      </c>
    </row>
    <row r="84" spans="1:38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47"/>
        <v>0</v>
      </c>
      <c r="E84" s="77">
        <f ca="1">IFERROR(__xludf.DUMMYFUNCTION("IMPORTRANGE(""https://docs.google.com/spreadsheets/d/1MeEWN-I1oV_STSDYn1IFDPWt_1FKiwhDph83XaGc0o0/edit?usp=sharing"",""งบพรบ!AH84"")"),0)</f>
        <v>0</v>
      </c>
      <c r="F84" s="77">
        <f ca="1">IFERROR(__xludf.DUMMYFUNCTION("IMPORTRANGE(""https://docs.google.com/spreadsheets/d/1MeEWN-I1oV_STSDYn1IFDPWt_1FKiwhDph83XaGc0o0/edit?usp=sharing"",""งบพรบ!AI84"")"),0)</f>
        <v>0</v>
      </c>
      <c r="G84" s="77">
        <f ca="1">IFERROR(__xludf.DUMMYFUNCTION("IMPORTRANGE(""https://docs.google.com/spreadsheets/d/1MeEWN-I1oV_STSDYn1IFDPWt_1FKiwhDph83XaGc0o0/edit?usp=sharing"",""งบพรบ!AJ84"")"),0)</f>
        <v>0</v>
      </c>
      <c r="H84" s="77">
        <f ca="1">IFERROR(__xludf.DUMMYFUNCTION("IMPORTRANGE(""https://docs.google.com/spreadsheets/d/1MeEWN-I1oV_STSDYn1IFDPWt_1FKiwhDph83XaGc0o0/edit?usp=sharing"",""งบพรบ!AL84"")"),0)</f>
        <v>0</v>
      </c>
      <c r="I84" s="77">
        <f ca="1">IFERROR(__xludf.DUMMYFUNCTION("IMPORTRANGE(""https://docs.google.com/spreadsheets/d/1MeEWN-I1oV_STSDYn1IFDPWt_1FKiwhDph83XaGc0o0/edit?usp=sharing"",""งบพรบ!AM84"")"),0)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IFERROR(__xludf.DUMMYFUNCTION("IMPORTRANGE(""https://docs.google.com/spreadsheets/d/1MeEWN-I1oV_STSDYn1IFDPWt_1FKiwhDph83XaGc0o0/edit?usp=sharing"",""งบพรบ!AN84"")"),0)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IFERROR(__xludf.DUMMYFUNCTION("IMPORTRANGE(""https://docs.google.com/spreadsheets/d/1MeEWN-I1oV_STSDYn1IFDPWt_1FKiwhDph83XaGc0o0/edit?usp=sharing"",""งบพรบ!AO84"")"),0)</f>
        <v>0</v>
      </c>
      <c r="P84" s="80">
        <f t="shared" ca="1" si="29"/>
        <v>0</v>
      </c>
      <c r="Q84" s="79">
        <f t="shared" ca="1" si="8"/>
        <v>0</v>
      </c>
      <c r="R84" s="81">
        <f t="shared" ca="1" si="30"/>
        <v>0</v>
      </c>
      <c r="S84" s="81">
        <f t="shared" ca="1" si="24"/>
        <v>0</v>
      </c>
      <c r="T84" s="81">
        <f t="shared" ca="1" si="48"/>
        <v>0</v>
      </c>
      <c r="U84" s="82">
        <f t="shared" ca="1" si="25"/>
        <v>0</v>
      </c>
      <c r="V84" s="81">
        <f t="shared" ca="1" si="49"/>
        <v>0</v>
      </c>
      <c r="W84" s="82">
        <f t="shared" ca="1" si="26"/>
        <v>0</v>
      </c>
      <c r="X84" s="77">
        <f ca="1">IFERROR(__xludf.DUMMYFUNCTION("IMPORTRANGE(""https://docs.google.com/spreadsheets/d/1ctPm1vUzcUCPuOj9-eoHUD85PqINFqUB0TjdSWmR5-c/edit?usp=sharing"",""ยะลา!I78"")"),0)</f>
        <v>0</v>
      </c>
      <c r="Y84" s="77">
        <f ca="1">IFERROR(__xludf.DUMMYFUNCTION("IMPORTRANGE(""https://docs.google.com/spreadsheets/d/1ctPm1vUzcUCPuOj9-eoHUD85PqINFqUB0TjdSWmR5-c/edit?usp=sharing"",""ยะลา!I79"")"),0)</f>
        <v>0</v>
      </c>
      <c r="Z84" s="81">
        <f ca="1">IFERROR(__xludf.DUMMYFUNCTION("IMPORTRANGE(""https://docs.google.com/spreadsheets/d/1ctPm1vUzcUCPuOj9-eoHUD85PqINFqUB0TjdSWmR5-c/edit?usp=sharing"",""ยะลา!J78"")"),0)</f>
        <v>0</v>
      </c>
      <c r="AA84" s="81">
        <f ca="1">IFERROR(__xludf.DUMMYFUNCTION("IMPORTRANGE(""https://docs.google.com/spreadsheets/d/1ctPm1vUzcUCPuOj9-eoHUD85PqINFqUB0TjdSWmR5-c/edit?usp=sharing"",""ยะลา!J79"")"),0)</f>
        <v>0</v>
      </c>
      <c r="AB84" s="77">
        <f ca="1">IFERROR(__xludf.DUMMYFUNCTION("IMPORTRANGE(""https://docs.google.com/spreadsheets/d/1ctPm1vUzcUCPuOj9-eoHUD85PqINFqUB0TjdSWmR5-c/edit?usp=sharing"",""ยะลา!I80"")"),0)</f>
        <v>0</v>
      </c>
      <c r="AC84" s="77">
        <f ca="1">IFERROR(__xludf.DUMMYFUNCTION("IMPORTRANGE(""https://docs.google.com/spreadsheets/d/1ctPm1vUzcUCPuOj9-eoHUD85PqINFqUB0TjdSWmR5-c/edit?usp=sharing"",""ยะลา!I81"")"),0)</f>
        <v>0</v>
      </c>
      <c r="AD84" s="81">
        <f ca="1">IFERROR(__xludf.DUMMYFUNCTION("IMPORTRANGE(""https://docs.google.com/spreadsheets/d/1ctPm1vUzcUCPuOj9-eoHUD85PqINFqUB0TjdSWmR5-c/edit?usp=sharing"",""ยะลา!J80"")"),0)</f>
        <v>0</v>
      </c>
      <c r="AE84" s="81">
        <f ca="1">IFERROR(__xludf.DUMMYFUNCTION("IMPORTRANGE(""https://docs.google.com/spreadsheets/d/1ctPm1vUzcUCPuOj9-eoHUD85PqINFqUB0TjdSWmR5-c/edit?usp=sharing"",""ยะลา!J81"")"),0)</f>
        <v>0</v>
      </c>
      <c r="AF84" s="77">
        <f ca="1">IFERROR(__xludf.DUMMYFUNCTION("IMPORTRANGE(""https://docs.google.com/spreadsheets/d/1ctPm1vUzcUCPuOj9-eoHUD85PqINFqUB0TjdSWmR5-c/edit?usp=sharing"",""ยะลา!I82"")"),0)</f>
        <v>0</v>
      </c>
      <c r="AG84" s="77">
        <f ca="1">IFERROR(__xludf.DUMMYFUNCTION("IMPORTRANGE(""https://docs.google.com/spreadsheets/d/1ctPm1vUzcUCPuOj9-eoHUD85PqINFqUB0TjdSWmR5-c/edit?usp=sharing"",""ยะลา!I83"")"),0)</f>
        <v>0</v>
      </c>
      <c r="AH84" s="81">
        <f ca="1">IFERROR(__xludf.DUMMYFUNCTION("IMPORTRANGE(""https://docs.google.com/spreadsheets/d/1ctPm1vUzcUCPuOj9-eoHUD85PqINFqUB0TjdSWmR5-c/edit?usp=sharing"",""ยะลา!J82"")"),0)</f>
        <v>0</v>
      </c>
      <c r="AI84" s="81">
        <f ca="1">IFERROR(__xludf.DUMMYFUNCTION("IMPORTRANGE(""https://docs.google.com/spreadsheets/d/1ctPm1vUzcUCPuOj9-eoHUD85PqINFqUB0TjdSWmR5-c/edit?usp=sharing"",""ยะลา!J83"")"),0)</f>
        <v>0</v>
      </c>
      <c r="AJ84" s="77">
        <f ca="1">IFERROR(__xludf.DUMMYFUNCTION("IMPORTRANGE(""https://docs.google.com/spreadsheets/d/1ctPm1vUzcUCPuOj9-eoHUD85PqINFqUB0TjdSWmR5-c/edit?usp=sharing"",""ยะลา!I84"")"),0)</f>
        <v>0</v>
      </c>
      <c r="AK84" s="81">
        <f ca="1">IFERROR(__xludf.DUMMYFUNCTION("IMPORTRANGE(""https://docs.google.com/spreadsheets/d/1ctPm1vUzcUCPuOj9-eoHUD85PqINFqUB0TjdSWmR5-c/edit?usp=sharing"",""ยะลา!J84"")"),0)</f>
        <v>0</v>
      </c>
      <c r="AL84" s="79">
        <f t="shared" ca="1" si="27"/>
        <v>0</v>
      </c>
    </row>
    <row r="85" spans="1:38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47"/>
        <v>0</v>
      </c>
      <c r="E85" s="77">
        <f ca="1">IFERROR(__xludf.DUMMYFUNCTION("IMPORTRANGE(""https://docs.google.com/spreadsheets/d/1MeEWN-I1oV_STSDYn1IFDPWt_1FKiwhDph83XaGc0o0/edit?usp=sharing"",""งบพรบ!AH85"")"),0)</f>
        <v>0</v>
      </c>
      <c r="F85" s="77">
        <f ca="1">IFERROR(__xludf.DUMMYFUNCTION("IMPORTRANGE(""https://docs.google.com/spreadsheets/d/1MeEWN-I1oV_STSDYn1IFDPWt_1FKiwhDph83XaGc0o0/edit?usp=sharing"",""งบพรบ!AI85"")"),0)</f>
        <v>0</v>
      </c>
      <c r="G85" s="77">
        <f ca="1">IFERROR(__xludf.DUMMYFUNCTION("IMPORTRANGE(""https://docs.google.com/spreadsheets/d/1MeEWN-I1oV_STSDYn1IFDPWt_1FKiwhDph83XaGc0o0/edit?usp=sharing"",""งบพรบ!AJ85"")"),0)</f>
        <v>0</v>
      </c>
      <c r="H85" s="77">
        <f ca="1">IFERROR(__xludf.DUMMYFUNCTION("IMPORTRANGE(""https://docs.google.com/spreadsheets/d/1MeEWN-I1oV_STSDYn1IFDPWt_1FKiwhDph83XaGc0o0/edit?usp=sharing"",""งบพรบ!AL85"")"),0)</f>
        <v>0</v>
      </c>
      <c r="I85" s="77">
        <f ca="1">IFERROR(__xludf.DUMMYFUNCTION("IMPORTRANGE(""https://docs.google.com/spreadsheets/d/1MeEWN-I1oV_STSDYn1IFDPWt_1FKiwhDph83XaGc0o0/edit?usp=sharing"",""งบพรบ!AM85"")"),0)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IFERROR(__xludf.DUMMYFUNCTION("IMPORTRANGE(""https://docs.google.com/spreadsheets/d/1MeEWN-I1oV_STSDYn1IFDPWt_1FKiwhDph83XaGc0o0/edit?usp=sharing"",""งบพรบ!AN85"")"),0)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IFERROR(__xludf.DUMMYFUNCTION("IMPORTRANGE(""https://docs.google.com/spreadsheets/d/1MeEWN-I1oV_STSDYn1IFDPWt_1FKiwhDph83XaGc0o0/edit?usp=sharing"",""งบพรบ!AO85"")"),0)</f>
        <v>0</v>
      </c>
      <c r="P85" s="80">
        <f t="shared" ca="1" si="29"/>
        <v>0</v>
      </c>
      <c r="Q85" s="79">
        <f t="shared" ca="1" si="8"/>
        <v>0</v>
      </c>
      <c r="R85" s="81">
        <f t="shared" ca="1" si="30"/>
        <v>0</v>
      </c>
      <c r="S85" s="81">
        <f t="shared" ca="1" si="24"/>
        <v>0</v>
      </c>
      <c r="T85" s="81">
        <f t="shared" ca="1" si="48"/>
        <v>0</v>
      </c>
      <c r="U85" s="82">
        <f t="shared" ca="1" si="25"/>
        <v>0</v>
      </c>
      <c r="V85" s="81">
        <f t="shared" ca="1" si="49"/>
        <v>0</v>
      </c>
      <c r="W85" s="82">
        <f t="shared" ca="1" si="26"/>
        <v>0</v>
      </c>
      <c r="X85" s="77">
        <f ca="1">IFERROR(__xludf.DUMMYFUNCTION("IMPORTRANGE(""https://docs.google.com/spreadsheets/d/1YiDIE7Klmt8osgdapRqYWNr7iPGFSsiJqq46S7PYRE0/edit?usp=sharing"",""ระนอง!I78"")"),0)</f>
        <v>0</v>
      </c>
      <c r="Y85" s="77">
        <f ca="1">IFERROR(__xludf.DUMMYFUNCTION("IMPORTRANGE(""https://docs.google.com/spreadsheets/d/1YiDIE7Klmt8osgdapRqYWNr7iPGFSsiJqq46S7PYRE0/edit?usp=sharing"",""ระนอง!I79"")"),0)</f>
        <v>0</v>
      </c>
      <c r="Z85" s="81">
        <f ca="1">IFERROR(__xludf.DUMMYFUNCTION("IMPORTRANGE(""https://docs.google.com/spreadsheets/d/1YiDIE7Klmt8osgdapRqYWNr7iPGFSsiJqq46S7PYRE0/edit?usp=sharing"",""ระนอง!J78"")"),0)</f>
        <v>0</v>
      </c>
      <c r="AA85" s="81">
        <f ca="1">IFERROR(__xludf.DUMMYFUNCTION("IMPORTRANGE(""https://docs.google.com/spreadsheets/d/1YiDIE7Klmt8osgdapRqYWNr7iPGFSsiJqq46S7PYRE0/edit?usp=sharing"",""ระนอง!J79"")"),0)</f>
        <v>0</v>
      </c>
      <c r="AB85" s="77">
        <f ca="1">IFERROR(__xludf.DUMMYFUNCTION("IMPORTRANGE(""https://docs.google.com/spreadsheets/d/1YiDIE7Klmt8osgdapRqYWNr7iPGFSsiJqq46S7PYRE0/edit?usp=sharing"",""ระนอง!I80"")"),0)</f>
        <v>0</v>
      </c>
      <c r="AC85" s="77">
        <f ca="1">IFERROR(__xludf.DUMMYFUNCTION("IMPORTRANGE(""https://docs.google.com/spreadsheets/d/1YiDIE7Klmt8osgdapRqYWNr7iPGFSsiJqq46S7PYRE0/edit?usp=sharing"",""ระนอง!I81"")"),0)</f>
        <v>0</v>
      </c>
      <c r="AD85" s="81">
        <f ca="1">IFERROR(__xludf.DUMMYFUNCTION("IMPORTRANGE(""https://docs.google.com/spreadsheets/d/1YiDIE7Klmt8osgdapRqYWNr7iPGFSsiJqq46S7PYRE0/edit?usp=sharing"",""ระนอง!J80"")"),0)</f>
        <v>0</v>
      </c>
      <c r="AE85" s="81">
        <f ca="1">IFERROR(__xludf.DUMMYFUNCTION("IMPORTRANGE(""https://docs.google.com/spreadsheets/d/1YiDIE7Klmt8osgdapRqYWNr7iPGFSsiJqq46S7PYRE0/edit?usp=sharing"",""ระนอง!J81"")"),0)</f>
        <v>0</v>
      </c>
      <c r="AF85" s="77">
        <f ca="1">IFERROR(__xludf.DUMMYFUNCTION("IMPORTRANGE(""https://docs.google.com/spreadsheets/d/1YiDIE7Klmt8osgdapRqYWNr7iPGFSsiJqq46S7PYRE0/edit?usp=sharing"",""ระนอง!I82"")"),0)</f>
        <v>0</v>
      </c>
      <c r="AG85" s="77">
        <f ca="1">IFERROR(__xludf.DUMMYFUNCTION("IMPORTRANGE(""https://docs.google.com/spreadsheets/d/1YiDIE7Klmt8osgdapRqYWNr7iPGFSsiJqq46S7PYRE0/edit?usp=sharing"",""ระนอง!I83"")"),0)</f>
        <v>0</v>
      </c>
      <c r="AH85" s="81">
        <f ca="1">IFERROR(__xludf.DUMMYFUNCTION("IMPORTRANGE(""https://docs.google.com/spreadsheets/d/1YiDIE7Klmt8osgdapRqYWNr7iPGFSsiJqq46S7PYRE0/edit?usp=sharing"",""ระนอง!J82"")"),0)</f>
        <v>0</v>
      </c>
      <c r="AI85" s="81">
        <f ca="1">IFERROR(__xludf.DUMMYFUNCTION("IMPORTRANGE(""https://docs.google.com/spreadsheets/d/1YiDIE7Klmt8osgdapRqYWNr7iPGFSsiJqq46S7PYRE0/edit?usp=sharing"",""ระนอง!J83"")"),0)</f>
        <v>0</v>
      </c>
      <c r="AJ85" s="77">
        <f ca="1">IFERROR(__xludf.DUMMYFUNCTION("IMPORTRANGE(""https://docs.google.com/spreadsheets/d/1YiDIE7Klmt8osgdapRqYWNr7iPGFSsiJqq46S7PYRE0/edit?usp=sharing"",""ระนอง!I84"")"),0)</f>
        <v>0</v>
      </c>
      <c r="AK85" s="81">
        <f ca="1">IFERROR(__xludf.DUMMYFUNCTION("IMPORTRANGE(""https://docs.google.com/spreadsheets/d/1YiDIE7Klmt8osgdapRqYWNr7iPGFSsiJqq46S7PYRE0/edit?usp=sharing"",""ระนอง!J84"")"),0)</f>
        <v>0</v>
      </c>
      <c r="AL85" s="79">
        <f t="shared" ca="1" si="27"/>
        <v>0</v>
      </c>
    </row>
    <row r="86" spans="1:38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47"/>
        <v>0</v>
      </c>
      <c r="E86" s="77">
        <f ca="1">IFERROR(__xludf.DUMMYFUNCTION("IMPORTRANGE(""https://docs.google.com/spreadsheets/d/1MeEWN-I1oV_STSDYn1IFDPWt_1FKiwhDph83XaGc0o0/edit?usp=sharing"",""งบพรบ!AH86"")"),0)</f>
        <v>0</v>
      </c>
      <c r="F86" s="77">
        <f ca="1">IFERROR(__xludf.DUMMYFUNCTION("IMPORTRANGE(""https://docs.google.com/spreadsheets/d/1MeEWN-I1oV_STSDYn1IFDPWt_1FKiwhDph83XaGc0o0/edit?usp=sharing"",""งบพรบ!AI86"")"),0)</f>
        <v>0</v>
      </c>
      <c r="G86" s="77">
        <f ca="1">IFERROR(__xludf.DUMMYFUNCTION("IMPORTRANGE(""https://docs.google.com/spreadsheets/d/1MeEWN-I1oV_STSDYn1IFDPWt_1FKiwhDph83XaGc0o0/edit?usp=sharing"",""งบพรบ!AJ86"")"),0)</f>
        <v>0</v>
      </c>
      <c r="H86" s="77">
        <f ca="1">IFERROR(__xludf.DUMMYFUNCTION("IMPORTRANGE(""https://docs.google.com/spreadsheets/d/1MeEWN-I1oV_STSDYn1IFDPWt_1FKiwhDph83XaGc0o0/edit?usp=sharing"",""งบพรบ!AL86"")"),0)</f>
        <v>0</v>
      </c>
      <c r="I86" s="77">
        <f ca="1">IFERROR(__xludf.DUMMYFUNCTION("IMPORTRANGE(""https://docs.google.com/spreadsheets/d/1MeEWN-I1oV_STSDYn1IFDPWt_1FKiwhDph83XaGc0o0/edit?usp=sharing"",""งบพรบ!AM86"")"),0)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IFERROR(__xludf.DUMMYFUNCTION("IMPORTRANGE(""https://docs.google.com/spreadsheets/d/1MeEWN-I1oV_STSDYn1IFDPWt_1FKiwhDph83XaGc0o0/edit?usp=sharing"",""งบพรบ!AN86"")"),0)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IFERROR(__xludf.DUMMYFUNCTION("IMPORTRANGE(""https://docs.google.com/spreadsheets/d/1MeEWN-I1oV_STSDYn1IFDPWt_1FKiwhDph83XaGc0o0/edit?usp=sharing"",""งบพรบ!AO86"")"),0)</f>
        <v>0</v>
      </c>
      <c r="P86" s="80">
        <f t="shared" ca="1" si="29"/>
        <v>0</v>
      </c>
      <c r="Q86" s="79">
        <f t="shared" ca="1" si="8"/>
        <v>0</v>
      </c>
      <c r="R86" s="81">
        <f t="shared" ca="1" si="30"/>
        <v>0</v>
      </c>
      <c r="S86" s="81">
        <f t="shared" ca="1" si="24"/>
        <v>0</v>
      </c>
      <c r="T86" s="81">
        <f t="shared" ca="1" si="48"/>
        <v>0</v>
      </c>
      <c r="U86" s="82">
        <f t="shared" ca="1" si="25"/>
        <v>0</v>
      </c>
      <c r="V86" s="81">
        <f t="shared" ca="1" si="49"/>
        <v>0</v>
      </c>
      <c r="W86" s="82">
        <f t="shared" ca="1" si="26"/>
        <v>0</v>
      </c>
      <c r="X86" s="77">
        <f ca="1">IFERROR(__xludf.DUMMYFUNCTION("IMPORTRANGE(""https://docs.google.com/spreadsheets/d/16o_4B-V7AWw_6E93bSpXj_XxVv1oVQctk-B6z1dNEWU/edit?usp=sharing"",""สงขลา!I78"")"),0)</f>
        <v>0</v>
      </c>
      <c r="Y86" s="77">
        <f ca="1">IFERROR(__xludf.DUMMYFUNCTION("IMPORTRANGE(""https://docs.google.com/spreadsheets/d/16o_4B-V7AWw_6E93bSpXj_XxVv1oVQctk-B6z1dNEWU/edit?usp=sharing"",""สงขลา!I79"")"),0)</f>
        <v>0</v>
      </c>
      <c r="Z86" s="81">
        <f ca="1">IFERROR(__xludf.DUMMYFUNCTION("IMPORTRANGE(""https://docs.google.com/spreadsheets/d/16o_4B-V7AWw_6E93bSpXj_XxVv1oVQctk-B6z1dNEWU/edit?usp=sharing"",""สงขลา!J78"")"),0)</f>
        <v>0</v>
      </c>
      <c r="AA86" s="81">
        <f ca="1">IFERROR(__xludf.DUMMYFUNCTION("IMPORTRANGE(""https://docs.google.com/spreadsheets/d/16o_4B-V7AWw_6E93bSpXj_XxVv1oVQctk-B6z1dNEWU/edit?usp=sharing"",""สงขลา!J79"")"),0)</f>
        <v>0</v>
      </c>
      <c r="AB86" s="77">
        <f ca="1">IFERROR(__xludf.DUMMYFUNCTION("IMPORTRANGE(""https://docs.google.com/spreadsheets/d/16o_4B-V7AWw_6E93bSpXj_XxVv1oVQctk-B6z1dNEWU/edit?usp=sharing"",""สงขลา!I80"")"),0)</f>
        <v>0</v>
      </c>
      <c r="AC86" s="77">
        <f ca="1">IFERROR(__xludf.DUMMYFUNCTION("IMPORTRANGE(""https://docs.google.com/spreadsheets/d/16o_4B-V7AWw_6E93bSpXj_XxVv1oVQctk-B6z1dNEWU/edit?usp=sharing"",""สงขลา!I81"")"),0)</f>
        <v>0</v>
      </c>
      <c r="AD86" s="81">
        <f ca="1">IFERROR(__xludf.DUMMYFUNCTION("IMPORTRANGE(""https://docs.google.com/spreadsheets/d/16o_4B-V7AWw_6E93bSpXj_XxVv1oVQctk-B6z1dNEWU/edit?usp=sharing"",""สงขลา!J80"")"),0)</f>
        <v>0</v>
      </c>
      <c r="AE86" s="81">
        <f ca="1">IFERROR(__xludf.DUMMYFUNCTION("IMPORTRANGE(""https://docs.google.com/spreadsheets/d/16o_4B-V7AWw_6E93bSpXj_XxVv1oVQctk-B6z1dNEWU/edit?usp=sharing"",""สงขลา!J81"")"),0)</f>
        <v>0</v>
      </c>
      <c r="AF86" s="77">
        <f ca="1">IFERROR(__xludf.DUMMYFUNCTION("IMPORTRANGE(""https://docs.google.com/spreadsheets/d/16o_4B-V7AWw_6E93bSpXj_XxVv1oVQctk-B6z1dNEWU/edit?usp=sharing"",""สงขลา!I82"")"),0)</f>
        <v>0</v>
      </c>
      <c r="AG86" s="77">
        <f ca="1">IFERROR(__xludf.DUMMYFUNCTION("IMPORTRANGE(""https://docs.google.com/spreadsheets/d/16o_4B-V7AWw_6E93bSpXj_XxVv1oVQctk-B6z1dNEWU/edit?usp=sharing"",""สงขลา!I83"")"),0)</f>
        <v>0</v>
      </c>
      <c r="AH86" s="81">
        <f ca="1">IFERROR(__xludf.DUMMYFUNCTION("IMPORTRANGE(""https://docs.google.com/spreadsheets/d/16o_4B-V7AWw_6E93bSpXj_XxVv1oVQctk-B6z1dNEWU/edit?usp=sharing"",""สงขลา!J82"")"),0)</f>
        <v>0</v>
      </c>
      <c r="AI86" s="81">
        <f ca="1">IFERROR(__xludf.DUMMYFUNCTION("IMPORTRANGE(""https://docs.google.com/spreadsheets/d/16o_4B-V7AWw_6E93bSpXj_XxVv1oVQctk-B6z1dNEWU/edit?usp=sharing"",""สงขลา!J83"")"),0)</f>
        <v>0</v>
      </c>
      <c r="AJ86" s="77">
        <f ca="1">IFERROR(__xludf.DUMMYFUNCTION("IMPORTRANGE(""https://docs.google.com/spreadsheets/d/16o_4B-V7AWw_6E93bSpXj_XxVv1oVQctk-B6z1dNEWU/edit?usp=sharing"",""สงขลา!I84"")"),0)</f>
        <v>0</v>
      </c>
      <c r="AK86" s="81">
        <f ca="1">IFERROR(__xludf.DUMMYFUNCTION("IMPORTRANGE(""https://docs.google.com/spreadsheets/d/16o_4B-V7AWw_6E93bSpXj_XxVv1oVQctk-B6z1dNEWU/edit?usp=sharing"",""สงขลา!J84"")"),0)</f>
        <v>0</v>
      </c>
      <c r="AL86" s="79">
        <f t="shared" ca="1" si="27"/>
        <v>0</v>
      </c>
    </row>
    <row r="87" spans="1:38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47"/>
        <v>0</v>
      </c>
      <c r="E87" s="77">
        <f ca="1">IFERROR(__xludf.DUMMYFUNCTION("IMPORTRANGE(""https://docs.google.com/spreadsheets/d/1MeEWN-I1oV_STSDYn1IFDPWt_1FKiwhDph83XaGc0o0/edit?usp=sharing"",""งบพรบ!AH87"")"),0)</f>
        <v>0</v>
      </c>
      <c r="F87" s="77">
        <f ca="1">IFERROR(__xludf.DUMMYFUNCTION("IMPORTRANGE(""https://docs.google.com/spreadsheets/d/1MeEWN-I1oV_STSDYn1IFDPWt_1FKiwhDph83XaGc0o0/edit?usp=sharing"",""งบพรบ!AI87"")"),0)</f>
        <v>0</v>
      </c>
      <c r="G87" s="77">
        <f ca="1">IFERROR(__xludf.DUMMYFUNCTION("IMPORTRANGE(""https://docs.google.com/spreadsheets/d/1MeEWN-I1oV_STSDYn1IFDPWt_1FKiwhDph83XaGc0o0/edit?usp=sharing"",""งบพรบ!AJ87"")"),0)</f>
        <v>0</v>
      </c>
      <c r="H87" s="77">
        <f ca="1">IFERROR(__xludf.DUMMYFUNCTION("IMPORTRANGE(""https://docs.google.com/spreadsheets/d/1MeEWN-I1oV_STSDYn1IFDPWt_1FKiwhDph83XaGc0o0/edit?usp=sharing"",""งบพรบ!AL87"")"),0)</f>
        <v>0</v>
      </c>
      <c r="I87" s="77">
        <f ca="1">IFERROR(__xludf.DUMMYFUNCTION("IMPORTRANGE(""https://docs.google.com/spreadsheets/d/1MeEWN-I1oV_STSDYn1IFDPWt_1FKiwhDph83XaGc0o0/edit?usp=sharing"",""งบพรบ!AM87"")"),0)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IFERROR(__xludf.DUMMYFUNCTION("IMPORTRANGE(""https://docs.google.com/spreadsheets/d/1MeEWN-I1oV_STSDYn1IFDPWt_1FKiwhDph83XaGc0o0/edit?usp=sharing"",""งบพรบ!AN87"")"),0)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IFERROR(__xludf.DUMMYFUNCTION("IMPORTRANGE(""https://docs.google.com/spreadsheets/d/1MeEWN-I1oV_STSDYn1IFDPWt_1FKiwhDph83XaGc0o0/edit?usp=sharing"",""งบพรบ!AO87"")"),0)</f>
        <v>0</v>
      </c>
      <c r="P87" s="80">
        <f t="shared" ca="1" si="29"/>
        <v>0</v>
      </c>
      <c r="Q87" s="79">
        <f t="shared" ca="1" si="8"/>
        <v>0</v>
      </c>
      <c r="R87" s="81">
        <f t="shared" ca="1" si="30"/>
        <v>0</v>
      </c>
      <c r="S87" s="81">
        <f t="shared" ca="1" si="24"/>
        <v>0</v>
      </c>
      <c r="T87" s="81">
        <f t="shared" ca="1" si="48"/>
        <v>0</v>
      </c>
      <c r="U87" s="82">
        <f t="shared" ca="1" si="25"/>
        <v>0</v>
      </c>
      <c r="V87" s="81">
        <f t="shared" ca="1" si="49"/>
        <v>0</v>
      </c>
      <c r="W87" s="82">
        <f t="shared" ca="1" si="26"/>
        <v>0</v>
      </c>
      <c r="X87" s="77">
        <f ca="1">IFERROR(__xludf.DUMMYFUNCTION("IMPORTRANGE(""https://docs.google.com/spreadsheets/d/16cywr71Fj4fA5OGRHsZh30ZG2gwJhMAQv69oVBzYHv0/edit?usp=sharing"",""สตูล!I78"")"),0)</f>
        <v>0</v>
      </c>
      <c r="Y87" s="77">
        <f ca="1">IFERROR(__xludf.DUMMYFUNCTION("IMPORTRANGE(""https://docs.google.com/spreadsheets/d/16cywr71Fj4fA5OGRHsZh30ZG2gwJhMAQv69oVBzYHv0/edit?usp=sharing"",""สตูล!I79"")"),0)</f>
        <v>0</v>
      </c>
      <c r="Z87" s="81">
        <f ca="1">IFERROR(__xludf.DUMMYFUNCTION("IMPORTRANGE(""https://docs.google.com/spreadsheets/d/16cywr71Fj4fA5OGRHsZh30ZG2gwJhMAQv69oVBzYHv0/edit?usp=sharing"",""สตูล!J78"")"),0)</f>
        <v>0</v>
      </c>
      <c r="AA87" s="81">
        <f ca="1">IFERROR(__xludf.DUMMYFUNCTION("IMPORTRANGE(""https://docs.google.com/spreadsheets/d/16cywr71Fj4fA5OGRHsZh30ZG2gwJhMAQv69oVBzYHv0/edit?usp=sharing"",""สตูล!J79"")"),0)</f>
        <v>0</v>
      </c>
      <c r="AB87" s="77">
        <f ca="1">IFERROR(__xludf.DUMMYFUNCTION("IMPORTRANGE(""https://docs.google.com/spreadsheets/d/16cywr71Fj4fA5OGRHsZh30ZG2gwJhMAQv69oVBzYHv0/edit?usp=sharing"",""สตูล!I80"")"),0)</f>
        <v>0</v>
      </c>
      <c r="AC87" s="77">
        <f ca="1">IFERROR(__xludf.DUMMYFUNCTION("IMPORTRANGE(""https://docs.google.com/spreadsheets/d/16cywr71Fj4fA5OGRHsZh30ZG2gwJhMAQv69oVBzYHv0/edit?usp=sharing"",""สตูล!I81"")"),0)</f>
        <v>0</v>
      </c>
      <c r="AD87" s="81">
        <f ca="1">IFERROR(__xludf.DUMMYFUNCTION("IMPORTRANGE(""https://docs.google.com/spreadsheets/d/16cywr71Fj4fA5OGRHsZh30ZG2gwJhMAQv69oVBzYHv0/edit?usp=sharing"",""สตูล!J80"")"),0)</f>
        <v>0</v>
      </c>
      <c r="AE87" s="81">
        <f ca="1">IFERROR(__xludf.DUMMYFUNCTION("IMPORTRANGE(""https://docs.google.com/spreadsheets/d/16cywr71Fj4fA5OGRHsZh30ZG2gwJhMAQv69oVBzYHv0/edit?usp=sharing"",""สตูล!J81"")"),0)</f>
        <v>0</v>
      </c>
      <c r="AF87" s="77">
        <f ca="1">IFERROR(__xludf.DUMMYFUNCTION("IMPORTRANGE(""https://docs.google.com/spreadsheets/d/16cywr71Fj4fA5OGRHsZh30ZG2gwJhMAQv69oVBzYHv0/edit?usp=sharing"",""สตูล!I82"")"),0)</f>
        <v>0</v>
      </c>
      <c r="AG87" s="77">
        <f ca="1">IFERROR(__xludf.DUMMYFUNCTION("IMPORTRANGE(""https://docs.google.com/spreadsheets/d/16cywr71Fj4fA5OGRHsZh30ZG2gwJhMAQv69oVBzYHv0/edit?usp=sharing"",""สตูล!I83"")"),0)</f>
        <v>0</v>
      </c>
      <c r="AH87" s="81">
        <f ca="1">IFERROR(__xludf.DUMMYFUNCTION("IMPORTRANGE(""https://docs.google.com/spreadsheets/d/16cywr71Fj4fA5OGRHsZh30ZG2gwJhMAQv69oVBzYHv0/edit?usp=sharing"",""สตูล!J82"")"),0)</f>
        <v>0</v>
      </c>
      <c r="AI87" s="81">
        <f ca="1">IFERROR(__xludf.DUMMYFUNCTION("IMPORTRANGE(""https://docs.google.com/spreadsheets/d/16cywr71Fj4fA5OGRHsZh30ZG2gwJhMAQv69oVBzYHv0/edit?usp=sharing"",""สตูล!J83"")"),0)</f>
        <v>0</v>
      </c>
      <c r="AJ87" s="77">
        <f ca="1">IFERROR(__xludf.DUMMYFUNCTION("IMPORTRANGE(""https://docs.google.com/spreadsheets/d/16cywr71Fj4fA5OGRHsZh30ZG2gwJhMAQv69oVBzYHv0/edit?usp=sharing"",""สตูล!I84"")"),0)</f>
        <v>0</v>
      </c>
      <c r="AK87" s="81">
        <f ca="1">IFERROR(__xludf.DUMMYFUNCTION("IMPORTRANGE(""https://docs.google.com/spreadsheets/d/16cywr71Fj4fA5OGRHsZh30ZG2gwJhMAQv69oVBzYHv0/edit?usp=sharing"",""สตูล!J84"")"),0)</f>
        <v>0</v>
      </c>
      <c r="AL87" s="79">
        <f t="shared" ca="1" si="27"/>
        <v>0</v>
      </c>
    </row>
    <row r="88" spans="1:38" ht="24" customHeight="1" x14ac:dyDescent="0.2">
      <c r="A88" s="84">
        <v>14</v>
      </c>
      <c r="B88" s="85" t="s">
        <v>110</v>
      </c>
      <c r="C88" s="86">
        <f t="shared" ca="1" si="0"/>
        <v>384000</v>
      </c>
      <c r="D88" s="87">
        <f t="shared" ca="1" si="47"/>
        <v>384000</v>
      </c>
      <c r="E88" s="88">
        <f ca="1">IFERROR(__xludf.DUMMYFUNCTION("IMPORTRANGE(""https://docs.google.com/spreadsheets/d/1MeEWN-I1oV_STSDYn1IFDPWt_1FKiwhDph83XaGc0o0/edit?usp=sharing"",""งบพรบ!AH88"")"),0)</f>
        <v>0</v>
      </c>
      <c r="F88" s="88">
        <f ca="1">IFERROR(__xludf.DUMMYFUNCTION("IMPORTRANGE(""https://docs.google.com/spreadsheets/d/1MeEWN-I1oV_STSDYn1IFDPWt_1FKiwhDph83XaGc0o0/edit?usp=sharing"",""งบพรบ!AI88"")"),384000)</f>
        <v>384000</v>
      </c>
      <c r="G88" s="88">
        <f ca="1">IFERROR(__xludf.DUMMYFUNCTION("IMPORTRANGE(""https://docs.google.com/spreadsheets/d/1MeEWN-I1oV_STSDYn1IFDPWt_1FKiwhDph83XaGc0o0/edit?usp=sharing"",""งบพรบ!AJ88"")"),0)</f>
        <v>0</v>
      </c>
      <c r="H88" s="88">
        <f ca="1">IFERROR(__xludf.DUMMYFUNCTION("IMPORTRANGE(""https://docs.google.com/spreadsheets/d/1MeEWN-I1oV_STSDYn1IFDPWt_1FKiwhDph83XaGc0o0/edit?usp=sharing"",""งบพรบ!AL88"")"),409000)</f>
        <v>409000</v>
      </c>
      <c r="I88" s="88">
        <f ca="1">IFERROR(__xludf.DUMMYFUNCTION("IMPORTRANGE(""https://docs.google.com/spreadsheets/d/1MeEWN-I1oV_STSDYn1IFDPWt_1FKiwhDph83XaGc0o0/edit?usp=sharing"",""งบพรบ!AM88"")"),0)</f>
        <v>0</v>
      </c>
      <c r="J88" s="88">
        <f t="shared" ca="1" si="3"/>
        <v>373899.76</v>
      </c>
      <c r="K88" s="89">
        <f t="shared" ca="1" si="4"/>
        <v>97.369729166666673</v>
      </c>
      <c r="L88" s="88">
        <f ca="1">IFERROR(__xludf.DUMMYFUNCTION("IMPORTRANGE(""https://docs.google.com/spreadsheets/d/1MeEWN-I1oV_STSDYn1IFDPWt_1FKiwhDph83XaGc0o0/edit?usp=sharing"",""งบพรบ!AN88"")"),373899.76)</f>
        <v>373899.76</v>
      </c>
      <c r="M88" s="90">
        <f t="shared" ca="1" si="5"/>
        <v>97.369729166666673</v>
      </c>
      <c r="N88" s="90">
        <f t="shared" ca="1" si="6"/>
        <v>91.418034229828848</v>
      </c>
      <c r="O88" s="91">
        <f ca="1">IFERROR(__xludf.DUMMYFUNCTION("IMPORTRANGE(""https://docs.google.com/spreadsheets/d/1MeEWN-I1oV_STSDYn1IFDPWt_1FKiwhDph83XaGc0o0/edit?usp=sharing"",""งบพรบ!AO88"")"),0)</f>
        <v>0</v>
      </c>
      <c r="P88" s="91">
        <f t="shared" ca="1" si="29"/>
        <v>0</v>
      </c>
      <c r="Q88" s="90">
        <f t="shared" ca="1" si="8"/>
        <v>0</v>
      </c>
      <c r="R88" s="92">
        <f t="shared" ca="1" si="30"/>
        <v>1</v>
      </c>
      <c r="S88" s="92">
        <f t="shared" ca="1" si="24"/>
        <v>30</v>
      </c>
      <c r="T88" s="92">
        <f t="shared" ca="1" si="48"/>
        <v>1</v>
      </c>
      <c r="U88" s="93">
        <f t="shared" ca="1" si="25"/>
        <v>100</v>
      </c>
      <c r="V88" s="92">
        <f t="shared" ca="1" si="49"/>
        <v>30</v>
      </c>
      <c r="W88" s="93">
        <f t="shared" ca="1" si="26"/>
        <v>100</v>
      </c>
      <c r="X88" s="88">
        <f ca="1">IFERROR(__xludf.DUMMYFUNCTION("IMPORTRANGE(""https://docs.google.com/spreadsheets/d/1vO9Sws6kMtrVtyvrAJptINXjK8TFBoX9xLYOVK_C8bQ/edit?usp=sharing"",""สุราษฎร์ธานี!I78"")"),1)</f>
        <v>1</v>
      </c>
      <c r="Y88" s="88">
        <f ca="1">IFERROR(__xludf.DUMMYFUNCTION("IMPORTRANGE(""https://docs.google.com/spreadsheets/d/1vO9Sws6kMtrVtyvrAJptINXjK8TFBoX9xLYOVK_C8bQ/edit?usp=sharing"",""สุราษฎร์ธานี!I79"")"),30)</f>
        <v>30</v>
      </c>
      <c r="Z88" s="92">
        <f ca="1">IFERROR(__xludf.DUMMYFUNCTION("IMPORTRANGE(""https://docs.google.com/spreadsheets/d/1vO9Sws6kMtrVtyvrAJptINXjK8TFBoX9xLYOVK_C8bQ/edit?usp=sharing"",""สุราษฎร์ธานี!J78"")"),1)</f>
        <v>1</v>
      </c>
      <c r="AA88" s="92">
        <f ca="1">IFERROR(__xludf.DUMMYFUNCTION("IMPORTRANGE(""https://docs.google.com/spreadsheets/d/1vO9Sws6kMtrVtyvrAJptINXjK8TFBoX9xLYOVK_C8bQ/edit?usp=sharing"",""สุราษฎร์ธานี!J79"")"),30)</f>
        <v>30</v>
      </c>
      <c r="AB88" s="88">
        <f ca="1">IFERROR(__xludf.DUMMYFUNCTION("IMPORTRANGE(""https://docs.google.com/spreadsheets/d/1vO9Sws6kMtrVtyvrAJptINXjK8TFBoX9xLYOVK_C8bQ/edit?usp=sharing"",""สุราษฎร์ธานี!I80"")"),0)</f>
        <v>0</v>
      </c>
      <c r="AC88" s="88">
        <f ca="1">IFERROR(__xludf.DUMMYFUNCTION("IMPORTRANGE(""https://docs.google.com/spreadsheets/d/1vO9Sws6kMtrVtyvrAJptINXjK8TFBoX9xLYOVK_C8bQ/edit?usp=sharing"",""สุราษฎร์ธานี!I81"")"),0)</f>
        <v>0</v>
      </c>
      <c r="AD88" s="92">
        <f ca="1">IFERROR(__xludf.DUMMYFUNCTION("IMPORTRANGE(""https://docs.google.com/spreadsheets/d/1vO9Sws6kMtrVtyvrAJptINXjK8TFBoX9xLYOVK_C8bQ/edit?usp=sharing"",""สุราษฎร์ธานี!J80"")"),0)</f>
        <v>0</v>
      </c>
      <c r="AE88" s="92">
        <f ca="1">IFERROR(__xludf.DUMMYFUNCTION("IMPORTRANGE(""https://docs.google.com/spreadsheets/d/1vO9Sws6kMtrVtyvrAJptINXjK8TFBoX9xLYOVK_C8bQ/edit?usp=sharing"",""สุราษฎร์ธานี!J81"")"),0)</f>
        <v>0</v>
      </c>
      <c r="AF88" s="88">
        <f ca="1">IFERROR(__xludf.DUMMYFUNCTION("IMPORTRANGE(""https://docs.google.com/spreadsheets/d/1vO9Sws6kMtrVtyvrAJptINXjK8TFBoX9xLYOVK_C8bQ/edit?usp=sharing"",""สุราษฎร์ธานี!I82"")"),0)</f>
        <v>0</v>
      </c>
      <c r="AG88" s="88">
        <f ca="1">IFERROR(__xludf.DUMMYFUNCTION("IMPORTRANGE(""https://docs.google.com/spreadsheets/d/1vO9Sws6kMtrVtyvrAJptINXjK8TFBoX9xLYOVK_C8bQ/edit?usp=sharing"",""สุราษฎร์ธานี!I83"")"),0)</f>
        <v>0</v>
      </c>
      <c r="AH88" s="92">
        <f ca="1">IFERROR(__xludf.DUMMYFUNCTION("IMPORTRANGE(""https://docs.google.com/spreadsheets/d/1vO9Sws6kMtrVtyvrAJptINXjK8TFBoX9xLYOVK_C8bQ/edit?usp=sharing"",""สุราษฎร์ธานี!J82"")"),0)</f>
        <v>0</v>
      </c>
      <c r="AI88" s="92">
        <f ca="1">IFERROR(__xludf.DUMMYFUNCTION("IMPORTRANGE(""https://docs.google.com/spreadsheets/d/1vO9Sws6kMtrVtyvrAJptINXjK8TFBoX9xLYOVK_C8bQ/edit?usp=sharing"",""สุราษฎร์ธานี!J83"")"),0)</f>
        <v>0</v>
      </c>
      <c r="AJ88" s="88">
        <f ca="1">IFERROR(__xludf.DUMMYFUNCTION("IMPORTRANGE(""https://docs.google.com/spreadsheets/d/1vO9Sws6kMtrVtyvrAJptINXjK8TFBoX9xLYOVK_C8bQ/edit?usp=sharing"",""สุราษฎร์ธานี!I84"")"),1)</f>
        <v>1</v>
      </c>
      <c r="AK88" s="92">
        <f ca="1">IFERROR(__xludf.DUMMYFUNCTION("IMPORTRANGE(""https://docs.google.com/spreadsheets/d/1vO9Sws6kMtrVtyvrAJptINXjK8TFBoX9xLYOVK_C8bQ/edit?usp=sharing"",""สุราษฎร์ธานี!J84"")"),1)</f>
        <v>1</v>
      </c>
      <c r="AL88" s="90">
        <f t="shared" ca="1" si="27"/>
        <v>100</v>
      </c>
    </row>
    <row r="89" spans="1:38" ht="21" hidden="1" customHeight="1" x14ac:dyDescent="0.2">
      <c r="A89" s="369" t="s">
        <v>111</v>
      </c>
      <c r="B89" s="370"/>
      <c r="C89" s="102">
        <f t="shared" ca="1" si="0"/>
        <v>4776600</v>
      </c>
      <c r="D89" s="41">
        <f t="shared" ref="D89:I89" ca="1" si="50">+D90+D91+D92+D93+D94+D95+D96+D97+D98+D99+D100+D101+D102+D103</f>
        <v>4776600</v>
      </c>
      <c r="E89" s="41">
        <f t="shared" ca="1" si="50"/>
        <v>3723800</v>
      </c>
      <c r="F89" s="41">
        <f t="shared" ca="1" si="50"/>
        <v>1052800</v>
      </c>
      <c r="G89" s="41">
        <f t="shared" ca="1" si="50"/>
        <v>0</v>
      </c>
      <c r="H89" s="41">
        <f t="shared" ca="1" si="50"/>
        <v>4818720</v>
      </c>
      <c r="I89" s="41">
        <f t="shared" ca="1" si="50"/>
        <v>0</v>
      </c>
      <c r="J89" s="41">
        <f t="shared" ca="1" si="3"/>
        <v>3995081.83</v>
      </c>
      <c r="K89" s="43">
        <f t="shared" ca="1" si="4"/>
        <v>83.638609680525903</v>
      </c>
      <c r="L89" s="41">
        <f ca="1">+L90+L91+L92+L93+L94+L95+L96+L97+L98+L99+L100+L101+L102+L103</f>
        <v>3995081.83</v>
      </c>
      <c r="M89" s="44">
        <f t="shared" ca="1" si="5"/>
        <v>83.638609680525903</v>
      </c>
      <c r="N89" s="44">
        <f t="shared" ca="1" si="6"/>
        <v>82.907532083208821</v>
      </c>
      <c r="O89" s="45">
        <f ca="1">+O90+O91+O92+O93+O94+O95+O96+O97+O98+O99+O100+O101+O102+O103</f>
        <v>0</v>
      </c>
      <c r="P89" s="45">
        <f t="shared" ca="1" si="29"/>
        <v>0</v>
      </c>
      <c r="Q89" s="44">
        <f t="shared" ca="1" si="8"/>
        <v>0</v>
      </c>
      <c r="R89" s="41"/>
      <c r="S89" s="41"/>
      <c r="T89" s="41"/>
      <c r="U89" s="44"/>
      <c r="V89" s="41"/>
      <c r="W89" s="44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4"/>
    </row>
    <row r="90" spans="1:3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1">+E90+F90</f>
        <v>0</v>
      </c>
      <c r="E90" s="67">
        <f ca="1">IFERROR(__xludf.DUMMYFUNCTION("IMPORTRANGE(""https://docs.google.com/spreadsheets/d/1MeEWN-I1oV_STSDYn1IFDPWt_1FKiwhDph83XaGc0o0/edit?usp=sharing"",""งบพรบ!AH90"")"),0)</f>
        <v>0</v>
      </c>
      <c r="F90" s="67">
        <f ca="1">IFERROR(__xludf.DUMMYFUNCTION("IMPORTRANGE(""https://docs.google.com/spreadsheets/d/1MeEWN-I1oV_STSDYn1IFDPWt_1FKiwhDph83XaGc0o0/edit?usp=sharing"",""งบพรบ!AI90"")"),0)</f>
        <v>0</v>
      </c>
      <c r="G90" s="67">
        <f ca="1">IFERROR(__xludf.DUMMYFUNCTION("IMPORTRANGE(""https://docs.google.com/spreadsheets/d/1MeEWN-I1oV_STSDYn1IFDPWt_1FKiwhDph83XaGc0o0/edit?usp=sharing"",""งบพรบ!AJ90"")"),0)</f>
        <v>0</v>
      </c>
      <c r="H90" s="67">
        <f ca="1">IFERROR(__xludf.DUMMYFUNCTION("IMPORTRANGE(""https://docs.google.com/spreadsheets/d/1MeEWN-I1oV_STSDYn1IFDPWt_1FKiwhDph83XaGc0o0/edit?usp=sharing"",""งบพรบ!AL90"")"),0)</f>
        <v>0</v>
      </c>
      <c r="I90" s="67">
        <f ca="1">IFERROR(__xludf.DUMMYFUNCTION("IMPORTRANGE(""https://docs.google.com/spreadsheets/d/1MeEWN-I1oV_STSDYn1IFDPWt_1FKiwhDph83XaGc0o0/edit?usp=sharing"",""งบพรบ!AM90"")"),0)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IFERROR(__xludf.DUMMYFUNCTION("IMPORTRANGE(""https://docs.google.com/spreadsheets/d/1MeEWN-I1oV_STSDYn1IFDPWt_1FKiwhDph83XaGc0o0/edit?usp=sharing"",""งบพรบ!AN90"")"),0)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IFERROR(__xludf.DUMMYFUNCTION("IMPORTRANGE(""https://docs.google.com/spreadsheets/d/1MeEWN-I1oV_STSDYn1IFDPWt_1FKiwhDph83XaGc0o0/edit?usp=sharing"",""งบพรบ!AO90"")"),0)</f>
        <v>0</v>
      </c>
      <c r="P90" s="71">
        <f t="shared" ca="1" si="29"/>
        <v>0</v>
      </c>
      <c r="Q90" s="70">
        <f t="shared" ca="1" si="8"/>
        <v>0</v>
      </c>
      <c r="R90" s="67"/>
      <c r="S90" s="67"/>
      <c r="T90" s="67"/>
      <c r="U90" s="70"/>
      <c r="V90" s="67"/>
      <c r="W90" s="70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70"/>
    </row>
    <row r="91" spans="1:3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1"/>
        <v>0</v>
      </c>
      <c r="E91" s="77">
        <f ca="1">IFERROR(__xludf.DUMMYFUNCTION("IMPORTRANGE(""https://docs.google.com/spreadsheets/d/1MeEWN-I1oV_STSDYn1IFDPWt_1FKiwhDph83XaGc0o0/edit?usp=sharing"",""งบพรบ!AH91"")"),0)</f>
        <v>0</v>
      </c>
      <c r="F91" s="77">
        <f ca="1">IFERROR(__xludf.DUMMYFUNCTION("IMPORTRANGE(""https://docs.google.com/spreadsheets/d/1MeEWN-I1oV_STSDYn1IFDPWt_1FKiwhDph83XaGc0o0/edit?usp=sharing"",""งบพรบ!AI91"")"),0)</f>
        <v>0</v>
      </c>
      <c r="G91" s="77">
        <f ca="1">IFERROR(__xludf.DUMMYFUNCTION("IMPORTRANGE(""https://docs.google.com/spreadsheets/d/1MeEWN-I1oV_STSDYn1IFDPWt_1FKiwhDph83XaGc0o0/edit?usp=sharing"",""งบพรบ!AJ91"")"),0)</f>
        <v>0</v>
      </c>
      <c r="H91" s="77">
        <f ca="1">IFERROR(__xludf.DUMMYFUNCTION("IMPORTRANGE(""https://docs.google.com/spreadsheets/d/1MeEWN-I1oV_STSDYn1IFDPWt_1FKiwhDph83XaGc0o0/edit?usp=sharing"",""งบพรบ!AL91"")"),0)</f>
        <v>0</v>
      </c>
      <c r="I91" s="77">
        <f ca="1">IFERROR(__xludf.DUMMYFUNCTION("IMPORTRANGE(""https://docs.google.com/spreadsheets/d/1MeEWN-I1oV_STSDYn1IFDPWt_1FKiwhDph83XaGc0o0/edit?usp=sharing"",""งบพรบ!AM91"")"),0)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IFERROR(__xludf.DUMMYFUNCTION("IMPORTRANGE(""https://docs.google.com/spreadsheets/d/1MeEWN-I1oV_STSDYn1IFDPWt_1FKiwhDph83XaGc0o0/edit?usp=sharing"",""งบพรบ!AN91"")"),0)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IFERROR(__xludf.DUMMYFUNCTION("IMPORTRANGE(""https://docs.google.com/spreadsheets/d/1MeEWN-I1oV_STSDYn1IFDPWt_1FKiwhDph83XaGc0o0/edit?usp=sharing"",""งบพรบ!AO91"")"),0)</f>
        <v>0</v>
      </c>
      <c r="P91" s="80">
        <f t="shared" ca="1" si="29"/>
        <v>0</v>
      </c>
      <c r="Q91" s="79">
        <f t="shared" ca="1" si="8"/>
        <v>0</v>
      </c>
      <c r="R91" s="77"/>
      <c r="S91" s="77"/>
      <c r="T91" s="77"/>
      <c r="U91" s="79"/>
      <c r="V91" s="77"/>
      <c r="W91" s="79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9"/>
    </row>
    <row r="92" spans="1:38" ht="24" hidden="1" customHeight="1" x14ac:dyDescent="0.2">
      <c r="A92" s="106">
        <v>3</v>
      </c>
      <c r="B92" s="107" t="s">
        <v>114</v>
      </c>
      <c r="C92" s="75">
        <f t="shared" ca="1" si="0"/>
        <v>300000</v>
      </c>
      <c r="D92" s="76">
        <f t="shared" ca="1" si="51"/>
        <v>300000</v>
      </c>
      <c r="E92" s="77">
        <f ca="1">IFERROR(__xludf.DUMMYFUNCTION("IMPORTRANGE(""https://docs.google.com/spreadsheets/d/1MeEWN-I1oV_STSDYn1IFDPWt_1FKiwhDph83XaGc0o0/edit?usp=sharing"",""งบพรบ!AH92"")"),300000)</f>
        <v>300000</v>
      </c>
      <c r="F92" s="77">
        <f ca="1">IFERROR(__xludf.DUMMYFUNCTION("IMPORTRANGE(""https://docs.google.com/spreadsheets/d/1MeEWN-I1oV_STSDYn1IFDPWt_1FKiwhDph83XaGc0o0/edit?usp=sharing"",""งบพรบ!AI92"")"),0)</f>
        <v>0</v>
      </c>
      <c r="G92" s="77">
        <f ca="1">IFERROR(__xludf.DUMMYFUNCTION("IMPORTRANGE(""https://docs.google.com/spreadsheets/d/1MeEWN-I1oV_STSDYn1IFDPWt_1FKiwhDph83XaGc0o0/edit?usp=sharing"",""งบพรบ!AJ92"")"),0)</f>
        <v>0</v>
      </c>
      <c r="H92" s="77">
        <f ca="1">IFERROR(__xludf.DUMMYFUNCTION("IMPORTRANGE(""https://docs.google.com/spreadsheets/d/1MeEWN-I1oV_STSDYn1IFDPWt_1FKiwhDph83XaGc0o0/edit?usp=sharing"",""งบพรบ!AL92"")"),460000)</f>
        <v>460000</v>
      </c>
      <c r="I92" s="77">
        <f ca="1">IFERROR(__xludf.DUMMYFUNCTION("IMPORTRANGE(""https://docs.google.com/spreadsheets/d/1MeEWN-I1oV_STSDYn1IFDPWt_1FKiwhDph83XaGc0o0/edit?usp=sharing"",""งบพรบ!AM92"")"),0)</f>
        <v>0</v>
      </c>
      <c r="J92" s="77">
        <f t="shared" ca="1" si="3"/>
        <v>438074.5</v>
      </c>
      <c r="K92" s="78">
        <f t="shared" ca="1" si="4"/>
        <v>146.02483333333333</v>
      </c>
      <c r="L92" s="77">
        <f ca="1">IFERROR(__xludf.DUMMYFUNCTION("IMPORTRANGE(""https://docs.google.com/spreadsheets/d/1MeEWN-I1oV_STSDYn1IFDPWt_1FKiwhDph83XaGc0o0/edit?usp=sharing"",""งบพรบ!AN92"")"),438074.5)</f>
        <v>438074.5</v>
      </c>
      <c r="M92" s="79">
        <f t="shared" ca="1" si="5"/>
        <v>146.02483333333333</v>
      </c>
      <c r="N92" s="79">
        <f t="shared" ca="1" si="6"/>
        <v>95.233586956521734</v>
      </c>
      <c r="O92" s="80">
        <f ca="1">IFERROR(__xludf.DUMMYFUNCTION("IMPORTRANGE(""https://docs.google.com/spreadsheets/d/1MeEWN-I1oV_STSDYn1IFDPWt_1FKiwhDph83XaGc0o0/edit?usp=sharing"",""งบพรบ!AO92"")"),0)</f>
        <v>0</v>
      </c>
      <c r="P92" s="80">
        <f t="shared" ca="1" si="29"/>
        <v>0</v>
      </c>
      <c r="Q92" s="79">
        <f t="shared" ca="1" si="8"/>
        <v>0</v>
      </c>
      <c r="R92" s="77"/>
      <c r="S92" s="77"/>
      <c r="T92" s="77"/>
      <c r="U92" s="79"/>
      <c r="V92" s="77"/>
      <c r="W92" s="79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9"/>
    </row>
    <row r="93" spans="1:38" ht="24" hidden="1" customHeight="1" x14ac:dyDescent="0.2">
      <c r="A93" s="106">
        <f t="shared" ref="A93:A103" si="52">+A92+1</f>
        <v>4</v>
      </c>
      <c r="B93" s="107" t="s">
        <v>115</v>
      </c>
      <c r="C93" s="75">
        <f t="shared" ca="1" si="0"/>
        <v>381200</v>
      </c>
      <c r="D93" s="76">
        <f t="shared" ca="1" si="51"/>
        <v>381200</v>
      </c>
      <c r="E93" s="77">
        <f ca="1">IFERROR(__xludf.DUMMYFUNCTION("IMPORTRANGE(""https://docs.google.com/spreadsheets/d/1MeEWN-I1oV_STSDYn1IFDPWt_1FKiwhDph83XaGc0o0/edit?usp=sharing"",""งบพรบ!AH93"")"),381200)</f>
        <v>381200</v>
      </c>
      <c r="F93" s="77">
        <f ca="1">IFERROR(__xludf.DUMMYFUNCTION("IMPORTRANGE(""https://docs.google.com/spreadsheets/d/1MeEWN-I1oV_STSDYn1IFDPWt_1FKiwhDph83XaGc0o0/edit?usp=sharing"",""งบพรบ!AI93"")"),0)</f>
        <v>0</v>
      </c>
      <c r="G93" s="77">
        <f ca="1">IFERROR(__xludf.DUMMYFUNCTION("IMPORTRANGE(""https://docs.google.com/spreadsheets/d/1MeEWN-I1oV_STSDYn1IFDPWt_1FKiwhDph83XaGc0o0/edit?usp=sharing"",""งบพรบ!AJ93"")"),0)</f>
        <v>0</v>
      </c>
      <c r="H93" s="77">
        <f ca="1">IFERROR(__xludf.DUMMYFUNCTION("IMPORTRANGE(""https://docs.google.com/spreadsheets/d/1MeEWN-I1oV_STSDYn1IFDPWt_1FKiwhDph83XaGc0o0/edit?usp=sharing"",""งบพรบ!AL93"")"),381200)</f>
        <v>381200</v>
      </c>
      <c r="I93" s="77">
        <f ca="1">IFERROR(__xludf.DUMMYFUNCTION("IMPORTRANGE(""https://docs.google.com/spreadsheets/d/1MeEWN-I1oV_STSDYn1IFDPWt_1FKiwhDph83XaGc0o0/edit?usp=sharing"",""งบพรบ!AM93"")"),0)</f>
        <v>0</v>
      </c>
      <c r="J93" s="77">
        <f t="shared" ca="1" si="3"/>
        <v>377946</v>
      </c>
      <c r="K93" s="78">
        <f t="shared" ca="1" si="4"/>
        <v>99.146379853095482</v>
      </c>
      <c r="L93" s="77">
        <f ca="1">IFERROR(__xludf.DUMMYFUNCTION("IMPORTRANGE(""https://docs.google.com/spreadsheets/d/1MeEWN-I1oV_STSDYn1IFDPWt_1FKiwhDph83XaGc0o0/edit?usp=sharing"",""งบพรบ!AN93"")"),377946)</f>
        <v>377946</v>
      </c>
      <c r="M93" s="79">
        <f t="shared" ca="1" si="5"/>
        <v>99.146379853095482</v>
      </c>
      <c r="N93" s="79">
        <f t="shared" ca="1" si="6"/>
        <v>99.146379853095482</v>
      </c>
      <c r="O93" s="80">
        <f ca="1">IFERROR(__xludf.DUMMYFUNCTION("IMPORTRANGE(""https://docs.google.com/spreadsheets/d/1MeEWN-I1oV_STSDYn1IFDPWt_1FKiwhDph83XaGc0o0/edit?usp=sharing"",""งบพรบ!AO93"")"),0)</f>
        <v>0</v>
      </c>
      <c r="P93" s="80">
        <f t="shared" ca="1" si="29"/>
        <v>0</v>
      </c>
      <c r="Q93" s="79">
        <f t="shared" ca="1" si="8"/>
        <v>0</v>
      </c>
      <c r="R93" s="77"/>
      <c r="S93" s="77"/>
      <c r="T93" s="77"/>
      <c r="U93" s="79"/>
      <c r="V93" s="77"/>
      <c r="W93" s="79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9"/>
    </row>
    <row r="94" spans="1:38" ht="24" hidden="1" customHeight="1" x14ac:dyDescent="0.2">
      <c r="A94" s="106">
        <f t="shared" si="52"/>
        <v>5</v>
      </c>
      <c r="B94" s="107" t="s">
        <v>116</v>
      </c>
      <c r="C94" s="75">
        <f t="shared" ca="1" si="0"/>
        <v>0</v>
      </c>
      <c r="D94" s="76">
        <f t="shared" ca="1" si="51"/>
        <v>0</v>
      </c>
      <c r="E94" s="77">
        <f ca="1">IFERROR(__xludf.DUMMYFUNCTION("IMPORTRANGE(""https://docs.google.com/spreadsheets/d/1MeEWN-I1oV_STSDYn1IFDPWt_1FKiwhDph83XaGc0o0/edit?usp=sharing"",""งบพรบ!AH94"")"),0)</f>
        <v>0</v>
      </c>
      <c r="F94" s="77">
        <f ca="1">IFERROR(__xludf.DUMMYFUNCTION("IMPORTRANGE(""https://docs.google.com/spreadsheets/d/1MeEWN-I1oV_STSDYn1IFDPWt_1FKiwhDph83XaGc0o0/edit?usp=sharing"",""งบพรบ!AI94"")"),0)</f>
        <v>0</v>
      </c>
      <c r="G94" s="77">
        <f ca="1">IFERROR(__xludf.DUMMYFUNCTION("IMPORTRANGE(""https://docs.google.com/spreadsheets/d/1MeEWN-I1oV_STSDYn1IFDPWt_1FKiwhDph83XaGc0o0/edit?usp=sharing"",""งบพรบ!AJ94"")"),0)</f>
        <v>0</v>
      </c>
      <c r="H94" s="77">
        <f ca="1">IFERROR(__xludf.DUMMYFUNCTION("IMPORTRANGE(""https://docs.google.com/spreadsheets/d/1MeEWN-I1oV_STSDYn1IFDPWt_1FKiwhDph83XaGc0o0/edit?usp=sharing"",""งบพรบ!AL94"")"),0)</f>
        <v>0</v>
      </c>
      <c r="I94" s="77">
        <f ca="1">IFERROR(__xludf.DUMMYFUNCTION("IMPORTRANGE(""https://docs.google.com/spreadsheets/d/1MeEWN-I1oV_STSDYn1IFDPWt_1FKiwhDph83XaGc0o0/edit?usp=sharing"",""งบพรบ!AM94"")"),0)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IFERROR(__xludf.DUMMYFUNCTION("IMPORTRANGE(""https://docs.google.com/spreadsheets/d/1MeEWN-I1oV_STSDYn1IFDPWt_1FKiwhDph83XaGc0o0/edit?usp=sharing"",""งบพรบ!AN94"")"),0)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IFERROR(__xludf.DUMMYFUNCTION("IMPORTRANGE(""https://docs.google.com/spreadsheets/d/1MeEWN-I1oV_STSDYn1IFDPWt_1FKiwhDph83XaGc0o0/edit?usp=sharing"",""งบพรบ!AO94"")"),0)</f>
        <v>0</v>
      </c>
      <c r="P94" s="80">
        <f t="shared" ca="1" si="29"/>
        <v>0</v>
      </c>
      <c r="Q94" s="79">
        <f t="shared" ca="1" si="8"/>
        <v>0</v>
      </c>
      <c r="R94" s="77"/>
      <c r="S94" s="77"/>
      <c r="T94" s="77"/>
      <c r="U94" s="79"/>
      <c r="V94" s="77"/>
      <c r="W94" s="79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9"/>
    </row>
    <row r="95" spans="1:38" ht="24" hidden="1" customHeight="1" x14ac:dyDescent="0.2">
      <c r="A95" s="106">
        <f t="shared" si="52"/>
        <v>6</v>
      </c>
      <c r="B95" s="107" t="s">
        <v>117</v>
      </c>
      <c r="C95" s="75">
        <f t="shared" ca="1" si="0"/>
        <v>0</v>
      </c>
      <c r="D95" s="76">
        <f t="shared" ca="1" si="51"/>
        <v>0</v>
      </c>
      <c r="E95" s="77">
        <f ca="1">IFERROR(__xludf.DUMMYFUNCTION("IMPORTRANGE(""https://docs.google.com/spreadsheets/d/1MeEWN-I1oV_STSDYn1IFDPWt_1FKiwhDph83XaGc0o0/edit?usp=sharing"",""งบพรบ!AH95"")"),0)</f>
        <v>0</v>
      </c>
      <c r="F95" s="77">
        <f ca="1">IFERROR(__xludf.DUMMYFUNCTION("IMPORTRANGE(""https://docs.google.com/spreadsheets/d/1MeEWN-I1oV_STSDYn1IFDPWt_1FKiwhDph83XaGc0o0/edit?usp=sharing"",""งบพรบ!AI95"")"),0)</f>
        <v>0</v>
      </c>
      <c r="G95" s="77">
        <f ca="1">IFERROR(__xludf.DUMMYFUNCTION("IMPORTRANGE(""https://docs.google.com/spreadsheets/d/1MeEWN-I1oV_STSDYn1IFDPWt_1FKiwhDph83XaGc0o0/edit?usp=sharing"",""งบพรบ!AJ95"")"),0)</f>
        <v>0</v>
      </c>
      <c r="H95" s="77">
        <f ca="1">IFERROR(__xludf.DUMMYFUNCTION("IMPORTRANGE(""https://docs.google.com/spreadsheets/d/1MeEWN-I1oV_STSDYn1IFDPWt_1FKiwhDph83XaGc0o0/edit?usp=sharing"",""งบพรบ!AL95"")"),0)</f>
        <v>0</v>
      </c>
      <c r="I95" s="77">
        <f ca="1">IFERROR(__xludf.DUMMYFUNCTION("IMPORTRANGE(""https://docs.google.com/spreadsheets/d/1MeEWN-I1oV_STSDYn1IFDPWt_1FKiwhDph83XaGc0o0/edit?usp=sharing"",""งบพรบ!AM95"")"),0)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IFERROR(__xludf.DUMMYFUNCTION("IMPORTRANGE(""https://docs.google.com/spreadsheets/d/1MeEWN-I1oV_STSDYn1IFDPWt_1FKiwhDph83XaGc0o0/edit?usp=sharing"",""งบพรบ!AN95"")"),0)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IFERROR(__xludf.DUMMYFUNCTION("IMPORTRANGE(""https://docs.google.com/spreadsheets/d/1MeEWN-I1oV_STSDYn1IFDPWt_1FKiwhDph83XaGc0o0/edit?usp=sharing"",""งบพรบ!AO95"")"),0)</f>
        <v>0</v>
      </c>
      <c r="P95" s="80">
        <f t="shared" ca="1" si="29"/>
        <v>0</v>
      </c>
      <c r="Q95" s="79">
        <f t="shared" ca="1" si="8"/>
        <v>0</v>
      </c>
      <c r="R95" s="77"/>
      <c r="S95" s="77"/>
      <c r="T95" s="77"/>
      <c r="U95" s="79"/>
      <c r="V95" s="77"/>
      <c r="W95" s="79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9"/>
    </row>
    <row r="96" spans="1:38" ht="24" hidden="1" customHeight="1" x14ac:dyDescent="0.2">
      <c r="A96" s="106">
        <f t="shared" si="52"/>
        <v>7</v>
      </c>
      <c r="B96" s="107" t="s">
        <v>118</v>
      </c>
      <c r="C96" s="75">
        <f t="shared" ca="1" si="0"/>
        <v>4095400</v>
      </c>
      <c r="D96" s="76">
        <f t="shared" ca="1" si="51"/>
        <v>4095400</v>
      </c>
      <c r="E96" s="77">
        <f ca="1">IFERROR(__xludf.DUMMYFUNCTION("IMPORTRANGE(""https://docs.google.com/spreadsheets/d/1MeEWN-I1oV_STSDYn1IFDPWt_1FKiwhDph83XaGc0o0/edit?usp=sharing"",""งบพรบ!AH96"")"),3042600)</f>
        <v>3042600</v>
      </c>
      <c r="F96" s="77">
        <f ca="1">IFERROR(__xludf.DUMMYFUNCTION("IMPORTRANGE(""https://docs.google.com/spreadsheets/d/1MeEWN-I1oV_STSDYn1IFDPWt_1FKiwhDph83XaGc0o0/edit?usp=sharing"",""งบพรบ!AI96"")"),1052800)</f>
        <v>1052800</v>
      </c>
      <c r="G96" s="77">
        <f ca="1">IFERROR(__xludf.DUMMYFUNCTION("IMPORTRANGE(""https://docs.google.com/spreadsheets/d/1MeEWN-I1oV_STSDYn1IFDPWt_1FKiwhDph83XaGc0o0/edit?usp=sharing"",""งบพรบ!AJ96"")"),0)</f>
        <v>0</v>
      </c>
      <c r="H96" s="77">
        <f ca="1">IFERROR(__xludf.DUMMYFUNCTION("IMPORTRANGE(""https://docs.google.com/spreadsheets/d/1MeEWN-I1oV_STSDYn1IFDPWt_1FKiwhDph83XaGc0o0/edit?usp=sharing"",""งบพรบ!AL96"")"),3977520)</f>
        <v>3977520</v>
      </c>
      <c r="I96" s="77">
        <f ca="1">IFERROR(__xludf.DUMMYFUNCTION("IMPORTRANGE(""https://docs.google.com/spreadsheets/d/1MeEWN-I1oV_STSDYn1IFDPWt_1FKiwhDph83XaGc0o0/edit?usp=sharing"",""งบพรบ!AM96"")"),0)</f>
        <v>0</v>
      </c>
      <c r="J96" s="77">
        <f t="shared" ca="1" si="3"/>
        <v>3179061.33</v>
      </c>
      <c r="K96" s="78">
        <f t="shared" ca="1" si="4"/>
        <v>77.625172876886268</v>
      </c>
      <c r="L96" s="77">
        <f ca="1">IFERROR(__xludf.DUMMYFUNCTION("IMPORTRANGE(""https://docs.google.com/spreadsheets/d/1MeEWN-I1oV_STSDYn1IFDPWt_1FKiwhDph83XaGc0o0/edit?usp=sharing"",""งบพรบ!AN96"")"),3179061.33)</f>
        <v>3179061.33</v>
      </c>
      <c r="M96" s="79">
        <f t="shared" ca="1" si="5"/>
        <v>77.625172876886268</v>
      </c>
      <c r="N96" s="79">
        <f t="shared" ca="1" si="6"/>
        <v>79.925715772642249</v>
      </c>
      <c r="O96" s="80">
        <f ca="1">IFERROR(__xludf.DUMMYFUNCTION("IMPORTRANGE(""https://docs.google.com/spreadsheets/d/1MeEWN-I1oV_STSDYn1IFDPWt_1FKiwhDph83XaGc0o0/edit?usp=sharing"",""งบพรบ!AO96"")"),0)</f>
        <v>0</v>
      </c>
      <c r="P96" s="80">
        <f t="shared" ca="1" si="29"/>
        <v>0</v>
      </c>
      <c r="Q96" s="79">
        <f t="shared" ca="1" si="8"/>
        <v>0</v>
      </c>
      <c r="R96" s="77"/>
      <c r="S96" s="77"/>
      <c r="T96" s="77"/>
      <c r="U96" s="79"/>
      <c r="V96" s="77"/>
      <c r="W96" s="79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9"/>
    </row>
    <row r="97" spans="1:38" ht="24" hidden="1" customHeight="1" x14ac:dyDescent="0.2">
      <c r="A97" s="106">
        <f t="shared" si="52"/>
        <v>8</v>
      </c>
      <c r="B97" s="107" t="s">
        <v>119</v>
      </c>
      <c r="C97" s="75">
        <f t="shared" ca="1" si="0"/>
        <v>0</v>
      </c>
      <c r="D97" s="76">
        <f t="shared" ca="1" si="51"/>
        <v>0</v>
      </c>
      <c r="E97" s="77">
        <f ca="1">IFERROR(__xludf.DUMMYFUNCTION("IMPORTRANGE(""https://docs.google.com/spreadsheets/d/1MeEWN-I1oV_STSDYn1IFDPWt_1FKiwhDph83XaGc0o0/edit?usp=sharing"",""งบพรบ!AH97"")"),0)</f>
        <v>0</v>
      </c>
      <c r="F97" s="77">
        <f ca="1">IFERROR(__xludf.DUMMYFUNCTION("IMPORTRANGE(""https://docs.google.com/spreadsheets/d/1MeEWN-I1oV_STSDYn1IFDPWt_1FKiwhDph83XaGc0o0/edit?usp=sharing"",""งบพรบ!AI97"")"),0)</f>
        <v>0</v>
      </c>
      <c r="G97" s="77">
        <f ca="1">IFERROR(__xludf.DUMMYFUNCTION("IMPORTRANGE(""https://docs.google.com/spreadsheets/d/1MeEWN-I1oV_STSDYn1IFDPWt_1FKiwhDph83XaGc0o0/edit?usp=sharing"",""งบพรบ!AJ97"")"),0)</f>
        <v>0</v>
      </c>
      <c r="H97" s="77">
        <f ca="1">IFERROR(__xludf.DUMMYFUNCTION("IMPORTRANGE(""https://docs.google.com/spreadsheets/d/1MeEWN-I1oV_STSDYn1IFDPWt_1FKiwhDph83XaGc0o0/edit?usp=sharing"",""งบพรบ!AL97"")"),0)</f>
        <v>0</v>
      </c>
      <c r="I97" s="77">
        <f ca="1">IFERROR(__xludf.DUMMYFUNCTION("IMPORTRANGE(""https://docs.google.com/spreadsheets/d/1MeEWN-I1oV_STSDYn1IFDPWt_1FKiwhDph83XaGc0o0/edit?usp=sharing"",""งบพรบ!AM97"")"),0)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IFERROR(__xludf.DUMMYFUNCTION("IMPORTRANGE(""https://docs.google.com/spreadsheets/d/1MeEWN-I1oV_STSDYn1IFDPWt_1FKiwhDph83XaGc0o0/edit?usp=sharing"",""งบพรบ!AN97"")"),0)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IFERROR(__xludf.DUMMYFUNCTION("IMPORTRANGE(""https://docs.google.com/spreadsheets/d/1MeEWN-I1oV_STSDYn1IFDPWt_1FKiwhDph83XaGc0o0/edit?usp=sharing"",""งบพรบ!AO97"")"),0)</f>
        <v>0</v>
      </c>
      <c r="P97" s="80">
        <f t="shared" ca="1" si="29"/>
        <v>0</v>
      </c>
      <c r="Q97" s="79">
        <f t="shared" ca="1" si="8"/>
        <v>0</v>
      </c>
      <c r="R97" s="77"/>
      <c r="S97" s="77"/>
      <c r="T97" s="77"/>
      <c r="U97" s="79"/>
      <c r="V97" s="77"/>
      <c r="W97" s="79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9"/>
    </row>
    <row r="98" spans="1:38" ht="24" hidden="1" customHeight="1" x14ac:dyDescent="0.2">
      <c r="A98" s="106">
        <f t="shared" si="52"/>
        <v>9</v>
      </c>
      <c r="B98" s="107" t="s">
        <v>120</v>
      </c>
      <c r="C98" s="75">
        <f t="shared" ca="1" si="0"/>
        <v>0</v>
      </c>
      <c r="D98" s="76">
        <f t="shared" ca="1" si="51"/>
        <v>0</v>
      </c>
      <c r="E98" s="77">
        <f ca="1">IFERROR(__xludf.DUMMYFUNCTION("IMPORTRANGE(""https://docs.google.com/spreadsheets/d/1MeEWN-I1oV_STSDYn1IFDPWt_1FKiwhDph83XaGc0o0/edit?usp=sharing"",""งบพรบ!AH98"")"),0)</f>
        <v>0</v>
      </c>
      <c r="F98" s="77">
        <f ca="1">IFERROR(__xludf.DUMMYFUNCTION("IMPORTRANGE(""https://docs.google.com/spreadsheets/d/1MeEWN-I1oV_STSDYn1IFDPWt_1FKiwhDph83XaGc0o0/edit?usp=sharing"",""งบพรบ!AI98"")"),0)</f>
        <v>0</v>
      </c>
      <c r="G98" s="77">
        <f ca="1">IFERROR(__xludf.DUMMYFUNCTION("IMPORTRANGE(""https://docs.google.com/spreadsheets/d/1MeEWN-I1oV_STSDYn1IFDPWt_1FKiwhDph83XaGc0o0/edit?usp=sharing"",""งบพรบ!AJ98"")"),0)</f>
        <v>0</v>
      </c>
      <c r="H98" s="77">
        <f ca="1">IFERROR(__xludf.DUMMYFUNCTION("IMPORTRANGE(""https://docs.google.com/spreadsheets/d/1MeEWN-I1oV_STSDYn1IFDPWt_1FKiwhDph83XaGc0o0/edit?usp=sharing"",""งบพรบ!AL98"")"),0)</f>
        <v>0</v>
      </c>
      <c r="I98" s="77">
        <f ca="1">IFERROR(__xludf.DUMMYFUNCTION("IMPORTRANGE(""https://docs.google.com/spreadsheets/d/1MeEWN-I1oV_STSDYn1IFDPWt_1FKiwhDph83XaGc0o0/edit?usp=sharing"",""งบพรบ!AM98"")"),0)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IFERROR(__xludf.DUMMYFUNCTION("IMPORTRANGE(""https://docs.google.com/spreadsheets/d/1MeEWN-I1oV_STSDYn1IFDPWt_1FKiwhDph83XaGc0o0/edit?usp=sharing"",""งบพรบ!AN98"")"),0)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IFERROR(__xludf.DUMMYFUNCTION("IMPORTRANGE(""https://docs.google.com/spreadsheets/d/1MeEWN-I1oV_STSDYn1IFDPWt_1FKiwhDph83XaGc0o0/edit?usp=sharing"",""งบพรบ!AO98"")"),0)</f>
        <v>0</v>
      </c>
      <c r="P98" s="80">
        <f t="shared" ca="1" si="29"/>
        <v>0</v>
      </c>
      <c r="Q98" s="79">
        <f t="shared" ca="1" si="8"/>
        <v>0</v>
      </c>
      <c r="R98" s="77"/>
      <c r="S98" s="77"/>
      <c r="T98" s="77"/>
      <c r="U98" s="79"/>
      <c r="V98" s="77"/>
      <c r="W98" s="79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9"/>
    </row>
    <row r="99" spans="1:38" ht="24" hidden="1" customHeight="1" x14ac:dyDescent="0.2">
      <c r="A99" s="106">
        <f t="shared" si="52"/>
        <v>10</v>
      </c>
      <c r="B99" s="107" t="s">
        <v>121</v>
      </c>
      <c r="C99" s="75">
        <f t="shared" ca="1" si="0"/>
        <v>0</v>
      </c>
      <c r="D99" s="76">
        <f t="shared" ca="1" si="51"/>
        <v>0</v>
      </c>
      <c r="E99" s="77">
        <f ca="1">IFERROR(__xludf.DUMMYFUNCTION("IMPORTRANGE(""https://docs.google.com/spreadsheets/d/1MeEWN-I1oV_STSDYn1IFDPWt_1FKiwhDph83XaGc0o0/edit?usp=sharing"",""งบพรบ!AH99"")"),0)</f>
        <v>0</v>
      </c>
      <c r="F99" s="77">
        <f ca="1">IFERROR(__xludf.DUMMYFUNCTION("IMPORTRANGE(""https://docs.google.com/spreadsheets/d/1MeEWN-I1oV_STSDYn1IFDPWt_1FKiwhDph83XaGc0o0/edit?usp=sharing"",""งบพรบ!AI99"")"),0)</f>
        <v>0</v>
      </c>
      <c r="G99" s="77">
        <f ca="1">IFERROR(__xludf.DUMMYFUNCTION("IMPORTRANGE(""https://docs.google.com/spreadsheets/d/1MeEWN-I1oV_STSDYn1IFDPWt_1FKiwhDph83XaGc0o0/edit?usp=sharing"",""งบพรบ!AJ99"")"),0)</f>
        <v>0</v>
      </c>
      <c r="H99" s="77">
        <f ca="1">IFERROR(__xludf.DUMMYFUNCTION("IMPORTRANGE(""https://docs.google.com/spreadsheets/d/1MeEWN-I1oV_STSDYn1IFDPWt_1FKiwhDph83XaGc0o0/edit?usp=sharing"",""งบพรบ!AL99"")"),0)</f>
        <v>0</v>
      </c>
      <c r="I99" s="77">
        <f ca="1">IFERROR(__xludf.DUMMYFUNCTION("IMPORTRANGE(""https://docs.google.com/spreadsheets/d/1MeEWN-I1oV_STSDYn1IFDPWt_1FKiwhDph83XaGc0o0/edit?usp=sharing"",""งบพรบ!AM99"")"),0)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IFERROR(__xludf.DUMMYFUNCTION("IMPORTRANGE(""https://docs.google.com/spreadsheets/d/1MeEWN-I1oV_STSDYn1IFDPWt_1FKiwhDph83XaGc0o0/edit?usp=sharing"",""งบพรบ!AN99"")"),0)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IFERROR(__xludf.DUMMYFUNCTION("IMPORTRANGE(""https://docs.google.com/spreadsheets/d/1MeEWN-I1oV_STSDYn1IFDPWt_1FKiwhDph83XaGc0o0/edit?usp=sharing"",""งบพรบ!AO99"")"),0)</f>
        <v>0</v>
      </c>
      <c r="P99" s="80">
        <f t="shared" ca="1" si="29"/>
        <v>0</v>
      </c>
      <c r="Q99" s="79">
        <f t="shared" ca="1" si="8"/>
        <v>0</v>
      </c>
      <c r="R99" s="77"/>
      <c r="S99" s="77"/>
      <c r="T99" s="77"/>
      <c r="U99" s="79"/>
      <c r="V99" s="77"/>
      <c r="W99" s="79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9"/>
    </row>
    <row r="100" spans="1:38" ht="24" hidden="1" customHeight="1" x14ac:dyDescent="0.2">
      <c r="A100" s="106">
        <f t="shared" si="52"/>
        <v>11</v>
      </c>
      <c r="B100" s="107" t="s">
        <v>122</v>
      </c>
      <c r="C100" s="75">
        <f t="shared" ca="1" si="0"/>
        <v>0</v>
      </c>
      <c r="D100" s="76">
        <f t="shared" ca="1" si="51"/>
        <v>0</v>
      </c>
      <c r="E100" s="77">
        <f ca="1">IFERROR(__xludf.DUMMYFUNCTION("IMPORTRANGE(""https://docs.google.com/spreadsheets/d/1MeEWN-I1oV_STSDYn1IFDPWt_1FKiwhDph83XaGc0o0/edit?usp=sharing"",""งบพรบ!AH100"")"),0)</f>
        <v>0</v>
      </c>
      <c r="F100" s="77">
        <f ca="1">IFERROR(__xludf.DUMMYFUNCTION("IMPORTRANGE(""https://docs.google.com/spreadsheets/d/1MeEWN-I1oV_STSDYn1IFDPWt_1FKiwhDph83XaGc0o0/edit?usp=sharing"",""งบพรบ!AI100"")"),0)</f>
        <v>0</v>
      </c>
      <c r="G100" s="77">
        <f ca="1">IFERROR(__xludf.DUMMYFUNCTION("IMPORTRANGE(""https://docs.google.com/spreadsheets/d/1MeEWN-I1oV_STSDYn1IFDPWt_1FKiwhDph83XaGc0o0/edit?usp=sharing"",""งบพรบ!AJ100"")"),0)</f>
        <v>0</v>
      </c>
      <c r="H100" s="77">
        <f ca="1">IFERROR(__xludf.DUMMYFUNCTION("IMPORTRANGE(""https://docs.google.com/spreadsheets/d/1MeEWN-I1oV_STSDYn1IFDPWt_1FKiwhDph83XaGc0o0/edit?usp=sharing"",""งบพรบ!AL100"")"),0)</f>
        <v>0</v>
      </c>
      <c r="I100" s="77">
        <f ca="1">IFERROR(__xludf.DUMMYFUNCTION("IMPORTRANGE(""https://docs.google.com/spreadsheets/d/1MeEWN-I1oV_STSDYn1IFDPWt_1FKiwhDph83XaGc0o0/edit?usp=sharing"",""งบพรบ!AM100"")"),0)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IFERROR(__xludf.DUMMYFUNCTION("IMPORTRANGE(""https://docs.google.com/spreadsheets/d/1MeEWN-I1oV_STSDYn1IFDPWt_1FKiwhDph83XaGc0o0/edit?usp=sharing"",""งบพรบ!AN100"")"),0)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IFERROR(__xludf.DUMMYFUNCTION("IMPORTRANGE(""https://docs.google.com/spreadsheets/d/1MeEWN-I1oV_STSDYn1IFDPWt_1FKiwhDph83XaGc0o0/edit?usp=sharing"",""งบพรบ!AO100"")"),0)</f>
        <v>0</v>
      </c>
      <c r="P100" s="80">
        <f t="shared" ca="1" si="29"/>
        <v>0</v>
      </c>
      <c r="Q100" s="79">
        <f t="shared" ca="1" si="8"/>
        <v>0</v>
      </c>
      <c r="R100" s="77"/>
      <c r="S100" s="77"/>
      <c r="T100" s="77"/>
      <c r="U100" s="79"/>
      <c r="V100" s="77"/>
      <c r="W100" s="79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9"/>
    </row>
    <row r="101" spans="1:38" ht="24" hidden="1" customHeight="1" x14ac:dyDescent="0.2">
      <c r="A101" s="106">
        <f t="shared" si="52"/>
        <v>12</v>
      </c>
      <c r="B101" s="107" t="s">
        <v>123</v>
      </c>
      <c r="C101" s="75">
        <f t="shared" ca="1" si="0"/>
        <v>0</v>
      </c>
      <c r="D101" s="76">
        <f t="shared" ca="1" si="51"/>
        <v>0</v>
      </c>
      <c r="E101" s="77">
        <f ca="1">IFERROR(__xludf.DUMMYFUNCTION("IMPORTRANGE(""https://docs.google.com/spreadsheets/d/1MeEWN-I1oV_STSDYn1IFDPWt_1FKiwhDph83XaGc0o0/edit?usp=sharing"",""งบพรบ!AH101"")"),0)</f>
        <v>0</v>
      </c>
      <c r="F101" s="77">
        <f ca="1">IFERROR(__xludf.DUMMYFUNCTION("IMPORTRANGE(""https://docs.google.com/spreadsheets/d/1MeEWN-I1oV_STSDYn1IFDPWt_1FKiwhDph83XaGc0o0/edit?usp=sharing"",""งบพรบ!AI101"")"),0)</f>
        <v>0</v>
      </c>
      <c r="G101" s="77">
        <f ca="1">IFERROR(__xludf.DUMMYFUNCTION("IMPORTRANGE(""https://docs.google.com/spreadsheets/d/1MeEWN-I1oV_STSDYn1IFDPWt_1FKiwhDph83XaGc0o0/edit?usp=sharing"",""งบพรบ!AJ101"")"),0)</f>
        <v>0</v>
      </c>
      <c r="H101" s="77">
        <f ca="1">IFERROR(__xludf.DUMMYFUNCTION("IMPORTRANGE(""https://docs.google.com/spreadsheets/d/1MeEWN-I1oV_STSDYn1IFDPWt_1FKiwhDph83XaGc0o0/edit?usp=sharing"",""งบพรบ!AL101"")"),0)</f>
        <v>0</v>
      </c>
      <c r="I101" s="77">
        <f ca="1">IFERROR(__xludf.DUMMYFUNCTION("IMPORTRANGE(""https://docs.google.com/spreadsheets/d/1MeEWN-I1oV_STSDYn1IFDPWt_1FKiwhDph83XaGc0o0/edit?usp=sharing"",""งบพรบ!AM101"")"),0)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IFERROR(__xludf.DUMMYFUNCTION("IMPORTRANGE(""https://docs.google.com/spreadsheets/d/1MeEWN-I1oV_STSDYn1IFDPWt_1FKiwhDph83XaGc0o0/edit?usp=sharing"",""งบพรบ!AN101"")"),0)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IFERROR(__xludf.DUMMYFUNCTION("IMPORTRANGE(""https://docs.google.com/spreadsheets/d/1MeEWN-I1oV_STSDYn1IFDPWt_1FKiwhDph83XaGc0o0/edit?usp=sharing"",""งบพรบ!AO101"")"),0)</f>
        <v>0</v>
      </c>
      <c r="P101" s="80">
        <f t="shared" ca="1" si="29"/>
        <v>0</v>
      </c>
      <c r="Q101" s="79">
        <f t="shared" ca="1" si="8"/>
        <v>0</v>
      </c>
      <c r="R101" s="77"/>
      <c r="S101" s="77"/>
      <c r="T101" s="77"/>
      <c r="U101" s="79"/>
      <c r="V101" s="77"/>
      <c r="W101" s="79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9"/>
    </row>
    <row r="102" spans="1:38" ht="24" hidden="1" customHeight="1" x14ac:dyDescent="0.2">
      <c r="A102" s="106">
        <f t="shared" si="52"/>
        <v>13</v>
      </c>
      <c r="B102" s="107" t="s">
        <v>124</v>
      </c>
      <c r="C102" s="75">
        <f t="shared" ca="1" si="0"/>
        <v>0</v>
      </c>
      <c r="D102" s="76">
        <f t="shared" ca="1" si="51"/>
        <v>0</v>
      </c>
      <c r="E102" s="77">
        <f ca="1">IFERROR(__xludf.DUMMYFUNCTION("IMPORTRANGE(""https://docs.google.com/spreadsheets/d/1MeEWN-I1oV_STSDYn1IFDPWt_1FKiwhDph83XaGc0o0/edit?usp=sharing"",""งบพรบ!AH102"")"),0)</f>
        <v>0</v>
      </c>
      <c r="F102" s="77">
        <f ca="1">IFERROR(__xludf.DUMMYFUNCTION("IMPORTRANGE(""https://docs.google.com/spreadsheets/d/1MeEWN-I1oV_STSDYn1IFDPWt_1FKiwhDph83XaGc0o0/edit?usp=sharing"",""งบพรบ!AI102"")"),0)</f>
        <v>0</v>
      </c>
      <c r="G102" s="77">
        <f ca="1">IFERROR(__xludf.DUMMYFUNCTION("IMPORTRANGE(""https://docs.google.com/spreadsheets/d/1MeEWN-I1oV_STSDYn1IFDPWt_1FKiwhDph83XaGc0o0/edit?usp=sharing"",""งบพรบ!AJ102"")"),0)</f>
        <v>0</v>
      </c>
      <c r="H102" s="77">
        <f ca="1">IFERROR(__xludf.DUMMYFUNCTION("IMPORTRANGE(""https://docs.google.com/spreadsheets/d/1MeEWN-I1oV_STSDYn1IFDPWt_1FKiwhDph83XaGc0o0/edit?usp=sharing"",""งบพรบ!AL102"")"),0)</f>
        <v>0</v>
      </c>
      <c r="I102" s="77">
        <f ca="1">IFERROR(__xludf.DUMMYFUNCTION("IMPORTRANGE(""https://docs.google.com/spreadsheets/d/1MeEWN-I1oV_STSDYn1IFDPWt_1FKiwhDph83XaGc0o0/edit?usp=sharing"",""งบพรบ!AM102"")"),0)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IFERROR(__xludf.DUMMYFUNCTION("IMPORTRANGE(""https://docs.google.com/spreadsheets/d/1MeEWN-I1oV_STSDYn1IFDPWt_1FKiwhDph83XaGc0o0/edit?usp=sharing"",""งบพรบ!AN102"")"),0)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IFERROR(__xludf.DUMMYFUNCTION("IMPORTRANGE(""https://docs.google.com/spreadsheets/d/1MeEWN-I1oV_STSDYn1IFDPWt_1FKiwhDph83XaGc0o0/edit?usp=sharing"",""งบพรบ!AO102"")"),0)</f>
        <v>0</v>
      </c>
      <c r="P102" s="80">
        <f t="shared" ca="1" si="29"/>
        <v>0</v>
      </c>
      <c r="Q102" s="79">
        <f t="shared" ca="1" si="8"/>
        <v>0</v>
      </c>
      <c r="R102" s="77"/>
      <c r="S102" s="77"/>
      <c r="T102" s="77"/>
      <c r="U102" s="79"/>
      <c r="V102" s="77"/>
      <c r="W102" s="79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9"/>
    </row>
    <row r="103" spans="1:38" ht="24" hidden="1" customHeight="1" x14ac:dyDescent="0.2">
      <c r="A103" s="108">
        <f t="shared" si="52"/>
        <v>14</v>
      </c>
      <c r="B103" s="109" t="s">
        <v>125</v>
      </c>
      <c r="C103" s="86">
        <f t="shared" ca="1" si="0"/>
        <v>0</v>
      </c>
      <c r="D103" s="87">
        <f t="shared" ca="1" si="51"/>
        <v>0</v>
      </c>
      <c r="E103" s="88">
        <f ca="1">IFERROR(__xludf.DUMMYFUNCTION("IMPORTRANGE(""https://docs.google.com/spreadsheets/d/1MeEWN-I1oV_STSDYn1IFDPWt_1FKiwhDph83XaGc0o0/edit?usp=sharing"",""งบพรบ!AH103"")"),0)</f>
        <v>0</v>
      </c>
      <c r="F103" s="88">
        <f ca="1">IFERROR(__xludf.DUMMYFUNCTION("IMPORTRANGE(""https://docs.google.com/spreadsheets/d/1MeEWN-I1oV_STSDYn1IFDPWt_1FKiwhDph83XaGc0o0/edit?usp=sharing"",""งบพรบ!AI103"")"),0)</f>
        <v>0</v>
      </c>
      <c r="G103" s="88">
        <f ca="1">IFERROR(__xludf.DUMMYFUNCTION("IMPORTRANGE(""https://docs.google.com/spreadsheets/d/1MeEWN-I1oV_STSDYn1IFDPWt_1FKiwhDph83XaGc0o0/edit?usp=sharing"",""งบพรบ!AJ103"")"),0)</f>
        <v>0</v>
      </c>
      <c r="H103" s="88">
        <f ca="1">IFERROR(__xludf.DUMMYFUNCTION("IMPORTRANGE(""https://docs.google.com/spreadsheets/d/1MeEWN-I1oV_STSDYn1IFDPWt_1FKiwhDph83XaGc0o0/edit?usp=sharing"",""งบพรบ!AL103"")"),0)</f>
        <v>0</v>
      </c>
      <c r="I103" s="88">
        <f ca="1">IFERROR(__xludf.DUMMYFUNCTION("IMPORTRANGE(""https://docs.google.com/spreadsheets/d/1MeEWN-I1oV_STSDYn1IFDPWt_1FKiwhDph83XaGc0o0/edit?usp=sharing"",""งบพรบ!AM103"")"),0)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IFERROR(__xludf.DUMMYFUNCTION("IMPORTRANGE(""https://docs.google.com/spreadsheets/d/1MeEWN-I1oV_STSDYn1IFDPWt_1FKiwhDph83XaGc0o0/edit?usp=sharing"",""งบพรบ!AN103"")"),0)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IFERROR(__xludf.DUMMYFUNCTION("IMPORTRANGE(""https://docs.google.com/spreadsheets/d/1MeEWN-I1oV_STSDYn1IFDPWt_1FKiwhDph83XaGc0o0/edit?usp=sharing"",""งบพรบ!AO103"")"),0)</f>
        <v>0</v>
      </c>
      <c r="P103" s="91">
        <f t="shared" ca="1" si="29"/>
        <v>0</v>
      </c>
      <c r="Q103" s="90">
        <f t="shared" ca="1" si="8"/>
        <v>0</v>
      </c>
      <c r="R103" s="88"/>
      <c r="S103" s="88"/>
      <c r="T103" s="88"/>
      <c r="U103" s="90"/>
      <c r="V103" s="88"/>
      <c r="W103" s="90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90"/>
    </row>
    <row r="104" spans="1:38" ht="21" hidden="1" customHeight="1" x14ac:dyDescent="0.2">
      <c r="A104" s="369" t="s">
        <v>126</v>
      </c>
      <c r="B104" s="370"/>
      <c r="C104" s="102">
        <f t="shared" ca="1" si="0"/>
        <v>853200</v>
      </c>
      <c r="D104" s="41">
        <f ca="1">SUM(D105:D116)</f>
        <v>853200</v>
      </c>
      <c r="E104" s="41">
        <f ca="1">IFERROR(__xludf.DUMMYFUNCTION("IMPORTRANGE(""https://docs.google.com/spreadsheets/d/1MeEWN-I1oV_STSDYn1IFDPWt_1FKiwhDph83XaGc0o0/edit?usp=sharing"",""งบพรบ!AH104"")"),853200)</f>
        <v>853200</v>
      </c>
      <c r="F104" s="41">
        <f ca="1">IFERROR(__xludf.DUMMYFUNCTION("IMPORTRANGE(""https://docs.google.com/spreadsheets/d/1MeEWN-I1oV_STSDYn1IFDPWt_1FKiwhDph83XaGc0o0/edit?usp=sharing"",""งบพรบ!AI104"")"),0)</f>
        <v>0</v>
      </c>
      <c r="G104" s="41">
        <f ca="1">IFERROR(__xludf.DUMMYFUNCTION("IMPORTRANGE(""https://docs.google.com/spreadsheets/d/1MeEWN-I1oV_STSDYn1IFDPWt_1FKiwhDph83XaGc0o0/edit?usp=sharing"",""งบพรบ!AJ104"")"),0)</f>
        <v>0</v>
      </c>
      <c r="H104" s="41">
        <f ca="1">IFERROR(__xludf.DUMMYFUNCTION("IMPORTRANGE(""https://docs.google.com/spreadsheets/d/1MeEWN-I1oV_STSDYn1IFDPWt_1FKiwhDph83XaGc0o0/edit?usp=sharing"",""งบพรบ!AL104"")"),62770)</f>
        <v>62770</v>
      </c>
      <c r="I104" s="41">
        <f ca="1">IFERROR(__xludf.DUMMYFUNCTION("IMPORTRANGE(""https://docs.google.com/spreadsheets/d/1MeEWN-I1oV_STSDYn1IFDPWt_1FKiwhDph83XaGc0o0/edit?usp=sharing"",""งบพรบ!AM104"")"),0)</f>
        <v>0</v>
      </c>
      <c r="J104" s="41">
        <f t="shared" ca="1" si="3"/>
        <v>62770</v>
      </c>
      <c r="K104" s="43">
        <f t="shared" ca="1" si="4"/>
        <v>7.357008907641819</v>
      </c>
      <c r="L104" s="41">
        <f ca="1">IFERROR(__xludf.DUMMYFUNCTION("IMPORTRANGE(""https://docs.google.com/spreadsheets/d/1MeEWN-I1oV_STSDYn1IFDPWt_1FKiwhDph83XaGc0o0/edit?usp=sharing"",""งบพรบ!AN104"")"),62770)</f>
        <v>62770</v>
      </c>
      <c r="M104" s="43">
        <f t="shared" ca="1" si="5"/>
        <v>7.357008907641819</v>
      </c>
      <c r="N104" s="43">
        <f t="shared" ca="1" si="6"/>
        <v>100</v>
      </c>
      <c r="O104" s="41">
        <f ca="1">IFERROR(__xludf.DUMMYFUNCTION("IMPORTRANGE(""https://docs.google.com/spreadsheets/d/1MeEWN-I1oV_STSDYn1IFDPWt_1FKiwhDph83XaGc0o0/edit?usp=sharing"",""งบพรบ!AO104"")"),0)</f>
        <v>0</v>
      </c>
      <c r="P104" s="41">
        <f t="shared" ca="1" si="29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</row>
    <row r="105" spans="1:38" ht="24" hidden="1" customHeight="1" x14ac:dyDescent="0.2">
      <c r="A105" s="103">
        <v>1</v>
      </c>
      <c r="B105" s="110" t="s">
        <v>127</v>
      </c>
      <c r="C105" s="111">
        <f t="shared" ca="1" si="0"/>
        <v>289800</v>
      </c>
      <c r="D105" s="66">
        <f t="shared" ref="D105:D116" ca="1" si="53">+E105+F105</f>
        <v>289800</v>
      </c>
      <c r="E105" s="67">
        <f ca="1">IFERROR(__xludf.DUMMYFUNCTION("IMPORTRANGE(""https://docs.google.com/spreadsheets/d/1MeEWN-I1oV_STSDYn1IFDPWt_1FKiwhDph83XaGc0o0/edit?usp=sharing"",""งบพรบ!AH105"")"),289800)</f>
        <v>289800</v>
      </c>
      <c r="F105" s="67">
        <f ca="1">IFERROR(__xludf.DUMMYFUNCTION("IMPORTRANGE(""https://docs.google.com/spreadsheets/d/1MeEWN-I1oV_STSDYn1IFDPWt_1FKiwhDph83XaGc0o0/edit?usp=sharing"",""งบพรบ!AI105"")"),0)</f>
        <v>0</v>
      </c>
      <c r="G105" s="67">
        <f ca="1">IFERROR(__xludf.DUMMYFUNCTION("IMPORTRANGE(""https://docs.google.com/spreadsheets/d/1MeEWN-I1oV_STSDYn1IFDPWt_1FKiwhDph83XaGc0o0/edit?usp=sharing"",""งบพรบ!AJ105"")"),0)</f>
        <v>0</v>
      </c>
      <c r="H105" s="67">
        <f ca="1">IFERROR(__xludf.DUMMYFUNCTION("IMPORTRANGE(""https://docs.google.com/spreadsheets/d/1MeEWN-I1oV_STSDYn1IFDPWt_1FKiwhDph83XaGc0o0/edit?usp=sharing"",""งบพรบ!AL105"")"),0)</f>
        <v>0</v>
      </c>
      <c r="I105" s="67">
        <f ca="1">IFERROR(__xludf.DUMMYFUNCTION("IMPORTRANGE(""https://docs.google.com/spreadsheets/d/1MeEWN-I1oV_STSDYn1IFDPWt_1FKiwhDph83XaGc0o0/edit?usp=sharing"",""งบพรบ!AM105"")"),0)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IFERROR(__xludf.DUMMYFUNCTION("IMPORTRANGE(""https://docs.google.com/spreadsheets/d/1MeEWN-I1oV_STSDYn1IFDPWt_1FKiwhDph83XaGc0o0/edit?usp=sharing"",""งบพรบ!AN105"")"),0)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IFERROR(__xludf.DUMMYFUNCTION("IMPORTRANGE(""https://docs.google.com/spreadsheets/d/1MeEWN-I1oV_STSDYn1IFDPWt_1FKiwhDph83XaGc0o0/edit?usp=sharing"",""งบพรบ!AO105"")"),0)</f>
        <v>0</v>
      </c>
      <c r="P105" s="71">
        <f t="shared" ca="1" si="29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</row>
    <row r="106" spans="1:38" ht="24" hidden="1" customHeight="1" x14ac:dyDescent="0.2">
      <c r="A106" s="106">
        <v>2</v>
      </c>
      <c r="B106" s="112" t="s">
        <v>128</v>
      </c>
      <c r="C106" s="113">
        <f t="shared" ca="1" si="0"/>
        <v>420000</v>
      </c>
      <c r="D106" s="76">
        <f t="shared" ca="1" si="53"/>
        <v>420000</v>
      </c>
      <c r="E106" s="77">
        <f ca="1">IFERROR(__xludf.DUMMYFUNCTION("IMPORTRANGE(""https://docs.google.com/spreadsheets/d/1MeEWN-I1oV_STSDYn1IFDPWt_1FKiwhDph83XaGc0o0/edit?usp=sharing"",""งบพรบ!AH106"")"),420000)</f>
        <v>420000</v>
      </c>
      <c r="F106" s="77">
        <f ca="1">IFERROR(__xludf.DUMMYFUNCTION("IMPORTRANGE(""https://docs.google.com/spreadsheets/d/1MeEWN-I1oV_STSDYn1IFDPWt_1FKiwhDph83XaGc0o0/edit?usp=sharing"",""งบพรบ!AI106"")"),0)</f>
        <v>0</v>
      </c>
      <c r="G106" s="77">
        <f ca="1">IFERROR(__xludf.DUMMYFUNCTION("IMPORTRANGE(""https://docs.google.com/spreadsheets/d/1MeEWN-I1oV_STSDYn1IFDPWt_1FKiwhDph83XaGc0o0/edit?usp=sharing"",""งบพรบ!AJ106"")"),0)</f>
        <v>0</v>
      </c>
      <c r="H106" s="77">
        <f ca="1">IFERROR(__xludf.DUMMYFUNCTION("IMPORTRANGE(""https://docs.google.com/spreadsheets/d/1MeEWN-I1oV_STSDYn1IFDPWt_1FKiwhDph83XaGc0o0/edit?usp=sharing"",""งบพรบ!AL106"")"),0)</f>
        <v>0</v>
      </c>
      <c r="I106" s="77">
        <f ca="1">IFERROR(__xludf.DUMMYFUNCTION("IMPORTRANGE(""https://docs.google.com/spreadsheets/d/1MeEWN-I1oV_STSDYn1IFDPWt_1FKiwhDph83XaGc0o0/edit?usp=sharing"",""งบพรบ!AM106"")"),0)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IFERROR(__xludf.DUMMYFUNCTION("IMPORTRANGE(""https://docs.google.com/spreadsheets/d/1MeEWN-I1oV_STSDYn1IFDPWt_1FKiwhDph83XaGc0o0/edit?usp=sharing"",""งบพรบ!AN106"")"),0)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IFERROR(__xludf.DUMMYFUNCTION("IMPORTRANGE(""https://docs.google.com/spreadsheets/d/1MeEWN-I1oV_STSDYn1IFDPWt_1FKiwhDph83XaGc0o0/edit?usp=sharing"",""งบพรบ!AO106"")"),0)</f>
        <v>0</v>
      </c>
      <c r="P106" s="80">
        <f t="shared" ca="1" si="29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3"/>
        <v>0</v>
      </c>
      <c r="E107" s="77">
        <f ca="1">IFERROR(__xludf.DUMMYFUNCTION("IMPORTRANGE(""https://docs.google.com/spreadsheets/d/1MeEWN-I1oV_STSDYn1IFDPWt_1FKiwhDph83XaGc0o0/edit?usp=sharing"",""งบพรบ!AH107"")"),0)</f>
        <v>0</v>
      </c>
      <c r="F107" s="77">
        <f ca="1">IFERROR(__xludf.DUMMYFUNCTION("IMPORTRANGE(""https://docs.google.com/spreadsheets/d/1MeEWN-I1oV_STSDYn1IFDPWt_1FKiwhDph83XaGc0o0/edit?usp=sharing"",""งบพรบ!AI107"")"),0)</f>
        <v>0</v>
      </c>
      <c r="G107" s="77">
        <f ca="1">IFERROR(__xludf.DUMMYFUNCTION("IMPORTRANGE(""https://docs.google.com/spreadsheets/d/1MeEWN-I1oV_STSDYn1IFDPWt_1FKiwhDph83XaGc0o0/edit?usp=sharing"",""งบพรบ!AJ107"")"),0)</f>
        <v>0</v>
      </c>
      <c r="H107" s="77">
        <f ca="1">IFERROR(__xludf.DUMMYFUNCTION("IMPORTRANGE(""https://docs.google.com/spreadsheets/d/1MeEWN-I1oV_STSDYn1IFDPWt_1FKiwhDph83XaGc0o0/edit?usp=sharing"",""งบพรบ!AL107"")"),0)</f>
        <v>0</v>
      </c>
      <c r="I107" s="77">
        <f ca="1">IFERROR(__xludf.DUMMYFUNCTION("IMPORTRANGE(""https://docs.google.com/spreadsheets/d/1MeEWN-I1oV_STSDYn1IFDPWt_1FKiwhDph83XaGc0o0/edit?usp=sharing"",""งบพรบ!AM107"")"),0)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IFERROR(__xludf.DUMMYFUNCTION("IMPORTRANGE(""https://docs.google.com/spreadsheets/d/1MeEWN-I1oV_STSDYn1IFDPWt_1FKiwhDph83XaGc0o0/edit?usp=sharing"",""งบพรบ!AN107"")"),0)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IFERROR(__xludf.DUMMYFUNCTION("IMPORTRANGE(""https://docs.google.com/spreadsheets/d/1MeEWN-I1oV_STSDYn1IFDPWt_1FKiwhDph83XaGc0o0/edit?usp=sharing"",""งบพรบ!AO107"")"),0)</f>
        <v>0</v>
      </c>
      <c r="P107" s="80">
        <f t="shared" ca="1" si="29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</row>
    <row r="108" spans="1:3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3"/>
        <v>0</v>
      </c>
      <c r="E108" s="77">
        <f ca="1">IFERROR(__xludf.DUMMYFUNCTION("IMPORTRANGE(""https://docs.google.com/spreadsheets/d/1MeEWN-I1oV_STSDYn1IFDPWt_1FKiwhDph83XaGc0o0/edit?usp=sharing"",""งบพรบ!AH108"")"),0)</f>
        <v>0</v>
      </c>
      <c r="F108" s="77">
        <f ca="1">IFERROR(__xludf.DUMMYFUNCTION("IMPORTRANGE(""https://docs.google.com/spreadsheets/d/1MeEWN-I1oV_STSDYn1IFDPWt_1FKiwhDph83XaGc0o0/edit?usp=sharing"",""งบพรบ!AI108"")"),0)</f>
        <v>0</v>
      </c>
      <c r="G108" s="77">
        <f ca="1">IFERROR(__xludf.DUMMYFUNCTION("IMPORTRANGE(""https://docs.google.com/spreadsheets/d/1MeEWN-I1oV_STSDYn1IFDPWt_1FKiwhDph83XaGc0o0/edit?usp=sharing"",""งบพรบ!AJ108"")"),0)</f>
        <v>0</v>
      </c>
      <c r="H108" s="77">
        <f ca="1">IFERROR(__xludf.DUMMYFUNCTION("IMPORTRANGE(""https://docs.google.com/spreadsheets/d/1MeEWN-I1oV_STSDYn1IFDPWt_1FKiwhDph83XaGc0o0/edit?usp=sharing"",""งบพรบ!AL108"")"),0)</f>
        <v>0</v>
      </c>
      <c r="I108" s="77">
        <f ca="1">IFERROR(__xludf.DUMMYFUNCTION("IMPORTRANGE(""https://docs.google.com/spreadsheets/d/1MeEWN-I1oV_STSDYn1IFDPWt_1FKiwhDph83XaGc0o0/edit?usp=sharing"",""งบพรบ!AM108"")"),0)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IFERROR(__xludf.DUMMYFUNCTION("IMPORTRANGE(""https://docs.google.com/spreadsheets/d/1MeEWN-I1oV_STSDYn1IFDPWt_1FKiwhDph83XaGc0o0/edit?usp=sharing"",""งบพรบ!AN108"")"),0)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IFERROR(__xludf.DUMMYFUNCTION("IMPORTRANGE(""https://docs.google.com/spreadsheets/d/1MeEWN-I1oV_STSDYn1IFDPWt_1FKiwhDph83XaGc0o0/edit?usp=sharing"",""งบพรบ!AO108"")"),0)</f>
        <v>0</v>
      </c>
      <c r="P108" s="80">
        <f t="shared" ca="1" si="29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</row>
    <row r="109" spans="1:38" ht="24" hidden="1" customHeight="1" x14ac:dyDescent="0.2">
      <c r="A109" s="114">
        <v>5</v>
      </c>
      <c r="B109" s="112" t="s">
        <v>131</v>
      </c>
      <c r="C109" s="113">
        <f t="shared" ca="1" si="0"/>
        <v>143400</v>
      </c>
      <c r="D109" s="76">
        <f t="shared" ca="1" si="53"/>
        <v>143400</v>
      </c>
      <c r="E109" s="77">
        <f ca="1">IFERROR(__xludf.DUMMYFUNCTION("IMPORTRANGE(""https://docs.google.com/spreadsheets/d/1MeEWN-I1oV_STSDYn1IFDPWt_1FKiwhDph83XaGc0o0/edit?usp=sharing"",""งบพรบ!AH109"")"),143400)</f>
        <v>143400</v>
      </c>
      <c r="F109" s="77">
        <f ca="1">IFERROR(__xludf.DUMMYFUNCTION("IMPORTRANGE(""https://docs.google.com/spreadsheets/d/1MeEWN-I1oV_STSDYn1IFDPWt_1FKiwhDph83XaGc0o0/edit?usp=sharing"",""งบพรบ!AI109"")"),0)</f>
        <v>0</v>
      </c>
      <c r="G109" s="77">
        <f ca="1">IFERROR(__xludf.DUMMYFUNCTION("IMPORTRANGE(""https://docs.google.com/spreadsheets/d/1MeEWN-I1oV_STSDYn1IFDPWt_1FKiwhDph83XaGc0o0/edit?usp=sharing"",""งบพรบ!AJ109"")"),0)</f>
        <v>0</v>
      </c>
      <c r="H109" s="77">
        <f ca="1">IFERROR(__xludf.DUMMYFUNCTION("IMPORTRANGE(""https://docs.google.com/spreadsheets/d/1MeEWN-I1oV_STSDYn1IFDPWt_1FKiwhDph83XaGc0o0/edit?usp=sharing"",""งบพรบ!AL109"")"),12770)</f>
        <v>12770</v>
      </c>
      <c r="I109" s="77">
        <f ca="1">IFERROR(__xludf.DUMMYFUNCTION("IMPORTRANGE(""https://docs.google.com/spreadsheets/d/1MeEWN-I1oV_STSDYn1IFDPWt_1FKiwhDph83XaGc0o0/edit?usp=sharing"",""งบพรบ!AM109"")"),0)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IFERROR(__xludf.DUMMYFUNCTION("IMPORTRANGE(""https://docs.google.com/spreadsheets/d/1MeEWN-I1oV_STSDYn1IFDPWt_1FKiwhDph83XaGc0o0/edit?usp=sharing"",""งบพรบ!AN109"")"),0)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IFERROR(__xludf.DUMMYFUNCTION("IMPORTRANGE(""https://docs.google.com/spreadsheets/d/1MeEWN-I1oV_STSDYn1IFDPWt_1FKiwhDph83XaGc0o0/edit?usp=sharing"",""งบพรบ!AO109"")"),0)</f>
        <v>0</v>
      </c>
      <c r="P109" s="80">
        <f t="shared" ca="1" si="29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</row>
    <row r="110" spans="1:3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3"/>
        <v>0</v>
      </c>
      <c r="E110" s="77">
        <f ca="1">IFERROR(__xludf.DUMMYFUNCTION("IMPORTRANGE(""https://docs.google.com/spreadsheets/d/1MeEWN-I1oV_STSDYn1IFDPWt_1FKiwhDph83XaGc0o0/edit?usp=sharing"",""งบพรบ!AH110"")"),0)</f>
        <v>0</v>
      </c>
      <c r="F110" s="77">
        <f ca="1">IFERROR(__xludf.DUMMYFUNCTION("IMPORTRANGE(""https://docs.google.com/spreadsheets/d/1MeEWN-I1oV_STSDYn1IFDPWt_1FKiwhDph83XaGc0o0/edit?usp=sharing"",""งบพรบ!AI110"")"),0)</f>
        <v>0</v>
      </c>
      <c r="G110" s="77">
        <f ca="1">IFERROR(__xludf.DUMMYFUNCTION("IMPORTRANGE(""https://docs.google.com/spreadsheets/d/1MeEWN-I1oV_STSDYn1IFDPWt_1FKiwhDph83XaGc0o0/edit?usp=sharing"",""งบพรบ!AJ110"")"),0)</f>
        <v>0</v>
      </c>
      <c r="H110" s="77">
        <f ca="1">IFERROR(__xludf.DUMMYFUNCTION("IMPORTRANGE(""https://docs.google.com/spreadsheets/d/1MeEWN-I1oV_STSDYn1IFDPWt_1FKiwhDph83XaGc0o0/edit?usp=sharing"",""งบพรบ!AL110"")"),0)</f>
        <v>0</v>
      </c>
      <c r="I110" s="77">
        <f ca="1">IFERROR(__xludf.DUMMYFUNCTION("IMPORTRANGE(""https://docs.google.com/spreadsheets/d/1MeEWN-I1oV_STSDYn1IFDPWt_1FKiwhDph83XaGc0o0/edit?usp=sharing"",""งบพรบ!AM110"")"),0)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IFERROR(__xludf.DUMMYFUNCTION("IMPORTRANGE(""https://docs.google.com/spreadsheets/d/1MeEWN-I1oV_STSDYn1IFDPWt_1FKiwhDph83XaGc0o0/edit?usp=sharing"",""งบพรบ!AN110"")"),0)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IFERROR(__xludf.DUMMYFUNCTION("IMPORTRANGE(""https://docs.google.com/spreadsheets/d/1MeEWN-I1oV_STSDYn1IFDPWt_1FKiwhDph83XaGc0o0/edit?usp=sharing"",""งบพรบ!AO110"")"),0)</f>
        <v>0</v>
      </c>
      <c r="P110" s="80">
        <f t="shared" ca="1" si="29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</row>
    <row r="111" spans="1:3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3"/>
        <v>0</v>
      </c>
      <c r="E111" s="77">
        <f ca="1">IFERROR(__xludf.DUMMYFUNCTION("IMPORTRANGE(""https://docs.google.com/spreadsheets/d/1MeEWN-I1oV_STSDYn1IFDPWt_1FKiwhDph83XaGc0o0/edit?usp=sharing"",""งบพรบ!AH111"")"),0)</f>
        <v>0</v>
      </c>
      <c r="F111" s="77">
        <f ca="1">IFERROR(__xludf.DUMMYFUNCTION("IMPORTRANGE(""https://docs.google.com/spreadsheets/d/1MeEWN-I1oV_STSDYn1IFDPWt_1FKiwhDph83XaGc0o0/edit?usp=sharing"",""งบพรบ!AI111"")"),0)</f>
        <v>0</v>
      </c>
      <c r="G111" s="77">
        <f ca="1">IFERROR(__xludf.DUMMYFUNCTION("IMPORTRANGE(""https://docs.google.com/spreadsheets/d/1MeEWN-I1oV_STSDYn1IFDPWt_1FKiwhDph83XaGc0o0/edit?usp=sharing"",""งบพรบ!AJ111"")"),0)</f>
        <v>0</v>
      </c>
      <c r="H111" s="77">
        <f ca="1">IFERROR(__xludf.DUMMYFUNCTION("IMPORTRANGE(""https://docs.google.com/spreadsheets/d/1MeEWN-I1oV_STSDYn1IFDPWt_1FKiwhDph83XaGc0o0/edit?usp=sharing"",""งบพรบ!AL111"")"),50000)</f>
        <v>50000</v>
      </c>
      <c r="I111" s="77">
        <f ca="1">IFERROR(__xludf.DUMMYFUNCTION("IMPORTRANGE(""https://docs.google.com/spreadsheets/d/1MeEWN-I1oV_STSDYn1IFDPWt_1FKiwhDph83XaGc0o0/edit?usp=sharing"",""งบพรบ!AM111"")"),0)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IFERROR(__xludf.DUMMYFUNCTION("IMPORTRANGE(""https://docs.google.com/spreadsheets/d/1MeEWN-I1oV_STSDYn1IFDPWt_1FKiwhDph83XaGc0o0/edit?usp=sharing"",""งบพรบ!AN111"")"),0)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IFERROR(__xludf.DUMMYFUNCTION("IMPORTRANGE(""https://docs.google.com/spreadsheets/d/1MeEWN-I1oV_STSDYn1IFDPWt_1FKiwhDph83XaGc0o0/edit?usp=sharing"",""งบพรบ!AO111"")"),0)</f>
        <v>0</v>
      </c>
      <c r="P111" s="80">
        <f t="shared" ca="1" si="29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</row>
    <row r="112" spans="1:3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3"/>
        <v>0</v>
      </c>
      <c r="E112" s="77">
        <f ca="1">IFERROR(__xludf.DUMMYFUNCTION("IMPORTRANGE(""https://docs.google.com/spreadsheets/d/1MeEWN-I1oV_STSDYn1IFDPWt_1FKiwhDph83XaGc0o0/edit?usp=sharing"",""งบพรบ!AH112"")"),0)</f>
        <v>0</v>
      </c>
      <c r="F112" s="77">
        <f ca="1">IFERROR(__xludf.DUMMYFUNCTION("IMPORTRANGE(""https://docs.google.com/spreadsheets/d/1MeEWN-I1oV_STSDYn1IFDPWt_1FKiwhDph83XaGc0o0/edit?usp=sharing"",""งบพรบ!AI112"")"),0)</f>
        <v>0</v>
      </c>
      <c r="G112" s="77">
        <f ca="1">IFERROR(__xludf.DUMMYFUNCTION("IMPORTRANGE(""https://docs.google.com/spreadsheets/d/1MeEWN-I1oV_STSDYn1IFDPWt_1FKiwhDph83XaGc0o0/edit?usp=sharing"",""งบพรบ!AJ112"")"),0)</f>
        <v>0</v>
      </c>
      <c r="H112" s="77">
        <f ca="1">IFERROR(__xludf.DUMMYFUNCTION("IMPORTRANGE(""https://docs.google.com/spreadsheets/d/1MeEWN-I1oV_STSDYn1IFDPWt_1FKiwhDph83XaGc0o0/edit?usp=sharing"",""งบพรบ!AL112"")"),0)</f>
        <v>0</v>
      </c>
      <c r="I112" s="77">
        <f ca="1">IFERROR(__xludf.DUMMYFUNCTION("IMPORTRANGE(""https://docs.google.com/spreadsheets/d/1MeEWN-I1oV_STSDYn1IFDPWt_1FKiwhDph83XaGc0o0/edit?usp=sharing"",""งบพรบ!AM112"")"),0)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IFERROR(__xludf.DUMMYFUNCTION("IMPORTRANGE(""https://docs.google.com/spreadsheets/d/1MeEWN-I1oV_STSDYn1IFDPWt_1FKiwhDph83XaGc0o0/edit?usp=sharing"",""งบพรบ!AN112"")"),0)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IFERROR(__xludf.DUMMYFUNCTION("IMPORTRANGE(""https://docs.google.com/spreadsheets/d/1MeEWN-I1oV_STSDYn1IFDPWt_1FKiwhDph83XaGc0o0/edit?usp=sharing"",""งบพรบ!AO112"")"),0)</f>
        <v>0</v>
      </c>
      <c r="P112" s="80">
        <f t="shared" ca="1" si="29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</row>
    <row r="113" spans="1:3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3"/>
        <v>0</v>
      </c>
      <c r="E113" s="77">
        <f ca="1">IFERROR(__xludf.DUMMYFUNCTION("IMPORTRANGE(""https://docs.google.com/spreadsheets/d/1MeEWN-I1oV_STSDYn1IFDPWt_1FKiwhDph83XaGc0o0/edit?usp=sharing"",""งบพรบ!AH113"")"),0)</f>
        <v>0</v>
      </c>
      <c r="F113" s="77">
        <f ca="1">IFERROR(__xludf.DUMMYFUNCTION("IMPORTRANGE(""https://docs.google.com/spreadsheets/d/1MeEWN-I1oV_STSDYn1IFDPWt_1FKiwhDph83XaGc0o0/edit?usp=sharing"",""งบพรบ!AI113"")"),0)</f>
        <v>0</v>
      </c>
      <c r="G113" s="77">
        <f ca="1">IFERROR(__xludf.DUMMYFUNCTION("IMPORTRANGE(""https://docs.google.com/spreadsheets/d/1MeEWN-I1oV_STSDYn1IFDPWt_1FKiwhDph83XaGc0o0/edit?usp=sharing"",""งบพรบ!AJ113"")"),0)</f>
        <v>0</v>
      </c>
      <c r="H113" s="77">
        <f ca="1">IFERROR(__xludf.DUMMYFUNCTION("IMPORTRANGE(""https://docs.google.com/spreadsheets/d/1MeEWN-I1oV_STSDYn1IFDPWt_1FKiwhDph83XaGc0o0/edit?usp=sharing"",""งบพรบ!AL113"")"),0)</f>
        <v>0</v>
      </c>
      <c r="I113" s="77">
        <f ca="1">IFERROR(__xludf.DUMMYFUNCTION("IMPORTRANGE(""https://docs.google.com/spreadsheets/d/1MeEWN-I1oV_STSDYn1IFDPWt_1FKiwhDph83XaGc0o0/edit?usp=sharing"",""งบพรบ!AM113"")"),0)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IFERROR(__xludf.DUMMYFUNCTION("IMPORTRANGE(""https://docs.google.com/spreadsheets/d/1MeEWN-I1oV_STSDYn1IFDPWt_1FKiwhDph83XaGc0o0/edit?usp=sharing"",""งบพรบ!AN113"")"),0)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IFERROR(__xludf.DUMMYFUNCTION("IMPORTRANGE(""https://docs.google.com/spreadsheets/d/1MeEWN-I1oV_STSDYn1IFDPWt_1FKiwhDph83XaGc0o0/edit?usp=sharing"",""งบพรบ!AO113"")"),0)</f>
        <v>0</v>
      </c>
      <c r="P113" s="80">
        <f t="shared" ca="1" si="29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</row>
    <row r="114" spans="1:3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3"/>
        <v>0</v>
      </c>
      <c r="E114" s="77">
        <f ca="1">IFERROR(__xludf.DUMMYFUNCTION("IMPORTRANGE(""https://docs.google.com/spreadsheets/d/1MeEWN-I1oV_STSDYn1IFDPWt_1FKiwhDph83XaGc0o0/edit?usp=sharing"",""งบพรบ!AH114"")"),0)</f>
        <v>0</v>
      </c>
      <c r="F114" s="77">
        <f ca="1">IFERROR(__xludf.DUMMYFUNCTION("IMPORTRANGE(""https://docs.google.com/spreadsheets/d/1MeEWN-I1oV_STSDYn1IFDPWt_1FKiwhDph83XaGc0o0/edit?usp=sharing"",""งบพรบ!AI114"")"),0)</f>
        <v>0</v>
      </c>
      <c r="G114" s="77">
        <f ca="1">IFERROR(__xludf.DUMMYFUNCTION("IMPORTRANGE(""https://docs.google.com/spreadsheets/d/1MeEWN-I1oV_STSDYn1IFDPWt_1FKiwhDph83XaGc0o0/edit?usp=sharing"",""งบพรบ!AJ114"")"),0)</f>
        <v>0</v>
      </c>
      <c r="H114" s="77">
        <f ca="1">IFERROR(__xludf.DUMMYFUNCTION("IMPORTRANGE(""https://docs.google.com/spreadsheets/d/1MeEWN-I1oV_STSDYn1IFDPWt_1FKiwhDph83XaGc0o0/edit?usp=sharing"",""งบพรบ!AL114"")"),0)</f>
        <v>0</v>
      </c>
      <c r="I114" s="77">
        <f ca="1">IFERROR(__xludf.DUMMYFUNCTION("IMPORTRANGE(""https://docs.google.com/spreadsheets/d/1MeEWN-I1oV_STSDYn1IFDPWt_1FKiwhDph83XaGc0o0/edit?usp=sharing"",""งบพรบ!AM114"")"),0)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IFERROR(__xludf.DUMMYFUNCTION("IMPORTRANGE(""https://docs.google.com/spreadsheets/d/1MeEWN-I1oV_STSDYn1IFDPWt_1FKiwhDph83XaGc0o0/edit?usp=sharing"",""งบพรบ!AN114"")"),0)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IFERROR(__xludf.DUMMYFUNCTION("IMPORTRANGE(""https://docs.google.com/spreadsheets/d/1MeEWN-I1oV_STSDYn1IFDPWt_1FKiwhDph83XaGc0o0/edit?usp=sharing"",""งบพรบ!AO114"")"),0)</f>
        <v>0</v>
      </c>
      <c r="P114" s="80">
        <f t="shared" ca="1" si="29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</row>
    <row r="115" spans="1:3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3"/>
        <v>0</v>
      </c>
      <c r="E115" s="77">
        <f ca="1">IFERROR(__xludf.DUMMYFUNCTION("IMPORTRANGE(""https://docs.google.com/spreadsheets/d/1MeEWN-I1oV_STSDYn1IFDPWt_1FKiwhDph83XaGc0o0/edit?usp=sharing"",""งบพรบ!AH115"")"),0)</f>
        <v>0</v>
      </c>
      <c r="F115" s="77">
        <f ca="1">IFERROR(__xludf.DUMMYFUNCTION("IMPORTRANGE(""https://docs.google.com/spreadsheets/d/1MeEWN-I1oV_STSDYn1IFDPWt_1FKiwhDph83XaGc0o0/edit?usp=sharing"",""งบพรบ!AI115"")"),0)</f>
        <v>0</v>
      </c>
      <c r="G115" s="77">
        <f ca="1">IFERROR(__xludf.DUMMYFUNCTION("IMPORTRANGE(""https://docs.google.com/spreadsheets/d/1MeEWN-I1oV_STSDYn1IFDPWt_1FKiwhDph83XaGc0o0/edit?usp=sharing"",""งบพรบ!AJ115"")"),0)</f>
        <v>0</v>
      </c>
      <c r="H115" s="77">
        <f ca="1">IFERROR(__xludf.DUMMYFUNCTION("IMPORTRANGE(""https://docs.google.com/spreadsheets/d/1MeEWN-I1oV_STSDYn1IFDPWt_1FKiwhDph83XaGc0o0/edit?usp=sharing"",""งบพรบ!AL115"")"),0)</f>
        <v>0</v>
      </c>
      <c r="I115" s="77">
        <f ca="1">IFERROR(__xludf.DUMMYFUNCTION("IMPORTRANGE(""https://docs.google.com/spreadsheets/d/1MeEWN-I1oV_STSDYn1IFDPWt_1FKiwhDph83XaGc0o0/edit?usp=sharing"",""งบพรบ!AM115"")"),0)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IFERROR(__xludf.DUMMYFUNCTION("IMPORTRANGE(""https://docs.google.com/spreadsheets/d/1MeEWN-I1oV_STSDYn1IFDPWt_1FKiwhDph83XaGc0o0/edit?usp=sharing"",""งบพรบ!AN115"")"),0)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IFERROR(__xludf.DUMMYFUNCTION("IMPORTRANGE(""https://docs.google.com/spreadsheets/d/1MeEWN-I1oV_STSDYn1IFDPWt_1FKiwhDph83XaGc0o0/edit?usp=sharing"",""งบพรบ!AO115"")"),0)</f>
        <v>0</v>
      </c>
      <c r="P115" s="80">
        <f t="shared" ca="1" si="29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</row>
    <row r="116" spans="1:3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3"/>
        <v>0</v>
      </c>
      <c r="E116" s="77">
        <f ca="1">IFERROR(__xludf.DUMMYFUNCTION("IMPORTRANGE(""https://docs.google.com/spreadsheets/d/1MeEWN-I1oV_STSDYn1IFDPWt_1FKiwhDph83XaGc0o0/edit?usp=sharing"",""งบพรบ!AH116"")"),0)</f>
        <v>0</v>
      </c>
      <c r="F116" s="77">
        <f ca="1">IFERROR(__xludf.DUMMYFUNCTION("IMPORTRANGE(""https://docs.google.com/spreadsheets/d/1MeEWN-I1oV_STSDYn1IFDPWt_1FKiwhDph83XaGc0o0/edit?usp=sharing"",""งบพรบ!AI116"")"),0)</f>
        <v>0</v>
      </c>
      <c r="G116" s="77">
        <f ca="1">IFERROR(__xludf.DUMMYFUNCTION("IMPORTRANGE(""https://docs.google.com/spreadsheets/d/1MeEWN-I1oV_STSDYn1IFDPWt_1FKiwhDph83XaGc0o0/edit?usp=sharing"",""งบพรบ!AJ116"")"),0)</f>
        <v>0</v>
      </c>
      <c r="H116" s="77">
        <f ca="1">IFERROR(__xludf.DUMMYFUNCTION("IMPORTRANGE(""https://docs.google.com/spreadsheets/d/1MeEWN-I1oV_STSDYn1IFDPWt_1FKiwhDph83XaGc0o0/edit?usp=sharing"",""งบพรบ!AL116"")"),64000)</f>
        <v>64000</v>
      </c>
      <c r="I116" s="77">
        <f ca="1">IFERROR(__xludf.DUMMYFUNCTION("IMPORTRANGE(""https://docs.google.com/spreadsheets/d/1MeEWN-I1oV_STSDYn1IFDPWt_1FKiwhDph83XaGc0o0/edit?usp=sharing"",""งบพรบ!AM116"")"),0)</f>
        <v>0</v>
      </c>
      <c r="J116" s="77">
        <f t="shared" ca="1" si="3"/>
        <v>64000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IFERROR(__xludf.DUMMYFUNCTION("IMPORTRANGE(""https://docs.google.com/spreadsheets/d/1MeEWN-I1oV_STSDYn1IFDPWt_1FKiwhDph83XaGc0o0/edit?usp=sharing"",""งบพรบ!AN116"")"),64000)</f>
        <v>64000</v>
      </c>
      <c r="M116" s="79">
        <f t="shared" ca="1" si="5"/>
        <v>0</v>
      </c>
      <c r="N116" s="79">
        <f t="shared" ca="1" si="6"/>
        <v>100</v>
      </c>
      <c r="O116" s="80">
        <f ca="1">IFERROR(__xludf.DUMMYFUNCTION("IMPORTRANGE(""https://docs.google.com/spreadsheets/d/1MeEWN-I1oV_STSDYn1IFDPWt_1FKiwhDph83XaGc0o0/edit?usp=sharing"",""งบพรบ!AO116"")"),0)</f>
        <v>0</v>
      </c>
      <c r="P116" s="80">
        <f t="shared" ca="1" si="29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5"/>
      <c r="U314" s="116"/>
      <c r="V314" s="115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6"/>
    </row>
    <row r="315" spans="1:38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5"/>
      <c r="U315" s="116"/>
      <c r="V315" s="115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6"/>
    </row>
    <row r="316" spans="1:38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5"/>
      <c r="U316" s="116"/>
      <c r="V316" s="115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6"/>
    </row>
    <row r="317" spans="1:38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5"/>
      <c r="U317" s="116"/>
      <c r="V317" s="115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6"/>
    </row>
    <row r="318" spans="1:38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5"/>
      <c r="U318" s="116"/>
      <c r="V318" s="115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6"/>
    </row>
    <row r="319" spans="1:38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5"/>
      <c r="U319" s="116"/>
      <c r="V319" s="115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6"/>
    </row>
    <row r="320" spans="1:38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5"/>
      <c r="U320" s="116"/>
      <c r="V320" s="115"/>
      <c r="W320" s="116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6"/>
    </row>
    <row r="321" spans="1:38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5"/>
      <c r="U321" s="116"/>
      <c r="V321" s="115"/>
      <c r="W321" s="116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6"/>
    </row>
    <row r="322" spans="1:38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5"/>
      <c r="U322" s="116"/>
      <c r="V322" s="115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6"/>
    </row>
    <row r="323" spans="1:38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5"/>
      <c r="U323" s="116"/>
      <c r="V323" s="115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6"/>
    </row>
    <row r="324" spans="1:38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5"/>
      <c r="U324" s="116"/>
      <c r="V324" s="115"/>
      <c r="W324" s="116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6"/>
    </row>
    <row r="325" spans="1:38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5"/>
      <c r="U325" s="116"/>
      <c r="V325" s="115"/>
      <c r="W325" s="116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6"/>
    </row>
    <row r="326" spans="1:38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5"/>
      <c r="U326" s="116"/>
      <c r="V326" s="115"/>
      <c r="W326" s="116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6"/>
    </row>
    <row r="327" spans="1:38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5"/>
      <c r="U327" s="116"/>
      <c r="V327" s="115"/>
      <c r="W327" s="116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6"/>
    </row>
    <row r="328" spans="1:38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5"/>
      <c r="U328" s="116"/>
      <c r="V328" s="115"/>
      <c r="W328" s="116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6"/>
    </row>
    <row r="329" spans="1:38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5"/>
      <c r="U329" s="116"/>
      <c r="V329" s="115"/>
      <c r="W329" s="116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6"/>
    </row>
    <row r="330" spans="1:38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5"/>
      <c r="U330" s="116"/>
      <c r="V330" s="115"/>
      <c r="W330" s="116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6"/>
    </row>
    <row r="331" spans="1:38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5"/>
      <c r="U331" s="116"/>
      <c r="V331" s="115"/>
      <c r="W331" s="116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6"/>
    </row>
    <row r="332" spans="1:38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5"/>
      <c r="U332" s="116"/>
      <c r="V332" s="115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6"/>
    </row>
    <row r="333" spans="1:38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5"/>
      <c r="U333" s="116"/>
      <c r="V333" s="115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6"/>
    </row>
    <row r="334" spans="1:38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5"/>
      <c r="U334" s="116"/>
      <c r="V334" s="115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6"/>
    </row>
    <row r="335" spans="1:38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5"/>
      <c r="U335" s="116"/>
      <c r="V335" s="115"/>
      <c r="W335" s="116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6"/>
    </row>
    <row r="336" spans="1:38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5"/>
      <c r="U336" s="116"/>
      <c r="V336" s="115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6"/>
    </row>
    <row r="337" spans="1:38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5"/>
      <c r="U337" s="116"/>
      <c r="V337" s="115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6"/>
    </row>
    <row r="338" spans="1:38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5"/>
      <c r="U338" s="116"/>
      <c r="V338" s="115"/>
      <c r="W338" s="116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6"/>
    </row>
    <row r="339" spans="1:38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5"/>
      <c r="U339" s="116"/>
      <c r="V339" s="115"/>
      <c r="W339" s="116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6"/>
    </row>
    <row r="340" spans="1:38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5"/>
      <c r="U340" s="116"/>
      <c r="V340" s="115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6"/>
    </row>
    <row r="341" spans="1:38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5"/>
      <c r="U341" s="116"/>
      <c r="V341" s="115"/>
      <c r="W341" s="116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6"/>
    </row>
    <row r="342" spans="1:38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5"/>
      <c r="U342" s="116"/>
      <c r="V342" s="115"/>
      <c r="W342" s="116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6"/>
    </row>
    <row r="343" spans="1:38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5"/>
      <c r="U343" s="116"/>
      <c r="V343" s="115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6"/>
    </row>
    <row r="344" spans="1:38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5"/>
      <c r="U344" s="116"/>
      <c r="V344" s="115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6"/>
    </row>
    <row r="345" spans="1:38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5"/>
      <c r="U345" s="116"/>
      <c r="V345" s="115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6"/>
    </row>
    <row r="346" spans="1:38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5"/>
      <c r="U346" s="116"/>
      <c r="V346" s="115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6"/>
    </row>
    <row r="347" spans="1:38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5"/>
      <c r="U347" s="116"/>
      <c r="V347" s="115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6"/>
    </row>
    <row r="348" spans="1:38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5"/>
      <c r="U348" s="116"/>
      <c r="V348" s="115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6"/>
    </row>
    <row r="349" spans="1:38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5"/>
      <c r="U349" s="116"/>
      <c r="V349" s="115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6"/>
    </row>
    <row r="350" spans="1:38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5"/>
      <c r="U350" s="116"/>
      <c r="V350" s="115"/>
      <c r="W350" s="116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6"/>
    </row>
    <row r="351" spans="1:38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5"/>
      <c r="U351" s="116"/>
      <c r="V351" s="115"/>
      <c r="W351" s="116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6"/>
    </row>
    <row r="352" spans="1:38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5"/>
      <c r="U352" s="116"/>
      <c r="V352" s="115"/>
      <c r="W352" s="116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6"/>
    </row>
    <row r="353" spans="1:38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5"/>
      <c r="U353" s="116"/>
      <c r="V353" s="115"/>
      <c r="W353" s="116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6"/>
    </row>
    <row r="354" spans="1:38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5"/>
      <c r="U354" s="116"/>
      <c r="V354" s="115"/>
      <c r="W354" s="116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6"/>
    </row>
    <row r="355" spans="1:38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5"/>
      <c r="U355" s="116"/>
      <c r="V355" s="115"/>
      <c r="W355" s="116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6"/>
    </row>
    <row r="356" spans="1:38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5"/>
      <c r="U356" s="116"/>
      <c r="V356" s="115"/>
      <c r="W356" s="116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6"/>
    </row>
    <row r="357" spans="1:38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5"/>
      <c r="U357" s="116"/>
      <c r="V357" s="115"/>
      <c r="W357" s="116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6"/>
    </row>
    <row r="358" spans="1:38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5"/>
      <c r="U358" s="116"/>
      <c r="V358" s="115"/>
      <c r="W358" s="116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6"/>
    </row>
    <row r="359" spans="1:38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5"/>
      <c r="U359" s="116"/>
      <c r="V359" s="115"/>
      <c r="W359" s="116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6"/>
    </row>
    <row r="360" spans="1:38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5"/>
      <c r="U360" s="116"/>
      <c r="V360" s="115"/>
      <c r="W360" s="116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6"/>
    </row>
    <row r="361" spans="1:38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5"/>
      <c r="U361" s="116"/>
      <c r="V361" s="115"/>
      <c r="W361" s="116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6"/>
    </row>
    <row r="362" spans="1:38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5"/>
      <c r="U362" s="116"/>
      <c r="V362" s="115"/>
      <c r="W362" s="116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6"/>
    </row>
    <row r="363" spans="1:38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5"/>
      <c r="U363" s="116"/>
      <c r="V363" s="115"/>
      <c r="W363" s="116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6"/>
    </row>
    <row r="364" spans="1:38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5"/>
      <c r="U364" s="116"/>
      <c r="V364" s="115"/>
      <c r="W364" s="116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6"/>
    </row>
    <row r="365" spans="1:38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5"/>
      <c r="U365" s="116"/>
      <c r="V365" s="115"/>
      <c r="W365" s="116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6"/>
    </row>
    <row r="366" spans="1:38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5"/>
      <c r="U366" s="116"/>
      <c r="V366" s="115"/>
      <c r="W366" s="116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6"/>
    </row>
    <row r="367" spans="1:38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5"/>
      <c r="U367" s="116"/>
      <c r="V367" s="115"/>
      <c r="W367" s="116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6"/>
    </row>
    <row r="368" spans="1:38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5"/>
      <c r="U368" s="116"/>
      <c r="V368" s="115"/>
      <c r="W368" s="116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6"/>
    </row>
    <row r="369" spans="1:38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5"/>
      <c r="U369" s="116"/>
      <c r="V369" s="115"/>
      <c r="W369" s="116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6"/>
    </row>
    <row r="370" spans="1:38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5"/>
      <c r="U370" s="116"/>
      <c r="V370" s="115"/>
      <c r="W370" s="116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6"/>
    </row>
    <row r="371" spans="1:38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5"/>
      <c r="U371" s="116"/>
      <c r="V371" s="115"/>
      <c r="W371" s="116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6"/>
    </row>
    <row r="372" spans="1:38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5"/>
      <c r="U372" s="116"/>
      <c r="V372" s="115"/>
      <c r="W372" s="116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6"/>
    </row>
    <row r="373" spans="1:38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5"/>
      <c r="U373" s="116"/>
      <c r="V373" s="115"/>
      <c r="W373" s="116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6"/>
    </row>
    <row r="374" spans="1:38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5"/>
      <c r="U374" s="116"/>
      <c r="V374" s="115"/>
      <c r="W374" s="116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6"/>
    </row>
    <row r="375" spans="1:38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5"/>
      <c r="U375" s="116"/>
      <c r="V375" s="115"/>
      <c r="W375" s="116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6"/>
    </row>
    <row r="376" spans="1:38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5"/>
      <c r="U376" s="116"/>
      <c r="V376" s="115"/>
      <c r="W376" s="116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6"/>
    </row>
    <row r="377" spans="1:38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5"/>
      <c r="U377" s="116"/>
      <c r="V377" s="115"/>
      <c r="W377" s="116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6"/>
    </row>
    <row r="378" spans="1:38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5"/>
      <c r="U378" s="116"/>
      <c r="V378" s="115"/>
      <c r="W378" s="116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6"/>
    </row>
    <row r="379" spans="1:38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5"/>
      <c r="U379" s="116"/>
      <c r="V379" s="115"/>
      <c r="W379" s="116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6"/>
    </row>
    <row r="380" spans="1:38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5"/>
      <c r="U380" s="116"/>
      <c r="V380" s="115"/>
      <c r="W380" s="116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6"/>
    </row>
    <row r="381" spans="1:38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5"/>
      <c r="U381" s="116"/>
      <c r="V381" s="115"/>
      <c r="W381" s="116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6"/>
    </row>
    <row r="382" spans="1:38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5"/>
      <c r="U382" s="116"/>
      <c r="V382" s="115"/>
      <c r="W382" s="116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6"/>
    </row>
    <row r="383" spans="1:38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5"/>
      <c r="U383" s="116"/>
      <c r="V383" s="115"/>
      <c r="W383" s="116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6"/>
    </row>
    <row r="384" spans="1:38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5"/>
      <c r="U384" s="116"/>
      <c r="V384" s="115"/>
      <c r="W384" s="116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6"/>
    </row>
    <row r="385" spans="1:38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5"/>
      <c r="U385" s="116"/>
      <c r="V385" s="115"/>
      <c r="W385" s="116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6"/>
    </row>
    <row r="386" spans="1:38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5"/>
      <c r="U386" s="116"/>
      <c r="V386" s="115"/>
      <c r="W386" s="116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6"/>
    </row>
    <row r="387" spans="1:38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5"/>
      <c r="U387" s="116"/>
      <c r="V387" s="115"/>
      <c r="W387" s="116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6"/>
    </row>
    <row r="388" spans="1:38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5"/>
      <c r="U388" s="116"/>
      <c r="V388" s="115"/>
      <c r="W388" s="116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6"/>
    </row>
    <row r="389" spans="1:38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5"/>
      <c r="U389" s="116"/>
      <c r="V389" s="115"/>
      <c r="W389" s="116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6"/>
    </row>
    <row r="390" spans="1:38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5"/>
      <c r="U390" s="116"/>
      <c r="V390" s="115"/>
      <c r="W390" s="116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6"/>
    </row>
    <row r="391" spans="1:38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5"/>
      <c r="U391" s="116"/>
      <c r="V391" s="115"/>
      <c r="W391" s="116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6"/>
    </row>
    <row r="392" spans="1:38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5"/>
      <c r="U392" s="116"/>
      <c r="V392" s="115"/>
      <c r="W392" s="116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6"/>
    </row>
    <row r="393" spans="1:38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5"/>
      <c r="U393" s="116"/>
      <c r="V393" s="115"/>
      <c r="W393" s="116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6"/>
    </row>
    <row r="394" spans="1:38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5"/>
      <c r="U394" s="116"/>
      <c r="V394" s="115"/>
      <c r="W394" s="116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6"/>
    </row>
    <row r="395" spans="1:38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5"/>
      <c r="U395" s="116"/>
      <c r="V395" s="115"/>
      <c r="W395" s="116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6"/>
    </row>
    <row r="396" spans="1:38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5"/>
      <c r="U396" s="116"/>
      <c r="V396" s="115"/>
      <c r="W396" s="116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6"/>
    </row>
    <row r="397" spans="1:38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5"/>
      <c r="U397" s="116"/>
      <c r="V397" s="115"/>
      <c r="W397" s="116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6"/>
    </row>
    <row r="398" spans="1:38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5"/>
      <c r="U398" s="116"/>
      <c r="V398" s="115"/>
      <c r="W398" s="116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6"/>
    </row>
    <row r="399" spans="1:38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5"/>
      <c r="U399" s="116"/>
      <c r="V399" s="115"/>
      <c r="W399" s="116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6"/>
    </row>
    <row r="400" spans="1:38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5"/>
      <c r="U400" s="116"/>
      <c r="V400" s="115"/>
      <c r="W400" s="116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6"/>
    </row>
    <row r="401" spans="1:38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5"/>
      <c r="U401" s="116"/>
      <c r="V401" s="115"/>
      <c r="W401" s="116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6"/>
    </row>
    <row r="402" spans="1:38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5"/>
      <c r="U402" s="116"/>
      <c r="V402" s="115"/>
      <c r="W402" s="116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6"/>
    </row>
    <row r="403" spans="1:38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5"/>
      <c r="U403" s="116"/>
      <c r="V403" s="115"/>
      <c r="W403" s="116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6"/>
    </row>
    <row r="404" spans="1:38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5"/>
      <c r="U404" s="116"/>
      <c r="V404" s="115"/>
      <c r="W404" s="116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6"/>
    </row>
    <row r="405" spans="1:38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5"/>
      <c r="U405" s="116"/>
      <c r="V405" s="115"/>
      <c r="W405" s="116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6"/>
    </row>
    <row r="406" spans="1:38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5"/>
      <c r="U406" s="116"/>
      <c r="V406" s="115"/>
      <c r="W406" s="116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6"/>
    </row>
    <row r="407" spans="1:38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5"/>
      <c r="U407" s="116"/>
      <c r="V407" s="115"/>
      <c r="W407" s="116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6"/>
    </row>
    <row r="408" spans="1:38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5"/>
      <c r="U408" s="116"/>
      <c r="V408" s="115"/>
      <c r="W408" s="116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6"/>
    </row>
    <row r="409" spans="1:38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5"/>
      <c r="U409" s="116"/>
      <c r="V409" s="115"/>
      <c r="W409" s="116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6"/>
    </row>
    <row r="410" spans="1:38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5"/>
      <c r="U410" s="116"/>
      <c r="V410" s="115"/>
      <c r="W410" s="116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6"/>
    </row>
    <row r="411" spans="1:38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5"/>
      <c r="U411" s="116"/>
      <c r="V411" s="115"/>
      <c r="W411" s="116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6"/>
    </row>
    <row r="412" spans="1:38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5"/>
      <c r="U412" s="116"/>
      <c r="V412" s="115"/>
      <c r="W412" s="116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6"/>
    </row>
    <row r="413" spans="1:38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5"/>
      <c r="U413" s="116"/>
      <c r="V413" s="115"/>
      <c r="W413" s="116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6"/>
    </row>
    <row r="414" spans="1:38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5"/>
      <c r="U414" s="116"/>
      <c r="V414" s="115"/>
      <c r="W414" s="116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6"/>
    </row>
    <row r="415" spans="1:38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5"/>
      <c r="U415" s="116"/>
      <c r="V415" s="115"/>
      <c r="W415" s="116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6"/>
    </row>
    <row r="416" spans="1:38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5"/>
      <c r="U416" s="116"/>
      <c r="V416" s="115"/>
      <c r="W416" s="116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6"/>
    </row>
    <row r="417" spans="1:38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5"/>
      <c r="U417" s="116"/>
      <c r="V417" s="115"/>
      <c r="W417" s="116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6"/>
    </row>
    <row r="418" spans="1:38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5"/>
      <c r="U418" s="116"/>
      <c r="V418" s="115"/>
      <c r="W418" s="116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6"/>
    </row>
    <row r="419" spans="1:38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5"/>
      <c r="U419" s="116"/>
      <c r="V419" s="115"/>
      <c r="W419" s="116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6"/>
    </row>
    <row r="420" spans="1:38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5"/>
      <c r="U420" s="116"/>
      <c r="V420" s="115"/>
      <c r="W420" s="116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6"/>
    </row>
    <row r="421" spans="1:38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5"/>
      <c r="U421" s="116"/>
      <c r="V421" s="115"/>
      <c r="W421" s="116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6"/>
    </row>
    <row r="422" spans="1:38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5"/>
      <c r="U422" s="116"/>
      <c r="V422" s="115"/>
      <c r="W422" s="116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6"/>
    </row>
    <row r="423" spans="1:38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5"/>
      <c r="U423" s="116"/>
      <c r="V423" s="115"/>
      <c r="W423" s="116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6"/>
    </row>
    <row r="424" spans="1:38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5"/>
      <c r="U424" s="116"/>
      <c r="V424" s="115"/>
      <c r="W424" s="116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6"/>
    </row>
    <row r="425" spans="1:38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5"/>
      <c r="U425" s="116"/>
      <c r="V425" s="115"/>
      <c r="W425" s="116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6"/>
    </row>
    <row r="426" spans="1:38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5"/>
      <c r="U426" s="116"/>
      <c r="V426" s="115"/>
      <c r="W426" s="116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6"/>
    </row>
    <row r="427" spans="1:38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5"/>
      <c r="U427" s="116"/>
      <c r="V427" s="115"/>
      <c r="W427" s="116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6"/>
    </row>
    <row r="428" spans="1:38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5"/>
      <c r="U428" s="116"/>
      <c r="V428" s="115"/>
      <c r="W428" s="116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6"/>
    </row>
    <row r="429" spans="1:38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5"/>
      <c r="U429" s="116"/>
      <c r="V429" s="115"/>
      <c r="W429" s="116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6"/>
    </row>
    <row r="430" spans="1:38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5"/>
      <c r="U430" s="116"/>
      <c r="V430" s="115"/>
      <c r="W430" s="116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6"/>
    </row>
    <row r="431" spans="1:38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5"/>
      <c r="U431" s="116"/>
      <c r="V431" s="115"/>
      <c r="W431" s="116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6"/>
    </row>
    <row r="432" spans="1:38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5"/>
      <c r="U432" s="116"/>
      <c r="V432" s="115"/>
      <c r="W432" s="116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6"/>
    </row>
    <row r="433" spans="1:38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5"/>
      <c r="U433" s="116"/>
      <c r="V433" s="115"/>
      <c r="W433" s="116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6"/>
    </row>
    <row r="434" spans="1:38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5"/>
      <c r="U434" s="116"/>
      <c r="V434" s="115"/>
      <c r="W434" s="116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6"/>
    </row>
    <row r="435" spans="1:38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5"/>
      <c r="U435" s="116"/>
      <c r="V435" s="115"/>
      <c r="W435" s="116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6"/>
    </row>
    <row r="436" spans="1:38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5"/>
      <c r="U436" s="116"/>
      <c r="V436" s="115"/>
      <c r="W436" s="116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6"/>
    </row>
    <row r="437" spans="1:38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5"/>
      <c r="U437" s="116"/>
      <c r="V437" s="115"/>
      <c r="W437" s="116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6"/>
    </row>
    <row r="438" spans="1:38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5"/>
      <c r="U438" s="116"/>
      <c r="V438" s="115"/>
      <c r="W438" s="116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6"/>
    </row>
    <row r="439" spans="1:38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5"/>
      <c r="U439" s="116"/>
      <c r="V439" s="115"/>
      <c r="W439" s="116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6"/>
    </row>
    <row r="440" spans="1:38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5"/>
      <c r="U440" s="116"/>
      <c r="V440" s="115"/>
      <c r="W440" s="116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6"/>
    </row>
    <row r="441" spans="1:38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5"/>
      <c r="U441" s="116"/>
      <c r="V441" s="115"/>
      <c r="W441" s="116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6"/>
    </row>
    <row r="442" spans="1:38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5"/>
      <c r="U442" s="116"/>
      <c r="V442" s="115"/>
      <c r="W442" s="116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6"/>
    </row>
    <row r="443" spans="1:38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5"/>
      <c r="U443" s="116"/>
      <c r="V443" s="115"/>
      <c r="W443" s="116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6"/>
    </row>
    <row r="444" spans="1:38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5"/>
      <c r="U444" s="116"/>
      <c r="V444" s="115"/>
      <c r="W444" s="116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6"/>
    </row>
    <row r="445" spans="1:38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5"/>
      <c r="U445" s="116"/>
      <c r="V445" s="115"/>
      <c r="W445" s="116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6"/>
    </row>
    <row r="446" spans="1:38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5"/>
      <c r="U446" s="116"/>
      <c r="V446" s="115"/>
      <c r="W446" s="116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6"/>
    </row>
    <row r="447" spans="1:38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5"/>
      <c r="U447" s="116"/>
      <c r="V447" s="115"/>
      <c r="W447" s="116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6"/>
    </row>
    <row r="448" spans="1:38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5"/>
      <c r="U448" s="116"/>
      <c r="V448" s="115"/>
      <c r="W448" s="116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6"/>
    </row>
    <row r="449" spans="1:38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5"/>
      <c r="U449" s="116"/>
      <c r="V449" s="115"/>
      <c r="W449" s="116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6"/>
    </row>
    <row r="450" spans="1:38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5"/>
      <c r="U450" s="116"/>
      <c r="V450" s="115"/>
      <c r="W450" s="116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6"/>
    </row>
    <row r="451" spans="1:38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5"/>
      <c r="U451" s="116"/>
      <c r="V451" s="115"/>
      <c r="W451" s="116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6"/>
    </row>
    <row r="452" spans="1:38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5"/>
      <c r="U452" s="116"/>
      <c r="V452" s="115"/>
      <c r="W452" s="116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6"/>
    </row>
    <row r="453" spans="1:38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5"/>
      <c r="U453" s="116"/>
      <c r="V453" s="115"/>
      <c r="W453" s="116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6"/>
    </row>
    <row r="454" spans="1:38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5"/>
      <c r="U454" s="116"/>
      <c r="V454" s="115"/>
      <c r="W454" s="116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6"/>
    </row>
    <row r="455" spans="1:38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5"/>
      <c r="U455" s="116"/>
      <c r="V455" s="115"/>
      <c r="W455" s="116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6"/>
    </row>
    <row r="456" spans="1:38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5"/>
      <c r="U456" s="116"/>
      <c r="V456" s="115"/>
      <c r="W456" s="116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6"/>
    </row>
    <row r="457" spans="1:38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5"/>
      <c r="U457" s="116"/>
      <c r="V457" s="115"/>
      <c r="W457" s="116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6"/>
    </row>
    <row r="458" spans="1:38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5"/>
      <c r="U458" s="116"/>
      <c r="V458" s="115"/>
      <c r="W458" s="116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6"/>
    </row>
    <row r="459" spans="1:38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5"/>
      <c r="U459" s="116"/>
      <c r="V459" s="115"/>
      <c r="W459" s="116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6"/>
    </row>
    <row r="460" spans="1:38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5"/>
      <c r="U460" s="116"/>
      <c r="V460" s="115"/>
      <c r="W460" s="116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6"/>
    </row>
    <row r="461" spans="1:38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5"/>
      <c r="U461" s="116"/>
      <c r="V461" s="115"/>
      <c r="W461" s="116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6"/>
    </row>
    <row r="462" spans="1:38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5"/>
      <c r="U462" s="116"/>
      <c r="V462" s="115"/>
      <c r="W462" s="116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6"/>
    </row>
    <row r="463" spans="1:38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5"/>
      <c r="U463" s="116"/>
      <c r="V463" s="115"/>
      <c r="W463" s="116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6"/>
    </row>
    <row r="464" spans="1:38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5"/>
      <c r="U464" s="116"/>
      <c r="V464" s="115"/>
      <c r="W464" s="116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6"/>
    </row>
    <row r="465" spans="1:38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5"/>
      <c r="U465" s="116"/>
      <c r="V465" s="115"/>
      <c r="W465" s="116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6"/>
    </row>
    <row r="466" spans="1:38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5"/>
      <c r="U466" s="116"/>
      <c r="V466" s="115"/>
      <c r="W466" s="116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6"/>
    </row>
    <row r="467" spans="1:38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5"/>
      <c r="U467" s="116"/>
      <c r="V467" s="115"/>
      <c r="W467" s="116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6"/>
    </row>
    <row r="468" spans="1:38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5"/>
      <c r="U468" s="116"/>
      <c r="V468" s="115"/>
      <c r="W468" s="116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6"/>
    </row>
    <row r="469" spans="1:38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5"/>
      <c r="U469" s="116"/>
      <c r="V469" s="115"/>
      <c r="W469" s="116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6"/>
    </row>
    <row r="470" spans="1:38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5"/>
      <c r="U470" s="116"/>
      <c r="V470" s="115"/>
      <c r="W470" s="116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6"/>
    </row>
    <row r="471" spans="1:38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5"/>
      <c r="U471" s="116"/>
      <c r="V471" s="115"/>
      <c r="W471" s="116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6"/>
    </row>
    <row r="472" spans="1:38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5"/>
      <c r="U472" s="116"/>
      <c r="V472" s="115"/>
      <c r="W472" s="116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6"/>
    </row>
    <row r="473" spans="1:38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5"/>
      <c r="U473" s="116"/>
      <c r="V473" s="115"/>
      <c r="W473" s="116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6"/>
    </row>
    <row r="474" spans="1:38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5"/>
      <c r="U474" s="116"/>
      <c r="V474" s="115"/>
      <c r="W474" s="116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6"/>
    </row>
    <row r="475" spans="1:38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5"/>
      <c r="U475" s="116"/>
      <c r="V475" s="115"/>
      <c r="W475" s="116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6"/>
    </row>
    <row r="476" spans="1:38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5"/>
      <c r="U476" s="116"/>
      <c r="V476" s="115"/>
      <c r="W476" s="116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6"/>
    </row>
    <row r="477" spans="1:38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5"/>
      <c r="U477" s="116"/>
      <c r="V477" s="115"/>
      <c r="W477" s="116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6"/>
    </row>
    <row r="478" spans="1:38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5"/>
      <c r="U478" s="116"/>
      <c r="V478" s="115"/>
      <c r="W478" s="116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6"/>
    </row>
    <row r="479" spans="1:38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5"/>
      <c r="U479" s="116"/>
      <c r="V479" s="115"/>
      <c r="W479" s="116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6"/>
    </row>
    <row r="480" spans="1:38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5"/>
      <c r="U480" s="116"/>
      <c r="V480" s="115"/>
      <c r="W480" s="116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6"/>
    </row>
    <row r="481" spans="1:38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5"/>
      <c r="U481" s="116"/>
      <c r="V481" s="115"/>
      <c r="W481" s="116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6"/>
    </row>
    <row r="482" spans="1:38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5"/>
      <c r="U482" s="116"/>
      <c r="V482" s="115"/>
      <c r="W482" s="116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6"/>
    </row>
    <row r="483" spans="1:38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5"/>
      <c r="U483" s="116"/>
      <c r="V483" s="115"/>
      <c r="W483" s="116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6"/>
    </row>
    <row r="484" spans="1:38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5"/>
      <c r="U484" s="116"/>
      <c r="V484" s="115"/>
      <c r="W484" s="116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6"/>
    </row>
    <row r="485" spans="1:38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5"/>
      <c r="U485" s="116"/>
      <c r="V485" s="115"/>
      <c r="W485" s="116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6"/>
    </row>
    <row r="486" spans="1:38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5"/>
      <c r="U486" s="116"/>
      <c r="V486" s="115"/>
      <c r="W486" s="116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6"/>
    </row>
    <row r="487" spans="1:38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5"/>
      <c r="U487" s="116"/>
      <c r="V487" s="115"/>
      <c r="W487" s="116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6"/>
    </row>
    <row r="488" spans="1:38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5"/>
      <c r="U488" s="116"/>
      <c r="V488" s="115"/>
      <c r="W488" s="116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6"/>
    </row>
    <row r="489" spans="1:38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5"/>
      <c r="U489" s="116"/>
      <c r="V489" s="115"/>
      <c r="W489" s="116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6"/>
    </row>
    <row r="490" spans="1:38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5"/>
      <c r="U490" s="116"/>
      <c r="V490" s="115"/>
      <c r="W490" s="116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6"/>
    </row>
    <row r="491" spans="1:38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5"/>
      <c r="U491" s="116"/>
      <c r="V491" s="115"/>
      <c r="W491" s="116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6"/>
    </row>
    <row r="492" spans="1:38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5"/>
      <c r="U492" s="116"/>
      <c r="V492" s="115"/>
      <c r="W492" s="116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6"/>
    </row>
    <row r="493" spans="1:38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5"/>
      <c r="U493" s="116"/>
      <c r="V493" s="115"/>
      <c r="W493" s="116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6"/>
    </row>
    <row r="494" spans="1:38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5"/>
      <c r="U494" s="116"/>
      <c r="V494" s="115"/>
      <c r="W494" s="116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6"/>
    </row>
    <row r="495" spans="1:38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5"/>
      <c r="U495" s="116"/>
      <c r="V495" s="115"/>
      <c r="W495" s="116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6"/>
    </row>
    <row r="496" spans="1:38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5"/>
      <c r="U496" s="116"/>
      <c r="V496" s="115"/>
      <c r="W496" s="116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6"/>
    </row>
    <row r="497" spans="1:38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5"/>
      <c r="U497" s="116"/>
      <c r="V497" s="115"/>
      <c r="W497" s="116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6"/>
    </row>
    <row r="498" spans="1:38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5"/>
      <c r="U498" s="116"/>
      <c r="V498" s="115"/>
      <c r="W498" s="116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6"/>
    </row>
    <row r="499" spans="1:38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5"/>
      <c r="U499" s="116"/>
      <c r="V499" s="115"/>
      <c r="W499" s="116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6"/>
    </row>
    <row r="500" spans="1:38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5"/>
      <c r="U500" s="116"/>
      <c r="V500" s="115"/>
      <c r="W500" s="116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6"/>
    </row>
    <row r="501" spans="1:38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5"/>
      <c r="U501" s="116"/>
      <c r="V501" s="115"/>
      <c r="W501" s="116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6"/>
    </row>
    <row r="502" spans="1:38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5"/>
      <c r="U502" s="116"/>
      <c r="V502" s="115"/>
      <c r="W502" s="116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6"/>
    </row>
    <row r="503" spans="1:38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5"/>
      <c r="U503" s="116"/>
      <c r="V503" s="115"/>
      <c r="W503" s="116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6"/>
    </row>
    <row r="504" spans="1:38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5"/>
      <c r="U504" s="116"/>
      <c r="V504" s="115"/>
      <c r="W504" s="116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6"/>
    </row>
    <row r="505" spans="1:38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5"/>
      <c r="U505" s="116"/>
      <c r="V505" s="115"/>
      <c r="W505" s="116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6"/>
    </row>
    <row r="506" spans="1:38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5"/>
      <c r="U506" s="116"/>
      <c r="V506" s="115"/>
      <c r="W506" s="116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6"/>
    </row>
    <row r="507" spans="1:38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5"/>
      <c r="U507" s="116"/>
      <c r="V507" s="115"/>
      <c r="W507" s="116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6"/>
    </row>
    <row r="508" spans="1:38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5"/>
      <c r="U508" s="116"/>
      <c r="V508" s="115"/>
      <c r="W508" s="116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6"/>
    </row>
    <row r="509" spans="1:38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5"/>
      <c r="U509" s="116"/>
      <c r="V509" s="115"/>
      <c r="W509" s="116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6"/>
    </row>
    <row r="510" spans="1:38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5"/>
      <c r="U510" s="116"/>
      <c r="V510" s="115"/>
      <c r="W510" s="116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6"/>
    </row>
    <row r="511" spans="1:38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5"/>
      <c r="U511" s="116"/>
      <c r="V511" s="115"/>
      <c r="W511" s="116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6"/>
    </row>
    <row r="512" spans="1:38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5"/>
      <c r="U512" s="116"/>
      <c r="V512" s="115"/>
      <c r="W512" s="116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6"/>
    </row>
    <row r="513" spans="1:38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5"/>
      <c r="U513" s="116"/>
      <c r="V513" s="115"/>
      <c r="W513" s="116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6"/>
    </row>
    <row r="514" spans="1:38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5"/>
      <c r="U514" s="116"/>
      <c r="V514" s="115"/>
      <c r="W514" s="116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6"/>
    </row>
    <row r="515" spans="1:38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5"/>
      <c r="U515" s="116"/>
      <c r="V515" s="115"/>
      <c r="W515" s="116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6"/>
    </row>
    <row r="516" spans="1:38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5"/>
      <c r="U516" s="116"/>
      <c r="V516" s="115"/>
      <c r="W516" s="116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6"/>
    </row>
    <row r="517" spans="1:38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5"/>
      <c r="U517" s="116"/>
      <c r="V517" s="115"/>
      <c r="W517" s="116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6"/>
    </row>
    <row r="518" spans="1:38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5"/>
      <c r="U518" s="116"/>
      <c r="V518" s="115"/>
      <c r="W518" s="116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6"/>
    </row>
    <row r="519" spans="1:38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5"/>
      <c r="U519" s="116"/>
      <c r="V519" s="115"/>
      <c r="W519" s="116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6"/>
    </row>
    <row r="520" spans="1:38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5"/>
      <c r="U520" s="116"/>
      <c r="V520" s="115"/>
      <c r="W520" s="116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6"/>
    </row>
    <row r="521" spans="1:38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5"/>
      <c r="U521" s="116"/>
      <c r="V521" s="115"/>
      <c r="W521" s="116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6"/>
    </row>
    <row r="522" spans="1:38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5"/>
      <c r="U522" s="116"/>
      <c r="V522" s="115"/>
      <c r="W522" s="116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6"/>
    </row>
    <row r="523" spans="1:38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5"/>
      <c r="U523" s="116"/>
      <c r="V523" s="115"/>
      <c r="W523" s="116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6"/>
    </row>
    <row r="524" spans="1:38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5"/>
      <c r="U524" s="116"/>
      <c r="V524" s="115"/>
      <c r="W524" s="116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6"/>
    </row>
    <row r="525" spans="1:38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5"/>
      <c r="U525" s="116"/>
      <c r="V525" s="115"/>
      <c r="W525" s="116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6"/>
    </row>
    <row r="526" spans="1:38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5"/>
      <c r="U526" s="116"/>
      <c r="V526" s="115"/>
      <c r="W526" s="116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6"/>
    </row>
    <row r="527" spans="1:38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5"/>
      <c r="U527" s="116"/>
      <c r="V527" s="115"/>
      <c r="W527" s="116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6"/>
    </row>
    <row r="528" spans="1:38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5"/>
      <c r="U528" s="116"/>
      <c r="V528" s="115"/>
      <c r="W528" s="116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6"/>
    </row>
    <row r="529" spans="1:38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5"/>
      <c r="U529" s="116"/>
      <c r="V529" s="115"/>
      <c r="W529" s="116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6"/>
    </row>
    <row r="530" spans="1:38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5"/>
      <c r="U530" s="116"/>
      <c r="V530" s="115"/>
      <c r="W530" s="116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6"/>
    </row>
    <row r="531" spans="1:38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5"/>
      <c r="U531" s="116"/>
      <c r="V531" s="115"/>
      <c r="W531" s="116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6"/>
    </row>
    <row r="532" spans="1:38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5"/>
      <c r="U532" s="116"/>
      <c r="V532" s="115"/>
      <c r="W532" s="116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6"/>
    </row>
    <row r="533" spans="1:38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5"/>
      <c r="U533" s="116"/>
      <c r="V533" s="115"/>
      <c r="W533" s="116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6"/>
    </row>
    <row r="534" spans="1:38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5"/>
      <c r="U534" s="116"/>
      <c r="V534" s="115"/>
      <c r="W534" s="116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6"/>
    </row>
    <row r="535" spans="1:38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5"/>
      <c r="U535" s="116"/>
      <c r="V535" s="115"/>
      <c r="W535" s="116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6"/>
    </row>
    <row r="536" spans="1:38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5"/>
      <c r="U536" s="116"/>
      <c r="V536" s="115"/>
      <c r="W536" s="116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6"/>
    </row>
    <row r="537" spans="1:38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5"/>
      <c r="U537" s="116"/>
      <c r="V537" s="115"/>
      <c r="W537" s="116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6"/>
    </row>
    <row r="538" spans="1:38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5"/>
      <c r="U538" s="116"/>
      <c r="V538" s="115"/>
      <c r="W538" s="116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6"/>
    </row>
    <row r="539" spans="1:38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5"/>
      <c r="U539" s="116"/>
      <c r="V539" s="115"/>
      <c r="W539" s="116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6"/>
    </row>
    <row r="540" spans="1:38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5"/>
      <c r="U540" s="116"/>
      <c r="V540" s="115"/>
      <c r="W540" s="116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6"/>
    </row>
    <row r="541" spans="1:38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5"/>
      <c r="U541" s="116"/>
      <c r="V541" s="115"/>
      <c r="W541" s="116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6"/>
    </row>
    <row r="542" spans="1:38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5"/>
      <c r="U542" s="116"/>
      <c r="V542" s="115"/>
      <c r="W542" s="116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6"/>
    </row>
    <row r="543" spans="1:38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5"/>
      <c r="U543" s="116"/>
      <c r="V543" s="115"/>
      <c r="W543" s="116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6"/>
    </row>
    <row r="544" spans="1:38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5"/>
      <c r="U544" s="116"/>
      <c r="V544" s="115"/>
      <c r="W544" s="116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6"/>
    </row>
    <row r="545" spans="1:38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5"/>
      <c r="U545" s="116"/>
      <c r="V545" s="115"/>
      <c r="W545" s="116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6"/>
    </row>
    <row r="546" spans="1:38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5"/>
      <c r="U546" s="116"/>
      <c r="V546" s="115"/>
      <c r="W546" s="116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6"/>
    </row>
    <row r="547" spans="1:38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5"/>
      <c r="U547" s="116"/>
      <c r="V547" s="115"/>
      <c r="W547" s="116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6"/>
    </row>
    <row r="548" spans="1:38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5"/>
      <c r="U548" s="116"/>
      <c r="V548" s="115"/>
      <c r="W548" s="116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6"/>
    </row>
    <row r="549" spans="1:38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5"/>
      <c r="U549" s="116"/>
      <c r="V549" s="115"/>
      <c r="W549" s="116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6"/>
    </row>
    <row r="550" spans="1:38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5"/>
      <c r="U550" s="116"/>
      <c r="V550" s="115"/>
      <c r="W550" s="116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6"/>
    </row>
    <row r="551" spans="1:38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5"/>
      <c r="U551" s="116"/>
      <c r="V551" s="115"/>
      <c r="W551" s="116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6"/>
    </row>
    <row r="552" spans="1:38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5"/>
      <c r="U552" s="116"/>
      <c r="V552" s="115"/>
      <c r="W552" s="116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6"/>
    </row>
    <row r="553" spans="1:38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5"/>
      <c r="U553" s="116"/>
      <c r="V553" s="115"/>
      <c r="W553" s="116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6"/>
    </row>
    <row r="554" spans="1:38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5"/>
      <c r="U554" s="116"/>
      <c r="V554" s="115"/>
      <c r="W554" s="116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6"/>
    </row>
    <row r="555" spans="1:38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5"/>
      <c r="U555" s="116"/>
      <c r="V555" s="115"/>
      <c r="W555" s="116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6"/>
    </row>
    <row r="556" spans="1:38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5"/>
      <c r="U556" s="116"/>
      <c r="V556" s="115"/>
      <c r="W556" s="116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6"/>
    </row>
    <row r="557" spans="1:38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5"/>
      <c r="U557" s="116"/>
      <c r="V557" s="115"/>
      <c r="W557" s="116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6"/>
    </row>
    <row r="558" spans="1:38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5"/>
      <c r="U558" s="116"/>
      <c r="V558" s="115"/>
      <c r="W558" s="116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6"/>
    </row>
    <row r="559" spans="1:38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5"/>
      <c r="U559" s="116"/>
      <c r="V559" s="115"/>
      <c r="W559" s="116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6"/>
    </row>
    <row r="560" spans="1:38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5"/>
      <c r="U560" s="116"/>
      <c r="V560" s="115"/>
      <c r="W560" s="116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6"/>
    </row>
    <row r="561" spans="1:38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5"/>
      <c r="U561" s="116"/>
      <c r="V561" s="115"/>
      <c r="W561" s="116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6"/>
    </row>
    <row r="562" spans="1:38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5"/>
      <c r="U562" s="116"/>
      <c r="V562" s="115"/>
      <c r="W562" s="116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6"/>
    </row>
    <row r="563" spans="1:38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5"/>
      <c r="U563" s="116"/>
      <c r="V563" s="115"/>
      <c r="W563" s="116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6"/>
    </row>
    <row r="564" spans="1:38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5"/>
      <c r="U564" s="116"/>
      <c r="V564" s="115"/>
      <c r="W564" s="116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6"/>
    </row>
    <row r="565" spans="1:38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5"/>
      <c r="U565" s="116"/>
      <c r="V565" s="115"/>
      <c r="W565" s="116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6"/>
    </row>
    <row r="566" spans="1:38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5"/>
      <c r="U566" s="116"/>
      <c r="V566" s="115"/>
      <c r="W566" s="116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6"/>
    </row>
    <row r="567" spans="1:38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5"/>
      <c r="U567" s="116"/>
      <c r="V567" s="115"/>
      <c r="W567" s="116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6"/>
    </row>
    <row r="568" spans="1:38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5"/>
      <c r="U568" s="116"/>
      <c r="V568" s="115"/>
      <c r="W568" s="116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6"/>
    </row>
    <row r="569" spans="1:38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5"/>
      <c r="U569" s="116"/>
      <c r="V569" s="115"/>
      <c r="W569" s="116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6"/>
    </row>
    <row r="570" spans="1:38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5"/>
      <c r="U570" s="116"/>
      <c r="V570" s="115"/>
      <c r="W570" s="116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6"/>
    </row>
    <row r="571" spans="1:38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5"/>
      <c r="U571" s="116"/>
      <c r="V571" s="115"/>
      <c r="W571" s="116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6"/>
    </row>
    <row r="572" spans="1:38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5"/>
      <c r="U572" s="116"/>
      <c r="V572" s="115"/>
      <c r="W572" s="116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6"/>
    </row>
    <row r="573" spans="1:38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5"/>
      <c r="U573" s="116"/>
      <c r="V573" s="115"/>
      <c r="W573" s="116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6"/>
    </row>
    <row r="574" spans="1:38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5"/>
      <c r="U574" s="116"/>
      <c r="V574" s="115"/>
      <c r="W574" s="116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6"/>
    </row>
    <row r="575" spans="1:38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5"/>
      <c r="U575" s="116"/>
      <c r="V575" s="115"/>
      <c r="W575" s="116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6"/>
    </row>
    <row r="576" spans="1:38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5"/>
      <c r="U576" s="116"/>
      <c r="V576" s="115"/>
      <c r="W576" s="116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6"/>
    </row>
    <row r="577" spans="1:38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5"/>
      <c r="U577" s="116"/>
      <c r="V577" s="115"/>
      <c r="W577" s="116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6"/>
    </row>
    <row r="578" spans="1:38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5"/>
      <c r="U578" s="116"/>
      <c r="V578" s="115"/>
      <c r="W578" s="116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6"/>
    </row>
    <row r="579" spans="1:38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5"/>
      <c r="U579" s="116"/>
      <c r="V579" s="115"/>
      <c r="W579" s="116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6"/>
    </row>
    <row r="580" spans="1:38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5"/>
      <c r="U580" s="116"/>
      <c r="V580" s="115"/>
      <c r="W580" s="116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6"/>
    </row>
    <row r="581" spans="1:38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5"/>
      <c r="U581" s="116"/>
      <c r="V581" s="115"/>
      <c r="W581" s="116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6"/>
    </row>
    <row r="582" spans="1:38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5"/>
      <c r="U582" s="116"/>
      <c r="V582" s="115"/>
      <c r="W582" s="116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6"/>
    </row>
    <row r="583" spans="1:38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5"/>
      <c r="U583" s="116"/>
      <c r="V583" s="115"/>
      <c r="W583" s="116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6"/>
    </row>
    <row r="584" spans="1:38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5"/>
      <c r="U584" s="116"/>
      <c r="V584" s="115"/>
      <c r="W584" s="116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6"/>
    </row>
    <row r="585" spans="1:38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5"/>
      <c r="U585" s="116"/>
      <c r="V585" s="115"/>
      <c r="W585" s="116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6"/>
    </row>
    <row r="586" spans="1:38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5"/>
      <c r="U586" s="116"/>
      <c r="V586" s="115"/>
      <c r="W586" s="116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6"/>
    </row>
    <row r="587" spans="1:38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5"/>
      <c r="U587" s="116"/>
      <c r="V587" s="115"/>
      <c r="W587" s="116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6"/>
    </row>
    <row r="588" spans="1:38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5"/>
      <c r="U588" s="116"/>
      <c r="V588" s="115"/>
      <c r="W588" s="116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6"/>
    </row>
    <row r="589" spans="1:38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5"/>
      <c r="U589" s="116"/>
      <c r="V589" s="115"/>
      <c r="W589" s="116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6"/>
    </row>
    <row r="590" spans="1:38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5"/>
      <c r="U590" s="116"/>
      <c r="V590" s="115"/>
      <c r="W590" s="116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6"/>
    </row>
    <row r="591" spans="1:38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5"/>
      <c r="U591" s="116"/>
      <c r="V591" s="115"/>
      <c r="W591" s="116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6"/>
    </row>
    <row r="592" spans="1:38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5"/>
      <c r="U592" s="116"/>
      <c r="V592" s="115"/>
      <c r="W592" s="116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6"/>
    </row>
    <row r="593" spans="1:38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5"/>
      <c r="U593" s="116"/>
      <c r="V593" s="115"/>
      <c r="W593" s="116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6"/>
    </row>
    <row r="594" spans="1:38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5"/>
      <c r="U594" s="116"/>
      <c r="V594" s="115"/>
      <c r="W594" s="116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6"/>
    </row>
    <row r="595" spans="1:38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5"/>
      <c r="U595" s="116"/>
      <c r="V595" s="115"/>
      <c r="W595" s="116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6"/>
    </row>
    <row r="596" spans="1:38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5"/>
      <c r="U596" s="116"/>
      <c r="V596" s="115"/>
      <c r="W596" s="116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6"/>
    </row>
    <row r="597" spans="1:38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5"/>
      <c r="U597" s="116"/>
      <c r="V597" s="115"/>
      <c r="W597" s="116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6"/>
    </row>
    <row r="598" spans="1:38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5"/>
      <c r="U598" s="116"/>
      <c r="V598" s="115"/>
      <c r="W598" s="116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6"/>
    </row>
    <row r="599" spans="1:38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5"/>
      <c r="U599" s="116"/>
      <c r="V599" s="115"/>
      <c r="W599" s="116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6"/>
    </row>
    <row r="600" spans="1:38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5"/>
      <c r="U600" s="116"/>
      <c r="V600" s="115"/>
      <c r="W600" s="116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6"/>
    </row>
    <row r="601" spans="1:38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5"/>
      <c r="U601" s="116"/>
      <c r="V601" s="115"/>
      <c r="W601" s="116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6"/>
    </row>
    <row r="602" spans="1:38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5"/>
      <c r="U602" s="116"/>
      <c r="V602" s="115"/>
      <c r="W602" s="116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6"/>
    </row>
    <row r="603" spans="1:38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5"/>
      <c r="U603" s="116"/>
      <c r="V603" s="115"/>
      <c r="W603" s="116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6"/>
    </row>
    <row r="604" spans="1:38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5"/>
      <c r="U604" s="116"/>
      <c r="V604" s="115"/>
      <c r="W604" s="116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6"/>
    </row>
    <row r="605" spans="1:38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5"/>
      <c r="U605" s="116"/>
      <c r="V605" s="115"/>
      <c r="W605" s="116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6"/>
    </row>
    <row r="606" spans="1:38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5"/>
      <c r="U606" s="116"/>
      <c r="V606" s="115"/>
      <c r="W606" s="116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6"/>
    </row>
    <row r="607" spans="1:38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5"/>
      <c r="U607" s="116"/>
      <c r="V607" s="115"/>
      <c r="W607" s="116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6"/>
    </row>
    <row r="608" spans="1:38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5"/>
      <c r="U608" s="116"/>
      <c r="V608" s="115"/>
      <c r="W608" s="116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6"/>
    </row>
    <row r="609" spans="1:38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5"/>
      <c r="U609" s="116"/>
      <c r="V609" s="115"/>
      <c r="W609" s="116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6"/>
    </row>
    <row r="610" spans="1:38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5"/>
      <c r="U610" s="116"/>
      <c r="V610" s="115"/>
      <c r="W610" s="116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6"/>
    </row>
    <row r="611" spans="1:38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5"/>
      <c r="U611" s="116"/>
      <c r="V611" s="115"/>
      <c r="W611" s="116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6"/>
    </row>
    <row r="612" spans="1:38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5"/>
      <c r="U612" s="116"/>
      <c r="V612" s="115"/>
      <c r="W612" s="116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6"/>
    </row>
    <row r="613" spans="1:38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5"/>
      <c r="U613" s="116"/>
      <c r="V613" s="115"/>
      <c r="W613" s="116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6"/>
    </row>
    <row r="614" spans="1:38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5"/>
      <c r="U614" s="116"/>
      <c r="V614" s="115"/>
      <c r="W614" s="116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6"/>
    </row>
    <row r="615" spans="1:38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5"/>
      <c r="U615" s="116"/>
      <c r="V615" s="115"/>
      <c r="W615" s="116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6"/>
    </row>
    <row r="616" spans="1:38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5"/>
      <c r="U616" s="116"/>
      <c r="V616" s="115"/>
      <c r="W616" s="116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6"/>
    </row>
    <row r="617" spans="1:38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5"/>
      <c r="U617" s="116"/>
      <c r="V617" s="115"/>
      <c r="W617" s="116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6"/>
    </row>
    <row r="618" spans="1:38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5"/>
      <c r="U618" s="116"/>
      <c r="V618" s="115"/>
      <c r="W618" s="116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6"/>
    </row>
    <row r="619" spans="1:38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5"/>
      <c r="U619" s="116"/>
      <c r="V619" s="115"/>
      <c r="W619" s="116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6"/>
    </row>
    <row r="620" spans="1:38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5"/>
      <c r="U620" s="116"/>
      <c r="V620" s="115"/>
      <c r="W620" s="116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6"/>
    </row>
    <row r="621" spans="1:38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5"/>
      <c r="U621" s="116"/>
      <c r="V621" s="115"/>
      <c r="W621" s="116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6"/>
    </row>
    <row r="622" spans="1:38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5"/>
      <c r="U622" s="116"/>
      <c r="V622" s="115"/>
      <c r="W622" s="116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6"/>
    </row>
    <row r="623" spans="1:38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5"/>
      <c r="U623" s="116"/>
      <c r="V623" s="115"/>
      <c r="W623" s="116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6"/>
    </row>
    <row r="624" spans="1:38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5"/>
      <c r="U624" s="116"/>
      <c r="V624" s="115"/>
      <c r="W624" s="116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6"/>
    </row>
    <row r="625" spans="1:38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5"/>
      <c r="U625" s="116"/>
      <c r="V625" s="115"/>
      <c r="W625" s="116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6"/>
    </row>
    <row r="626" spans="1:38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5"/>
      <c r="U626" s="116"/>
      <c r="V626" s="115"/>
      <c r="W626" s="116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6"/>
    </row>
    <row r="627" spans="1:38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5"/>
      <c r="U627" s="116"/>
      <c r="V627" s="115"/>
      <c r="W627" s="116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6"/>
    </row>
    <row r="628" spans="1:38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5"/>
      <c r="U628" s="116"/>
      <c r="V628" s="115"/>
      <c r="W628" s="116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6"/>
    </row>
    <row r="629" spans="1:38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5"/>
      <c r="U629" s="116"/>
      <c r="V629" s="115"/>
      <c r="W629" s="116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6"/>
    </row>
    <row r="630" spans="1:38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5"/>
      <c r="U630" s="116"/>
      <c r="V630" s="115"/>
      <c r="W630" s="116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6"/>
    </row>
    <row r="631" spans="1:38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5"/>
      <c r="U631" s="116"/>
      <c r="V631" s="115"/>
      <c r="W631" s="116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6"/>
    </row>
    <row r="632" spans="1:38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5"/>
      <c r="U632" s="116"/>
      <c r="V632" s="115"/>
      <c r="W632" s="116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6"/>
    </row>
    <row r="633" spans="1:38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5"/>
      <c r="U633" s="116"/>
      <c r="V633" s="115"/>
      <c r="W633" s="116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6"/>
    </row>
    <row r="634" spans="1:38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5"/>
      <c r="U634" s="116"/>
      <c r="V634" s="115"/>
      <c r="W634" s="116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6"/>
    </row>
    <row r="635" spans="1:38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5"/>
      <c r="U635" s="116"/>
      <c r="V635" s="115"/>
      <c r="W635" s="116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6"/>
    </row>
    <row r="636" spans="1:38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5"/>
      <c r="U636" s="116"/>
      <c r="V636" s="115"/>
      <c r="W636" s="116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6"/>
    </row>
    <row r="637" spans="1:38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5"/>
      <c r="U637" s="116"/>
      <c r="V637" s="115"/>
      <c r="W637" s="116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6"/>
    </row>
    <row r="638" spans="1:38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5"/>
      <c r="U638" s="116"/>
      <c r="V638" s="115"/>
      <c r="W638" s="116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6"/>
    </row>
    <row r="639" spans="1:38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5"/>
      <c r="U639" s="116"/>
      <c r="V639" s="115"/>
      <c r="W639" s="116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6"/>
    </row>
    <row r="640" spans="1:38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5"/>
      <c r="U640" s="116"/>
      <c r="V640" s="115"/>
      <c r="W640" s="116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6"/>
    </row>
    <row r="641" spans="1:38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5"/>
      <c r="U641" s="116"/>
      <c r="V641" s="115"/>
      <c r="W641" s="116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6"/>
    </row>
    <row r="642" spans="1:38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5"/>
      <c r="U642" s="116"/>
      <c r="V642" s="115"/>
      <c r="W642" s="116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6"/>
    </row>
    <row r="643" spans="1:38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5"/>
      <c r="U643" s="116"/>
      <c r="V643" s="115"/>
      <c r="W643" s="116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6"/>
    </row>
    <row r="644" spans="1:38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5"/>
      <c r="U644" s="116"/>
      <c r="V644" s="115"/>
      <c r="W644" s="116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6"/>
    </row>
    <row r="645" spans="1:38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5"/>
      <c r="U645" s="116"/>
      <c r="V645" s="115"/>
      <c r="W645" s="116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6"/>
    </row>
    <row r="646" spans="1:38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5"/>
      <c r="U646" s="116"/>
      <c r="V646" s="115"/>
      <c r="W646" s="116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6"/>
    </row>
    <row r="647" spans="1:38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5"/>
      <c r="U647" s="116"/>
      <c r="V647" s="115"/>
      <c r="W647" s="116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6"/>
    </row>
    <row r="648" spans="1:38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5"/>
      <c r="U648" s="116"/>
      <c r="V648" s="115"/>
      <c r="W648" s="116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6"/>
    </row>
    <row r="649" spans="1:38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5"/>
      <c r="U649" s="116"/>
      <c r="V649" s="115"/>
      <c r="W649" s="116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6"/>
    </row>
    <row r="650" spans="1:38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5"/>
      <c r="U650" s="116"/>
      <c r="V650" s="115"/>
      <c r="W650" s="116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6"/>
    </row>
    <row r="651" spans="1:38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5"/>
      <c r="U651" s="116"/>
      <c r="V651" s="115"/>
      <c r="W651" s="116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6"/>
    </row>
    <row r="652" spans="1:38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5"/>
      <c r="U652" s="116"/>
      <c r="V652" s="115"/>
      <c r="W652" s="116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6"/>
    </row>
    <row r="653" spans="1:38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5"/>
      <c r="U653" s="116"/>
      <c r="V653" s="115"/>
      <c r="W653" s="116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6"/>
    </row>
    <row r="654" spans="1:38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5"/>
      <c r="U654" s="116"/>
      <c r="V654" s="115"/>
      <c r="W654" s="116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6"/>
    </row>
    <row r="655" spans="1:38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5"/>
      <c r="U655" s="116"/>
      <c r="V655" s="115"/>
      <c r="W655" s="116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6"/>
    </row>
    <row r="656" spans="1:38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5"/>
      <c r="U656" s="116"/>
      <c r="V656" s="115"/>
      <c r="W656" s="116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6"/>
    </row>
    <row r="657" spans="1:38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5"/>
      <c r="U657" s="116"/>
      <c r="V657" s="115"/>
      <c r="W657" s="116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6"/>
    </row>
    <row r="658" spans="1:38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5"/>
      <c r="U658" s="116"/>
      <c r="V658" s="115"/>
      <c r="W658" s="116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6"/>
    </row>
    <row r="659" spans="1:38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5"/>
      <c r="U659" s="116"/>
      <c r="V659" s="115"/>
      <c r="W659" s="116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6"/>
    </row>
    <row r="660" spans="1:38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5"/>
      <c r="U660" s="116"/>
      <c r="V660" s="115"/>
      <c r="W660" s="116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6"/>
    </row>
    <row r="661" spans="1:38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5"/>
      <c r="U661" s="116"/>
      <c r="V661" s="115"/>
      <c r="W661" s="116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6"/>
    </row>
    <row r="662" spans="1:38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5"/>
      <c r="U662" s="116"/>
      <c r="V662" s="115"/>
      <c r="W662" s="116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6"/>
    </row>
    <row r="663" spans="1:38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5"/>
      <c r="U663" s="116"/>
      <c r="V663" s="115"/>
      <c r="W663" s="116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6"/>
    </row>
    <row r="664" spans="1:38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5"/>
      <c r="U664" s="116"/>
      <c r="V664" s="115"/>
      <c r="W664" s="116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6"/>
    </row>
    <row r="665" spans="1:38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5"/>
      <c r="U665" s="116"/>
      <c r="V665" s="115"/>
      <c r="W665" s="116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6"/>
    </row>
    <row r="666" spans="1:38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5"/>
      <c r="U666" s="116"/>
      <c r="V666" s="115"/>
      <c r="W666" s="116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6"/>
    </row>
    <row r="667" spans="1:38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5"/>
      <c r="U667" s="116"/>
      <c r="V667" s="115"/>
      <c r="W667" s="116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6"/>
    </row>
    <row r="668" spans="1:38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5"/>
      <c r="U668" s="116"/>
      <c r="V668" s="115"/>
      <c r="W668" s="116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6"/>
    </row>
    <row r="669" spans="1:38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5"/>
      <c r="U669" s="116"/>
      <c r="V669" s="115"/>
      <c r="W669" s="116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6"/>
    </row>
    <row r="670" spans="1:38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5"/>
      <c r="U670" s="116"/>
      <c r="V670" s="115"/>
      <c r="W670" s="116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6"/>
    </row>
    <row r="671" spans="1:38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5"/>
      <c r="U671" s="116"/>
      <c r="V671" s="115"/>
      <c r="W671" s="116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6"/>
    </row>
    <row r="672" spans="1:38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5"/>
      <c r="U672" s="116"/>
      <c r="V672" s="115"/>
      <c r="W672" s="116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6"/>
    </row>
    <row r="673" spans="1:38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5"/>
      <c r="U673" s="116"/>
      <c r="V673" s="115"/>
      <c r="W673" s="116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6"/>
    </row>
    <row r="674" spans="1:38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5"/>
      <c r="U674" s="116"/>
      <c r="V674" s="115"/>
      <c r="W674" s="116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6"/>
    </row>
    <row r="675" spans="1:38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5"/>
      <c r="U675" s="116"/>
      <c r="V675" s="115"/>
      <c r="W675" s="116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6"/>
    </row>
    <row r="676" spans="1:38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5"/>
      <c r="U676" s="116"/>
      <c r="V676" s="115"/>
      <c r="W676" s="116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6"/>
    </row>
    <row r="677" spans="1:38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5"/>
      <c r="U677" s="116"/>
      <c r="V677" s="115"/>
      <c r="W677" s="116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6"/>
    </row>
    <row r="678" spans="1:38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5"/>
      <c r="U678" s="116"/>
      <c r="V678" s="115"/>
      <c r="W678" s="116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6"/>
    </row>
    <row r="679" spans="1:38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5"/>
      <c r="U679" s="116"/>
      <c r="V679" s="115"/>
      <c r="W679" s="116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6"/>
    </row>
    <row r="680" spans="1:38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5"/>
      <c r="U680" s="116"/>
      <c r="V680" s="115"/>
      <c r="W680" s="116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6"/>
    </row>
    <row r="681" spans="1:38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5"/>
      <c r="U681" s="116"/>
      <c r="V681" s="115"/>
      <c r="W681" s="116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6"/>
    </row>
    <row r="682" spans="1:38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5"/>
      <c r="U682" s="116"/>
      <c r="V682" s="115"/>
      <c r="W682" s="116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6"/>
    </row>
    <row r="683" spans="1:38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5"/>
      <c r="U683" s="116"/>
      <c r="V683" s="115"/>
      <c r="W683" s="116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6"/>
    </row>
    <row r="684" spans="1:38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5"/>
      <c r="U684" s="116"/>
      <c r="V684" s="115"/>
      <c r="W684" s="116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6"/>
    </row>
    <row r="685" spans="1:38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5"/>
      <c r="U685" s="116"/>
      <c r="V685" s="115"/>
      <c r="W685" s="116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6"/>
    </row>
    <row r="686" spans="1:38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5"/>
      <c r="U686" s="116"/>
      <c r="V686" s="115"/>
      <c r="W686" s="116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6"/>
    </row>
    <row r="687" spans="1:38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5"/>
      <c r="U687" s="116"/>
      <c r="V687" s="115"/>
      <c r="W687" s="116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6"/>
    </row>
    <row r="688" spans="1:38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5"/>
      <c r="U688" s="116"/>
      <c r="V688" s="115"/>
      <c r="W688" s="116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6"/>
    </row>
    <row r="689" spans="1:38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5"/>
      <c r="U689" s="116"/>
      <c r="V689" s="115"/>
      <c r="W689" s="116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6"/>
    </row>
    <row r="690" spans="1:38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5"/>
      <c r="U690" s="116"/>
      <c r="V690" s="115"/>
      <c r="W690" s="116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6"/>
    </row>
    <row r="691" spans="1:38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5"/>
      <c r="U691" s="116"/>
      <c r="V691" s="115"/>
      <c r="W691" s="116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6"/>
    </row>
    <row r="692" spans="1:38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5"/>
      <c r="U692" s="116"/>
      <c r="V692" s="115"/>
      <c r="W692" s="116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6"/>
    </row>
    <row r="693" spans="1:38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5"/>
      <c r="U693" s="116"/>
      <c r="V693" s="115"/>
      <c r="W693" s="116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6"/>
    </row>
    <row r="694" spans="1:38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5"/>
      <c r="U694" s="116"/>
      <c r="V694" s="115"/>
      <c r="W694" s="116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6"/>
    </row>
    <row r="695" spans="1:38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5"/>
      <c r="U695" s="116"/>
      <c r="V695" s="115"/>
      <c r="W695" s="116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6"/>
    </row>
    <row r="696" spans="1:38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5"/>
      <c r="U696" s="116"/>
      <c r="V696" s="115"/>
      <c r="W696" s="116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6"/>
    </row>
    <row r="697" spans="1:38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5"/>
      <c r="U697" s="116"/>
      <c r="V697" s="115"/>
      <c r="W697" s="116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6"/>
    </row>
    <row r="698" spans="1:38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5"/>
      <c r="U698" s="116"/>
      <c r="V698" s="115"/>
      <c r="W698" s="116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6"/>
    </row>
    <row r="699" spans="1:38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5"/>
      <c r="U699" s="116"/>
      <c r="V699" s="115"/>
      <c r="W699" s="116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6"/>
    </row>
    <row r="700" spans="1:38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5"/>
      <c r="U700" s="116"/>
      <c r="V700" s="115"/>
      <c r="W700" s="116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6"/>
    </row>
    <row r="701" spans="1:38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5"/>
      <c r="U701" s="116"/>
      <c r="V701" s="115"/>
      <c r="W701" s="116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6"/>
    </row>
    <row r="702" spans="1:38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5"/>
      <c r="U702" s="116"/>
      <c r="V702" s="115"/>
      <c r="W702" s="116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6"/>
    </row>
    <row r="703" spans="1:38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5"/>
      <c r="U703" s="116"/>
      <c r="V703" s="115"/>
      <c r="W703" s="116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6"/>
    </row>
    <row r="704" spans="1:38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5"/>
      <c r="U704" s="116"/>
      <c r="V704" s="115"/>
      <c r="W704" s="116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6"/>
    </row>
    <row r="705" spans="1:38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5"/>
      <c r="U705" s="116"/>
      <c r="V705" s="115"/>
      <c r="W705" s="116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6"/>
    </row>
    <row r="706" spans="1:38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5"/>
      <c r="U706" s="116"/>
      <c r="V706" s="115"/>
      <c r="W706" s="116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6"/>
    </row>
    <row r="707" spans="1:38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5"/>
      <c r="U707" s="116"/>
      <c r="V707" s="115"/>
      <c r="W707" s="116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6"/>
    </row>
    <row r="708" spans="1:38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5"/>
      <c r="U708" s="116"/>
      <c r="V708" s="115"/>
      <c r="W708" s="116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6"/>
    </row>
    <row r="709" spans="1:38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5"/>
      <c r="U709" s="116"/>
      <c r="V709" s="115"/>
      <c r="W709" s="116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6"/>
    </row>
    <row r="710" spans="1:38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5"/>
      <c r="U710" s="116"/>
      <c r="V710" s="115"/>
      <c r="W710" s="116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6"/>
    </row>
    <row r="711" spans="1:38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5"/>
      <c r="U711" s="116"/>
      <c r="V711" s="115"/>
      <c r="W711" s="116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6"/>
    </row>
    <row r="712" spans="1:38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5"/>
      <c r="U712" s="116"/>
      <c r="V712" s="115"/>
      <c r="W712" s="116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6"/>
    </row>
    <row r="713" spans="1:38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5"/>
      <c r="U713" s="116"/>
      <c r="V713" s="115"/>
      <c r="W713" s="116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6"/>
    </row>
    <row r="714" spans="1:38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5"/>
      <c r="U714" s="116"/>
      <c r="V714" s="115"/>
      <c r="W714" s="116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6"/>
    </row>
    <row r="715" spans="1:38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5"/>
      <c r="U715" s="116"/>
      <c r="V715" s="115"/>
      <c r="W715" s="116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6"/>
    </row>
    <row r="716" spans="1:38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5"/>
      <c r="U716" s="116"/>
      <c r="V716" s="115"/>
      <c r="W716" s="116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6"/>
    </row>
    <row r="717" spans="1:38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5"/>
      <c r="U717" s="116"/>
      <c r="V717" s="115"/>
      <c r="W717" s="116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6"/>
    </row>
    <row r="718" spans="1:38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5"/>
      <c r="U718" s="116"/>
      <c r="V718" s="115"/>
      <c r="W718" s="116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6"/>
    </row>
    <row r="719" spans="1:38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5"/>
      <c r="U719" s="116"/>
      <c r="V719" s="115"/>
      <c r="W719" s="116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6"/>
    </row>
    <row r="720" spans="1:38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5"/>
      <c r="U720" s="116"/>
      <c r="V720" s="115"/>
      <c r="W720" s="116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6"/>
    </row>
    <row r="721" spans="1:38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5"/>
      <c r="U721" s="116"/>
      <c r="V721" s="115"/>
      <c r="W721" s="116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6"/>
    </row>
    <row r="722" spans="1:38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5"/>
      <c r="U722" s="116"/>
      <c r="V722" s="115"/>
      <c r="W722" s="116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6"/>
    </row>
    <row r="723" spans="1:38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5"/>
      <c r="U723" s="116"/>
      <c r="V723" s="115"/>
      <c r="W723" s="116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6"/>
    </row>
    <row r="724" spans="1:38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5"/>
      <c r="U724" s="116"/>
      <c r="V724" s="115"/>
      <c r="W724" s="116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6"/>
    </row>
    <row r="725" spans="1:38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5"/>
      <c r="U725" s="116"/>
      <c r="V725" s="115"/>
      <c r="W725" s="116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6"/>
    </row>
    <row r="726" spans="1:38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5"/>
      <c r="U726" s="116"/>
      <c r="V726" s="115"/>
      <c r="W726" s="116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6"/>
    </row>
    <row r="727" spans="1:38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5"/>
      <c r="U727" s="116"/>
      <c r="V727" s="115"/>
      <c r="W727" s="116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6"/>
    </row>
    <row r="728" spans="1:38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5"/>
      <c r="U728" s="116"/>
      <c r="V728" s="115"/>
      <c r="W728" s="116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6"/>
    </row>
    <row r="729" spans="1:38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5"/>
      <c r="U729" s="116"/>
      <c r="V729" s="115"/>
      <c r="W729" s="116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6"/>
    </row>
    <row r="730" spans="1:38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5"/>
      <c r="U730" s="116"/>
      <c r="V730" s="115"/>
      <c r="W730" s="116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6"/>
    </row>
    <row r="731" spans="1:38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5"/>
      <c r="U731" s="116"/>
      <c r="V731" s="115"/>
      <c r="W731" s="116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6"/>
    </row>
    <row r="732" spans="1:38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5"/>
      <c r="U732" s="116"/>
      <c r="V732" s="115"/>
      <c r="W732" s="116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6"/>
    </row>
    <row r="733" spans="1:38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5"/>
      <c r="U733" s="116"/>
      <c r="V733" s="115"/>
      <c r="W733" s="116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6"/>
    </row>
    <row r="734" spans="1:38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5"/>
      <c r="U734" s="116"/>
      <c r="V734" s="115"/>
      <c r="W734" s="116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6"/>
    </row>
    <row r="735" spans="1:38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5"/>
      <c r="U735" s="116"/>
      <c r="V735" s="115"/>
      <c r="W735" s="116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6"/>
    </row>
    <row r="736" spans="1:38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5"/>
      <c r="U736" s="116"/>
      <c r="V736" s="115"/>
      <c r="W736" s="116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6"/>
    </row>
    <row r="737" spans="1:38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5"/>
      <c r="U737" s="116"/>
      <c r="V737" s="115"/>
      <c r="W737" s="116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6"/>
    </row>
    <row r="738" spans="1:38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5"/>
      <c r="U738" s="116"/>
      <c r="V738" s="115"/>
      <c r="W738" s="116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6"/>
    </row>
    <row r="739" spans="1:38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5"/>
      <c r="U739" s="116"/>
      <c r="V739" s="115"/>
      <c r="W739" s="116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6"/>
    </row>
    <row r="740" spans="1:38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5"/>
      <c r="U740" s="116"/>
      <c r="V740" s="115"/>
      <c r="W740" s="116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6"/>
    </row>
    <row r="741" spans="1:38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5"/>
      <c r="U741" s="116"/>
      <c r="V741" s="115"/>
      <c r="W741" s="116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6"/>
    </row>
    <row r="742" spans="1:38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5"/>
      <c r="U742" s="116"/>
      <c r="V742" s="115"/>
      <c r="W742" s="116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6"/>
    </row>
    <row r="743" spans="1:38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5"/>
      <c r="U743" s="116"/>
      <c r="V743" s="115"/>
      <c r="W743" s="116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6"/>
    </row>
    <row r="744" spans="1:38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5"/>
      <c r="U744" s="116"/>
      <c r="V744" s="115"/>
      <c r="W744" s="116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6"/>
    </row>
    <row r="745" spans="1:38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5"/>
      <c r="U745" s="116"/>
      <c r="V745" s="115"/>
      <c r="W745" s="116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6"/>
    </row>
    <row r="746" spans="1:38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5"/>
      <c r="U746" s="116"/>
      <c r="V746" s="115"/>
      <c r="W746" s="116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6"/>
    </row>
    <row r="747" spans="1:38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5"/>
      <c r="U747" s="116"/>
      <c r="V747" s="115"/>
      <c r="W747" s="116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6"/>
    </row>
    <row r="748" spans="1:38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5"/>
      <c r="U748" s="116"/>
      <c r="V748" s="115"/>
      <c r="W748" s="116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6"/>
    </row>
    <row r="749" spans="1:38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5"/>
      <c r="U749" s="116"/>
      <c r="V749" s="115"/>
      <c r="W749" s="116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6"/>
    </row>
    <row r="750" spans="1:38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5"/>
      <c r="U750" s="116"/>
      <c r="V750" s="115"/>
      <c r="W750" s="116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6"/>
    </row>
    <row r="751" spans="1:38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5"/>
      <c r="U751" s="116"/>
      <c r="V751" s="115"/>
      <c r="W751" s="116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6"/>
    </row>
    <row r="752" spans="1:38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5"/>
      <c r="U752" s="116"/>
      <c r="V752" s="115"/>
      <c r="W752" s="116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6"/>
    </row>
    <row r="753" spans="1:38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5"/>
      <c r="U753" s="116"/>
      <c r="V753" s="115"/>
      <c r="W753" s="116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6"/>
    </row>
    <row r="754" spans="1:38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5"/>
      <c r="U754" s="116"/>
      <c r="V754" s="115"/>
      <c r="W754" s="116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6"/>
    </row>
    <row r="755" spans="1:38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5"/>
      <c r="U755" s="116"/>
      <c r="V755" s="115"/>
      <c r="W755" s="116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6"/>
    </row>
    <row r="756" spans="1:38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5"/>
      <c r="U756" s="116"/>
      <c r="V756" s="115"/>
      <c r="W756" s="116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6"/>
    </row>
    <row r="757" spans="1:38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5"/>
      <c r="U757" s="116"/>
      <c r="V757" s="115"/>
      <c r="W757" s="116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6"/>
    </row>
    <row r="758" spans="1:38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5"/>
      <c r="U758" s="116"/>
      <c r="V758" s="115"/>
      <c r="W758" s="116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6"/>
    </row>
    <row r="759" spans="1:38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5"/>
      <c r="U759" s="116"/>
      <c r="V759" s="115"/>
      <c r="W759" s="116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6"/>
    </row>
    <row r="760" spans="1:38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5"/>
      <c r="U760" s="116"/>
      <c r="V760" s="115"/>
      <c r="W760" s="116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6"/>
    </row>
    <row r="761" spans="1:38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5"/>
      <c r="U761" s="116"/>
      <c r="V761" s="115"/>
      <c r="W761" s="116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6"/>
    </row>
    <row r="762" spans="1:38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5"/>
      <c r="U762" s="116"/>
      <c r="V762" s="115"/>
      <c r="W762" s="116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6"/>
    </row>
    <row r="763" spans="1:38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5"/>
      <c r="U763" s="116"/>
      <c r="V763" s="115"/>
      <c r="W763" s="116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6"/>
    </row>
    <row r="764" spans="1:38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5"/>
      <c r="U764" s="116"/>
      <c r="V764" s="115"/>
      <c r="W764" s="116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6"/>
    </row>
    <row r="765" spans="1:38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5"/>
      <c r="U765" s="116"/>
      <c r="V765" s="115"/>
      <c r="W765" s="116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6"/>
    </row>
    <row r="766" spans="1:38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5"/>
      <c r="U766" s="116"/>
      <c r="V766" s="115"/>
      <c r="W766" s="116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6"/>
    </row>
    <row r="767" spans="1:38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5"/>
      <c r="U767" s="116"/>
      <c r="V767" s="115"/>
      <c r="W767" s="116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6"/>
    </row>
    <row r="768" spans="1:38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5"/>
      <c r="U768" s="116"/>
      <c r="V768" s="115"/>
      <c r="W768" s="116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6"/>
    </row>
    <row r="769" spans="1:38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5"/>
      <c r="U769" s="116"/>
      <c r="V769" s="115"/>
      <c r="W769" s="116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6"/>
    </row>
    <row r="770" spans="1:38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5"/>
      <c r="U770" s="116"/>
      <c r="V770" s="115"/>
      <c r="W770" s="116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6"/>
    </row>
    <row r="771" spans="1:38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5"/>
      <c r="U771" s="116"/>
      <c r="V771" s="115"/>
      <c r="W771" s="116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6"/>
    </row>
    <row r="772" spans="1:38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5"/>
      <c r="U772" s="116"/>
      <c r="V772" s="115"/>
      <c r="W772" s="116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6"/>
    </row>
    <row r="773" spans="1:38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5"/>
      <c r="U773" s="116"/>
      <c r="V773" s="115"/>
      <c r="W773" s="116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6"/>
    </row>
    <row r="774" spans="1:38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5"/>
      <c r="U774" s="116"/>
      <c r="V774" s="115"/>
      <c r="W774" s="116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6"/>
    </row>
    <row r="775" spans="1:38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5"/>
      <c r="U775" s="116"/>
      <c r="V775" s="115"/>
      <c r="W775" s="116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6"/>
    </row>
    <row r="776" spans="1:38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5"/>
      <c r="U776" s="116"/>
      <c r="V776" s="115"/>
      <c r="W776" s="116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6"/>
    </row>
    <row r="777" spans="1:38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5"/>
      <c r="U777" s="116"/>
      <c r="V777" s="115"/>
      <c r="W777" s="116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6"/>
    </row>
    <row r="778" spans="1:38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5"/>
      <c r="U778" s="116"/>
      <c r="V778" s="115"/>
      <c r="W778" s="116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6"/>
    </row>
    <row r="779" spans="1:38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5"/>
      <c r="U779" s="116"/>
      <c r="V779" s="115"/>
      <c r="W779" s="116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6"/>
    </row>
    <row r="780" spans="1:38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5"/>
      <c r="U780" s="116"/>
      <c r="V780" s="115"/>
      <c r="W780" s="116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6"/>
    </row>
    <row r="781" spans="1:38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5"/>
      <c r="U781" s="116"/>
      <c r="V781" s="115"/>
      <c r="W781" s="116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6"/>
    </row>
    <row r="782" spans="1:38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5"/>
      <c r="U782" s="116"/>
      <c r="V782" s="115"/>
      <c r="W782" s="116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6"/>
    </row>
    <row r="783" spans="1:38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5"/>
      <c r="U783" s="116"/>
      <c r="V783" s="115"/>
      <c r="W783" s="116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6"/>
    </row>
    <row r="784" spans="1:38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5"/>
      <c r="U784" s="116"/>
      <c r="V784" s="115"/>
      <c r="W784" s="116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6"/>
    </row>
    <row r="785" spans="1:38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5"/>
      <c r="U785" s="116"/>
      <c r="V785" s="115"/>
      <c r="W785" s="116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6"/>
    </row>
    <row r="786" spans="1:38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5"/>
      <c r="U786" s="116"/>
      <c r="V786" s="115"/>
      <c r="W786" s="116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6"/>
    </row>
    <row r="787" spans="1:38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5"/>
      <c r="U787" s="116"/>
      <c r="V787" s="115"/>
      <c r="W787" s="116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6"/>
    </row>
    <row r="788" spans="1:38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5"/>
      <c r="U788" s="116"/>
      <c r="V788" s="115"/>
      <c r="W788" s="116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6"/>
    </row>
    <row r="789" spans="1:38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5"/>
      <c r="U789" s="116"/>
      <c r="V789" s="115"/>
      <c r="W789" s="116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6"/>
    </row>
    <row r="790" spans="1:38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5"/>
      <c r="U790" s="116"/>
      <c r="V790" s="115"/>
      <c r="W790" s="116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6"/>
    </row>
    <row r="791" spans="1:38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5"/>
      <c r="U791" s="116"/>
      <c r="V791" s="115"/>
      <c r="W791" s="116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6"/>
    </row>
    <row r="792" spans="1:38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5"/>
      <c r="U792" s="116"/>
      <c r="V792" s="115"/>
      <c r="W792" s="116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6"/>
    </row>
    <row r="793" spans="1:38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5"/>
      <c r="U793" s="116"/>
      <c r="V793" s="115"/>
      <c r="W793" s="116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6"/>
    </row>
    <row r="794" spans="1:38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5"/>
      <c r="U794" s="116"/>
      <c r="V794" s="115"/>
      <c r="W794" s="116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6"/>
    </row>
    <row r="795" spans="1:38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5"/>
      <c r="U795" s="116"/>
      <c r="V795" s="115"/>
      <c r="W795" s="116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6"/>
    </row>
    <row r="796" spans="1:38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5"/>
      <c r="U796" s="116"/>
      <c r="V796" s="115"/>
      <c r="W796" s="116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6"/>
    </row>
    <row r="797" spans="1:38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5"/>
      <c r="U797" s="116"/>
      <c r="V797" s="115"/>
      <c r="W797" s="116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6"/>
    </row>
    <row r="798" spans="1:38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5"/>
      <c r="U798" s="116"/>
      <c r="V798" s="115"/>
      <c r="W798" s="116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6"/>
    </row>
    <row r="799" spans="1:38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5"/>
      <c r="U799" s="116"/>
      <c r="V799" s="115"/>
      <c r="W799" s="116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6"/>
    </row>
    <row r="800" spans="1:38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5"/>
      <c r="U800" s="116"/>
      <c r="V800" s="115"/>
      <c r="W800" s="116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6"/>
    </row>
    <row r="801" spans="1:38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5"/>
      <c r="U801" s="116"/>
      <c r="V801" s="115"/>
      <c r="W801" s="116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6"/>
    </row>
    <row r="802" spans="1:38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5"/>
      <c r="U802" s="116"/>
      <c r="V802" s="115"/>
      <c r="W802" s="116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6"/>
    </row>
    <row r="803" spans="1:38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5"/>
      <c r="U803" s="116"/>
      <c r="V803" s="115"/>
      <c r="W803" s="116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6"/>
    </row>
    <row r="804" spans="1:38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5"/>
      <c r="U804" s="116"/>
      <c r="V804" s="115"/>
      <c r="W804" s="116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6"/>
    </row>
    <row r="805" spans="1:38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5"/>
      <c r="U805" s="116"/>
      <c r="V805" s="115"/>
      <c r="W805" s="116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6"/>
    </row>
    <row r="806" spans="1:38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5"/>
      <c r="U806" s="116"/>
      <c r="V806" s="115"/>
      <c r="W806" s="116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6"/>
    </row>
    <row r="807" spans="1:38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5"/>
      <c r="U807" s="116"/>
      <c r="V807" s="115"/>
      <c r="W807" s="116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6"/>
    </row>
    <row r="808" spans="1:38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5"/>
      <c r="U808" s="116"/>
      <c r="V808" s="115"/>
      <c r="W808" s="116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6"/>
    </row>
    <row r="809" spans="1:38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5"/>
      <c r="U809" s="116"/>
      <c r="V809" s="115"/>
      <c r="W809" s="116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6"/>
    </row>
    <row r="810" spans="1:38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5"/>
      <c r="U810" s="116"/>
      <c r="V810" s="115"/>
      <c r="W810" s="116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6"/>
    </row>
    <row r="811" spans="1:38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5"/>
      <c r="U811" s="116"/>
      <c r="V811" s="115"/>
      <c r="W811" s="116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6"/>
    </row>
    <row r="812" spans="1:38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5"/>
      <c r="U812" s="116"/>
      <c r="V812" s="115"/>
      <c r="W812" s="116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6"/>
    </row>
    <row r="813" spans="1:38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5"/>
      <c r="U813" s="116"/>
      <c r="V813" s="115"/>
      <c r="W813" s="116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6"/>
    </row>
    <row r="814" spans="1:38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5"/>
      <c r="U814" s="116"/>
      <c r="V814" s="115"/>
      <c r="W814" s="116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6"/>
    </row>
    <row r="815" spans="1:38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5"/>
      <c r="U815" s="116"/>
      <c r="V815" s="115"/>
      <c r="W815" s="116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6"/>
    </row>
    <row r="816" spans="1:38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5"/>
      <c r="U816" s="116"/>
      <c r="V816" s="115"/>
      <c r="W816" s="116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6"/>
    </row>
    <row r="817" spans="1:38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5"/>
      <c r="U817" s="116"/>
      <c r="V817" s="115"/>
      <c r="W817" s="116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6"/>
    </row>
    <row r="818" spans="1:38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5"/>
      <c r="U818" s="116"/>
      <c r="V818" s="115"/>
      <c r="W818" s="116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6"/>
    </row>
    <row r="819" spans="1:38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5"/>
      <c r="U819" s="116"/>
      <c r="V819" s="115"/>
      <c r="W819" s="116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6"/>
    </row>
    <row r="820" spans="1:38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5"/>
      <c r="U820" s="116"/>
      <c r="V820" s="115"/>
      <c r="W820" s="116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6"/>
    </row>
    <row r="821" spans="1:38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5"/>
      <c r="U821" s="116"/>
      <c r="V821" s="115"/>
      <c r="W821" s="116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6"/>
    </row>
    <row r="822" spans="1:38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5"/>
      <c r="U822" s="116"/>
      <c r="V822" s="115"/>
      <c r="W822" s="116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6"/>
    </row>
    <row r="823" spans="1:38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5"/>
      <c r="U823" s="116"/>
      <c r="V823" s="115"/>
      <c r="W823" s="116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6"/>
    </row>
    <row r="824" spans="1:38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5"/>
      <c r="U824" s="116"/>
      <c r="V824" s="115"/>
      <c r="W824" s="116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6"/>
    </row>
    <row r="825" spans="1:38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5"/>
      <c r="U825" s="116"/>
      <c r="V825" s="115"/>
      <c r="W825" s="116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6"/>
    </row>
    <row r="826" spans="1:38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5"/>
      <c r="U826" s="116"/>
      <c r="V826" s="115"/>
      <c r="W826" s="116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6"/>
    </row>
    <row r="827" spans="1:38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5"/>
      <c r="U827" s="116"/>
      <c r="V827" s="115"/>
      <c r="W827" s="116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6"/>
    </row>
    <row r="828" spans="1:38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5"/>
      <c r="U828" s="116"/>
      <c r="V828" s="115"/>
      <c r="W828" s="116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6"/>
    </row>
    <row r="829" spans="1:38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5"/>
      <c r="U829" s="116"/>
      <c r="V829" s="115"/>
      <c r="W829" s="116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6"/>
    </row>
    <row r="830" spans="1:38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5"/>
      <c r="U830" s="116"/>
      <c r="V830" s="115"/>
      <c r="W830" s="116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6"/>
    </row>
    <row r="831" spans="1:38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5"/>
      <c r="U831" s="116"/>
      <c r="V831" s="115"/>
      <c r="W831" s="116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6"/>
    </row>
    <row r="832" spans="1:38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5"/>
      <c r="U832" s="116"/>
      <c r="V832" s="115"/>
      <c r="W832" s="116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6"/>
    </row>
    <row r="833" spans="1:38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5"/>
      <c r="U833" s="116"/>
      <c r="V833" s="115"/>
      <c r="W833" s="116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6"/>
    </row>
    <row r="834" spans="1:38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5"/>
      <c r="U834" s="116"/>
      <c r="V834" s="115"/>
      <c r="W834" s="116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6"/>
    </row>
    <row r="835" spans="1:38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5"/>
      <c r="U835" s="116"/>
      <c r="V835" s="115"/>
      <c r="W835" s="116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6"/>
    </row>
    <row r="836" spans="1:38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5"/>
      <c r="U836" s="116"/>
      <c r="V836" s="115"/>
      <c r="W836" s="116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6"/>
    </row>
    <row r="837" spans="1:38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5"/>
      <c r="U837" s="116"/>
      <c r="V837" s="115"/>
      <c r="W837" s="116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6"/>
    </row>
    <row r="838" spans="1:38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5"/>
      <c r="U838" s="116"/>
      <c r="V838" s="115"/>
      <c r="W838" s="116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6"/>
    </row>
    <row r="839" spans="1:38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5"/>
      <c r="U839" s="116"/>
      <c r="V839" s="115"/>
      <c r="W839" s="116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6"/>
    </row>
    <row r="840" spans="1:38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5"/>
      <c r="U840" s="116"/>
      <c r="V840" s="115"/>
      <c r="W840" s="116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6"/>
    </row>
    <row r="841" spans="1:38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5"/>
      <c r="U841" s="116"/>
      <c r="V841" s="115"/>
      <c r="W841" s="116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6"/>
    </row>
    <row r="842" spans="1:38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5"/>
      <c r="U842" s="116"/>
      <c r="V842" s="115"/>
      <c r="W842" s="116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6"/>
    </row>
    <row r="843" spans="1:38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5"/>
      <c r="U843" s="116"/>
      <c r="V843" s="115"/>
      <c r="W843" s="116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6"/>
    </row>
    <row r="844" spans="1:38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5"/>
      <c r="U844" s="116"/>
      <c r="V844" s="115"/>
      <c r="W844" s="116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6"/>
    </row>
    <row r="845" spans="1:38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5"/>
      <c r="U845" s="116"/>
      <c r="V845" s="115"/>
      <c r="W845" s="116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6"/>
    </row>
    <row r="846" spans="1:38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5"/>
      <c r="U846" s="116"/>
      <c r="V846" s="115"/>
      <c r="W846" s="116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6"/>
    </row>
    <row r="847" spans="1:38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5"/>
      <c r="U847" s="116"/>
      <c r="V847" s="115"/>
      <c r="W847" s="116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6"/>
    </row>
    <row r="848" spans="1:38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5"/>
      <c r="U848" s="116"/>
      <c r="V848" s="115"/>
      <c r="W848" s="116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6"/>
    </row>
    <row r="849" spans="1:38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5"/>
      <c r="U849" s="116"/>
      <c r="V849" s="115"/>
      <c r="W849" s="116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6"/>
    </row>
    <row r="850" spans="1:38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5"/>
      <c r="U850" s="116"/>
      <c r="V850" s="115"/>
      <c r="W850" s="116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6"/>
    </row>
    <row r="851" spans="1:38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5"/>
      <c r="U851" s="116"/>
      <c r="V851" s="115"/>
      <c r="W851" s="116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6"/>
    </row>
    <row r="852" spans="1:38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5"/>
      <c r="U852" s="116"/>
      <c r="V852" s="115"/>
      <c r="W852" s="116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6"/>
    </row>
    <row r="853" spans="1:38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5"/>
      <c r="U853" s="116"/>
      <c r="V853" s="115"/>
      <c r="W853" s="116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6"/>
    </row>
    <row r="854" spans="1:38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5"/>
      <c r="U854" s="116"/>
      <c r="V854" s="115"/>
      <c r="W854" s="116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6"/>
    </row>
    <row r="855" spans="1:38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5"/>
      <c r="U855" s="116"/>
      <c r="V855" s="115"/>
      <c r="W855" s="116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6"/>
    </row>
    <row r="856" spans="1:38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5"/>
      <c r="U856" s="116"/>
      <c r="V856" s="115"/>
      <c r="W856" s="116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6"/>
    </row>
    <row r="857" spans="1:38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5"/>
      <c r="U857" s="116"/>
      <c r="V857" s="115"/>
      <c r="W857" s="116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6"/>
    </row>
    <row r="858" spans="1:38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5"/>
      <c r="U858" s="116"/>
      <c r="V858" s="115"/>
      <c r="W858" s="116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6"/>
    </row>
    <row r="859" spans="1:38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5"/>
      <c r="U859" s="116"/>
      <c r="V859" s="115"/>
      <c r="W859" s="116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6"/>
    </row>
    <row r="860" spans="1:38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5"/>
      <c r="U860" s="116"/>
      <c r="V860" s="115"/>
      <c r="W860" s="116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6"/>
    </row>
    <row r="861" spans="1:38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5"/>
      <c r="U861" s="116"/>
      <c r="V861" s="115"/>
      <c r="W861" s="116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6"/>
    </row>
    <row r="862" spans="1:38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5"/>
      <c r="U862" s="116"/>
      <c r="V862" s="115"/>
      <c r="W862" s="116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6"/>
    </row>
    <row r="863" spans="1:38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5"/>
      <c r="U863" s="116"/>
      <c r="V863" s="115"/>
      <c r="W863" s="116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6"/>
    </row>
    <row r="864" spans="1:38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5"/>
      <c r="U864" s="116"/>
      <c r="V864" s="115"/>
      <c r="W864" s="116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6"/>
    </row>
    <row r="865" spans="1:38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5"/>
      <c r="U865" s="116"/>
      <c r="V865" s="115"/>
      <c r="W865" s="116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6"/>
    </row>
    <row r="866" spans="1:38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5"/>
      <c r="U866" s="116"/>
      <c r="V866" s="115"/>
      <c r="W866" s="116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6"/>
    </row>
    <row r="867" spans="1:38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5"/>
      <c r="U867" s="116"/>
      <c r="V867" s="115"/>
      <c r="W867" s="116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6"/>
    </row>
    <row r="868" spans="1:38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5"/>
      <c r="U868" s="116"/>
      <c r="V868" s="115"/>
      <c r="W868" s="116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6"/>
    </row>
    <row r="869" spans="1:38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5"/>
      <c r="U869" s="116"/>
      <c r="V869" s="115"/>
      <c r="W869" s="116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6"/>
    </row>
    <row r="870" spans="1:38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5"/>
      <c r="U870" s="116"/>
      <c r="V870" s="115"/>
      <c r="W870" s="116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6"/>
    </row>
    <row r="871" spans="1:38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5"/>
      <c r="U871" s="116"/>
      <c r="V871" s="115"/>
      <c r="W871" s="116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6"/>
    </row>
    <row r="872" spans="1:38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5"/>
      <c r="U872" s="116"/>
      <c r="V872" s="115"/>
      <c r="W872" s="116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6"/>
    </row>
    <row r="873" spans="1:38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5"/>
      <c r="U873" s="116"/>
      <c r="V873" s="115"/>
      <c r="W873" s="116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6"/>
    </row>
    <row r="874" spans="1:38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5"/>
      <c r="U874" s="116"/>
      <c r="V874" s="115"/>
      <c r="W874" s="116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6"/>
    </row>
    <row r="875" spans="1:38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5"/>
      <c r="U875" s="116"/>
      <c r="V875" s="115"/>
      <c r="W875" s="116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6"/>
    </row>
    <row r="876" spans="1:38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5"/>
      <c r="U876" s="116"/>
      <c r="V876" s="115"/>
      <c r="W876" s="116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6"/>
    </row>
    <row r="877" spans="1:38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5"/>
      <c r="U877" s="116"/>
      <c r="V877" s="115"/>
      <c r="W877" s="116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6"/>
    </row>
    <row r="878" spans="1:38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5"/>
      <c r="U878" s="116"/>
      <c r="V878" s="115"/>
      <c r="W878" s="116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6"/>
    </row>
    <row r="879" spans="1:38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5"/>
      <c r="U879" s="116"/>
      <c r="V879" s="115"/>
      <c r="W879" s="116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6"/>
    </row>
    <row r="880" spans="1:38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5"/>
      <c r="U880" s="116"/>
      <c r="V880" s="115"/>
      <c r="W880" s="116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6"/>
    </row>
    <row r="881" spans="1:38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5"/>
      <c r="U881" s="116"/>
      <c r="V881" s="115"/>
      <c r="W881" s="116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6"/>
    </row>
    <row r="882" spans="1:38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5"/>
      <c r="U882" s="116"/>
      <c r="V882" s="115"/>
      <c r="W882" s="116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6"/>
    </row>
    <row r="883" spans="1:38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5"/>
      <c r="U883" s="116"/>
      <c r="V883" s="115"/>
      <c r="W883" s="116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6"/>
    </row>
    <row r="884" spans="1:38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5"/>
      <c r="U884" s="116"/>
      <c r="V884" s="115"/>
      <c r="W884" s="116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6"/>
    </row>
    <row r="885" spans="1:38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5"/>
      <c r="U885" s="116"/>
      <c r="V885" s="115"/>
      <c r="W885" s="116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6"/>
    </row>
    <row r="886" spans="1:38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5"/>
      <c r="U886" s="116"/>
      <c r="V886" s="115"/>
      <c r="W886" s="116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6"/>
    </row>
    <row r="887" spans="1:38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5"/>
      <c r="U887" s="116"/>
      <c r="V887" s="115"/>
      <c r="W887" s="116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6"/>
    </row>
    <row r="888" spans="1:38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5"/>
      <c r="U888" s="116"/>
      <c r="V888" s="115"/>
      <c r="W888" s="116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6"/>
    </row>
    <row r="889" spans="1:38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5"/>
      <c r="U889" s="116"/>
      <c r="V889" s="115"/>
      <c r="W889" s="116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6"/>
    </row>
    <row r="890" spans="1:38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5"/>
      <c r="U890" s="116"/>
      <c r="V890" s="115"/>
      <c r="W890" s="116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6"/>
    </row>
    <row r="891" spans="1:38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5"/>
      <c r="U891" s="116"/>
      <c r="V891" s="115"/>
      <c r="W891" s="116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6"/>
    </row>
    <row r="892" spans="1:38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5"/>
      <c r="U892" s="116"/>
      <c r="V892" s="115"/>
      <c r="W892" s="116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6"/>
    </row>
    <row r="893" spans="1:38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5"/>
      <c r="U893" s="116"/>
      <c r="V893" s="115"/>
      <c r="W893" s="116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6"/>
    </row>
    <row r="894" spans="1:38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5"/>
      <c r="U894" s="116"/>
      <c r="V894" s="115"/>
      <c r="W894" s="116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6"/>
    </row>
    <row r="895" spans="1:38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5"/>
      <c r="U895" s="116"/>
      <c r="V895" s="115"/>
      <c r="W895" s="116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6"/>
    </row>
    <row r="896" spans="1:38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5"/>
      <c r="U896" s="116"/>
      <c r="V896" s="115"/>
      <c r="W896" s="116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6"/>
    </row>
    <row r="897" spans="1:38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5"/>
      <c r="U897" s="116"/>
      <c r="V897" s="115"/>
      <c r="W897" s="116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6"/>
    </row>
    <row r="898" spans="1:38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5"/>
      <c r="U898" s="116"/>
      <c r="V898" s="115"/>
      <c r="W898" s="116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6"/>
    </row>
    <row r="899" spans="1:38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5"/>
      <c r="U899" s="116"/>
      <c r="V899" s="115"/>
      <c r="W899" s="116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6"/>
    </row>
    <row r="900" spans="1:38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5"/>
      <c r="U900" s="116"/>
      <c r="V900" s="115"/>
      <c r="W900" s="116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6"/>
    </row>
    <row r="901" spans="1:38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5"/>
      <c r="U901" s="116"/>
      <c r="V901" s="115"/>
      <c r="W901" s="116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6"/>
    </row>
    <row r="902" spans="1:38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5"/>
      <c r="U902" s="116"/>
      <c r="V902" s="115"/>
      <c r="W902" s="116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6"/>
    </row>
    <row r="903" spans="1:38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5"/>
      <c r="U903" s="116"/>
      <c r="V903" s="115"/>
      <c r="W903" s="116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6"/>
    </row>
    <row r="904" spans="1:38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5"/>
      <c r="U904" s="116"/>
      <c r="V904" s="115"/>
      <c r="W904" s="116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6"/>
    </row>
    <row r="905" spans="1:38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5"/>
      <c r="U905" s="116"/>
      <c r="V905" s="115"/>
      <c r="W905" s="116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6"/>
    </row>
    <row r="906" spans="1:38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5"/>
      <c r="U906" s="116"/>
      <c r="V906" s="115"/>
      <c r="W906" s="116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6"/>
    </row>
    <row r="907" spans="1:38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5"/>
      <c r="U907" s="116"/>
      <c r="V907" s="115"/>
      <c r="W907" s="116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6"/>
    </row>
    <row r="908" spans="1:38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5"/>
      <c r="U908" s="116"/>
      <c r="V908" s="115"/>
      <c r="W908" s="116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6"/>
    </row>
    <row r="909" spans="1:38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5"/>
      <c r="U909" s="116"/>
      <c r="V909" s="115"/>
      <c r="W909" s="116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6"/>
    </row>
    <row r="910" spans="1:38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5"/>
      <c r="U910" s="116"/>
      <c r="V910" s="115"/>
      <c r="W910" s="116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6"/>
    </row>
    <row r="911" spans="1:38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5"/>
      <c r="U911" s="116"/>
      <c r="V911" s="115"/>
      <c r="W911" s="116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6"/>
    </row>
    <row r="912" spans="1:38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5"/>
      <c r="U912" s="116"/>
      <c r="V912" s="115"/>
      <c r="W912" s="116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6"/>
    </row>
    <row r="913" spans="1:38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5"/>
      <c r="U913" s="116"/>
      <c r="V913" s="115"/>
      <c r="W913" s="116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6"/>
    </row>
    <row r="914" spans="1:38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5"/>
      <c r="U914" s="116"/>
      <c r="V914" s="115"/>
      <c r="W914" s="116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6"/>
    </row>
    <row r="915" spans="1:38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5"/>
      <c r="U915" s="116"/>
      <c r="V915" s="115"/>
      <c r="W915" s="116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6"/>
    </row>
    <row r="916" spans="1:38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5"/>
      <c r="U916" s="116"/>
      <c r="V916" s="115"/>
      <c r="W916" s="116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6"/>
    </row>
    <row r="917" spans="1:38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5"/>
      <c r="U917" s="116"/>
      <c r="V917" s="115"/>
      <c r="W917" s="116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6"/>
    </row>
    <row r="918" spans="1:38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5"/>
      <c r="U918" s="116"/>
      <c r="V918" s="115"/>
      <c r="W918" s="116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6"/>
    </row>
    <row r="919" spans="1:38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5"/>
      <c r="U919" s="116"/>
      <c r="V919" s="115"/>
      <c r="W919" s="116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6"/>
    </row>
    <row r="920" spans="1:38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5"/>
      <c r="U920" s="116"/>
      <c r="V920" s="115"/>
      <c r="W920" s="116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6"/>
    </row>
    <row r="921" spans="1:38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5"/>
      <c r="U921" s="116"/>
      <c r="V921" s="115"/>
      <c r="W921" s="116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6"/>
    </row>
    <row r="922" spans="1:38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5"/>
      <c r="U922" s="116"/>
      <c r="V922" s="115"/>
      <c r="W922" s="116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6"/>
    </row>
    <row r="923" spans="1:38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5"/>
      <c r="U923" s="116"/>
      <c r="V923" s="115"/>
      <c r="W923" s="116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6"/>
    </row>
    <row r="924" spans="1:38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5"/>
      <c r="U924" s="116"/>
      <c r="V924" s="115"/>
      <c r="W924" s="116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6"/>
    </row>
    <row r="925" spans="1:38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5"/>
      <c r="U925" s="116"/>
      <c r="V925" s="115"/>
      <c r="W925" s="116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6"/>
    </row>
    <row r="926" spans="1:38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5"/>
      <c r="U926" s="116"/>
      <c r="V926" s="115"/>
      <c r="W926" s="116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6"/>
    </row>
    <row r="927" spans="1:38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5"/>
      <c r="U927" s="116"/>
      <c r="V927" s="115"/>
      <c r="W927" s="116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6"/>
    </row>
    <row r="928" spans="1:38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5"/>
      <c r="U928" s="116"/>
      <c r="V928" s="115"/>
      <c r="W928" s="116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6"/>
    </row>
    <row r="929" spans="1:38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5"/>
      <c r="U929" s="116"/>
      <c r="V929" s="115"/>
      <c r="W929" s="116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6"/>
    </row>
    <row r="930" spans="1:38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5"/>
      <c r="U930" s="116"/>
      <c r="V930" s="115"/>
      <c r="W930" s="116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6"/>
    </row>
    <row r="931" spans="1:38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5"/>
      <c r="U931" s="116"/>
      <c r="V931" s="115"/>
      <c r="W931" s="116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6"/>
    </row>
    <row r="932" spans="1:38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5"/>
      <c r="U932" s="116"/>
      <c r="V932" s="115"/>
      <c r="W932" s="116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6"/>
    </row>
    <row r="933" spans="1:38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5"/>
      <c r="U933" s="116"/>
      <c r="V933" s="115"/>
      <c r="W933" s="116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6"/>
    </row>
    <row r="934" spans="1:38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5"/>
      <c r="U934" s="116"/>
      <c r="V934" s="115"/>
      <c r="W934" s="116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6"/>
    </row>
    <row r="935" spans="1:38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5"/>
      <c r="U935" s="116"/>
      <c r="V935" s="115"/>
      <c r="W935" s="116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6"/>
    </row>
    <row r="936" spans="1:38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5"/>
      <c r="U936" s="116"/>
      <c r="V936" s="115"/>
      <c r="W936" s="116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6"/>
    </row>
    <row r="937" spans="1:38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5"/>
      <c r="U937" s="116"/>
      <c r="V937" s="115"/>
      <c r="W937" s="116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6"/>
    </row>
    <row r="938" spans="1:38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5"/>
      <c r="U938" s="116"/>
      <c r="V938" s="115"/>
      <c r="W938" s="116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6"/>
    </row>
    <row r="939" spans="1:38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5"/>
      <c r="U939" s="116"/>
      <c r="V939" s="115"/>
      <c r="W939" s="116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6"/>
    </row>
    <row r="940" spans="1:38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5"/>
      <c r="U940" s="116"/>
      <c r="V940" s="115"/>
      <c r="W940" s="116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6"/>
    </row>
    <row r="941" spans="1:38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5"/>
      <c r="U941" s="116"/>
      <c r="V941" s="115"/>
      <c r="W941" s="116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6"/>
    </row>
    <row r="942" spans="1:38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5"/>
      <c r="U942" s="116"/>
      <c r="V942" s="115"/>
      <c r="W942" s="116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6"/>
    </row>
    <row r="943" spans="1:38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5"/>
      <c r="U943" s="116"/>
      <c r="V943" s="115"/>
      <c r="W943" s="116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6"/>
    </row>
    <row r="944" spans="1:38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5"/>
      <c r="U944" s="116"/>
      <c r="V944" s="115"/>
      <c r="W944" s="116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6"/>
    </row>
    <row r="945" spans="1:38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5"/>
      <c r="U945" s="116"/>
      <c r="V945" s="115"/>
      <c r="W945" s="116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6"/>
    </row>
    <row r="946" spans="1:38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5"/>
      <c r="U946" s="116"/>
      <c r="V946" s="115"/>
      <c r="W946" s="116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6"/>
    </row>
    <row r="947" spans="1:38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5"/>
      <c r="U947" s="116"/>
      <c r="V947" s="115"/>
      <c r="W947" s="116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6"/>
    </row>
    <row r="948" spans="1:38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5"/>
      <c r="U948" s="116"/>
      <c r="V948" s="115"/>
      <c r="W948" s="116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6"/>
    </row>
    <row r="949" spans="1:38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5"/>
      <c r="U949" s="116"/>
      <c r="V949" s="115"/>
      <c r="W949" s="116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6"/>
    </row>
    <row r="950" spans="1:38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5"/>
      <c r="U950" s="116"/>
      <c r="V950" s="115"/>
      <c r="W950" s="116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6"/>
    </row>
    <row r="951" spans="1:38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5"/>
      <c r="U951" s="116"/>
      <c r="V951" s="115"/>
      <c r="W951" s="116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6"/>
    </row>
    <row r="952" spans="1:38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5"/>
      <c r="U952" s="116"/>
      <c r="V952" s="115"/>
      <c r="W952" s="116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6"/>
    </row>
    <row r="953" spans="1:38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5"/>
      <c r="U953" s="116"/>
      <c r="V953" s="115"/>
      <c r="W953" s="116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6"/>
    </row>
    <row r="954" spans="1:38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5"/>
      <c r="U954" s="116"/>
      <c r="V954" s="115"/>
      <c r="W954" s="116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6"/>
    </row>
    <row r="955" spans="1:38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5"/>
      <c r="U955" s="116"/>
      <c r="V955" s="115"/>
      <c r="W955" s="116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6"/>
    </row>
    <row r="956" spans="1:38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5"/>
      <c r="U956" s="116"/>
      <c r="V956" s="115"/>
      <c r="W956" s="116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6"/>
    </row>
    <row r="957" spans="1:38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5"/>
      <c r="U957" s="116"/>
      <c r="V957" s="115"/>
      <c r="W957" s="116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6"/>
    </row>
    <row r="958" spans="1:38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5"/>
      <c r="U958" s="116"/>
      <c r="V958" s="115"/>
      <c r="W958" s="116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6"/>
    </row>
    <row r="959" spans="1:38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5"/>
      <c r="U959" s="116"/>
      <c r="V959" s="115"/>
      <c r="W959" s="116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6"/>
    </row>
    <row r="960" spans="1:38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5"/>
      <c r="U960" s="116"/>
      <c r="V960" s="115"/>
      <c r="W960" s="116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6"/>
    </row>
    <row r="961" spans="1:38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5"/>
      <c r="U961" s="116"/>
      <c r="V961" s="115"/>
      <c r="W961" s="116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6"/>
    </row>
    <row r="962" spans="1:38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5"/>
      <c r="U962" s="116"/>
      <c r="V962" s="115"/>
      <c r="W962" s="116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6"/>
    </row>
    <row r="963" spans="1:38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5"/>
      <c r="U963" s="116"/>
      <c r="V963" s="115"/>
      <c r="W963" s="116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6"/>
    </row>
    <row r="964" spans="1:38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5"/>
      <c r="U964" s="116"/>
      <c r="V964" s="115"/>
      <c r="W964" s="116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6"/>
    </row>
    <row r="965" spans="1:38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5"/>
      <c r="U965" s="116"/>
      <c r="V965" s="115"/>
      <c r="W965" s="116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6"/>
    </row>
    <row r="966" spans="1:38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5"/>
      <c r="U966" s="116"/>
      <c r="V966" s="115"/>
      <c r="W966" s="116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6"/>
    </row>
    <row r="967" spans="1:38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5"/>
      <c r="U967" s="116"/>
      <c r="V967" s="115"/>
      <c r="W967" s="116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6"/>
    </row>
    <row r="968" spans="1:38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5"/>
      <c r="U968" s="116"/>
      <c r="V968" s="115"/>
      <c r="W968" s="116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6"/>
    </row>
    <row r="969" spans="1:38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5"/>
      <c r="U969" s="116"/>
      <c r="V969" s="115"/>
      <c r="W969" s="116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6"/>
    </row>
    <row r="970" spans="1:38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5"/>
      <c r="U970" s="116"/>
      <c r="V970" s="115"/>
      <c r="W970" s="116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6"/>
    </row>
    <row r="971" spans="1:38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5"/>
      <c r="U971" s="116"/>
      <c r="V971" s="115"/>
      <c r="W971" s="116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6"/>
    </row>
    <row r="972" spans="1:38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5"/>
      <c r="U972" s="116"/>
      <c r="V972" s="115"/>
      <c r="W972" s="116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6"/>
    </row>
    <row r="973" spans="1:38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5"/>
      <c r="U973" s="116"/>
      <c r="V973" s="115"/>
      <c r="W973" s="116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6"/>
    </row>
    <row r="974" spans="1:38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5"/>
      <c r="U974" s="116"/>
      <c r="V974" s="115"/>
      <c r="W974" s="116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6"/>
    </row>
    <row r="975" spans="1:38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5"/>
      <c r="U975" s="116"/>
      <c r="V975" s="115"/>
      <c r="W975" s="116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6"/>
    </row>
    <row r="976" spans="1:38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5"/>
      <c r="U976" s="116"/>
      <c r="V976" s="115"/>
      <c r="W976" s="116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6"/>
    </row>
    <row r="977" spans="1:38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5"/>
      <c r="U977" s="116"/>
      <c r="V977" s="115"/>
      <c r="W977" s="116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6"/>
    </row>
    <row r="978" spans="1:38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5"/>
      <c r="U978" s="116"/>
      <c r="V978" s="115"/>
      <c r="W978" s="116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6"/>
    </row>
    <row r="979" spans="1:38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5"/>
      <c r="U979" s="116"/>
      <c r="V979" s="115"/>
      <c r="W979" s="116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6"/>
    </row>
    <row r="980" spans="1:38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5"/>
      <c r="U980" s="116"/>
      <c r="V980" s="115"/>
      <c r="W980" s="116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6"/>
    </row>
    <row r="981" spans="1:38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5"/>
      <c r="U981" s="116"/>
      <c r="V981" s="115"/>
      <c r="W981" s="116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6"/>
    </row>
    <row r="982" spans="1:38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5"/>
      <c r="U982" s="116"/>
      <c r="V982" s="115"/>
      <c r="W982" s="116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6"/>
    </row>
    <row r="983" spans="1:38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5"/>
      <c r="U983" s="116"/>
      <c r="V983" s="115"/>
      <c r="W983" s="116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6"/>
    </row>
    <row r="984" spans="1:38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5"/>
      <c r="U984" s="116"/>
      <c r="V984" s="115"/>
      <c r="W984" s="116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6"/>
    </row>
    <row r="985" spans="1:38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5"/>
      <c r="U985" s="116"/>
      <c r="V985" s="115"/>
      <c r="W985" s="116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6"/>
    </row>
    <row r="986" spans="1:38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5"/>
      <c r="U986" s="116"/>
      <c r="V986" s="115"/>
      <c r="W986" s="116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6"/>
    </row>
    <row r="987" spans="1:38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5"/>
      <c r="U987" s="116"/>
      <c r="V987" s="115"/>
      <c r="W987" s="116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6"/>
    </row>
    <row r="988" spans="1:38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5"/>
      <c r="U988" s="116"/>
      <c r="V988" s="115"/>
      <c r="W988" s="116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6"/>
    </row>
    <row r="989" spans="1:38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5"/>
      <c r="U989" s="116"/>
      <c r="V989" s="115"/>
      <c r="W989" s="116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6"/>
    </row>
    <row r="990" spans="1:38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5"/>
      <c r="U990" s="116"/>
      <c r="V990" s="115"/>
      <c r="W990" s="116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6"/>
    </row>
    <row r="991" spans="1:38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5"/>
      <c r="U991" s="116"/>
      <c r="V991" s="115"/>
      <c r="W991" s="116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6"/>
    </row>
    <row r="992" spans="1:38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5"/>
      <c r="U992" s="116"/>
      <c r="V992" s="115"/>
      <c r="W992" s="116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6"/>
    </row>
    <row r="993" spans="1:38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5"/>
      <c r="U993" s="116"/>
      <c r="V993" s="115"/>
      <c r="W993" s="116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6"/>
    </row>
    <row r="994" spans="1:38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5"/>
      <c r="U994" s="116"/>
      <c r="V994" s="115"/>
      <c r="W994" s="116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6"/>
    </row>
    <row r="995" spans="1:38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5"/>
      <c r="U995" s="116"/>
      <c r="V995" s="115"/>
      <c r="W995" s="116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6"/>
    </row>
    <row r="996" spans="1:38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5"/>
      <c r="U996" s="116"/>
      <c r="V996" s="115"/>
      <c r="W996" s="116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6"/>
    </row>
    <row r="997" spans="1:38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5"/>
      <c r="U997" s="116"/>
      <c r="V997" s="115"/>
      <c r="W997" s="116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6"/>
    </row>
    <row r="998" spans="1:38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5"/>
      <c r="U998" s="116"/>
      <c r="V998" s="115"/>
      <c r="W998" s="116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6"/>
    </row>
    <row r="999" spans="1:38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5"/>
      <c r="U999" s="116"/>
      <c r="V999" s="115"/>
      <c r="W999" s="116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6"/>
    </row>
  </sheetData>
  <mergeCells count="36">
    <mergeCell ref="AJ3:AL4"/>
    <mergeCell ref="C4:G4"/>
    <mergeCell ref="H4:I4"/>
    <mergeCell ref="AF4:AI4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AL2"/>
    <mergeCell ref="C3:Q3"/>
    <mergeCell ref="R3:AI3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fitToWidth="0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2.42578125" customWidth="1"/>
    <col min="8" max="8" width="16.42578125" customWidth="1"/>
    <col min="9" max="9" width="10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1.42578125" customWidth="1"/>
    <col min="16" max="16" width="12.7109375" customWidth="1"/>
    <col min="17" max="17" width="13" customWidth="1"/>
    <col min="18" max="18" width="12.5703125" customWidth="1"/>
    <col min="20" max="20" width="8.42578125" bestFit="1" customWidth="1"/>
    <col min="22" max="22" width="8.42578125" customWidth="1"/>
    <col min="24" max="24" width="8.42578125" bestFit="1" customWidth="1"/>
    <col min="27" max="27" width="8.42578125" bestFit="1" customWidth="1"/>
    <col min="28" max="28" width="10.85546875" bestFit="1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336"/>
      <c r="T1" s="336"/>
      <c r="U1" s="120"/>
      <c r="V1" s="336"/>
      <c r="W1" s="120"/>
      <c r="X1" s="336"/>
      <c r="Y1" s="120"/>
      <c r="Z1" s="336"/>
      <c r="AA1" s="336"/>
      <c r="AB1" s="120"/>
    </row>
    <row r="2" spans="1:28" ht="24" customHeight="1" x14ac:dyDescent="0.2">
      <c r="A2" s="371" t="s">
        <v>1</v>
      </c>
      <c r="B2" s="372"/>
      <c r="C2" s="400" t="s">
        <v>210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</row>
    <row r="3" spans="1:28" ht="30" customHeight="1" x14ac:dyDescent="0.2">
      <c r="A3" s="373"/>
      <c r="B3" s="374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462" t="s">
        <v>211</v>
      </c>
      <c r="S3" s="464" t="s">
        <v>212</v>
      </c>
      <c r="T3" s="406"/>
      <c r="U3" s="407"/>
      <c r="V3" s="465" t="s">
        <v>213</v>
      </c>
      <c r="W3" s="407"/>
      <c r="X3" s="466" t="s">
        <v>214</v>
      </c>
      <c r="Y3" s="476"/>
      <c r="Z3" s="466" t="s">
        <v>215</v>
      </c>
      <c r="AA3" s="406"/>
      <c r="AB3" s="407"/>
    </row>
    <row r="4" spans="1:28" ht="30" customHeight="1" x14ac:dyDescent="0.2">
      <c r="A4" s="373"/>
      <c r="B4" s="374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463"/>
      <c r="S4" s="417"/>
      <c r="T4" s="395"/>
      <c r="U4" s="396"/>
      <c r="V4" s="417"/>
      <c r="W4" s="396"/>
      <c r="X4" s="477"/>
      <c r="Y4" s="478"/>
      <c r="Z4" s="417"/>
      <c r="AA4" s="395"/>
      <c r="AB4" s="396"/>
    </row>
    <row r="5" spans="1:28" ht="24" customHeight="1" x14ac:dyDescent="0.3">
      <c r="A5" s="373"/>
      <c r="B5" s="374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289" t="s">
        <v>22</v>
      </c>
      <c r="S5" s="337" t="s">
        <v>21</v>
      </c>
      <c r="T5" s="412" t="s">
        <v>22</v>
      </c>
      <c r="U5" s="396"/>
      <c r="V5" s="412" t="s">
        <v>22</v>
      </c>
      <c r="W5" s="396"/>
      <c r="X5" s="412" t="s">
        <v>22</v>
      </c>
      <c r="Y5" s="396"/>
      <c r="Z5" s="337" t="s">
        <v>21</v>
      </c>
      <c r="AA5" s="412" t="s">
        <v>22</v>
      </c>
      <c r="AB5" s="396"/>
    </row>
    <row r="6" spans="1:28" ht="41.25" customHeight="1" x14ac:dyDescent="0.3">
      <c r="A6" s="375"/>
      <c r="B6" s="37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12" t="s">
        <v>28</v>
      </c>
      <c r="S6" s="338" t="s">
        <v>28</v>
      </c>
      <c r="T6" s="339" t="s">
        <v>28</v>
      </c>
      <c r="U6" s="340" t="s">
        <v>24</v>
      </c>
      <c r="V6" s="339" t="s">
        <v>28</v>
      </c>
      <c r="W6" s="340" t="s">
        <v>24</v>
      </c>
      <c r="X6" s="339" t="s">
        <v>28</v>
      </c>
      <c r="Y6" s="340" t="s">
        <v>24</v>
      </c>
      <c r="Z6" s="338" t="s">
        <v>28</v>
      </c>
      <c r="AA6" s="339" t="s">
        <v>28</v>
      </c>
      <c r="AB6" s="340" t="s">
        <v>24</v>
      </c>
    </row>
    <row r="7" spans="1:28" ht="24" customHeight="1" x14ac:dyDescent="0.3">
      <c r="A7" s="367" t="s">
        <v>239</v>
      </c>
      <c r="B7" s="368"/>
      <c r="C7" s="283">
        <f t="shared" ref="C7:C116" ca="1" si="0">D7+G7</f>
        <v>8336100</v>
      </c>
      <c r="D7" s="284">
        <f t="shared" ref="D7:E7" ca="1" si="1">D8+D9+D12</f>
        <v>8336100</v>
      </c>
      <c r="E7" s="18">
        <f t="shared" ca="1" si="1"/>
        <v>3751200</v>
      </c>
      <c r="F7" s="19">
        <f ca="1">F8+F9</f>
        <v>4584900</v>
      </c>
      <c r="G7" s="20">
        <f t="shared" ref="G7:I7" ca="1" si="2">G8+G9+G12</f>
        <v>0</v>
      </c>
      <c r="H7" s="21">
        <f t="shared" ca="1" si="2"/>
        <v>8214100</v>
      </c>
      <c r="I7" s="21">
        <f t="shared" ca="1" si="2"/>
        <v>0</v>
      </c>
      <c r="J7" s="22">
        <f t="shared" ref="J7:J116" ca="1" si="3">L7+O7</f>
        <v>7686793.7599999998</v>
      </c>
      <c r="K7" s="23">
        <f t="shared" ref="K7:K116" ca="1" si="4">IF(C7&gt;0,J7*100/C7,0)</f>
        <v>92.21091109751562</v>
      </c>
      <c r="L7" s="22">
        <f ca="1">L8+L9+L12</f>
        <v>7686793.7599999998</v>
      </c>
      <c r="M7" s="24">
        <f t="shared" ref="M7:M116" ca="1" si="5">IF(D7&gt;0,L7*100/D7,0)</f>
        <v>92.21091109751562</v>
      </c>
      <c r="N7" s="24">
        <f t="shared" ref="N7:N116" ca="1" si="6">IF(H7&gt;0,L7*100/H7,0)</f>
        <v>93.580474549859389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7">
        <f t="shared" ref="R7:T7" ca="1" si="9">R8</f>
        <v>34</v>
      </c>
      <c r="S7" s="341">
        <f t="shared" ca="1" si="9"/>
        <v>800</v>
      </c>
      <c r="T7" s="145">
        <f t="shared" ca="1" si="9"/>
        <v>800</v>
      </c>
      <c r="U7" s="146">
        <f t="shared" ref="U7:U8" ca="1" si="10">IF(S7&gt;0,T7*100/S7,0)</f>
        <v>100</v>
      </c>
      <c r="V7" s="145">
        <f ca="1">V8</f>
        <v>785</v>
      </c>
      <c r="W7" s="146">
        <f t="shared" ref="W7:W88" ca="1" si="11">IF(S7&gt;0,V7*100/S7,0)</f>
        <v>98.125</v>
      </c>
      <c r="X7" s="145">
        <f ca="1">X8</f>
        <v>800</v>
      </c>
      <c r="Y7" s="146">
        <f t="shared" ref="Y7:Y88" ca="1" si="12">IF(S7&gt;0,X7*100/S7,0)</f>
        <v>100</v>
      </c>
      <c r="Z7" s="341">
        <f t="shared" ref="Z7:AA7" ca="1" si="13">Z8</f>
        <v>160</v>
      </c>
      <c r="AA7" s="145">
        <f t="shared" ca="1" si="13"/>
        <v>155</v>
      </c>
      <c r="AB7" s="146">
        <f t="shared" ref="AB7:AB88" ca="1" si="14">IF(S7&gt;0,AA7*100/S7,0)</f>
        <v>19.375</v>
      </c>
    </row>
    <row r="8" spans="1:28" ht="28.5" customHeight="1" x14ac:dyDescent="0.3">
      <c r="A8" s="29" t="s">
        <v>31</v>
      </c>
      <c r="B8" s="30"/>
      <c r="C8" s="31">
        <f t="shared" ca="1" si="0"/>
        <v>6442000</v>
      </c>
      <c r="D8" s="32">
        <f t="shared" ref="D8:I8" ca="1" si="15">+D13+D31+D52+D74</f>
        <v>6442000</v>
      </c>
      <c r="E8" s="33">
        <f t="shared" ca="1" si="15"/>
        <v>3146000</v>
      </c>
      <c r="F8" s="33">
        <f t="shared" ca="1" si="15"/>
        <v>3296000</v>
      </c>
      <c r="G8" s="33">
        <f t="shared" ca="1" si="15"/>
        <v>0</v>
      </c>
      <c r="H8" s="33">
        <f t="shared" ca="1" si="15"/>
        <v>6757140</v>
      </c>
      <c r="I8" s="33">
        <f t="shared" ca="1" si="15"/>
        <v>0</v>
      </c>
      <c r="J8" s="33">
        <f t="shared" ca="1" si="3"/>
        <v>6321769.8799999999</v>
      </c>
      <c r="K8" s="34">
        <f t="shared" ca="1" si="4"/>
        <v>98.133652281900027</v>
      </c>
      <c r="L8" s="33">
        <f ca="1">+L13+L31+L52+L74</f>
        <v>6321769.8799999999</v>
      </c>
      <c r="M8" s="35">
        <f t="shared" ca="1" si="5"/>
        <v>98.133652281900027</v>
      </c>
      <c r="N8" s="35">
        <f t="shared" ca="1" si="6"/>
        <v>93.556887677330948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T8" ca="1" si="16">+R13+R31+R52+R74</f>
        <v>34</v>
      </c>
      <c r="S8" s="294">
        <f t="shared" ca="1" si="16"/>
        <v>800</v>
      </c>
      <c r="T8" s="150">
        <f t="shared" ca="1" si="16"/>
        <v>800</v>
      </c>
      <c r="U8" s="152">
        <f t="shared" ca="1" si="10"/>
        <v>100</v>
      </c>
      <c r="V8" s="150">
        <f ca="1">+V13+V31+V52+V74</f>
        <v>785</v>
      </c>
      <c r="W8" s="152">
        <f t="shared" ca="1" si="11"/>
        <v>98.125</v>
      </c>
      <c r="X8" s="150">
        <f ca="1">+X13+X31+X52+X74</f>
        <v>800</v>
      </c>
      <c r="Y8" s="152">
        <f t="shared" ca="1" si="12"/>
        <v>100</v>
      </c>
      <c r="Z8" s="294">
        <f t="shared" ref="Z8:AA8" ca="1" si="17">+Z13+Z31+Z52+Z74</f>
        <v>160</v>
      </c>
      <c r="AA8" s="150">
        <f t="shared" ca="1" si="17"/>
        <v>155</v>
      </c>
      <c r="AB8" s="152">
        <f t="shared" ca="1" si="14"/>
        <v>19.375</v>
      </c>
    </row>
    <row r="9" spans="1:28" ht="28.5" customHeight="1" x14ac:dyDescent="0.2">
      <c r="A9" s="39" t="s">
        <v>240</v>
      </c>
      <c r="B9" s="40"/>
      <c r="C9" s="41">
        <f t="shared" ca="1" si="0"/>
        <v>1894100</v>
      </c>
      <c r="D9" s="42">
        <f t="shared" ref="D9:I9" ca="1" si="18">+D10+D11</f>
        <v>1894100</v>
      </c>
      <c r="E9" s="41">
        <f t="shared" ca="1" si="18"/>
        <v>605200</v>
      </c>
      <c r="F9" s="41">
        <f t="shared" ca="1" si="18"/>
        <v>1288900</v>
      </c>
      <c r="G9" s="41">
        <f t="shared" ca="1" si="18"/>
        <v>0</v>
      </c>
      <c r="H9" s="41">
        <f t="shared" ca="1" si="18"/>
        <v>1456960</v>
      </c>
      <c r="I9" s="41">
        <f t="shared" ca="1" si="18"/>
        <v>0</v>
      </c>
      <c r="J9" s="41">
        <f t="shared" ca="1" si="3"/>
        <v>1365023.88</v>
      </c>
      <c r="K9" s="43">
        <f t="shared" ca="1" si="4"/>
        <v>72.067149569716491</v>
      </c>
      <c r="L9" s="41">
        <f ca="1">+L10+L11</f>
        <v>1365023.88</v>
      </c>
      <c r="M9" s="44">
        <f t="shared" ca="1" si="5"/>
        <v>72.067149569716491</v>
      </c>
      <c r="N9" s="44">
        <f t="shared" ca="1" si="6"/>
        <v>93.689866571491322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295"/>
      <c r="T9" s="191"/>
      <c r="U9" s="342"/>
      <c r="V9" s="191"/>
      <c r="W9" s="44">
        <f t="shared" si="11"/>
        <v>0</v>
      </c>
      <c r="X9" s="191"/>
      <c r="Y9" s="44">
        <f t="shared" si="12"/>
        <v>0</v>
      </c>
      <c r="Z9" s="295"/>
      <c r="AA9" s="191"/>
      <c r="AB9" s="44">
        <f t="shared" si="14"/>
        <v>0</v>
      </c>
    </row>
    <row r="10" spans="1:28" ht="28.5" hidden="1" customHeight="1" x14ac:dyDescent="0.2">
      <c r="A10" s="39" t="s">
        <v>32</v>
      </c>
      <c r="B10" s="40"/>
      <c r="C10" s="41">
        <f t="shared" ca="1" si="0"/>
        <v>1288900</v>
      </c>
      <c r="D10" s="42">
        <f t="shared" ref="D10:I10" ca="1" si="19">+D89</f>
        <v>1288900</v>
      </c>
      <c r="E10" s="41">
        <f t="shared" ca="1" si="19"/>
        <v>0</v>
      </c>
      <c r="F10" s="41">
        <f t="shared" ca="1" si="19"/>
        <v>1288900</v>
      </c>
      <c r="G10" s="41">
        <f t="shared" ca="1" si="19"/>
        <v>0</v>
      </c>
      <c r="H10" s="41">
        <f t="shared" ca="1" si="19"/>
        <v>1297360</v>
      </c>
      <c r="I10" s="41">
        <f t="shared" ca="1" si="19"/>
        <v>0</v>
      </c>
      <c r="J10" s="41">
        <f t="shared" ca="1" si="3"/>
        <v>1287223.8799999999</v>
      </c>
      <c r="K10" s="43">
        <f t="shared" ca="1" si="4"/>
        <v>99.869957327954054</v>
      </c>
      <c r="L10" s="41">
        <f ca="1">+L89</f>
        <v>1287223.8799999999</v>
      </c>
      <c r="M10" s="44">
        <f t="shared" ca="1" si="5"/>
        <v>99.869957327954054</v>
      </c>
      <c r="N10" s="44">
        <f t="shared" ca="1" si="6"/>
        <v>99.218711845594115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295"/>
      <c r="T10" s="191"/>
      <c r="U10" s="342"/>
      <c r="V10" s="191"/>
      <c r="W10" s="44">
        <f t="shared" si="11"/>
        <v>0</v>
      </c>
      <c r="X10" s="191"/>
      <c r="Y10" s="44">
        <f t="shared" si="12"/>
        <v>0</v>
      </c>
      <c r="Z10" s="295"/>
      <c r="AA10" s="191"/>
      <c r="AB10" s="44">
        <f t="shared" si="14"/>
        <v>0</v>
      </c>
    </row>
    <row r="11" spans="1:28" ht="28.5" hidden="1" customHeight="1" x14ac:dyDescent="0.2">
      <c r="A11" s="48" t="s">
        <v>33</v>
      </c>
      <c r="B11" s="40"/>
      <c r="C11" s="41">
        <f t="shared" ca="1" si="0"/>
        <v>605200</v>
      </c>
      <c r="D11" s="42">
        <f t="shared" ref="D11:I11" ca="1" si="20">+D104</f>
        <v>605200</v>
      </c>
      <c r="E11" s="41">
        <f t="shared" ca="1" si="20"/>
        <v>605200</v>
      </c>
      <c r="F11" s="41">
        <f t="shared" ca="1" si="20"/>
        <v>0</v>
      </c>
      <c r="G11" s="41">
        <f t="shared" ca="1" si="20"/>
        <v>0</v>
      </c>
      <c r="H11" s="41">
        <f t="shared" ca="1" si="20"/>
        <v>159600</v>
      </c>
      <c r="I11" s="41">
        <f t="shared" ca="1" si="20"/>
        <v>0</v>
      </c>
      <c r="J11" s="41">
        <f t="shared" ca="1" si="3"/>
        <v>77800</v>
      </c>
      <c r="K11" s="43">
        <f t="shared" ca="1" si="4"/>
        <v>12.855254461335095</v>
      </c>
      <c r="L11" s="41">
        <f ca="1">+L104</f>
        <v>77800</v>
      </c>
      <c r="M11" s="44">
        <f t="shared" ca="1" si="5"/>
        <v>12.855254461335095</v>
      </c>
      <c r="N11" s="44">
        <f t="shared" ca="1" si="6"/>
        <v>48.746867167919802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295"/>
      <c r="T11" s="191"/>
      <c r="U11" s="342"/>
      <c r="V11" s="191"/>
      <c r="W11" s="44">
        <f t="shared" si="11"/>
        <v>0</v>
      </c>
      <c r="X11" s="191"/>
      <c r="Y11" s="44">
        <f t="shared" si="12"/>
        <v>0</v>
      </c>
      <c r="Z11" s="295"/>
      <c r="AA11" s="191"/>
      <c r="AB11" s="44">
        <f t="shared" si="14"/>
        <v>0</v>
      </c>
    </row>
    <row r="12" spans="1:28" ht="28.5" hidden="1" customHeight="1" x14ac:dyDescent="0.3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296">
        <v>0</v>
      </c>
      <c r="T12" s="163">
        <v>0</v>
      </c>
      <c r="U12" s="165">
        <f t="shared" ref="U12:U88" si="21">IF(S12&gt;0,T12*100/S12,0)</f>
        <v>0</v>
      </c>
      <c r="V12" s="163">
        <v>0</v>
      </c>
      <c r="W12" s="165">
        <f t="shared" si="11"/>
        <v>0</v>
      </c>
      <c r="X12" s="163">
        <v>0</v>
      </c>
      <c r="Y12" s="165">
        <f t="shared" si="12"/>
        <v>0</v>
      </c>
      <c r="Z12" s="296">
        <v>0</v>
      </c>
      <c r="AA12" s="163">
        <v>0</v>
      </c>
      <c r="AB12" s="165">
        <f t="shared" si="14"/>
        <v>0</v>
      </c>
    </row>
    <row r="13" spans="1:28" ht="28.5" customHeight="1" x14ac:dyDescent="0.3">
      <c r="A13" s="381" t="s">
        <v>35</v>
      </c>
      <c r="B13" s="382"/>
      <c r="C13" s="57">
        <f t="shared" ca="1" si="0"/>
        <v>2230600</v>
      </c>
      <c r="D13" s="58">
        <f t="shared" ref="D13:I13" ca="1" si="22">SUM(D14:D30)</f>
        <v>2230600</v>
      </c>
      <c r="E13" s="59">
        <f t="shared" ca="1" si="22"/>
        <v>1287000</v>
      </c>
      <c r="F13" s="59">
        <f t="shared" ca="1" si="22"/>
        <v>943600</v>
      </c>
      <c r="G13" s="59">
        <f t="shared" ca="1" si="22"/>
        <v>0</v>
      </c>
      <c r="H13" s="59">
        <f t="shared" ca="1" si="22"/>
        <v>2328730</v>
      </c>
      <c r="I13" s="59">
        <f t="shared" ca="1" si="22"/>
        <v>0</v>
      </c>
      <c r="J13" s="59">
        <f t="shared" ca="1" si="3"/>
        <v>2128528.89</v>
      </c>
      <c r="K13" s="60">
        <f t="shared" ca="1" si="4"/>
        <v>95.424051376311311</v>
      </c>
      <c r="L13" s="59">
        <f ca="1">SUM(L14:L30)</f>
        <v>2128528.89</v>
      </c>
      <c r="M13" s="61">
        <f t="shared" ca="1" si="5"/>
        <v>95.424051376311311</v>
      </c>
      <c r="N13" s="61">
        <f t="shared" ca="1" si="6"/>
        <v>91.402991759456867</v>
      </c>
      <c r="O13" s="62">
        <f ca="1">SUM(O14:O30)</f>
        <v>0</v>
      </c>
      <c r="P13" s="62">
        <f t="shared" ref="P13:P116" ca="1" si="23">IF(G13&gt;0,O13*100/G13,0)</f>
        <v>0</v>
      </c>
      <c r="Q13" s="61">
        <f t="shared" ca="1" si="8"/>
        <v>0</v>
      </c>
      <c r="R13" s="59">
        <f t="shared" ref="R13:T13" ca="1" si="24">SUM(R14:R30)</f>
        <v>9</v>
      </c>
      <c r="S13" s="294">
        <f t="shared" ca="1" si="24"/>
        <v>230</v>
      </c>
      <c r="T13" s="150">
        <f t="shared" ca="1" si="24"/>
        <v>230</v>
      </c>
      <c r="U13" s="152">
        <f t="shared" ca="1" si="21"/>
        <v>100</v>
      </c>
      <c r="V13" s="150">
        <f ca="1">SUM(V14:V30)</f>
        <v>215</v>
      </c>
      <c r="W13" s="152">
        <f t="shared" ca="1" si="11"/>
        <v>93.478260869565219</v>
      </c>
      <c r="X13" s="150">
        <f ca="1">SUM(X14:X30)</f>
        <v>230</v>
      </c>
      <c r="Y13" s="152">
        <f t="shared" ca="1" si="12"/>
        <v>100</v>
      </c>
      <c r="Z13" s="294">
        <f t="shared" ref="Z13:AA13" ca="1" si="25">SUM(Z14:Z30)</f>
        <v>46</v>
      </c>
      <c r="AA13" s="150">
        <f t="shared" ca="1" si="25"/>
        <v>44</v>
      </c>
      <c r="AB13" s="152">
        <f t="shared" ca="1" si="14"/>
        <v>19.130434782608695</v>
      </c>
    </row>
    <row r="14" spans="1:28" ht="24" customHeight="1" x14ac:dyDescent="0.3">
      <c r="A14" s="63">
        <v>1</v>
      </c>
      <c r="B14" s="64" t="s">
        <v>36</v>
      </c>
      <c r="C14" s="65">
        <f t="shared" ca="1" si="0"/>
        <v>82400</v>
      </c>
      <c r="D14" s="66">
        <f t="shared" ref="D14:D30" ca="1" si="26">+E14+F14</f>
        <v>82400</v>
      </c>
      <c r="E14" s="67">
        <f ca="1">IFERROR(__xludf.DUMMYFUNCTION("IMPORTRANGE(""https://docs.google.com/spreadsheets/d/1MeEWN-I1oV_STSDYn1IFDPWt_1FKiwhDph83XaGc0o0/edit?usp=sharing"",""งบพรบ!DT14"")"),0)</f>
        <v>0</v>
      </c>
      <c r="F14" s="67">
        <f ca="1">IFERROR(__xludf.DUMMYFUNCTION("IMPORTRANGE(""https://docs.google.com/spreadsheets/d/1MeEWN-I1oV_STSDYn1IFDPWt_1FKiwhDph83XaGc0o0/edit?usp=sharing"",""งบพรบ!DU14"")"),82400)</f>
        <v>82400</v>
      </c>
      <c r="G14" s="68">
        <f ca="1">IFERROR(__xludf.DUMMYFUNCTION("IMPORTRANGE(""https://docs.google.com/spreadsheets/d/1MeEWN-I1oV_STSDYn1IFDPWt_1FKiwhDph83XaGc0o0/edit?usp=sharing"",""งบพรบ!DV14"")"),0)</f>
        <v>0</v>
      </c>
      <c r="H14" s="68">
        <f ca="1">IFERROR(__xludf.DUMMYFUNCTION("IMPORTRANGE(""https://docs.google.com/spreadsheets/d/1MeEWN-I1oV_STSDYn1IFDPWt_1FKiwhDph83XaGc0o0/edit?usp=sharing"",""งบพรบ!DX14"")"),82400)</f>
        <v>82400</v>
      </c>
      <c r="I14" s="68">
        <f ca="1">IFERROR(__xludf.DUMMYFUNCTION("IMPORTRANGE(""https://docs.google.com/spreadsheets/d/1MeEWN-I1oV_STSDYn1IFDPWt_1FKiwhDph83XaGc0o0/edit?usp=sharing"",""งบพรบ!DY14"")"),0)</f>
        <v>0</v>
      </c>
      <c r="J14" s="68">
        <f t="shared" ca="1" si="3"/>
        <v>82400</v>
      </c>
      <c r="K14" s="69">
        <f t="shared" ca="1" si="4"/>
        <v>100</v>
      </c>
      <c r="L14" s="68">
        <f ca="1">IFERROR(__xludf.DUMMYFUNCTION("IMPORTRANGE(""https://docs.google.com/spreadsheets/d/1MeEWN-I1oV_STSDYn1IFDPWt_1FKiwhDph83XaGc0o0/edit?usp=sharing"",""งบพรบ!DZ14"")"),82400)</f>
        <v>82400</v>
      </c>
      <c r="M14" s="70">
        <f t="shared" ca="1" si="5"/>
        <v>100</v>
      </c>
      <c r="N14" s="70">
        <f t="shared" ca="1" si="6"/>
        <v>100</v>
      </c>
      <c r="O14" s="71">
        <f ca="1">IFERROR(__xludf.DUMMYFUNCTION("IMPORTRANGE(""https://docs.google.com/spreadsheets/d/1MeEWN-I1oV_STSDYn1IFDPWt_1FKiwhDph83XaGc0o0/edit?usp=sharing"",""งบพรบ!EA14"")"),0)</f>
        <v>0</v>
      </c>
      <c r="P14" s="71">
        <f t="shared" ca="1" si="23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IFERROR(__xludf.DUMMYFUNCTION("IMPORTRANGE(""https://docs.google.com/spreadsheets/d/1KxicF4apzSqm0-jIpmueT4kyZtE-Cwn5zskl7GD4loQ/edit?usp=sharing"",""กำแพงเพชร!J308"")"),0)</f>
        <v>0</v>
      </c>
      <c r="S14" s="297">
        <f ca="1">IFERROR(__xludf.DUMMYFUNCTION("IMPORTRANGE(""https://docs.google.com/spreadsheets/d/1KxicF4apzSqm0-jIpmueT4kyZtE-Cwn5zskl7GD4loQ/edit?usp=sharing"",""กำแพงเพชร!I309"")"),20)</f>
        <v>20</v>
      </c>
      <c r="T14" s="173">
        <f ca="1">IFERROR(__xludf.DUMMYFUNCTION("IMPORTRANGE(""https://docs.google.com/spreadsheets/d/1KxicF4apzSqm0-jIpmueT4kyZtE-Cwn5zskl7GD4loQ/edit?usp=sharing"",""กำแพงเพชร!J309"")"),20)</f>
        <v>20</v>
      </c>
      <c r="U14" s="177">
        <f t="shared" ca="1" si="21"/>
        <v>100</v>
      </c>
      <c r="V14" s="173">
        <f ca="1">IFERROR(__xludf.DUMMYFUNCTION("IMPORTRANGE(""https://docs.google.com/spreadsheets/d/1KxicF4apzSqm0-jIpmueT4kyZtE-Cwn5zskl7GD4loQ/edit?usp=sharing"",""กำแพงเพชร!J310"")"),20)</f>
        <v>20</v>
      </c>
      <c r="W14" s="177">
        <f t="shared" ca="1" si="11"/>
        <v>100</v>
      </c>
      <c r="X14" s="173">
        <f ca="1">IFERROR(__xludf.DUMMYFUNCTION("IMPORTRANGE(""https://docs.google.com/spreadsheets/d/1KxicF4apzSqm0-jIpmueT4kyZtE-Cwn5zskl7GD4loQ/edit?usp=sharing"",""กำแพงเพชร!J311"")"),20)</f>
        <v>20</v>
      </c>
      <c r="Y14" s="177">
        <f t="shared" ca="1" si="12"/>
        <v>100</v>
      </c>
      <c r="Z14" s="297">
        <f ca="1">IFERROR(__xludf.DUMMYFUNCTION("IMPORTRANGE(""https://docs.google.com/spreadsheets/d/1KxicF4apzSqm0-jIpmueT4kyZtE-Cwn5zskl7GD4loQ/edit?usp=sharing"",""กำแพงเพชร!I312"")"),4)</f>
        <v>4</v>
      </c>
      <c r="AA14" s="173">
        <f ca="1">IFERROR(__xludf.DUMMYFUNCTION("IMPORTRANGE(""https://docs.google.com/spreadsheets/d/1KxicF4apzSqm0-jIpmueT4kyZtE-Cwn5zskl7GD4loQ/edit?usp=sharing"",""กำแพงเพชร!J312"")"),4)</f>
        <v>4</v>
      </c>
      <c r="AB14" s="177">
        <f t="shared" ca="1" si="14"/>
        <v>20</v>
      </c>
    </row>
    <row r="15" spans="1:28" ht="24" customHeight="1" x14ac:dyDescent="0.3">
      <c r="A15" s="73">
        <v>2</v>
      </c>
      <c r="B15" s="74" t="s">
        <v>37</v>
      </c>
      <c r="C15" s="75">
        <f t="shared" ca="1" si="0"/>
        <v>368400</v>
      </c>
      <c r="D15" s="76">
        <f t="shared" ca="1" si="26"/>
        <v>368400</v>
      </c>
      <c r="E15" s="77">
        <f ca="1">IFERROR(__xludf.DUMMYFUNCTION("IMPORTRANGE(""https://docs.google.com/spreadsheets/d/1MeEWN-I1oV_STSDYn1IFDPWt_1FKiwhDph83XaGc0o0/edit?usp=sharing"",""งบพรบ!DT15"")"),286000)</f>
        <v>286000</v>
      </c>
      <c r="F15" s="77">
        <f ca="1">IFERROR(__xludf.DUMMYFUNCTION("IMPORTRANGE(""https://docs.google.com/spreadsheets/d/1MeEWN-I1oV_STSDYn1IFDPWt_1FKiwhDph83XaGc0o0/edit?usp=sharing"",""งบพรบ!DU15"")"),82400)</f>
        <v>82400</v>
      </c>
      <c r="G15" s="77">
        <f ca="1">IFERROR(__xludf.DUMMYFUNCTION("IMPORTRANGE(""https://docs.google.com/spreadsheets/d/1MeEWN-I1oV_STSDYn1IFDPWt_1FKiwhDph83XaGc0o0/edit?usp=sharing"",""งบพรบ!DV15"")"),0)</f>
        <v>0</v>
      </c>
      <c r="H15" s="77">
        <f ca="1">IFERROR(__xludf.DUMMYFUNCTION("IMPORTRANGE(""https://docs.google.com/spreadsheets/d/1MeEWN-I1oV_STSDYn1IFDPWt_1FKiwhDph83XaGc0o0/edit?usp=sharing"",""งบพรบ!DX15"")"),385400)</f>
        <v>385400</v>
      </c>
      <c r="I15" s="77">
        <f ca="1">IFERROR(__xludf.DUMMYFUNCTION("IMPORTRANGE(""https://docs.google.com/spreadsheets/d/1MeEWN-I1oV_STSDYn1IFDPWt_1FKiwhDph83XaGc0o0/edit?usp=sharing"",""งบพรบ!DY15"")"),0)</f>
        <v>0</v>
      </c>
      <c r="J15" s="77">
        <f t="shared" ca="1" si="3"/>
        <v>349870.02</v>
      </c>
      <c r="K15" s="78">
        <f t="shared" ca="1" si="4"/>
        <v>94.970146579804563</v>
      </c>
      <c r="L15" s="77">
        <f ca="1">IFERROR(__xludf.DUMMYFUNCTION("IMPORTRANGE(""https://docs.google.com/spreadsheets/d/1MeEWN-I1oV_STSDYn1IFDPWt_1FKiwhDph83XaGc0o0/edit?usp=sharing"",""งบพรบ!DZ15"")"),349870.02)</f>
        <v>349870.02</v>
      </c>
      <c r="M15" s="79">
        <f t="shared" ca="1" si="5"/>
        <v>94.970146579804563</v>
      </c>
      <c r="N15" s="79">
        <f t="shared" ca="1" si="6"/>
        <v>90.781011935651264</v>
      </c>
      <c r="O15" s="80">
        <f ca="1">IFERROR(__xludf.DUMMYFUNCTION("IMPORTRANGE(""https://docs.google.com/spreadsheets/d/1MeEWN-I1oV_STSDYn1IFDPWt_1FKiwhDph83XaGc0o0/edit?usp=sharing"",""งบพรบ!EA15"")"),0)</f>
        <v>0</v>
      </c>
      <c r="P15" s="80">
        <f t="shared" ca="1" si="23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IFERROR(__xludf.DUMMYFUNCTION("IMPORTRANGE(""https://docs.google.com/spreadsheets/d/1ZNYWeiFoFA1K1U4xKWqRX29MBvEyRHXORjo734Gnq_c/edit?usp=sharing"",""เชียงราย!J308"")"),1)</f>
        <v>1</v>
      </c>
      <c r="S15" s="297">
        <f ca="1">IFERROR(__xludf.DUMMYFUNCTION("IMPORTRANGE(""https://docs.google.com/spreadsheets/d/1ZNYWeiFoFA1K1U4xKWqRX29MBvEyRHXORjo734Gnq_c/edit?usp=sharing"",""เชียงราย!I309"")"),20)</f>
        <v>20</v>
      </c>
      <c r="T15" s="173">
        <f ca="1">IFERROR(__xludf.DUMMYFUNCTION("IMPORTRANGE(""https://docs.google.com/spreadsheets/d/1ZNYWeiFoFA1K1U4xKWqRX29MBvEyRHXORjo734Gnq_c/edit?usp=sharing"",""เชียงราย!J309"")"),20)</f>
        <v>20</v>
      </c>
      <c r="U15" s="177">
        <f t="shared" ca="1" si="21"/>
        <v>100</v>
      </c>
      <c r="V15" s="173">
        <f ca="1">IFERROR(__xludf.DUMMYFUNCTION("IMPORTRANGE(""https://docs.google.com/spreadsheets/d/1ZNYWeiFoFA1K1U4xKWqRX29MBvEyRHXORjo734Gnq_c/edit?usp=sharing"",""เชียงราย!J310"")"),20)</f>
        <v>20</v>
      </c>
      <c r="W15" s="177">
        <f t="shared" ca="1" si="11"/>
        <v>100</v>
      </c>
      <c r="X15" s="173">
        <f ca="1">IFERROR(__xludf.DUMMYFUNCTION("IMPORTRANGE(""https://docs.google.com/spreadsheets/d/1ZNYWeiFoFA1K1U4xKWqRX29MBvEyRHXORjo734Gnq_c/edit?usp=sharing"",""เชียงราย!J311"")"),20)</f>
        <v>20</v>
      </c>
      <c r="Y15" s="177">
        <f t="shared" ca="1" si="12"/>
        <v>100</v>
      </c>
      <c r="Z15" s="297">
        <f ca="1">IFERROR(__xludf.DUMMYFUNCTION("IMPORTRANGE(""https://docs.google.com/spreadsheets/d/1ZNYWeiFoFA1K1U4xKWqRX29MBvEyRHXORjo734Gnq_c/edit?usp=sharing"",""เชียงราย!I312"")"),4)</f>
        <v>4</v>
      </c>
      <c r="AA15" s="173">
        <f ca="1">IFERROR(__xludf.DUMMYFUNCTION("IMPORTRANGE(""https://docs.google.com/spreadsheets/d/1ZNYWeiFoFA1K1U4xKWqRX29MBvEyRHXORjo734Gnq_c/edit?usp=sharing"",""เชียงราย!J312"")"),4)</f>
        <v>4</v>
      </c>
      <c r="AB15" s="177">
        <f t="shared" ca="1" si="14"/>
        <v>20</v>
      </c>
    </row>
    <row r="16" spans="1:28" ht="24" customHeight="1" x14ac:dyDescent="0.3">
      <c r="A16" s="73">
        <v>3</v>
      </c>
      <c r="B16" s="74" t="s">
        <v>38</v>
      </c>
      <c r="C16" s="75">
        <f t="shared" ca="1" si="0"/>
        <v>225400</v>
      </c>
      <c r="D16" s="76">
        <f t="shared" ca="1" si="26"/>
        <v>225400</v>
      </c>
      <c r="E16" s="77">
        <f ca="1">IFERROR(__xludf.DUMMYFUNCTION("IMPORTRANGE(""https://docs.google.com/spreadsheets/d/1MeEWN-I1oV_STSDYn1IFDPWt_1FKiwhDph83XaGc0o0/edit?usp=sharing"",""งบพรบ!DT16"")"),143000)</f>
        <v>143000</v>
      </c>
      <c r="F16" s="77">
        <f ca="1">IFERROR(__xludf.DUMMYFUNCTION("IMPORTRANGE(""https://docs.google.com/spreadsheets/d/1MeEWN-I1oV_STSDYn1IFDPWt_1FKiwhDph83XaGc0o0/edit?usp=sharing"",""งบพรบ!DU16"")"),82400)</f>
        <v>82400</v>
      </c>
      <c r="G16" s="77">
        <f ca="1">IFERROR(__xludf.DUMMYFUNCTION("IMPORTRANGE(""https://docs.google.com/spreadsheets/d/1MeEWN-I1oV_STSDYn1IFDPWt_1FKiwhDph83XaGc0o0/edit?usp=sharing"",""งบพรบ!DV16"")"),0)</f>
        <v>0</v>
      </c>
      <c r="H16" s="77">
        <f ca="1">IFERROR(__xludf.DUMMYFUNCTION("IMPORTRANGE(""https://docs.google.com/spreadsheets/d/1MeEWN-I1oV_STSDYn1IFDPWt_1FKiwhDph83XaGc0o0/edit?usp=sharing"",""งบพรบ!DX16"")"),225400)</f>
        <v>225400</v>
      </c>
      <c r="I16" s="77">
        <f ca="1">IFERROR(__xludf.DUMMYFUNCTION("IMPORTRANGE(""https://docs.google.com/spreadsheets/d/1MeEWN-I1oV_STSDYn1IFDPWt_1FKiwhDph83XaGc0o0/edit?usp=sharing"",""งบพรบ!DY16"")"),0)</f>
        <v>0</v>
      </c>
      <c r="J16" s="77">
        <f t="shared" ca="1" si="3"/>
        <v>208023.39</v>
      </c>
      <c r="K16" s="78">
        <f t="shared" ca="1" si="4"/>
        <v>92.290767524401062</v>
      </c>
      <c r="L16" s="77">
        <f ca="1">IFERROR(__xludf.DUMMYFUNCTION("IMPORTRANGE(""https://docs.google.com/spreadsheets/d/1MeEWN-I1oV_STSDYn1IFDPWt_1FKiwhDph83XaGc0o0/edit?usp=sharing"",""งบพรบ!DZ16"")"),208023.39)</f>
        <v>208023.39</v>
      </c>
      <c r="M16" s="79">
        <f t="shared" ca="1" si="5"/>
        <v>92.290767524401062</v>
      </c>
      <c r="N16" s="79">
        <f t="shared" ca="1" si="6"/>
        <v>92.290767524401062</v>
      </c>
      <c r="O16" s="80">
        <f ca="1">IFERROR(__xludf.DUMMYFUNCTION("IMPORTRANGE(""https://docs.google.com/spreadsheets/d/1MeEWN-I1oV_STSDYn1IFDPWt_1FKiwhDph83XaGc0o0/edit?usp=sharing"",""งบพรบ!EA16"")"),0)</f>
        <v>0</v>
      </c>
      <c r="P16" s="80">
        <f t="shared" ca="1" si="23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IFERROR(__xludf.DUMMYFUNCTION("IMPORTRANGE(""https://docs.google.com/spreadsheets/d/1Jgv0Y7YlHDtsiDawwp-uvifEJ8HVaSn0k2aGHG8-hwM/edit?usp=sharing"",""เชียงใหม่!J308"")"),1)</f>
        <v>1</v>
      </c>
      <c r="S16" s="297">
        <f ca="1">IFERROR(__xludf.DUMMYFUNCTION("IMPORTRANGE(""https://docs.google.com/spreadsheets/d/1Jgv0Y7YlHDtsiDawwp-uvifEJ8HVaSn0k2aGHG8-hwM/edit?usp=sharing"",""เชียงใหม่!I309"")"),20)</f>
        <v>20</v>
      </c>
      <c r="T16" s="173">
        <f ca="1">IFERROR(__xludf.DUMMYFUNCTION("IMPORTRANGE(""https://docs.google.com/spreadsheets/d/1Jgv0Y7YlHDtsiDawwp-uvifEJ8HVaSn0k2aGHG8-hwM/edit?usp=sharing"",""เชียงใหม่!J309"")"),20)</f>
        <v>20</v>
      </c>
      <c r="U16" s="177">
        <f t="shared" ca="1" si="21"/>
        <v>100</v>
      </c>
      <c r="V16" s="173">
        <f ca="1">IFERROR(__xludf.DUMMYFUNCTION("IMPORTRANGE(""https://docs.google.com/spreadsheets/d/1Jgv0Y7YlHDtsiDawwp-uvifEJ8HVaSn0k2aGHG8-hwM/edit?usp=sharing"",""เชียงใหม่!J310"")"),20)</f>
        <v>20</v>
      </c>
      <c r="W16" s="177">
        <f t="shared" ca="1" si="11"/>
        <v>100</v>
      </c>
      <c r="X16" s="173">
        <f ca="1">IFERROR(__xludf.DUMMYFUNCTION("IMPORTRANGE(""https://docs.google.com/spreadsheets/d/1Jgv0Y7YlHDtsiDawwp-uvifEJ8HVaSn0k2aGHG8-hwM/edit?usp=sharing"",""เชียงใหม่!J311"")"),20)</f>
        <v>20</v>
      </c>
      <c r="Y16" s="177">
        <f t="shared" ca="1" si="12"/>
        <v>100</v>
      </c>
      <c r="Z16" s="297">
        <f ca="1">IFERROR(__xludf.DUMMYFUNCTION("IMPORTRANGE(""https://docs.google.com/spreadsheets/d/1Jgv0Y7YlHDtsiDawwp-uvifEJ8HVaSn0k2aGHG8-hwM/edit?usp=sharing"",""เชียงใหม่!I312"")"),4)</f>
        <v>4</v>
      </c>
      <c r="AA16" s="173">
        <f ca="1">IFERROR(__xludf.DUMMYFUNCTION("IMPORTRANGE(""https://docs.google.com/spreadsheets/d/1Jgv0Y7YlHDtsiDawwp-uvifEJ8HVaSn0k2aGHG8-hwM/edit?usp=sharing"",""เชียงใหม่!J312"")"),4)</f>
        <v>4</v>
      </c>
      <c r="AB16" s="177">
        <f t="shared" ca="1" si="14"/>
        <v>20</v>
      </c>
    </row>
    <row r="17" spans="1:28" ht="24" customHeight="1" x14ac:dyDescent="0.3">
      <c r="A17" s="73">
        <v>4</v>
      </c>
      <c r="B17" s="74" t="s">
        <v>39</v>
      </c>
      <c r="C17" s="75">
        <f t="shared" ca="1" si="0"/>
        <v>368400</v>
      </c>
      <c r="D17" s="76">
        <f t="shared" ca="1" si="26"/>
        <v>368400</v>
      </c>
      <c r="E17" s="77">
        <f ca="1">IFERROR(__xludf.DUMMYFUNCTION("IMPORTRANGE(""https://docs.google.com/spreadsheets/d/1MeEWN-I1oV_STSDYn1IFDPWt_1FKiwhDph83XaGc0o0/edit?usp=sharing"",""งบพรบ!DT17"")"),286000)</f>
        <v>286000</v>
      </c>
      <c r="F17" s="77">
        <f ca="1">IFERROR(__xludf.DUMMYFUNCTION("IMPORTRANGE(""https://docs.google.com/spreadsheets/d/1MeEWN-I1oV_STSDYn1IFDPWt_1FKiwhDph83XaGc0o0/edit?usp=sharing"",""งบพรบ!DU17"")"),82400)</f>
        <v>82400</v>
      </c>
      <c r="G17" s="77">
        <f ca="1">IFERROR(__xludf.DUMMYFUNCTION("IMPORTRANGE(""https://docs.google.com/spreadsheets/d/1MeEWN-I1oV_STSDYn1IFDPWt_1FKiwhDph83XaGc0o0/edit?usp=sharing"",""งบพรบ!DV17"")"),0)</f>
        <v>0</v>
      </c>
      <c r="H17" s="77">
        <f ca="1">IFERROR(__xludf.DUMMYFUNCTION("IMPORTRANGE(""https://docs.google.com/spreadsheets/d/1MeEWN-I1oV_STSDYn1IFDPWt_1FKiwhDph83XaGc0o0/edit?usp=sharing"",""งบพรบ!DX17"")"),381900)</f>
        <v>381900</v>
      </c>
      <c r="I17" s="77">
        <f ca="1">IFERROR(__xludf.DUMMYFUNCTION("IMPORTRANGE(""https://docs.google.com/spreadsheets/d/1MeEWN-I1oV_STSDYn1IFDPWt_1FKiwhDph83XaGc0o0/edit?usp=sharing"",""งบพรบ!DY17"")"),0)</f>
        <v>0</v>
      </c>
      <c r="J17" s="77">
        <f t="shared" ca="1" si="3"/>
        <v>325880</v>
      </c>
      <c r="K17" s="78">
        <f t="shared" ca="1" si="4"/>
        <v>88.458197611292078</v>
      </c>
      <c r="L17" s="77">
        <f ca="1">IFERROR(__xludf.DUMMYFUNCTION("IMPORTRANGE(""https://docs.google.com/spreadsheets/d/1MeEWN-I1oV_STSDYn1IFDPWt_1FKiwhDph83XaGc0o0/edit?usp=sharing"",""งบพรบ!DZ17"")"),325880)</f>
        <v>325880</v>
      </c>
      <c r="M17" s="79">
        <f t="shared" ca="1" si="5"/>
        <v>88.458197611292078</v>
      </c>
      <c r="N17" s="79">
        <f t="shared" ca="1" si="6"/>
        <v>85.331238544121504</v>
      </c>
      <c r="O17" s="80">
        <f ca="1">IFERROR(__xludf.DUMMYFUNCTION("IMPORTRANGE(""https://docs.google.com/spreadsheets/d/1MeEWN-I1oV_STSDYn1IFDPWt_1FKiwhDph83XaGc0o0/edit?usp=sharing"",""งบพรบ!EA17"")"),0)</f>
        <v>0</v>
      </c>
      <c r="P17" s="80">
        <f t="shared" ca="1" si="23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IFERROR(__xludf.DUMMYFUNCTION("IMPORTRANGE(""https://docs.google.com/spreadsheets/d/1JWG2rZePOz9pe-f-ObA-yDr0VoOX2kSb0qIix2mTUo8/edit?usp=sharing"",""ตาก!J308"")"),1)</f>
        <v>1</v>
      </c>
      <c r="S17" s="297">
        <f ca="1">IFERROR(__xludf.DUMMYFUNCTION("IMPORTRANGE(""https://docs.google.com/spreadsheets/d/1JWG2rZePOz9pe-f-ObA-yDr0VoOX2kSb0qIix2mTUo8/edit?usp=sharing"",""ตาก!I309"")"),20)</f>
        <v>20</v>
      </c>
      <c r="T17" s="173">
        <f ca="1">IFERROR(__xludf.DUMMYFUNCTION("IMPORTRANGE(""https://docs.google.com/spreadsheets/d/1JWG2rZePOz9pe-f-ObA-yDr0VoOX2kSb0qIix2mTUo8/edit?usp=sharing"",""ตาก!J309"")"),20)</f>
        <v>20</v>
      </c>
      <c r="U17" s="177">
        <f t="shared" ca="1" si="21"/>
        <v>100</v>
      </c>
      <c r="V17" s="173">
        <f ca="1">IFERROR(__xludf.DUMMYFUNCTION("IMPORTRANGE(""https://docs.google.com/spreadsheets/d/1JWG2rZePOz9pe-f-ObA-yDr0VoOX2kSb0qIix2mTUo8/edit?usp=sharing"",""ตาก!J310"")"),20)</f>
        <v>20</v>
      </c>
      <c r="W17" s="177">
        <f t="shared" ca="1" si="11"/>
        <v>100</v>
      </c>
      <c r="X17" s="173">
        <f ca="1">IFERROR(__xludf.DUMMYFUNCTION("IMPORTRANGE(""https://docs.google.com/spreadsheets/d/1JWG2rZePOz9pe-f-ObA-yDr0VoOX2kSb0qIix2mTUo8/edit?usp=sharing"",""ตาก!J311"")"),20)</f>
        <v>20</v>
      </c>
      <c r="Y17" s="177">
        <f t="shared" ca="1" si="12"/>
        <v>100</v>
      </c>
      <c r="Z17" s="297">
        <f ca="1">IFERROR(__xludf.DUMMYFUNCTION("IMPORTRANGE(""https://docs.google.com/spreadsheets/d/1JWG2rZePOz9pe-f-ObA-yDr0VoOX2kSb0qIix2mTUo8/edit?usp=sharing"",""ตาก!I312"")"),4)</f>
        <v>4</v>
      </c>
      <c r="AA17" s="173">
        <f ca="1">IFERROR(__xludf.DUMMYFUNCTION("IMPORTRANGE(""https://docs.google.com/spreadsheets/d/1JWG2rZePOz9pe-f-ObA-yDr0VoOX2kSb0qIix2mTUo8/edit?usp=sharing"",""ตาก!J312"")"),4)</f>
        <v>4</v>
      </c>
      <c r="AB17" s="177">
        <f t="shared" ca="1" si="14"/>
        <v>20</v>
      </c>
    </row>
    <row r="18" spans="1:28" ht="24" customHeight="1" x14ac:dyDescent="0.3">
      <c r="A18" s="73">
        <v>5</v>
      </c>
      <c r="B18" s="74" t="s">
        <v>40</v>
      </c>
      <c r="C18" s="75">
        <f t="shared" ca="1" si="0"/>
        <v>101000</v>
      </c>
      <c r="D18" s="76">
        <f t="shared" ca="1" si="26"/>
        <v>101000</v>
      </c>
      <c r="E18" s="77">
        <f ca="1">IFERROR(__xludf.DUMMYFUNCTION("IMPORTRANGE(""https://docs.google.com/spreadsheets/d/1MeEWN-I1oV_STSDYn1IFDPWt_1FKiwhDph83XaGc0o0/edit?usp=sharing"",""งบพรบ!DT18"")"),0)</f>
        <v>0</v>
      </c>
      <c r="F18" s="77">
        <f ca="1">IFERROR(__xludf.DUMMYFUNCTION("IMPORTRANGE(""https://docs.google.com/spreadsheets/d/1MeEWN-I1oV_STSDYn1IFDPWt_1FKiwhDph83XaGc0o0/edit?usp=sharing"",""งบพรบ!DU18"")"),101000)</f>
        <v>101000</v>
      </c>
      <c r="G18" s="77">
        <f ca="1">IFERROR(__xludf.DUMMYFUNCTION("IMPORTRANGE(""https://docs.google.com/spreadsheets/d/1MeEWN-I1oV_STSDYn1IFDPWt_1FKiwhDph83XaGc0o0/edit?usp=sharing"",""งบพรบ!DV18"")"),0)</f>
        <v>0</v>
      </c>
      <c r="H18" s="77">
        <f ca="1">IFERROR(__xludf.DUMMYFUNCTION("IMPORTRANGE(""https://docs.google.com/spreadsheets/d/1MeEWN-I1oV_STSDYn1IFDPWt_1FKiwhDph83XaGc0o0/edit?usp=sharing"",""งบพรบ!DX18"")"),101000)</f>
        <v>101000</v>
      </c>
      <c r="I18" s="77">
        <f ca="1">IFERROR(__xludf.DUMMYFUNCTION("IMPORTRANGE(""https://docs.google.com/spreadsheets/d/1MeEWN-I1oV_STSDYn1IFDPWt_1FKiwhDph83XaGc0o0/edit?usp=sharing"",""งบพรบ!DY18"")"),0)</f>
        <v>0</v>
      </c>
      <c r="J18" s="77">
        <f t="shared" ca="1" si="3"/>
        <v>101000</v>
      </c>
      <c r="K18" s="78">
        <f t="shared" ca="1" si="4"/>
        <v>100</v>
      </c>
      <c r="L18" s="77">
        <f ca="1">IFERROR(__xludf.DUMMYFUNCTION("IMPORTRANGE(""https://docs.google.com/spreadsheets/d/1MeEWN-I1oV_STSDYn1IFDPWt_1FKiwhDph83XaGc0o0/edit?usp=sharing"",""งบพรบ!DZ18"")"),101000)</f>
        <v>101000</v>
      </c>
      <c r="M18" s="79">
        <f t="shared" ca="1" si="5"/>
        <v>100</v>
      </c>
      <c r="N18" s="79">
        <f t="shared" ca="1" si="6"/>
        <v>100</v>
      </c>
      <c r="O18" s="80">
        <f ca="1">IFERROR(__xludf.DUMMYFUNCTION("IMPORTRANGE(""https://docs.google.com/spreadsheets/d/1MeEWN-I1oV_STSDYn1IFDPWt_1FKiwhDph83XaGc0o0/edit?usp=sharing"",""งบพรบ!EA18"")"),0)</f>
        <v>0</v>
      </c>
      <c r="P18" s="80">
        <f t="shared" ca="1" si="23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IFERROR(__xludf.DUMMYFUNCTION("IMPORTRANGE(""https://docs.google.com/spreadsheets/d/10nSRjK08hx8Y6HgSOQKNw81lyY46Zc7U_Cj72hBMp9U/edit?usp=sharing"",""นครสวรรค์!J308"")"),1)</f>
        <v>1</v>
      </c>
      <c r="S18" s="297">
        <f ca="1">IFERROR(__xludf.DUMMYFUNCTION("IMPORTRANGE(""https://docs.google.com/spreadsheets/d/10nSRjK08hx8Y6HgSOQKNw81lyY46Zc7U_Cj72hBMp9U/edit?usp=sharing"",""นครสวรรค์!I309"")"),25)</f>
        <v>25</v>
      </c>
      <c r="T18" s="173">
        <f ca="1">IFERROR(__xludf.DUMMYFUNCTION("IMPORTRANGE(""https://docs.google.com/spreadsheets/d/10nSRjK08hx8Y6HgSOQKNw81lyY46Zc7U_Cj72hBMp9U/edit?usp=sharing"",""นครสวรรค์!J309"")"),25)</f>
        <v>25</v>
      </c>
      <c r="U18" s="177">
        <f t="shared" ca="1" si="21"/>
        <v>100</v>
      </c>
      <c r="V18" s="173">
        <f ca="1">IFERROR(__xludf.DUMMYFUNCTION("IMPORTRANGE(""https://docs.google.com/spreadsheets/d/10nSRjK08hx8Y6HgSOQKNw81lyY46Zc7U_Cj72hBMp9U/edit?usp=sharing"",""นครสวรรค์!J310"")"),10)</f>
        <v>10</v>
      </c>
      <c r="W18" s="177">
        <f t="shared" ca="1" si="11"/>
        <v>40</v>
      </c>
      <c r="X18" s="173">
        <f ca="1">IFERROR(__xludf.DUMMYFUNCTION("IMPORTRANGE(""https://docs.google.com/spreadsheets/d/10nSRjK08hx8Y6HgSOQKNw81lyY46Zc7U_Cj72hBMp9U/edit?usp=sharing"",""นครสวรรค์!J311"")"),25)</f>
        <v>25</v>
      </c>
      <c r="Y18" s="177">
        <f t="shared" ca="1" si="12"/>
        <v>100</v>
      </c>
      <c r="Z18" s="297">
        <f ca="1">IFERROR(__xludf.DUMMYFUNCTION("IMPORTRANGE(""https://docs.google.com/spreadsheets/d/10nSRjK08hx8Y6HgSOQKNw81lyY46Zc7U_Cj72hBMp9U/edit?usp=sharing"",""นครสวรรค์!I312"")"),5)</f>
        <v>5</v>
      </c>
      <c r="AA18" s="173">
        <f ca="1">IFERROR(__xludf.DUMMYFUNCTION("IMPORTRANGE(""https://docs.google.com/spreadsheets/d/10nSRjK08hx8Y6HgSOQKNw81lyY46Zc7U_Cj72hBMp9U/edit?usp=sharing"",""นครสวรรค์!J312"")"),5)</f>
        <v>5</v>
      </c>
      <c r="AB18" s="177">
        <f t="shared" ca="1" si="14"/>
        <v>20</v>
      </c>
    </row>
    <row r="19" spans="1:28" ht="24" customHeight="1" x14ac:dyDescent="0.3">
      <c r="A19" s="73">
        <v>6</v>
      </c>
      <c r="B19" s="74" t="s">
        <v>41</v>
      </c>
      <c r="C19" s="75">
        <f t="shared" ca="1" si="0"/>
        <v>0</v>
      </c>
      <c r="D19" s="76">
        <f t="shared" ca="1" si="26"/>
        <v>0</v>
      </c>
      <c r="E19" s="77">
        <f ca="1">IFERROR(__xludf.DUMMYFUNCTION("IMPORTRANGE(""https://docs.google.com/spreadsheets/d/1MeEWN-I1oV_STSDYn1IFDPWt_1FKiwhDph83XaGc0o0/edit?usp=sharing"",""งบพรบ!DT19"")"),0)</f>
        <v>0</v>
      </c>
      <c r="F19" s="77">
        <f ca="1">IFERROR(__xludf.DUMMYFUNCTION("IMPORTRANGE(""https://docs.google.com/spreadsheets/d/1MeEWN-I1oV_STSDYn1IFDPWt_1FKiwhDph83XaGc0o0/edit?usp=sharing"",""งบพรบ!DU19"")"),0)</f>
        <v>0</v>
      </c>
      <c r="G19" s="77">
        <f ca="1">IFERROR(__xludf.DUMMYFUNCTION("IMPORTRANGE(""https://docs.google.com/spreadsheets/d/1MeEWN-I1oV_STSDYn1IFDPWt_1FKiwhDph83XaGc0o0/edit?usp=sharing"",""งบพรบ!DV19"")"),0)</f>
        <v>0</v>
      </c>
      <c r="H19" s="77">
        <f ca="1">IFERROR(__xludf.DUMMYFUNCTION("IMPORTRANGE(""https://docs.google.com/spreadsheets/d/1MeEWN-I1oV_STSDYn1IFDPWt_1FKiwhDph83XaGc0o0/edit?usp=sharing"",""งบพรบ!DX19"")"),0)</f>
        <v>0</v>
      </c>
      <c r="I19" s="77">
        <f ca="1">IFERROR(__xludf.DUMMYFUNCTION("IMPORTRANGE(""https://docs.google.com/spreadsheets/d/1MeEWN-I1oV_STSDYn1IFDPWt_1FKiwhDph83XaGc0o0/edit?usp=sharing"",""งบพรบ!DY19"")"),0)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IFERROR(__xludf.DUMMYFUNCTION("IMPORTRANGE(""https://docs.google.com/spreadsheets/d/1MeEWN-I1oV_STSDYn1IFDPWt_1FKiwhDph83XaGc0o0/edit?usp=sharing"",""งบพรบ!DZ19"")"),0)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IFERROR(__xludf.DUMMYFUNCTION("IMPORTRANGE(""https://docs.google.com/spreadsheets/d/1MeEWN-I1oV_STSDYn1IFDPWt_1FKiwhDph83XaGc0o0/edit?usp=sharing"",""งบพรบ!EA19"")"),0)</f>
        <v>0</v>
      </c>
      <c r="P19" s="80">
        <f t="shared" ca="1" si="23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IFERROR(__xludf.DUMMYFUNCTION("IMPORTRANGE(""https://docs.google.com/spreadsheets/d/1gFVb7qd7amutrIxAAoM7lcy35hllxznovot8lyOfvDo/edit?usp=sharing"",""น่าน!J308"")"),0)</f>
        <v>0</v>
      </c>
      <c r="S19" s="297">
        <f ca="1">IFERROR(__xludf.DUMMYFUNCTION("IMPORTRANGE(""https://docs.google.com/spreadsheets/d/1gFVb7qd7amutrIxAAoM7lcy35hllxznovot8lyOfvDo/edit?usp=sharing"",""น่าน!I309"")"),0)</f>
        <v>0</v>
      </c>
      <c r="T19" s="173">
        <f ca="1">IFERROR(__xludf.DUMMYFUNCTION("IMPORTRANGE(""https://docs.google.com/spreadsheets/d/1gFVb7qd7amutrIxAAoM7lcy35hllxznovot8lyOfvDo/edit?usp=sharing"",""น่าน!J309"")"),0)</f>
        <v>0</v>
      </c>
      <c r="U19" s="177">
        <f t="shared" ca="1" si="21"/>
        <v>0</v>
      </c>
      <c r="V19" s="173">
        <f ca="1">IFERROR(__xludf.DUMMYFUNCTION("IMPORTRANGE(""https://docs.google.com/spreadsheets/d/1gFVb7qd7amutrIxAAoM7lcy35hllxznovot8lyOfvDo/edit?usp=sharing"",""น่าน!J310"")"),0)</f>
        <v>0</v>
      </c>
      <c r="W19" s="177">
        <f t="shared" ca="1" si="11"/>
        <v>0</v>
      </c>
      <c r="X19" s="173">
        <f ca="1">IFERROR(__xludf.DUMMYFUNCTION("IMPORTRANGE(""https://docs.google.com/spreadsheets/d/1gFVb7qd7amutrIxAAoM7lcy35hllxznovot8lyOfvDo/edit?usp=sharing"",""น่าน!J311"")"),0)</f>
        <v>0</v>
      </c>
      <c r="Y19" s="177">
        <f t="shared" ca="1" si="12"/>
        <v>0</v>
      </c>
      <c r="Z19" s="297">
        <f ca="1">IFERROR(__xludf.DUMMYFUNCTION("IMPORTRANGE(""https://docs.google.com/spreadsheets/d/1gFVb7qd7amutrIxAAoM7lcy35hllxznovot8lyOfvDo/edit?usp=sharing"",""น่าน!I312"")"),0)</f>
        <v>0</v>
      </c>
      <c r="AA19" s="173">
        <f ca="1">IFERROR(__xludf.DUMMYFUNCTION("IMPORTRANGE(""https://docs.google.com/spreadsheets/d/1gFVb7qd7amutrIxAAoM7lcy35hllxznovot8lyOfvDo/edit?usp=sharing"",""น่าน!J312"")"),0)</f>
        <v>0</v>
      </c>
      <c r="AB19" s="177">
        <f t="shared" ca="1" si="14"/>
        <v>0</v>
      </c>
    </row>
    <row r="20" spans="1:28" ht="24" customHeight="1" x14ac:dyDescent="0.3">
      <c r="A20" s="73">
        <v>7</v>
      </c>
      <c r="B20" s="74" t="s">
        <v>42</v>
      </c>
      <c r="C20" s="75">
        <f t="shared" ca="1" si="0"/>
        <v>368400</v>
      </c>
      <c r="D20" s="76">
        <f t="shared" ca="1" si="26"/>
        <v>368400</v>
      </c>
      <c r="E20" s="77">
        <f ca="1">IFERROR(__xludf.DUMMYFUNCTION("IMPORTRANGE(""https://docs.google.com/spreadsheets/d/1MeEWN-I1oV_STSDYn1IFDPWt_1FKiwhDph83XaGc0o0/edit?usp=sharing"",""งบพรบ!DT20"")"),286000)</f>
        <v>286000</v>
      </c>
      <c r="F20" s="77">
        <f ca="1">IFERROR(__xludf.DUMMYFUNCTION("IMPORTRANGE(""https://docs.google.com/spreadsheets/d/1MeEWN-I1oV_STSDYn1IFDPWt_1FKiwhDph83XaGc0o0/edit?usp=sharing"",""งบพรบ!DU20"")"),82400)</f>
        <v>82400</v>
      </c>
      <c r="G20" s="77">
        <f ca="1">IFERROR(__xludf.DUMMYFUNCTION("IMPORTRANGE(""https://docs.google.com/spreadsheets/d/1MeEWN-I1oV_STSDYn1IFDPWt_1FKiwhDph83XaGc0o0/edit?usp=sharing"",""งบพรบ!DV20"")"),0)</f>
        <v>0</v>
      </c>
      <c r="H20" s="77">
        <f ca="1">IFERROR(__xludf.DUMMYFUNCTION("IMPORTRANGE(""https://docs.google.com/spreadsheets/d/1MeEWN-I1oV_STSDYn1IFDPWt_1FKiwhDph83XaGc0o0/edit?usp=sharing"",""งบพรบ!DX20"")"),368400)</f>
        <v>368400</v>
      </c>
      <c r="I20" s="77">
        <f ca="1">IFERROR(__xludf.DUMMYFUNCTION("IMPORTRANGE(""https://docs.google.com/spreadsheets/d/1MeEWN-I1oV_STSDYn1IFDPWt_1FKiwhDph83XaGc0o0/edit?usp=sharing"",""งบพรบ!DY20"")"),0)</f>
        <v>0</v>
      </c>
      <c r="J20" s="77">
        <f t="shared" ca="1" si="3"/>
        <v>359778</v>
      </c>
      <c r="K20" s="78">
        <f t="shared" ca="1" si="4"/>
        <v>97.659609120521168</v>
      </c>
      <c r="L20" s="77">
        <f ca="1">IFERROR(__xludf.DUMMYFUNCTION("IMPORTRANGE(""https://docs.google.com/spreadsheets/d/1MeEWN-I1oV_STSDYn1IFDPWt_1FKiwhDph83XaGc0o0/edit?usp=sharing"",""งบพรบ!DZ20"")"),359778)</f>
        <v>359778</v>
      </c>
      <c r="M20" s="79">
        <f t="shared" ca="1" si="5"/>
        <v>97.659609120521168</v>
      </c>
      <c r="N20" s="79">
        <f t="shared" ca="1" si="6"/>
        <v>97.659609120521168</v>
      </c>
      <c r="O20" s="80">
        <f ca="1">IFERROR(__xludf.DUMMYFUNCTION("IMPORTRANGE(""https://docs.google.com/spreadsheets/d/1MeEWN-I1oV_STSDYn1IFDPWt_1FKiwhDph83XaGc0o0/edit?usp=sharing"",""งบพรบ!EA20"")"),0)</f>
        <v>0</v>
      </c>
      <c r="P20" s="80">
        <f t="shared" ca="1" si="23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IFERROR(__xludf.DUMMYFUNCTION("IMPORTRANGE(""https://docs.google.com/spreadsheets/d/1K0Aa9s-6EuHE5M0FG1F9aHLXRCOV917xvycTdLdct0w/edit?usp=sharing"",""พะเยา!J308"")"),1)</f>
        <v>1</v>
      </c>
      <c r="S20" s="297">
        <f ca="1">IFERROR(__xludf.DUMMYFUNCTION("IMPORTRANGE(""https://docs.google.com/spreadsheets/d/1K0Aa9s-6EuHE5M0FG1F9aHLXRCOV917xvycTdLdct0w/edit?usp=sharing"",""พะเยา!I309"")"),20)</f>
        <v>20</v>
      </c>
      <c r="T20" s="173">
        <f ca="1">IFERROR(__xludf.DUMMYFUNCTION("IMPORTRANGE(""https://docs.google.com/spreadsheets/d/1K0Aa9s-6EuHE5M0FG1F9aHLXRCOV917xvycTdLdct0w/edit?usp=sharing"",""พะเยา!J309"")"),20)</f>
        <v>20</v>
      </c>
      <c r="U20" s="177">
        <f t="shared" ca="1" si="21"/>
        <v>100</v>
      </c>
      <c r="V20" s="173">
        <f ca="1">IFERROR(__xludf.DUMMYFUNCTION("IMPORTRANGE(""https://docs.google.com/spreadsheets/d/1K0Aa9s-6EuHE5M0FG1F9aHLXRCOV917xvycTdLdct0w/edit?usp=sharing"",""พะเยา!J310"")"),20)</f>
        <v>20</v>
      </c>
      <c r="W20" s="177">
        <f t="shared" ca="1" si="11"/>
        <v>100</v>
      </c>
      <c r="X20" s="173">
        <f ca="1">IFERROR(__xludf.DUMMYFUNCTION("IMPORTRANGE(""https://docs.google.com/spreadsheets/d/1K0Aa9s-6EuHE5M0FG1F9aHLXRCOV917xvycTdLdct0w/edit?usp=sharing"",""พะเยา!J311"")"),20)</f>
        <v>20</v>
      </c>
      <c r="Y20" s="177">
        <f t="shared" ca="1" si="12"/>
        <v>100</v>
      </c>
      <c r="Z20" s="297">
        <f ca="1">IFERROR(__xludf.DUMMYFUNCTION("IMPORTRANGE(""https://docs.google.com/spreadsheets/d/1K0Aa9s-6EuHE5M0FG1F9aHLXRCOV917xvycTdLdct0w/edit?usp=sharing"",""พะเยา!I312"")"),4)</f>
        <v>4</v>
      </c>
      <c r="AA20" s="173">
        <f ca="1">IFERROR(__xludf.DUMMYFUNCTION("IMPORTRANGE(""https://docs.google.com/spreadsheets/d/1K0Aa9s-6EuHE5M0FG1F9aHLXRCOV917xvycTdLdct0w/edit?usp=sharing"",""พะเยา!J312"")"),4)</f>
        <v>4</v>
      </c>
      <c r="AB20" s="177">
        <f t="shared" ca="1" si="14"/>
        <v>20</v>
      </c>
    </row>
    <row r="21" spans="1:28" ht="24" customHeight="1" x14ac:dyDescent="0.3">
      <c r="A21" s="73">
        <v>8</v>
      </c>
      <c r="B21" s="74" t="s">
        <v>43</v>
      </c>
      <c r="C21" s="75">
        <f t="shared" ca="1" si="0"/>
        <v>0</v>
      </c>
      <c r="D21" s="76">
        <f t="shared" ca="1" si="26"/>
        <v>0</v>
      </c>
      <c r="E21" s="77">
        <f ca="1">IFERROR(__xludf.DUMMYFUNCTION("IMPORTRANGE(""https://docs.google.com/spreadsheets/d/1MeEWN-I1oV_STSDYn1IFDPWt_1FKiwhDph83XaGc0o0/edit?usp=sharing"",""งบพรบ!DT21"")"),0)</f>
        <v>0</v>
      </c>
      <c r="F21" s="77">
        <f ca="1">IFERROR(__xludf.DUMMYFUNCTION("IMPORTRANGE(""https://docs.google.com/spreadsheets/d/1MeEWN-I1oV_STSDYn1IFDPWt_1FKiwhDph83XaGc0o0/edit?usp=sharing"",""งบพรบ!DU21"")"),0)</f>
        <v>0</v>
      </c>
      <c r="G21" s="77">
        <f ca="1">IFERROR(__xludf.DUMMYFUNCTION("IMPORTRANGE(""https://docs.google.com/spreadsheets/d/1MeEWN-I1oV_STSDYn1IFDPWt_1FKiwhDph83XaGc0o0/edit?usp=sharing"",""งบพรบ!DV21"")"),0)</f>
        <v>0</v>
      </c>
      <c r="H21" s="77">
        <f ca="1">IFERROR(__xludf.DUMMYFUNCTION("IMPORTRANGE(""https://docs.google.com/spreadsheets/d/1MeEWN-I1oV_STSDYn1IFDPWt_1FKiwhDph83XaGc0o0/edit?usp=sharing"",""งบพรบ!DX21"")"),0)</f>
        <v>0</v>
      </c>
      <c r="I21" s="77">
        <f ca="1">IFERROR(__xludf.DUMMYFUNCTION("IMPORTRANGE(""https://docs.google.com/spreadsheets/d/1MeEWN-I1oV_STSDYn1IFDPWt_1FKiwhDph83XaGc0o0/edit?usp=sharing"",""งบพรบ!DY21"")"),0)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IFERROR(__xludf.DUMMYFUNCTION("IMPORTRANGE(""https://docs.google.com/spreadsheets/d/1MeEWN-I1oV_STSDYn1IFDPWt_1FKiwhDph83XaGc0o0/edit?usp=sharing"",""งบพรบ!DZ21"")"),0)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IFERROR(__xludf.DUMMYFUNCTION("IMPORTRANGE(""https://docs.google.com/spreadsheets/d/1MeEWN-I1oV_STSDYn1IFDPWt_1FKiwhDph83XaGc0o0/edit?usp=sharing"",""งบพรบ!EA21"")"),0)</f>
        <v>0</v>
      </c>
      <c r="P21" s="80">
        <f t="shared" ca="1" si="23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IFERROR(__xludf.DUMMYFUNCTION("IMPORTRANGE(""https://docs.google.com/spreadsheets/d/1Y9LPKx95PyL5OKy09d-KbKJSuuEZCFdkhYjwC0XQjBA/edit?usp=sharing"",""พิจิตร!J308"")"),0)</f>
        <v>0</v>
      </c>
      <c r="S21" s="297">
        <f ca="1">IFERROR(__xludf.DUMMYFUNCTION("IMPORTRANGE(""https://docs.google.com/spreadsheets/d/1Y9LPKx95PyL5OKy09d-KbKJSuuEZCFdkhYjwC0XQjBA/edit?usp=sharing"",""พิจิตร!I309"")"),0)</f>
        <v>0</v>
      </c>
      <c r="T21" s="173">
        <f ca="1">IFERROR(__xludf.DUMMYFUNCTION("IMPORTRANGE(""https://docs.google.com/spreadsheets/d/1Y9LPKx95PyL5OKy09d-KbKJSuuEZCFdkhYjwC0XQjBA/edit?usp=sharing"",""พิจิตร!J309"")"),0)</f>
        <v>0</v>
      </c>
      <c r="U21" s="177">
        <f t="shared" ca="1" si="21"/>
        <v>0</v>
      </c>
      <c r="V21" s="173">
        <f ca="1">IFERROR(__xludf.DUMMYFUNCTION("IMPORTRANGE(""https://docs.google.com/spreadsheets/d/1Y9LPKx95PyL5OKy09d-KbKJSuuEZCFdkhYjwC0XQjBA/edit?usp=sharing"",""พิจิตร!J310"")"),0)</f>
        <v>0</v>
      </c>
      <c r="W21" s="177">
        <f t="shared" ca="1" si="11"/>
        <v>0</v>
      </c>
      <c r="X21" s="173">
        <f ca="1">IFERROR(__xludf.DUMMYFUNCTION("IMPORTRANGE(""https://docs.google.com/spreadsheets/d/1Y9LPKx95PyL5OKy09d-KbKJSuuEZCFdkhYjwC0XQjBA/edit?usp=sharing"",""พิจิตร!J311"")"),0)</f>
        <v>0</v>
      </c>
      <c r="Y21" s="177">
        <f t="shared" ca="1" si="12"/>
        <v>0</v>
      </c>
      <c r="Z21" s="297">
        <f ca="1">IFERROR(__xludf.DUMMYFUNCTION("IMPORTRANGE(""https://docs.google.com/spreadsheets/d/1Y9LPKx95PyL5OKy09d-KbKJSuuEZCFdkhYjwC0XQjBA/edit?usp=sharing"",""พิจิตร!I312"")"),0)</f>
        <v>0</v>
      </c>
      <c r="AA21" s="173">
        <f ca="1">IFERROR(__xludf.DUMMYFUNCTION("IMPORTRANGE(""https://docs.google.com/spreadsheets/d/1Y9LPKx95PyL5OKy09d-KbKJSuuEZCFdkhYjwC0XQjBA/edit?usp=sharing"",""พิจิตร!J312"")"),0)</f>
        <v>0</v>
      </c>
      <c r="AB21" s="177">
        <f t="shared" ca="1" si="14"/>
        <v>0</v>
      </c>
    </row>
    <row r="22" spans="1:28" ht="24" customHeight="1" x14ac:dyDescent="0.3">
      <c r="A22" s="73">
        <v>9</v>
      </c>
      <c r="B22" s="74" t="s">
        <v>44</v>
      </c>
      <c r="C22" s="75">
        <f t="shared" ca="1" si="0"/>
        <v>0</v>
      </c>
      <c r="D22" s="76">
        <f t="shared" ca="1" si="26"/>
        <v>0</v>
      </c>
      <c r="E22" s="77">
        <f ca="1">IFERROR(__xludf.DUMMYFUNCTION("IMPORTRANGE(""https://docs.google.com/spreadsheets/d/1MeEWN-I1oV_STSDYn1IFDPWt_1FKiwhDph83XaGc0o0/edit?usp=sharing"",""งบพรบ!DT22"")"),0)</f>
        <v>0</v>
      </c>
      <c r="F22" s="77">
        <f ca="1">IFERROR(__xludf.DUMMYFUNCTION("IMPORTRANGE(""https://docs.google.com/spreadsheets/d/1MeEWN-I1oV_STSDYn1IFDPWt_1FKiwhDph83XaGc0o0/edit?usp=sharing"",""งบพรบ!DU22"")"),0)</f>
        <v>0</v>
      </c>
      <c r="G22" s="77">
        <f ca="1">IFERROR(__xludf.DUMMYFUNCTION("IMPORTRANGE(""https://docs.google.com/spreadsheets/d/1MeEWN-I1oV_STSDYn1IFDPWt_1FKiwhDph83XaGc0o0/edit?usp=sharing"",""งบพรบ!DV22"")"),0)</f>
        <v>0</v>
      </c>
      <c r="H22" s="77">
        <f ca="1">IFERROR(__xludf.DUMMYFUNCTION("IMPORTRANGE(""https://docs.google.com/spreadsheets/d/1MeEWN-I1oV_STSDYn1IFDPWt_1FKiwhDph83XaGc0o0/edit?usp=sharing"",""งบพรบ!DX22"")"),0)</f>
        <v>0</v>
      </c>
      <c r="I22" s="77">
        <f ca="1">IFERROR(__xludf.DUMMYFUNCTION("IMPORTRANGE(""https://docs.google.com/spreadsheets/d/1MeEWN-I1oV_STSDYn1IFDPWt_1FKiwhDph83XaGc0o0/edit?usp=sharing"",""งบพรบ!DY22"")"),0)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IFERROR(__xludf.DUMMYFUNCTION("IMPORTRANGE(""https://docs.google.com/spreadsheets/d/1MeEWN-I1oV_STSDYn1IFDPWt_1FKiwhDph83XaGc0o0/edit?usp=sharing"",""งบพรบ!DZ22"")"),0)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IFERROR(__xludf.DUMMYFUNCTION("IMPORTRANGE(""https://docs.google.com/spreadsheets/d/1MeEWN-I1oV_STSDYn1IFDPWt_1FKiwhDph83XaGc0o0/edit?usp=sharing"",""งบพรบ!EA22"")"),0)</f>
        <v>0</v>
      </c>
      <c r="P22" s="80">
        <f t="shared" ca="1" si="23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IFERROR(__xludf.DUMMYFUNCTION("IMPORTRANGE(""https://docs.google.com/spreadsheets/d/16OMuOwy2eVqZcYWOouQtTpa8X1L23h4660uVHc0C8os/edit?usp=sharing"",""พิษณุโลก!J308"")"),0)</f>
        <v>0</v>
      </c>
      <c r="S22" s="297">
        <f ca="1">IFERROR(__xludf.DUMMYFUNCTION("IMPORTRANGE(""https://docs.google.com/spreadsheets/d/16OMuOwy2eVqZcYWOouQtTpa8X1L23h4660uVHc0C8os/edit?usp=sharing"",""พิษณุโลก!I309"")"),0)</f>
        <v>0</v>
      </c>
      <c r="T22" s="173">
        <f ca="1">IFERROR(__xludf.DUMMYFUNCTION("IMPORTRANGE(""https://docs.google.com/spreadsheets/d/16OMuOwy2eVqZcYWOouQtTpa8X1L23h4660uVHc0C8os/edit?usp=sharing"",""พิษณุโลก!J309"")"),0)</f>
        <v>0</v>
      </c>
      <c r="U22" s="177">
        <f t="shared" ca="1" si="21"/>
        <v>0</v>
      </c>
      <c r="V22" s="173">
        <f ca="1">IFERROR(__xludf.DUMMYFUNCTION("IMPORTRANGE(""https://docs.google.com/spreadsheets/d/16OMuOwy2eVqZcYWOouQtTpa8X1L23h4660uVHc0C8os/edit?usp=sharing"",""พิษณุโลก!J310"")"),0)</f>
        <v>0</v>
      </c>
      <c r="W22" s="177">
        <f t="shared" ca="1" si="11"/>
        <v>0</v>
      </c>
      <c r="X22" s="173">
        <f ca="1">IFERROR(__xludf.DUMMYFUNCTION("IMPORTRANGE(""https://docs.google.com/spreadsheets/d/16OMuOwy2eVqZcYWOouQtTpa8X1L23h4660uVHc0C8os/edit?usp=sharing"",""พิษณุโลก!J311"")"),0)</f>
        <v>0</v>
      </c>
      <c r="Y22" s="177">
        <f t="shared" ca="1" si="12"/>
        <v>0</v>
      </c>
      <c r="Z22" s="297">
        <f ca="1">IFERROR(__xludf.DUMMYFUNCTION("IMPORTRANGE(""https://docs.google.com/spreadsheets/d/16OMuOwy2eVqZcYWOouQtTpa8X1L23h4660uVHc0C8os/edit?usp=sharing"",""พิษณุโลก!I312"")"),0)</f>
        <v>0</v>
      </c>
      <c r="AA22" s="173">
        <f ca="1">IFERROR(__xludf.DUMMYFUNCTION("IMPORTRANGE(""https://docs.google.com/spreadsheets/d/16OMuOwy2eVqZcYWOouQtTpa8X1L23h4660uVHc0C8os/edit?usp=sharing"",""พิษณุโลก!J312"")"),0)</f>
        <v>0</v>
      </c>
      <c r="AB22" s="177">
        <f t="shared" ca="1" si="14"/>
        <v>0</v>
      </c>
    </row>
    <row r="23" spans="1:28" ht="24" customHeight="1" x14ac:dyDescent="0.3">
      <c r="A23" s="73">
        <v>10</v>
      </c>
      <c r="B23" s="74" t="s">
        <v>45</v>
      </c>
      <c r="C23" s="75">
        <f t="shared" ca="1" si="0"/>
        <v>101000</v>
      </c>
      <c r="D23" s="76">
        <f t="shared" ca="1" si="26"/>
        <v>101000</v>
      </c>
      <c r="E23" s="77">
        <f ca="1">IFERROR(__xludf.DUMMYFUNCTION("IMPORTRANGE(""https://docs.google.com/spreadsheets/d/1MeEWN-I1oV_STSDYn1IFDPWt_1FKiwhDph83XaGc0o0/edit?usp=sharing"",""งบพรบ!DT23"")"),0)</f>
        <v>0</v>
      </c>
      <c r="F23" s="77">
        <f ca="1">IFERROR(__xludf.DUMMYFUNCTION("IMPORTRANGE(""https://docs.google.com/spreadsheets/d/1MeEWN-I1oV_STSDYn1IFDPWt_1FKiwhDph83XaGc0o0/edit?usp=sharing"",""งบพรบ!DU23"")"),101000)</f>
        <v>101000</v>
      </c>
      <c r="G23" s="77">
        <f ca="1">IFERROR(__xludf.DUMMYFUNCTION("IMPORTRANGE(""https://docs.google.com/spreadsheets/d/1MeEWN-I1oV_STSDYn1IFDPWt_1FKiwhDph83XaGc0o0/edit?usp=sharing"",""งบพรบ!DV23"")"),0)</f>
        <v>0</v>
      </c>
      <c r="H23" s="77">
        <f ca="1">IFERROR(__xludf.DUMMYFUNCTION("IMPORTRANGE(""https://docs.google.com/spreadsheets/d/1MeEWN-I1oV_STSDYn1IFDPWt_1FKiwhDph83XaGc0o0/edit?usp=sharing"",""งบพรบ!DX23"")"),120330)</f>
        <v>120330</v>
      </c>
      <c r="I23" s="77">
        <f ca="1">IFERROR(__xludf.DUMMYFUNCTION("IMPORTRANGE(""https://docs.google.com/spreadsheets/d/1MeEWN-I1oV_STSDYn1IFDPWt_1FKiwhDph83XaGc0o0/edit?usp=sharing"",""งบพรบ!DY23"")"),0)</f>
        <v>0</v>
      </c>
      <c r="J23" s="77">
        <f t="shared" ca="1" si="3"/>
        <v>114015</v>
      </c>
      <c r="K23" s="78">
        <f t="shared" ca="1" si="4"/>
        <v>112.88613861386139</v>
      </c>
      <c r="L23" s="77">
        <f ca="1">IFERROR(__xludf.DUMMYFUNCTION("IMPORTRANGE(""https://docs.google.com/spreadsheets/d/1MeEWN-I1oV_STSDYn1IFDPWt_1FKiwhDph83XaGc0o0/edit?usp=sharing"",""งบพรบ!DZ23"")"),114015)</f>
        <v>114015</v>
      </c>
      <c r="M23" s="79">
        <f t="shared" ca="1" si="5"/>
        <v>112.88613861386139</v>
      </c>
      <c r="N23" s="79">
        <f t="shared" ca="1" si="6"/>
        <v>94.751932186487167</v>
      </c>
      <c r="O23" s="80">
        <f ca="1">IFERROR(__xludf.DUMMYFUNCTION("IMPORTRANGE(""https://docs.google.com/spreadsheets/d/1MeEWN-I1oV_STSDYn1IFDPWt_1FKiwhDph83XaGc0o0/edit?usp=sharing"",""งบพรบ!EA23"")"),0)</f>
        <v>0</v>
      </c>
      <c r="P23" s="80">
        <f t="shared" ca="1" si="23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IFERROR(__xludf.DUMMYFUNCTION("IMPORTRANGE(""https://docs.google.com/spreadsheets/d/1GfgTldLG6k77HXaMQzaafODklYuucJZQNs_GAPEfZyY/edit?usp=sharing"",""เพชรบูรณ์!J308"")"),1)</f>
        <v>1</v>
      </c>
      <c r="S23" s="297">
        <f ca="1">IFERROR(__xludf.DUMMYFUNCTION("IMPORTRANGE(""https://docs.google.com/spreadsheets/d/1GfgTldLG6k77HXaMQzaafODklYuucJZQNs_GAPEfZyY/edit?usp=sharing"",""เพชรบูรณ์!I309"")"),25)</f>
        <v>25</v>
      </c>
      <c r="T23" s="173">
        <f ca="1">IFERROR(__xludf.DUMMYFUNCTION("IMPORTRANGE(""https://docs.google.com/spreadsheets/d/1GfgTldLG6k77HXaMQzaafODklYuucJZQNs_GAPEfZyY/edit?usp=sharing"",""เพชรบูรณ์!J309"")"),25)</f>
        <v>25</v>
      </c>
      <c r="U23" s="177">
        <f t="shared" ca="1" si="21"/>
        <v>100</v>
      </c>
      <c r="V23" s="173">
        <f ca="1">IFERROR(__xludf.DUMMYFUNCTION("IMPORTRANGE(""https://docs.google.com/spreadsheets/d/1GfgTldLG6k77HXaMQzaafODklYuucJZQNs_GAPEfZyY/edit?usp=sharing"",""เพชรบูรณ์!J310"")"),25)</f>
        <v>25</v>
      </c>
      <c r="W23" s="177">
        <f t="shared" ca="1" si="11"/>
        <v>100</v>
      </c>
      <c r="X23" s="173">
        <f ca="1">IFERROR(__xludf.DUMMYFUNCTION("IMPORTRANGE(""https://docs.google.com/spreadsheets/d/1GfgTldLG6k77HXaMQzaafODklYuucJZQNs_GAPEfZyY/edit?usp=sharing"",""เพชรบูรณ์!J311"")"),25)</f>
        <v>25</v>
      </c>
      <c r="Y23" s="177">
        <f t="shared" ca="1" si="12"/>
        <v>100</v>
      </c>
      <c r="Z23" s="297">
        <f ca="1">IFERROR(__xludf.DUMMYFUNCTION("IMPORTRANGE(""https://docs.google.com/spreadsheets/d/1GfgTldLG6k77HXaMQzaafODklYuucJZQNs_GAPEfZyY/edit?usp=sharing"",""เพชรบูรณ์!I312"")"),5)</f>
        <v>5</v>
      </c>
      <c r="AA23" s="173">
        <f ca="1">IFERROR(__xludf.DUMMYFUNCTION("IMPORTRANGE(""https://docs.google.com/spreadsheets/d/1GfgTldLG6k77HXaMQzaafODklYuucJZQNs_GAPEfZyY/edit?usp=sharing"",""เพชรบูรณ์!J312"")"),5)</f>
        <v>5</v>
      </c>
      <c r="AB23" s="177">
        <f t="shared" ca="1" si="14"/>
        <v>20</v>
      </c>
    </row>
    <row r="24" spans="1:28" ht="24" customHeight="1" x14ac:dyDescent="0.3">
      <c r="A24" s="73">
        <v>11</v>
      </c>
      <c r="B24" s="74" t="s">
        <v>46</v>
      </c>
      <c r="C24" s="75">
        <f t="shared" ca="1" si="0"/>
        <v>225400</v>
      </c>
      <c r="D24" s="76">
        <f t="shared" ca="1" si="26"/>
        <v>225400</v>
      </c>
      <c r="E24" s="77">
        <f ca="1">IFERROR(__xludf.DUMMYFUNCTION("IMPORTRANGE(""https://docs.google.com/spreadsheets/d/1MeEWN-I1oV_STSDYn1IFDPWt_1FKiwhDph83XaGc0o0/edit?usp=sharing"",""งบพรบ!DT24"")"),143000)</f>
        <v>143000</v>
      </c>
      <c r="F24" s="77">
        <f ca="1">IFERROR(__xludf.DUMMYFUNCTION("IMPORTRANGE(""https://docs.google.com/spreadsheets/d/1MeEWN-I1oV_STSDYn1IFDPWt_1FKiwhDph83XaGc0o0/edit?usp=sharing"",""งบพรบ!DU24"")"),82400)</f>
        <v>82400</v>
      </c>
      <c r="G24" s="77">
        <f ca="1">IFERROR(__xludf.DUMMYFUNCTION("IMPORTRANGE(""https://docs.google.com/spreadsheets/d/1MeEWN-I1oV_STSDYn1IFDPWt_1FKiwhDph83XaGc0o0/edit?usp=sharing"",""งบพรบ!DV24"")"),0)</f>
        <v>0</v>
      </c>
      <c r="H24" s="77">
        <f ca="1">IFERROR(__xludf.DUMMYFUNCTION("IMPORTRANGE(""https://docs.google.com/spreadsheets/d/1MeEWN-I1oV_STSDYn1IFDPWt_1FKiwhDph83XaGc0o0/edit?usp=sharing"",""งบพรบ!DX24"")"),240000)</f>
        <v>240000</v>
      </c>
      <c r="I24" s="77">
        <f ca="1">IFERROR(__xludf.DUMMYFUNCTION("IMPORTRANGE(""https://docs.google.com/spreadsheets/d/1MeEWN-I1oV_STSDYn1IFDPWt_1FKiwhDph83XaGc0o0/edit?usp=sharing"",""งบพรบ!DY24"")"),0)</f>
        <v>0</v>
      </c>
      <c r="J24" s="77">
        <f t="shared" ca="1" si="3"/>
        <v>221679.98</v>
      </c>
      <c r="K24" s="78">
        <f t="shared" ca="1" si="4"/>
        <v>98.349591836734689</v>
      </c>
      <c r="L24" s="77">
        <f ca="1">IFERROR(__xludf.DUMMYFUNCTION("IMPORTRANGE(""https://docs.google.com/spreadsheets/d/1MeEWN-I1oV_STSDYn1IFDPWt_1FKiwhDph83XaGc0o0/edit?usp=sharing"",""งบพรบ!DZ24"")"),221679.98)</f>
        <v>221679.98</v>
      </c>
      <c r="M24" s="79">
        <f t="shared" ca="1" si="5"/>
        <v>98.349591836734689</v>
      </c>
      <c r="N24" s="79">
        <f t="shared" ca="1" si="6"/>
        <v>92.366658333333334</v>
      </c>
      <c r="O24" s="80">
        <f ca="1">IFERROR(__xludf.DUMMYFUNCTION("IMPORTRANGE(""https://docs.google.com/spreadsheets/d/1MeEWN-I1oV_STSDYn1IFDPWt_1FKiwhDph83XaGc0o0/edit?usp=sharing"",""งบพรบ!EA24"")"),0)</f>
        <v>0</v>
      </c>
      <c r="P24" s="80">
        <f t="shared" ca="1" si="23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IFERROR(__xludf.DUMMYFUNCTION("IMPORTRANGE(""https://docs.google.com/spreadsheets/d/1gvTMYAnm7v1yG1BKWFtr0DnaTsq59oW9dwWvFgq6hs0/edit?usp=sharing"",""แพร่!J308"")"),0)</f>
        <v>0</v>
      </c>
      <c r="S24" s="297">
        <f ca="1">IFERROR(__xludf.DUMMYFUNCTION("IMPORTRANGE(""https://docs.google.com/spreadsheets/d/1gvTMYAnm7v1yG1BKWFtr0DnaTsq59oW9dwWvFgq6hs0/edit?usp=sharing"",""แพร่!I309"")"),20)</f>
        <v>20</v>
      </c>
      <c r="T24" s="173">
        <f ca="1">IFERROR(__xludf.DUMMYFUNCTION("IMPORTRANGE(""https://docs.google.com/spreadsheets/d/1gvTMYAnm7v1yG1BKWFtr0DnaTsq59oW9dwWvFgq6hs0/edit?usp=sharing"",""แพร่!J309"")"),20)</f>
        <v>20</v>
      </c>
      <c r="U24" s="177">
        <f t="shared" ca="1" si="21"/>
        <v>100</v>
      </c>
      <c r="V24" s="173">
        <f ca="1">IFERROR(__xludf.DUMMYFUNCTION("IMPORTRANGE(""https://docs.google.com/spreadsheets/d/1gvTMYAnm7v1yG1BKWFtr0DnaTsq59oW9dwWvFgq6hs0/edit?usp=sharing"",""แพร่!J310"")"),20)</f>
        <v>20</v>
      </c>
      <c r="W24" s="177">
        <f t="shared" ca="1" si="11"/>
        <v>100</v>
      </c>
      <c r="X24" s="173">
        <f ca="1">IFERROR(__xludf.DUMMYFUNCTION("IMPORTRANGE(""https://docs.google.com/spreadsheets/d/1gvTMYAnm7v1yG1BKWFtr0DnaTsq59oW9dwWvFgq6hs0/edit?usp=sharing"",""แพร่!J311"")"),20)</f>
        <v>20</v>
      </c>
      <c r="Y24" s="177">
        <f t="shared" ca="1" si="12"/>
        <v>100</v>
      </c>
      <c r="Z24" s="297">
        <f ca="1">IFERROR(__xludf.DUMMYFUNCTION("IMPORTRANGE(""https://docs.google.com/spreadsheets/d/1gvTMYAnm7v1yG1BKWFtr0DnaTsq59oW9dwWvFgq6hs0/edit?usp=sharing"",""แพร่!I312"")"),4)</f>
        <v>4</v>
      </c>
      <c r="AA24" s="173">
        <f ca="1">IFERROR(__xludf.DUMMYFUNCTION("IMPORTRANGE(""https://docs.google.com/spreadsheets/d/1gvTMYAnm7v1yG1BKWFtr0DnaTsq59oW9dwWvFgq6hs0/edit?usp=sharing"",""แพร่!J312"")"),2)</f>
        <v>2</v>
      </c>
      <c r="AB24" s="177">
        <f t="shared" ca="1" si="14"/>
        <v>10</v>
      </c>
    </row>
    <row r="25" spans="1:28" ht="24" customHeight="1" x14ac:dyDescent="0.3">
      <c r="A25" s="73">
        <v>12</v>
      </c>
      <c r="B25" s="74" t="s">
        <v>47</v>
      </c>
      <c r="C25" s="75">
        <f t="shared" ca="1" si="0"/>
        <v>0</v>
      </c>
      <c r="D25" s="76">
        <f t="shared" ca="1" si="26"/>
        <v>0</v>
      </c>
      <c r="E25" s="77">
        <f ca="1">IFERROR(__xludf.DUMMYFUNCTION("IMPORTRANGE(""https://docs.google.com/spreadsheets/d/1MeEWN-I1oV_STSDYn1IFDPWt_1FKiwhDph83XaGc0o0/edit?usp=sharing"",""งบพรบ!DT25"")"),0)</f>
        <v>0</v>
      </c>
      <c r="F25" s="77">
        <f ca="1">IFERROR(__xludf.DUMMYFUNCTION("IMPORTRANGE(""https://docs.google.com/spreadsheets/d/1MeEWN-I1oV_STSDYn1IFDPWt_1FKiwhDph83XaGc0o0/edit?usp=sharing"",""งบพรบ!DU25"")"),0)</f>
        <v>0</v>
      </c>
      <c r="G25" s="77">
        <f ca="1">IFERROR(__xludf.DUMMYFUNCTION("IMPORTRANGE(""https://docs.google.com/spreadsheets/d/1MeEWN-I1oV_STSDYn1IFDPWt_1FKiwhDph83XaGc0o0/edit?usp=sharing"",""งบพรบ!DV25"")"),0)</f>
        <v>0</v>
      </c>
      <c r="H25" s="77">
        <f ca="1">IFERROR(__xludf.DUMMYFUNCTION("IMPORTRANGE(""https://docs.google.com/spreadsheets/d/1MeEWN-I1oV_STSDYn1IFDPWt_1FKiwhDph83XaGc0o0/edit?usp=sharing"",""งบพรบ!DX25"")"),0)</f>
        <v>0</v>
      </c>
      <c r="I25" s="77">
        <f ca="1">IFERROR(__xludf.DUMMYFUNCTION("IMPORTRANGE(""https://docs.google.com/spreadsheets/d/1MeEWN-I1oV_STSDYn1IFDPWt_1FKiwhDph83XaGc0o0/edit?usp=sharing"",""งบพรบ!DY25"")"),0)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IFERROR(__xludf.DUMMYFUNCTION("IMPORTRANGE(""https://docs.google.com/spreadsheets/d/1MeEWN-I1oV_STSDYn1IFDPWt_1FKiwhDph83XaGc0o0/edit?usp=sharing"",""งบพรบ!DZ25"")"),0)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IFERROR(__xludf.DUMMYFUNCTION("IMPORTRANGE(""https://docs.google.com/spreadsheets/d/1MeEWN-I1oV_STSDYn1IFDPWt_1FKiwhDph83XaGc0o0/edit?usp=sharing"",""งบพรบ!EA25"")"),0)</f>
        <v>0</v>
      </c>
      <c r="P25" s="80">
        <f t="shared" ca="1" si="23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IFERROR(__xludf.DUMMYFUNCTION("IMPORTRANGE(""https://docs.google.com/spreadsheets/d/1Wbcosgy-Xa1xXUArJSOenub6EfZHUSzc_bpJFWwQUf0/edit?usp=sharing"",""แม่ฮ่องสอน!J308"")"),0)</f>
        <v>0</v>
      </c>
      <c r="S25" s="297">
        <f ca="1">IFERROR(__xludf.DUMMYFUNCTION("IMPORTRANGE(""https://docs.google.com/spreadsheets/d/1Wbcosgy-Xa1xXUArJSOenub6EfZHUSzc_bpJFWwQUf0/edit?usp=sharing"",""แม่ฮ่องสอน!I309"")"),0)</f>
        <v>0</v>
      </c>
      <c r="T25" s="173">
        <f ca="1">IFERROR(__xludf.DUMMYFUNCTION("IMPORTRANGE(""https://docs.google.com/spreadsheets/d/1Wbcosgy-Xa1xXUArJSOenub6EfZHUSzc_bpJFWwQUf0/edit?usp=sharing"",""แม่ฮ่องสอน!J309"")"),0)</f>
        <v>0</v>
      </c>
      <c r="U25" s="177">
        <f t="shared" ca="1" si="21"/>
        <v>0</v>
      </c>
      <c r="V25" s="173">
        <f ca="1">IFERROR(__xludf.DUMMYFUNCTION("IMPORTRANGE(""https://docs.google.com/spreadsheets/d/1Wbcosgy-Xa1xXUArJSOenub6EfZHUSzc_bpJFWwQUf0/edit?usp=sharing"",""แม่ฮ่องสอน!J310"")"),0)</f>
        <v>0</v>
      </c>
      <c r="W25" s="177">
        <f t="shared" ca="1" si="11"/>
        <v>0</v>
      </c>
      <c r="X25" s="173">
        <f ca="1">IFERROR(__xludf.DUMMYFUNCTION("IMPORTRANGE(""https://docs.google.com/spreadsheets/d/1Wbcosgy-Xa1xXUArJSOenub6EfZHUSzc_bpJFWwQUf0/edit?usp=sharing"",""แม่ฮ่องสอน!J311"")"),0)</f>
        <v>0</v>
      </c>
      <c r="Y25" s="177">
        <f t="shared" ca="1" si="12"/>
        <v>0</v>
      </c>
      <c r="Z25" s="297">
        <f ca="1">IFERROR(__xludf.DUMMYFUNCTION("IMPORTRANGE(""https://docs.google.com/spreadsheets/d/1Wbcosgy-Xa1xXUArJSOenub6EfZHUSzc_bpJFWwQUf0/edit?usp=sharing"",""แม่ฮ่องสอน!I312"")"),0)</f>
        <v>0</v>
      </c>
      <c r="AA25" s="173">
        <f ca="1">IFERROR(__xludf.DUMMYFUNCTION("IMPORTRANGE(""https://docs.google.com/spreadsheets/d/1Wbcosgy-Xa1xXUArJSOenub6EfZHUSzc_bpJFWwQUf0/edit?usp=sharing"",""แม่ฮ่องสอน!J312"")"),0)</f>
        <v>0</v>
      </c>
      <c r="AB25" s="177">
        <f t="shared" ca="1" si="14"/>
        <v>0</v>
      </c>
    </row>
    <row r="26" spans="1:28" ht="24" customHeight="1" x14ac:dyDescent="0.3">
      <c r="A26" s="73">
        <v>13</v>
      </c>
      <c r="B26" s="74" t="s">
        <v>48</v>
      </c>
      <c r="C26" s="75">
        <f t="shared" ca="1" si="0"/>
        <v>0</v>
      </c>
      <c r="D26" s="76">
        <f t="shared" ca="1" si="26"/>
        <v>0</v>
      </c>
      <c r="E26" s="77">
        <f ca="1">IFERROR(__xludf.DUMMYFUNCTION("IMPORTRANGE(""https://docs.google.com/spreadsheets/d/1MeEWN-I1oV_STSDYn1IFDPWt_1FKiwhDph83XaGc0o0/edit?usp=sharing"",""งบพรบ!DT26"")"),0)</f>
        <v>0</v>
      </c>
      <c r="F26" s="77">
        <f ca="1">IFERROR(__xludf.DUMMYFUNCTION("IMPORTRANGE(""https://docs.google.com/spreadsheets/d/1MeEWN-I1oV_STSDYn1IFDPWt_1FKiwhDph83XaGc0o0/edit?usp=sharing"",""งบพรบ!DU26"")"),0)</f>
        <v>0</v>
      </c>
      <c r="G26" s="77">
        <f ca="1">IFERROR(__xludf.DUMMYFUNCTION("IMPORTRANGE(""https://docs.google.com/spreadsheets/d/1MeEWN-I1oV_STSDYn1IFDPWt_1FKiwhDph83XaGc0o0/edit?usp=sharing"",""งบพรบ!DV26"")"),0)</f>
        <v>0</v>
      </c>
      <c r="H26" s="77">
        <f ca="1">IFERROR(__xludf.DUMMYFUNCTION("IMPORTRANGE(""https://docs.google.com/spreadsheets/d/1MeEWN-I1oV_STSDYn1IFDPWt_1FKiwhDph83XaGc0o0/edit?usp=sharing"",""งบพรบ!DX26"")"),0)</f>
        <v>0</v>
      </c>
      <c r="I26" s="77">
        <f ca="1">IFERROR(__xludf.DUMMYFUNCTION("IMPORTRANGE(""https://docs.google.com/spreadsheets/d/1MeEWN-I1oV_STSDYn1IFDPWt_1FKiwhDph83XaGc0o0/edit?usp=sharing"",""งบพรบ!DY26"")"),0)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IFERROR(__xludf.DUMMYFUNCTION("IMPORTRANGE(""https://docs.google.com/spreadsheets/d/1MeEWN-I1oV_STSDYn1IFDPWt_1FKiwhDph83XaGc0o0/edit?usp=sharing"",""งบพรบ!DZ26"")"),0)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IFERROR(__xludf.DUMMYFUNCTION("IMPORTRANGE(""https://docs.google.com/spreadsheets/d/1MeEWN-I1oV_STSDYn1IFDPWt_1FKiwhDph83XaGc0o0/edit?usp=sharing"",""งบพรบ!EA26"")"),0)</f>
        <v>0</v>
      </c>
      <c r="P26" s="80">
        <f t="shared" ca="1" si="23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IFERROR(__xludf.DUMMYFUNCTION("IMPORTRANGE(""https://docs.google.com/spreadsheets/d/1p7ERhsr0qZeSn-KSOdeHS9r0heI-lHtkcn2OH7hP0jQ/edit?usp=sharing"",""ลำปาง!J308"")"),0)</f>
        <v>0</v>
      </c>
      <c r="S26" s="297">
        <f ca="1">IFERROR(__xludf.DUMMYFUNCTION("IMPORTRANGE(""https://docs.google.com/spreadsheets/d/1p7ERhsr0qZeSn-KSOdeHS9r0heI-lHtkcn2OH7hP0jQ/edit?usp=sharing"",""ลำปาง!I309"")"),0)</f>
        <v>0</v>
      </c>
      <c r="T26" s="173">
        <f ca="1">IFERROR(__xludf.DUMMYFUNCTION("IMPORTRANGE(""https://docs.google.com/spreadsheets/d/1p7ERhsr0qZeSn-KSOdeHS9r0heI-lHtkcn2OH7hP0jQ/edit?usp=sharing"",""ลำปาง!J309"")"),0)</f>
        <v>0</v>
      </c>
      <c r="U26" s="177">
        <f t="shared" ca="1" si="21"/>
        <v>0</v>
      </c>
      <c r="V26" s="173">
        <f ca="1">IFERROR(__xludf.DUMMYFUNCTION("IMPORTRANGE(""https://docs.google.com/spreadsheets/d/1p7ERhsr0qZeSn-KSOdeHS9r0heI-lHtkcn2OH7hP0jQ/edit?usp=sharing"",""ลำปาง!J310"")"),0)</f>
        <v>0</v>
      </c>
      <c r="W26" s="177">
        <f t="shared" ca="1" si="11"/>
        <v>0</v>
      </c>
      <c r="X26" s="173">
        <f ca="1">IFERROR(__xludf.DUMMYFUNCTION("IMPORTRANGE(""https://docs.google.com/spreadsheets/d/1p7ERhsr0qZeSn-KSOdeHS9r0heI-lHtkcn2OH7hP0jQ/edit?usp=sharing"",""ลำปาง!J311"")"),0)</f>
        <v>0</v>
      </c>
      <c r="Y26" s="177">
        <f t="shared" ca="1" si="12"/>
        <v>0</v>
      </c>
      <c r="Z26" s="297">
        <f ca="1">IFERROR(__xludf.DUMMYFUNCTION("IMPORTRANGE(""https://docs.google.com/spreadsheets/d/1p7ERhsr0qZeSn-KSOdeHS9r0heI-lHtkcn2OH7hP0jQ/edit?usp=sharing"",""ลำปาง!I312"")"),0)</f>
        <v>0</v>
      </c>
      <c r="AA26" s="173">
        <f ca="1">IFERROR(__xludf.DUMMYFUNCTION("IMPORTRANGE(""https://docs.google.com/spreadsheets/d/1p7ERhsr0qZeSn-KSOdeHS9r0heI-lHtkcn2OH7hP0jQ/edit?usp=sharing"",""ลำปาง!J312"")"),0)</f>
        <v>0</v>
      </c>
      <c r="AB26" s="177">
        <f t="shared" ca="1" si="14"/>
        <v>0</v>
      </c>
    </row>
    <row r="27" spans="1:28" ht="24" customHeight="1" x14ac:dyDescent="0.3">
      <c r="A27" s="73">
        <v>14</v>
      </c>
      <c r="B27" s="74" t="s">
        <v>49</v>
      </c>
      <c r="C27" s="75">
        <f t="shared" ca="1" si="0"/>
        <v>0</v>
      </c>
      <c r="D27" s="76">
        <f t="shared" ca="1" si="26"/>
        <v>0</v>
      </c>
      <c r="E27" s="77">
        <f ca="1">IFERROR(__xludf.DUMMYFUNCTION("IMPORTRANGE(""https://docs.google.com/spreadsheets/d/1MeEWN-I1oV_STSDYn1IFDPWt_1FKiwhDph83XaGc0o0/edit?usp=sharing"",""งบพรบ!DT27"")"),0)</f>
        <v>0</v>
      </c>
      <c r="F27" s="77">
        <f ca="1">IFERROR(__xludf.DUMMYFUNCTION("IMPORTRANGE(""https://docs.google.com/spreadsheets/d/1MeEWN-I1oV_STSDYn1IFDPWt_1FKiwhDph83XaGc0o0/edit?usp=sharing"",""งบพรบ!DU27"")"),0)</f>
        <v>0</v>
      </c>
      <c r="G27" s="77">
        <f ca="1">IFERROR(__xludf.DUMMYFUNCTION("IMPORTRANGE(""https://docs.google.com/spreadsheets/d/1MeEWN-I1oV_STSDYn1IFDPWt_1FKiwhDph83XaGc0o0/edit?usp=sharing"",""งบพรบ!DV27"")"),0)</f>
        <v>0</v>
      </c>
      <c r="H27" s="77">
        <f ca="1">IFERROR(__xludf.DUMMYFUNCTION("IMPORTRANGE(""https://docs.google.com/spreadsheets/d/1MeEWN-I1oV_STSDYn1IFDPWt_1FKiwhDph83XaGc0o0/edit?usp=sharing"",""งบพรบ!DX27"")"),0)</f>
        <v>0</v>
      </c>
      <c r="I27" s="77">
        <f ca="1">IFERROR(__xludf.DUMMYFUNCTION("IMPORTRANGE(""https://docs.google.com/spreadsheets/d/1MeEWN-I1oV_STSDYn1IFDPWt_1FKiwhDph83XaGc0o0/edit?usp=sharing"",""งบพรบ!DY27"")"),0)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IFERROR(__xludf.DUMMYFUNCTION("IMPORTRANGE(""https://docs.google.com/spreadsheets/d/1MeEWN-I1oV_STSDYn1IFDPWt_1FKiwhDph83XaGc0o0/edit?usp=sharing"",""งบพรบ!DZ27"")"),0)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IFERROR(__xludf.DUMMYFUNCTION("IMPORTRANGE(""https://docs.google.com/spreadsheets/d/1MeEWN-I1oV_STSDYn1IFDPWt_1FKiwhDph83XaGc0o0/edit?usp=sharing"",""งบพรบ!EA27"")"),0)</f>
        <v>0</v>
      </c>
      <c r="P27" s="80">
        <f t="shared" ca="1" si="23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IFERROR(__xludf.DUMMYFUNCTION("IMPORTRANGE(""https://docs.google.com/spreadsheets/d/1-uUXvimVhiU2U0bMN-xi2te0tS4X7DI2GLPnMjzl8cA/edit?usp=sharing"",""ลำพูน!J308"")"),0)</f>
        <v>0</v>
      </c>
      <c r="S27" s="297">
        <f ca="1">IFERROR(__xludf.DUMMYFUNCTION("IMPORTRANGE(""https://docs.google.com/spreadsheets/d/1-uUXvimVhiU2U0bMN-xi2te0tS4X7DI2GLPnMjzl8cA/edit?usp=sharing"",""ลำพูน!I309"")"),0)</f>
        <v>0</v>
      </c>
      <c r="T27" s="173">
        <f ca="1">IFERROR(__xludf.DUMMYFUNCTION("IMPORTRANGE(""https://docs.google.com/spreadsheets/d/1-uUXvimVhiU2U0bMN-xi2te0tS4X7DI2GLPnMjzl8cA/edit?usp=sharing"",""ลำพูน!J309"")"),0)</f>
        <v>0</v>
      </c>
      <c r="U27" s="177">
        <f t="shared" ca="1" si="21"/>
        <v>0</v>
      </c>
      <c r="V27" s="173">
        <f ca="1">IFERROR(__xludf.DUMMYFUNCTION("IMPORTRANGE(""https://docs.google.com/spreadsheets/d/1-uUXvimVhiU2U0bMN-xi2te0tS4X7DI2GLPnMjzl8cA/edit?usp=sharing"",""ลำพูน!J310"")"),0)</f>
        <v>0</v>
      </c>
      <c r="W27" s="177">
        <f t="shared" ca="1" si="11"/>
        <v>0</v>
      </c>
      <c r="X27" s="173">
        <f ca="1">IFERROR(__xludf.DUMMYFUNCTION("IMPORTRANGE(""https://docs.google.com/spreadsheets/d/1-uUXvimVhiU2U0bMN-xi2te0tS4X7DI2GLPnMjzl8cA/edit?usp=sharing"",""ลำพูน!J311"")"),0)</f>
        <v>0</v>
      </c>
      <c r="Y27" s="177">
        <f t="shared" ca="1" si="12"/>
        <v>0</v>
      </c>
      <c r="Z27" s="297">
        <f ca="1">IFERROR(__xludf.DUMMYFUNCTION("IMPORTRANGE(""https://docs.google.com/spreadsheets/d/1-uUXvimVhiU2U0bMN-xi2te0tS4X7DI2GLPnMjzl8cA/edit?usp=sharing"",""ลำพูน!I312"")"),0)</f>
        <v>0</v>
      </c>
      <c r="AA27" s="173">
        <f ca="1">IFERROR(__xludf.DUMMYFUNCTION("IMPORTRANGE(""https://docs.google.com/spreadsheets/d/1-uUXvimVhiU2U0bMN-xi2te0tS4X7DI2GLPnMjzl8cA/edit?usp=sharing"",""ลำพูน!J312"")"),0)</f>
        <v>0</v>
      </c>
      <c r="AB27" s="177">
        <f t="shared" ca="1" si="14"/>
        <v>0</v>
      </c>
    </row>
    <row r="28" spans="1:28" ht="24" customHeight="1" x14ac:dyDescent="0.3">
      <c r="A28" s="73">
        <v>15</v>
      </c>
      <c r="B28" s="74" t="s">
        <v>50</v>
      </c>
      <c r="C28" s="75">
        <f t="shared" ca="1" si="0"/>
        <v>225400</v>
      </c>
      <c r="D28" s="76">
        <f t="shared" ca="1" si="26"/>
        <v>225400</v>
      </c>
      <c r="E28" s="77">
        <f ca="1">IFERROR(__xludf.DUMMYFUNCTION("IMPORTRANGE(""https://docs.google.com/spreadsheets/d/1MeEWN-I1oV_STSDYn1IFDPWt_1FKiwhDph83XaGc0o0/edit?usp=sharing"",""งบพรบ!DT28"")"),143000)</f>
        <v>143000</v>
      </c>
      <c r="F28" s="77">
        <f ca="1">IFERROR(__xludf.DUMMYFUNCTION("IMPORTRANGE(""https://docs.google.com/spreadsheets/d/1MeEWN-I1oV_STSDYn1IFDPWt_1FKiwhDph83XaGc0o0/edit?usp=sharing"",""งบพรบ!DU28"")"),82400)</f>
        <v>82400</v>
      </c>
      <c r="G28" s="77">
        <f ca="1">IFERROR(__xludf.DUMMYFUNCTION("IMPORTRANGE(""https://docs.google.com/spreadsheets/d/1MeEWN-I1oV_STSDYn1IFDPWt_1FKiwhDph83XaGc0o0/edit?usp=sharing"",""งบพรบ!DV28"")"),0)</f>
        <v>0</v>
      </c>
      <c r="H28" s="77">
        <f ca="1">IFERROR(__xludf.DUMMYFUNCTION("IMPORTRANGE(""https://docs.google.com/spreadsheets/d/1MeEWN-I1oV_STSDYn1IFDPWt_1FKiwhDph83XaGc0o0/edit?usp=sharing"",""งบพรบ!DX28"")"),242900)</f>
        <v>242900</v>
      </c>
      <c r="I28" s="77">
        <f ca="1">IFERROR(__xludf.DUMMYFUNCTION("IMPORTRANGE(""https://docs.google.com/spreadsheets/d/1MeEWN-I1oV_STSDYn1IFDPWt_1FKiwhDph83XaGc0o0/edit?usp=sharing"",""งบพรบ!DY28"")"),0)</f>
        <v>0</v>
      </c>
      <c r="J28" s="77">
        <f t="shared" ca="1" si="3"/>
        <v>193090.32</v>
      </c>
      <c r="K28" s="78">
        <f t="shared" ca="1" si="4"/>
        <v>85.665625554569658</v>
      </c>
      <c r="L28" s="77">
        <f ca="1">IFERROR(__xludf.DUMMYFUNCTION("IMPORTRANGE(""https://docs.google.com/spreadsheets/d/1MeEWN-I1oV_STSDYn1IFDPWt_1FKiwhDph83XaGc0o0/edit?usp=sharing"",""งบพรบ!DZ28"")"),193090.32)</f>
        <v>193090.32</v>
      </c>
      <c r="M28" s="79">
        <f t="shared" ca="1" si="5"/>
        <v>85.665625554569658</v>
      </c>
      <c r="N28" s="79">
        <f t="shared" ca="1" si="6"/>
        <v>79.493750514615073</v>
      </c>
      <c r="O28" s="80">
        <f ca="1">IFERROR(__xludf.DUMMYFUNCTION("IMPORTRANGE(""https://docs.google.com/spreadsheets/d/1MeEWN-I1oV_STSDYn1IFDPWt_1FKiwhDph83XaGc0o0/edit?usp=sharing"",""งบพรบ!EA28"")"),0)</f>
        <v>0</v>
      </c>
      <c r="P28" s="80">
        <f t="shared" ca="1" si="23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IFERROR(__xludf.DUMMYFUNCTION("IMPORTRANGE(""https://docs.google.com/spreadsheets/d/17HrOaa5pBUI1onckFfumXB8xlg35qb2uBAFfF1D-Myo/edit?usp=sharing"",""สุโขทัย!J308"")"),1)</f>
        <v>1</v>
      </c>
      <c r="S28" s="297">
        <f ca="1">IFERROR(__xludf.DUMMYFUNCTION("IMPORTRANGE(""https://docs.google.com/spreadsheets/d/17HrOaa5pBUI1onckFfumXB8xlg35qb2uBAFfF1D-Myo/edit?usp=sharing"",""สุโขทัย!I309"")"),20)</f>
        <v>20</v>
      </c>
      <c r="T28" s="173">
        <f ca="1">IFERROR(__xludf.DUMMYFUNCTION("IMPORTRANGE(""https://docs.google.com/spreadsheets/d/17HrOaa5pBUI1onckFfumXB8xlg35qb2uBAFfF1D-Myo/edit?usp=sharing"",""สุโขทัย!J309"")"),20)</f>
        <v>20</v>
      </c>
      <c r="U28" s="177">
        <f t="shared" ca="1" si="21"/>
        <v>100</v>
      </c>
      <c r="V28" s="173">
        <f ca="1">IFERROR(__xludf.DUMMYFUNCTION("IMPORTRANGE(""https://docs.google.com/spreadsheets/d/17HrOaa5pBUI1onckFfumXB8xlg35qb2uBAFfF1D-Myo/edit?usp=sharing"",""สุโขทัย!J310"")"),20)</f>
        <v>20</v>
      </c>
      <c r="W28" s="177">
        <f t="shared" ca="1" si="11"/>
        <v>100</v>
      </c>
      <c r="X28" s="173">
        <f ca="1">IFERROR(__xludf.DUMMYFUNCTION("IMPORTRANGE(""https://docs.google.com/spreadsheets/d/17HrOaa5pBUI1onckFfumXB8xlg35qb2uBAFfF1D-Myo/edit?usp=sharing"",""สุโขทัย!J311"")"),20)</f>
        <v>20</v>
      </c>
      <c r="Y28" s="177">
        <f t="shared" ca="1" si="12"/>
        <v>100</v>
      </c>
      <c r="Z28" s="297">
        <f ca="1">IFERROR(__xludf.DUMMYFUNCTION("IMPORTRANGE(""https://docs.google.com/spreadsheets/d/17HrOaa5pBUI1onckFfumXB8xlg35qb2uBAFfF1D-Myo/edit?usp=sharing"",""สุโขทัย!I312"")"),4)</f>
        <v>4</v>
      </c>
      <c r="AA28" s="173">
        <f ca="1">IFERROR(__xludf.DUMMYFUNCTION("IMPORTRANGE(""https://docs.google.com/spreadsheets/d/17HrOaa5pBUI1onckFfumXB8xlg35qb2uBAFfF1D-Myo/edit?usp=sharing"",""สุโขทัย!J312"")"),4)</f>
        <v>4</v>
      </c>
      <c r="AB28" s="177">
        <f t="shared" ca="1" si="14"/>
        <v>20</v>
      </c>
    </row>
    <row r="29" spans="1:28" ht="24" customHeight="1" x14ac:dyDescent="0.3">
      <c r="A29" s="73">
        <v>16</v>
      </c>
      <c r="B29" s="74" t="s">
        <v>51</v>
      </c>
      <c r="C29" s="75">
        <f t="shared" ca="1" si="0"/>
        <v>82400</v>
      </c>
      <c r="D29" s="76">
        <f t="shared" ca="1" si="26"/>
        <v>82400</v>
      </c>
      <c r="E29" s="77">
        <f ca="1">IFERROR(__xludf.DUMMYFUNCTION("IMPORTRANGE(""https://docs.google.com/spreadsheets/d/1MeEWN-I1oV_STSDYn1IFDPWt_1FKiwhDph83XaGc0o0/edit?usp=sharing"",""งบพรบ!DT29"")"),0)</f>
        <v>0</v>
      </c>
      <c r="F29" s="77">
        <f ca="1">IFERROR(__xludf.DUMMYFUNCTION("IMPORTRANGE(""https://docs.google.com/spreadsheets/d/1MeEWN-I1oV_STSDYn1IFDPWt_1FKiwhDph83XaGc0o0/edit?usp=sharing"",""งบพรบ!DU29"")"),82400)</f>
        <v>82400</v>
      </c>
      <c r="G29" s="77">
        <f ca="1">IFERROR(__xludf.DUMMYFUNCTION("IMPORTRANGE(""https://docs.google.com/spreadsheets/d/1MeEWN-I1oV_STSDYn1IFDPWt_1FKiwhDph83XaGc0o0/edit?usp=sharing"",""งบพรบ!DV29"")"),0)</f>
        <v>0</v>
      </c>
      <c r="H29" s="77">
        <f ca="1">IFERROR(__xludf.DUMMYFUNCTION("IMPORTRANGE(""https://docs.google.com/spreadsheets/d/1MeEWN-I1oV_STSDYn1IFDPWt_1FKiwhDph83XaGc0o0/edit?usp=sharing"",""งบพรบ!DX29"")"),98600)</f>
        <v>98600</v>
      </c>
      <c r="I29" s="77">
        <f ca="1">IFERROR(__xludf.DUMMYFUNCTION("IMPORTRANGE(""https://docs.google.com/spreadsheets/d/1MeEWN-I1oV_STSDYn1IFDPWt_1FKiwhDph83XaGc0o0/edit?usp=sharing"",""งบพรบ!DY29"")"),0)</f>
        <v>0</v>
      </c>
      <c r="J29" s="77">
        <f t="shared" ca="1" si="3"/>
        <v>90392.18</v>
      </c>
      <c r="K29" s="78">
        <f t="shared" ca="1" si="4"/>
        <v>109.69924757281554</v>
      </c>
      <c r="L29" s="77">
        <f ca="1">IFERROR(__xludf.DUMMYFUNCTION("IMPORTRANGE(""https://docs.google.com/spreadsheets/d/1MeEWN-I1oV_STSDYn1IFDPWt_1FKiwhDph83XaGc0o0/edit?usp=sharing"",""งบพรบ!DZ29"")"),90392.18)</f>
        <v>90392.18</v>
      </c>
      <c r="M29" s="79">
        <f t="shared" ca="1" si="5"/>
        <v>109.69924757281554</v>
      </c>
      <c r="N29" s="79">
        <f t="shared" ca="1" si="6"/>
        <v>91.67563894523326</v>
      </c>
      <c r="O29" s="80">
        <f ca="1">IFERROR(__xludf.DUMMYFUNCTION("IMPORTRANGE(""https://docs.google.com/spreadsheets/d/1MeEWN-I1oV_STSDYn1IFDPWt_1FKiwhDph83XaGc0o0/edit?usp=sharing"",""งบพรบ!EA29"")"),0)</f>
        <v>0</v>
      </c>
      <c r="P29" s="80">
        <f t="shared" ca="1" si="23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IFERROR(__xludf.DUMMYFUNCTION("IMPORTRANGE(""https://docs.google.com/spreadsheets/d/1ubs5cl16eYL9gHbdHTJtmtYb9MGzHBs7CAphn8kNCgM/edit?usp=sharing"",""อุตรดิตถ์!J308"")"),1)</f>
        <v>1</v>
      </c>
      <c r="S29" s="297">
        <f ca="1">IFERROR(__xludf.DUMMYFUNCTION("IMPORTRANGE(""https://docs.google.com/spreadsheets/d/1ubs5cl16eYL9gHbdHTJtmtYb9MGzHBs7CAphn8kNCgM/edit?usp=sharing"",""อุตรดิตถ์!I309"")"),20)</f>
        <v>20</v>
      </c>
      <c r="T29" s="173">
        <f ca="1">IFERROR(__xludf.DUMMYFUNCTION("IMPORTRANGE(""https://docs.google.com/spreadsheets/d/1ubs5cl16eYL9gHbdHTJtmtYb9MGzHBs7CAphn8kNCgM/edit?usp=sharing"",""อุตรดิตถ์!J309"")"),20)</f>
        <v>20</v>
      </c>
      <c r="U29" s="177">
        <f t="shared" ca="1" si="21"/>
        <v>100</v>
      </c>
      <c r="V29" s="173">
        <f ca="1">IFERROR(__xludf.DUMMYFUNCTION("IMPORTRANGE(""https://docs.google.com/spreadsheets/d/1ubs5cl16eYL9gHbdHTJtmtYb9MGzHBs7CAphn8kNCgM/edit?usp=sharing"",""อุตรดิตถ์!J310"")"),20)</f>
        <v>20</v>
      </c>
      <c r="W29" s="177">
        <f t="shared" ca="1" si="11"/>
        <v>100</v>
      </c>
      <c r="X29" s="173">
        <f ca="1">IFERROR(__xludf.DUMMYFUNCTION("IMPORTRANGE(""https://docs.google.com/spreadsheets/d/1ubs5cl16eYL9gHbdHTJtmtYb9MGzHBs7CAphn8kNCgM/edit?usp=sharing"",""อุตรดิตถ์!J311"")"),20)</f>
        <v>20</v>
      </c>
      <c r="Y29" s="177">
        <f t="shared" ca="1" si="12"/>
        <v>100</v>
      </c>
      <c r="Z29" s="297">
        <f ca="1">IFERROR(__xludf.DUMMYFUNCTION("IMPORTRANGE(""https://docs.google.com/spreadsheets/d/1ubs5cl16eYL9gHbdHTJtmtYb9MGzHBs7CAphn8kNCgM/edit?usp=sharing"",""อุตรดิตถ์!I312"")"),4)</f>
        <v>4</v>
      </c>
      <c r="AA29" s="173">
        <f ca="1">IFERROR(__xludf.DUMMYFUNCTION("IMPORTRANGE(""https://docs.google.com/spreadsheets/d/1ubs5cl16eYL9gHbdHTJtmtYb9MGzHBs7CAphn8kNCgM/edit?usp=sharing"",""อุตรดิตถ์!J312"")"),4)</f>
        <v>4</v>
      </c>
      <c r="AB29" s="177">
        <f t="shared" ca="1" si="14"/>
        <v>20</v>
      </c>
    </row>
    <row r="30" spans="1:28" ht="24" customHeight="1" x14ac:dyDescent="0.3">
      <c r="A30" s="84">
        <v>17</v>
      </c>
      <c r="B30" s="85" t="s">
        <v>52</v>
      </c>
      <c r="C30" s="86">
        <f t="shared" ca="1" si="0"/>
        <v>82400</v>
      </c>
      <c r="D30" s="87">
        <f t="shared" ca="1" si="26"/>
        <v>82400</v>
      </c>
      <c r="E30" s="88">
        <f ca="1">IFERROR(__xludf.DUMMYFUNCTION("IMPORTRANGE(""https://docs.google.com/spreadsheets/d/1MeEWN-I1oV_STSDYn1IFDPWt_1FKiwhDph83XaGc0o0/edit?usp=sharing"",""งบพรบ!DT30"")"),0)</f>
        <v>0</v>
      </c>
      <c r="F30" s="88">
        <f ca="1">IFERROR(__xludf.DUMMYFUNCTION("IMPORTRANGE(""https://docs.google.com/spreadsheets/d/1MeEWN-I1oV_STSDYn1IFDPWt_1FKiwhDph83XaGc0o0/edit?usp=sharing"",""งบพรบ!DU30"")"),82400)</f>
        <v>82400</v>
      </c>
      <c r="G30" s="88">
        <f ca="1">IFERROR(__xludf.DUMMYFUNCTION("IMPORTRANGE(""https://docs.google.com/spreadsheets/d/1MeEWN-I1oV_STSDYn1IFDPWt_1FKiwhDph83XaGc0o0/edit?usp=sharing"",""งบพรบ!DV30"")"),0)</f>
        <v>0</v>
      </c>
      <c r="H30" s="88">
        <f ca="1">IFERROR(__xludf.DUMMYFUNCTION("IMPORTRANGE(""https://docs.google.com/spreadsheets/d/1MeEWN-I1oV_STSDYn1IFDPWt_1FKiwhDph83XaGc0o0/edit?usp=sharing"",""งบพรบ!DX30"")"),82400)</f>
        <v>82400</v>
      </c>
      <c r="I30" s="88">
        <f ca="1">IFERROR(__xludf.DUMMYFUNCTION("IMPORTRANGE(""https://docs.google.com/spreadsheets/d/1MeEWN-I1oV_STSDYn1IFDPWt_1FKiwhDph83XaGc0o0/edit?usp=sharing"",""งบพรบ!DY30"")"),0)</f>
        <v>0</v>
      </c>
      <c r="J30" s="88">
        <f t="shared" ca="1" si="3"/>
        <v>82400</v>
      </c>
      <c r="K30" s="89">
        <f t="shared" ca="1" si="4"/>
        <v>100</v>
      </c>
      <c r="L30" s="88">
        <f ca="1">IFERROR(__xludf.DUMMYFUNCTION("IMPORTRANGE(""https://docs.google.com/spreadsheets/d/1MeEWN-I1oV_STSDYn1IFDPWt_1FKiwhDph83XaGc0o0/edit?usp=sharing"",""งบพรบ!DZ30"")"),82400)</f>
        <v>82400</v>
      </c>
      <c r="M30" s="90">
        <f t="shared" ca="1" si="5"/>
        <v>100</v>
      </c>
      <c r="N30" s="90">
        <f t="shared" ca="1" si="6"/>
        <v>100</v>
      </c>
      <c r="O30" s="91">
        <f ca="1">IFERROR(__xludf.DUMMYFUNCTION("IMPORTRANGE(""https://docs.google.com/spreadsheets/d/1MeEWN-I1oV_STSDYn1IFDPWt_1FKiwhDph83XaGc0o0/edit?usp=sharing"",""งบพรบ!EA30"")"),0)</f>
        <v>0</v>
      </c>
      <c r="P30" s="91">
        <f t="shared" ca="1" si="23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IFERROR(__xludf.DUMMYFUNCTION("IMPORTRANGE(""https://docs.google.com/spreadsheets/d/1kII0BjS6CtVrBvI8IrytgPdxDrlyQDyigzMsohRtDMs/edit?usp=sharing"",""อุทัยธานี!J308"")"),1)</f>
        <v>1</v>
      </c>
      <c r="S30" s="298">
        <f ca="1">IFERROR(__xludf.DUMMYFUNCTION("IMPORTRANGE(""https://docs.google.com/spreadsheets/d/1kII0BjS6CtVrBvI8IrytgPdxDrlyQDyigzMsohRtDMs/edit?usp=sharing"",""อุทัยธานี!I309"")"),20)</f>
        <v>20</v>
      </c>
      <c r="T30" s="188">
        <f ca="1">IFERROR(__xludf.DUMMYFUNCTION("IMPORTRANGE(""https://docs.google.com/spreadsheets/d/1kII0BjS6CtVrBvI8IrytgPdxDrlyQDyigzMsohRtDMs/edit?usp=sharing"",""อุทัยธานี!J309"")"),20)</f>
        <v>20</v>
      </c>
      <c r="U30" s="189">
        <f t="shared" ca="1" si="21"/>
        <v>100</v>
      </c>
      <c r="V30" s="188">
        <f ca="1">IFERROR(__xludf.DUMMYFUNCTION("IMPORTRANGE(""https://docs.google.com/spreadsheets/d/1kII0BjS6CtVrBvI8IrytgPdxDrlyQDyigzMsohRtDMs/edit?usp=sharing"",""อุทัยธานี!J310"")"),20)</f>
        <v>20</v>
      </c>
      <c r="W30" s="189">
        <f t="shared" ca="1" si="11"/>
        <v>100</v>
      </c>
      <c r="X30" s="188">
        <f ca="1">IFERROR(__xludf.DUMMYFUNCTION("IMPORTRANGE(""https://docs.google.com/spreadsheets/d/1kII0BjS6CtVrBvI8IrytgPdxDrlyQDyigzMsohRtDMs/edit?usp=sharing"",""อุทัยธานี!J311"")"),20)</f>
        <v>20</v>
      </c>
      <c r="Y30" s="189">
        <f t="shared" ca="1" si="12"/>
        <v>100</v>
      </c>
      <c r="Z30" s="298">
        <f ca="1">IFERROR(__xludf.DUMMYFUNCTION("IMPORTRANGE(""https://docs.google.com/spreadsheets/d/1kII0BjS6CtVrBvI8IrytgPdxDrlyQDyigzMsohRtDMs/edit?usp=sharing"",""อุทัยธานี!I312"")"),4)</f>
        <v>4</v>
      </c>
      <c r="AA30" s="188">
        <f ca="1">IFERROR(__xludf.DUMMYFUNCTION("IMPORTRANGE(""https://docs.google.com/spreadsheets/d/1kII0BjS6CtVrBvI8IrytgPdxDrlyQDyigzMsohRtDMs/edit?usp=sharing"",""อุทัยธานี!J312"")"),4)</f>
        <v>4</v>
      </c>
      <c r="AB30" s="189">
        <f t="shared" ca="1" si="14"/>
        <v>20</v>
      </c>
    </row>
    <row r="31" spans="1:28" ht="21" customHeight="1" x14ac:dyDescent="0.3">
      <c r="A31" s="383" t="s">
        <v>53</v>
      </c>
      <c r="B31" s="384"/>
      <c r="C31" s="94">
        <f t="shared" ca="1" si="0"/>
        <v>1579400</v>
      </c>
      <c r="D31" s="57">
        <f t="shared" ref="D31:I31" ca="1" si="27">SUM(D32:D51)</f>
        <v>1579400</v>
      </c>
      <c r="E31" s="57">
        <f t="shared" ca="1" si="27"/>
        <v>572000</v>
      </c>
      <c r="F31" s="57">
        <f t="shared" ca="1" si="27"/>
        <v>1007400</v>
      </c>
      <c r="G31" s="57">
        <f t="shared" ca="1" si="27"/>
        <v>0</v>
      </c>
      <c r="H31" s="57">
        <f t="shared" ca="1" si="27"/>
        <v>1684620</v>
      </c>
      <c r="I31" s="57">
        <f t="shared" ca="1" si="27"/>
        <v>0</v>
      </c>
      <c r="J31" s="57">
        <f t="shared" ca="1" si="3"/>
        <v>1610528.44</v>
      </c>
      <c r="K31" s="95">
        <f t="shared" ca="1" si="4"/>
        <v>101.97090287450931</v>
      </c>
      <c r="L31" s="57">
        <f ca="1">SUM(L32:L51)</f>
        <v>1610528.44</v>
      </c>
      <c r="M31" s="96">
        <f t="shared" ca="1" si="5"/>
        <v>101.97090287450931</v>
      </c>
      <c r="N31" s="96">
        <f t="shared" ca="1" si="6"/>
        <v>95.601882917215747</v>
      </c>
      <c r="O31" s="97">
        <f ca="1">SUM(O32:O51)</f>
        <v>0</v>
      </c>
      <c r="P31" s="97">
        <f t="shared" ca="1" si="23"/>
        <v>0</v>
      </c>
      <c r="Q31" s="96">
        <f t="shared" ca="1" si="8"/>
        <v>0</v>
      </c>
      <c r="R31" s="57">
        <f t="shared" ref="R31:T31" ca="1" si="28">SUM(R32:R51)</f>
        <v>11</v>
      </c>
      <c r="S31" s="294">
        <f t="shared" ca="1" si="28"/>
        <v>245</v>
      </c>
      <c r="T31" s="150">
        <f t="shared" ca="1" si="28"/>
        <v>245</v>
      </c>
      <c r="U31" s="152">
        <f t="shared" ca="1" si="21"/>
        <v>100</v>
      </c>
      <c r="V31" s="150">
        <f ca="1">SUM(V32:V51)</f>
        <v>245</v>
      </c>
      <c r="W31" s="152">
        <f t="shared" ca="1" si="11"/>
        <v>100</v>
      </c>
      <c r="X31" s="150">
        <f ca="1">SUM(X32:X51)</f>
        <v>245</v>
      </c>
      <c r="Y31" s="152">
        <f t="shared" ca="1" si="12"/>
        <v>100</v>
      </c>
      <c r="Z31" s="294">
        <f t="shared" ref="Z31:AA31" ca="1" si="29">SUM(Z32:Z51)</f>
        <v>49</v>
      </c>
      <c r="AA31" s="150">
        <f t="shared" ca="1" si="29"/>
        <v>49</v>
      </c>
      <c r="AB31" s="152">
        <f t="shared" ca="1" si="14"/>
        <v>20</v>
      </c>
    </row>
    <row r="32" spans="1:28" ht="21" customHeight="1" x14ac:dyDescent="0.3">
      <c r="A32" s="63">
        <v>1</v>
      </c>
      <c r="B32" s="64" t="s">
        <v>54</v>
      </c>
      <c r="C32" s="98">
        <f t="shared" ca="1" si="0"/>
        <v>0</v>
      </c>
      <c r="D32" s="66">
        <f t="shared" ref="D32:D51" ca="1" si="30">+E32+F32</f>
        <v>0</v>
      </c>
      <c r="E32" s="67">
        <f ca="1">IFERROR(__xludf.DUMMYFUNCTION("IMPORTRANGE(""https://docs.google.com/spreadsheets/d/1MeEWN-I1oV_STSDYn1IFDPWt_1FKiwhDph83XaGc0o0/edit?usp=sharing"",""งบพรบ!DT32"")"),0)</f>
        <v>0</v>
      </c>
      <c r="F32" s="67">
        <f ca="1">IFERROR(__xludf.DUMMYFUNCTION("IMPORTRANGE(""https://docs.google.com/spreadsheets/d/1MeEWN-I1oV_STSDYn1IFDPWt_1FKiwhDph83XaGc0o0/edit?usp=sharing"",""งบพรบ!DU32"")"),0)</f>
        <v>0</v>
      </c>
      <c r="G32" s="68">
        <f ca="1">IFERROR(__xludf.DUMMYFUNCTION("IMPORTRANGE(""https://docs.google.com/spreadsheets/d/1MeEWN-I1oV_STSDYn1IFDPWt_1FKiwhDph83XaGc0o0/edit?usp=sharing"",""งบพรบ!DV32"")"),0)</f>
        <v>0</v>
      </c>
      <c r="H32" s="68">
        <f ca="1">IFERROR(__xludf.DUMMYFUNCTION("IMPORTRANGE(""https://docs.google.com/spreadsheets/d/1MeEWN-I1oV_STSDYn1IFDPWt_1FKiwhDph83XaGc0o0/edit?usp=sharing"",""งบพรบ!DX32"")"),0)</f>
        <v>0</v>
      </c>
      <c r="I32" s="68">
        <f ca="1">IFERROR(__xludf.DUMMYFUNCTION("IMPORTRANGE(""https://docs.google.com/spreadsheets/d/1MeEWN-I1oV_STSDYn1IFDPWt_1FKiwhDph83XaGc0o0/edit?usp=sharing"",""งบพรบ!DY32"")"),0)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IFERROR(__xludf.DUMMYFUNCTION("IMPORTRANGE(""https://docs.google.com/spreadsheets/d/1MeEWN-I1oV_STSDYn1IFDPWt_1FKiwhDph83XaGc0o0/edit?usp=sharing"",""งบพรบ!DZ32"")"),0)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IFERROR(__xludf.DUMMYFUNCTION("IMPORTRANGE(""https://docs.google.com/spreadsheets/d/1MeEWN-I1oV_STSDYn1IFDPWt_1FKiwhDph83XaGc0o0/edit?usp=sharing"",""งบพรบ!EA32"")"),0)</f>
        <v>0</v>
      </c>
      <c r="P32" s="71">
        <f t="shared" ca="1" si="23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IFERROR(__xludf.DUMMYFUNCTION("IMPORTRANGE(""https://docs.google.com/spreadsheets/d/1fb2B9NLcpJgjIieIJvenUTNPn0TimZDUi0OtYeiSQ_s/edit?usp=sharing"",""กาฬสินธุ์!J308"")"),0)</f>
        <v>0</v>
      </c>
      <c r="S32" s="297">
        <f ca="1">IFERROR(__xludf.DUMMYFUNCTION("IMPORTRANGE(""https://docs.google.com/spreadsheets/d/1fb2B9NLcpJgjIieIJvenUTNPn0TimZDUi0OtYeiSQ_s/edit?usp=sharing"",""กาฬสินธุ์!I309"")"),0)</f>
        <v>0</v>
      </c>
      <c r="T32" s="173">
        <f ca="1">IFERROR(__xludf.DUMMYFUNCTION("IMPORTRANGE(""https://docs.google.com/spreadsheets/d/1fb2B9NLcpJgjIieIJvenUTNPn0TimZDUi0OtYeiSQ_s/edit?usp=sharing"",""กาฬสินธุ์!J309"")"),0)</f>
        <v>0</v>
      </c>
      <c r="U32" s="177">
        <f t="shared" ca="1" si="21"/>
        <v>0</v>
      </c>
      <c r="V32" s="173">
        <f ca="1">IFERROR(__xludf.DUMMYFUNCTION("IMPORTRANGE(""https://docs.google.com/spreadsheets/d/1fb2B9NLcpJgjIieIJvenUTNPn0TimZDUi0OtYeiSQ_s/edit?usp=sharing"",""กาฬสินธุ์!J310"")"),0)</f>
        <v>0</v>
      </c>
      <c r="W32" s="177">
        <f t="shared" ca="1" si="11"/>
        <v>0</v>
      </c>
      <c r="X32" s="173">
        <f ca="1">IFERROR(__xludf.DUMMYFUNCTION("IMPORTRANGE(""https://docs.google.com/spreadsheets/d/1fb2B9NLcpJgjIieIJvenUTNPn0TimZDUi0OtYeiSQ_s/edit?usp=sharing"",""กาฬสินธุ์!J311"")"),0)</f>
        <v>0</v>
      </c>
      <c r="Y32" s="177">
        <f t="shared" ca="1" si="12"/>
        <v>0</v>
      </c>
      <c r="Z32" s="297">
        <f ca="1">IFERROR(__xludf.DUMMYFUNCTION("IMPORTRANGE(""https://docs.google.com/spreadsheets/d/1fb2B9NLcpJgjIieIJvenUTNPn0TimZDUi0OtYeiSQ_s/edit?usp=sharing"",""กาฬสินธุ์!I312"")"),0)</f>
        <v>0</v>
      </c>
      <c r="AA32" s="173">
        <f ca="1">IFERROR(__xludf.DUMMYFUNCTION("IMPORTRANGE(""https://docs.google.com/spreadsheets/d/1fb2B9NLcpJgjIieIJvenUTNPn0TimZDUi0OtYeiSQ_s/edit?usp=sharing"",""กาฬสินธุ์!J312"")"),0)</f>
        <v>0</v>
      </c>
      <c r="AB32" s="177">
        <f t="shared" ca="1" si="14"/>
        <v>0</v>
      </c>
    </row>
    <row r="33" spans="1:28" ht="21" customHeight="1" x14ac:dyDescent="0.3">
      <c r="A33" s="73">
        <v>2</v>
      </c>
      <c r="B33" s="74" t="s">
        <v>55</v>
      </c>
      <c r="C33" s="75">
        <f t="shared" ca="1" si="0"/>
        <v>82400</v>
      </c>
      <c r="D33" s="76">
        <f t="shared" ca="1" si="30"/>
        <v>82400</v>
      </c>
      <c r="E33" s="77">
        <f ca="1">IFERROR(__xludf.DUMMYFUNCTION("IMPORTRANGE(""https://docs.google.com/spreadsheets/d/1MeEWN-I1oV_STSDYn1IFDPWt_1FKiwhDph83XaGc0o0/edit?usp=sharing"",""งบพรบ!DT33"")"),0)</f>
        <v>0</v>
      </c>
      <c r="F33" s="77">
        <f ca="1">IFERROR(__xludf.DUMMYFUNCTION("IMPORTRANGE(""https://docs.google.com/spreadsheets/d/1MeEWN-I1oV_STSDYn1IFDPWt_1FKiwhDph83XaGc0o0/edit?usp=sharing"",""งบพรบ!DU33"")"),82400)</f>
        <v>82400</v>
      </c>
      <c r="G33" s="77">
        <f ca="1">IFERROR(__xludf.DUMMYFUNCTION("IMPORTRANGE(""https://docs.google.com/spreadsheets/d/1MeEWN-I1oV_STSDYn1IFDPWt_1FKiwhDph83XaGc0o0/edit?usp=sharing"",""งบพรบ!DV33"")"),0)</f>
        <v>0</v>
      </c>
      <c r="H33" s="77">
        <f ca="1">IFERROR(__xludf.DUMMYFUNCTION("IMPORTRANGE(""https://docs.google.com/spreadsheets/d/1MeEWN-I1oV_STSDYn1IFDPWt_1FKiwhDph83XaGc0o0/edit?usp=sharing"",""งบพรบ!DX33"")"),82400)</f>
        <v>82400</v>
      </c>
      <c r="I33" s="77">
        <f ca="1">IFERROR(__xludf.DUMMYFUNCTION("IMPORTRANGE(""https://docs.google.com/spreadsheets/d/1MeEWN-I1oV_STSDYn1IFDPWt_1FKiwhDph83XaGc0o0/edit?usp=sharing"",""งบพรบ!DY33"")"),0)</f>
        <v>0</v>
      </c>
      <c r="J33" s="77">
        <f t="shared" ca="1" si="3"/>
        <v>82400</v>
      </c>
      <c r="K33" s="78">
        <f t="shared" ca="1" si="4"/>
        <v>100</v>
      </c>
      <c r="L33" s="77">
        <f ca="1">IFERROR(__xludf.DUMMYFUNCTION("IMPORTRANGE(""https://docs.google.com/spreadsheets/d/1MeEWN-I1oV_STSDYn1IFDPWt_1FKiwhDph83XaGc0o0/edit?usp=sharing"",""งบพรบ!DZ33"")"),82400)</f>
        <v>82400</v>
      </c>
      <c r="M33" s="79">
        <f t="shared" ca="1" si="5"/>
        <v>100</v>
      </c>
      <c r="N33" s="79">
        <f t="shared" ca="1" si="6"/>
        <v>100</v>
      </c>
      <c r="O33" s="80">
        <f ca="1">IFERROR(__xludf.DUMMYFUNCTION("IMPORTRANGE(""https://docs.google.com/spreadsheets/d/1MeEWN-I1oV_STSDYn1IFDPWt_1FKiwhDph83XaGc0o0/edit?usp=sharing"",""งบพรบ!EA33"")"),0)</f>
        <v>0</v>
      </c>
      <c r="P33" s="80">
        <f t="shared" ca="1" si="23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IFERROR(__xludf.DUMMYFUNCTION("IMPORTRANGE(""https://docs.google.com/spreadsheets/d/1SaMnqrwRGmFYNR0MhpWmHuL5niYUd5E7vDq8X7whAlI/edit?usp=sharing"",""ขอนแก่น!J308"")"),1)</f>
        <v>1</v>
      </c>
      <c r="S33" s="297">
        <f ca="1">IFERROR(__xludf.DUMMYFUNCTION("IMPORTRANGE(""https://docs.google.com/spreadsheets/d/1SaMnqrwRGmFYNR0MhpWmHuL5niYUd5E7vDq8X7whAlI/edit?usp=sharing"",""ขอนแก่น!I309"")"),20)</f>
        <v>20</v>
      </c>
      <c r="T33" s="173">
        <f ca="1">IFERROR(__xludf.DUMMYFUNCTION("IMPORTRANGE(""https://docs.google.com/spreadsheets/d/1SaMnqrwRGmFYNR0MhpWmHuL5niYUd5E7vDq8X7whAlI/edit?usp=sharing"",""ขอนแก่น!J309"")"),20)</f>
        <v>20</v>
      </c>
      <c r="U33" s="177">
        <f t="shared" ca="1" si="21"/>
        <v>100</v>
      </c>
      <c r="V33" s="173">
        <f ca="1">IFERROR(__xludf.DUMMYFUNCTION("IMPORTRANGE(""https://docs.google.com/spreadsheets/d/1SaMnqrwRGmFYNR0MhpWmHuL5niYUd5E7vDq8X7whAlI/edit?usp=sharing"",""ขอนแก่น!J310"")"),20)</f>
        <v>20</v>
      </c>
      <c r="W33" s="177">
        <f t="shared" ca="1" si="11"/>
        <v>100</v>
      </c>
      <c r="X33" s="173">
        <f ca="1">IFERROR(__xludf.DUMMYFUNCTION("IMPORTRANGE(""https://docs.google.com/spreadsheets/d/1SaMnqrwRGmFYNR0MhpWmHuL5niYUd5E7vDq8X7whAlI/edit?usp=sharing"",""ขอนแก่น!J311"")"),20)</f>
        <v>20</v>
      </c>
      <c r="Y33" s="177">
        <f t="shared" ca="1" si="12"/>
        <v>100</v>
      </c>
      <c r="Z33" s="297">
        <f ca="1">IFERROR(__xludf.DUMMYFUNCTION("IMPORTRANGE(""https://docs.google.com/spreadsheets/d/1SaMnqrwRGmFYNR0MhpWmHuL5niYUd5E7vDq8X7whAlI/edit?usp=sharing"",""ขอนแก่น!I312"")"),4)</f>
        <v>4</v>
      </c>
      <c r="AA33" s="173">
        <f ca="1">IFERROR(__xludf.DUMMYFUNCTION("IMPORTRANGE(""https://docs.google.com/spreadsheets/d/1SaMnqrwRGmFYNR0MhpWmHuL5niYUd5E7vDq8X7whAlI/edit?usp=sharing"",""ขอนแก่น!J312"")"),4)</f>
        <v>4</v>
      </c>
      <c r="AB33" s="177">
        <f t="shared" ca="1" si="14"/>
        <v>20</v>
      </c>
    </row>
    <row r="34" spans="1:28" ht="21" customHeight="1" x14ac:dyDescent="0.3">
      <c r="A34" s="73">
        <v>3</v>
      </c>
      <c r="B34" s="74" t="s">
        <v>56</v>
      </c>
      <c r="C34" s="75">
        <f t="shared" ca="1" si="0"/>
        <v>0</v>
      </c>
      <c r="D34" s="76">
        <f t="shared" ca="1" si="30"/>
        <v>0</v>
      </c>
      <c r="E34" s="77">
        <f ca="1">IFERROR(__xludf.DUMMYFUNCTION("IMPORTRANGE(""https://docs.google.com/spreadsheets/d/1MeEWN-I1oV_STSDYn1IFDPWt_1FKiwhDph83XaGc0o0/edit?usp=sharing"",""งบพรบ!DT34"")"),0)</f>
        <v>0</v>
      </c>
      <c r="F34" s="77">
        <f ca="1">IFERROR(__xludf.DUMMYFUNCTION("IMPORTRANGE(""https://docs.google.com/spreadsheets/d/1MeEWN-I1oV_STSDYn1IFDPWt_1FKiwhDph83XaGc0o0/edit?usp=sharing"",""งบพรบ!DU34"")"),0)</f>
        <v>0</v>
      </c>
      <c r="G34" s="77">
        <f ca="1">IFERROR(__xludf.DUMMYFUNCTION("IMPORTRANGE(""https://docs.google.com/spreadsheets/d/1MeEWN-I1oV_STSDYn1IFDPWt_1FKiwhDph83XaGc0o0/edit?usp=sharing"",""งบพรบ!DV34"")"),0)</f>
        <v>0</v>
      </c>
      <c r="H34" s="77">
        <f ca="1">IFERROR(__xludf.DUMMYFUNCTION("IMPORTRANGE(""https://docs.google.com/spreadsheets/d/1MeEWN-I1oV_STSDYn1IFDPWt_1FKiwhDph83XaGc0o0/edit?usp=sharing"",""งบพรบ!DX34"")"),0)</f>
        <v>0</v>
      </c>
      <c r="I34" s="77">
        <f ca="1">IFERROR(__xludf.DUMMYFUNCTION("IMPORTRANGE(""https://docs.google.com/spreadsheets/d/1MeEWN-I1oV_STSDYn1IFDPWt_1FKiwhDph83XaGc0o0/edit?usp=sharing"",""งบพรบ!DY34"")"),0)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IFERROR(__xludf.DUMMYFUNCTION("IMPORTRANGE(""https://docs.google.com/spreadsheets/d/1MeEWN-I1oV_STSDYn1IFDPWt_1FKiwhDph83XaGc0o0/edit?usp=sharing"",""งบพรบ!DZ34"")"),0)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IFERROR(__xludf.DUMMYFUNCTION("IMPORTRANGE(""https://docs.google.com/spreadsheets/d/1MeEWN-I1oV_STSDYn1IFDPWt_1FKiwhDph83XaGc0o0/edit?usp=sharing"",""งบพรบ!EA34"")"),0)</f>
        <v>0</v>
      </c>
      <c r="P34" s="80">
        <f t="shared" ca="1" si="23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IFERROR(__xludf.DUMMYFUNCTION("IMPORTRANGE(""https://docs.google.com/spreadsheets/d/1xQzEtGHhTTgxHh6YUkKY1P4dRyjVhS74dGswLfAASA4/edit?usp=sharing"",""ชัยภูมิ!J308"")"),0)</f>
        <v>0</v>
      </c>
      <c r="S34" s="297">
        <f ca="1">IFERROR(__xludf.DUMMYFUNCTION("IMPORTRANGE(""https://docs.google.com/spreadsheets/d/1xQzEtGHhTTgxHh6YUkKY1P4dRyjVhS74dGswLfAASA4/edit?usp=sharing"",""ชัยภูมิ!I309"")"),0)</f>
        <v>0</v>
      </c>
      <c r="T34" s="173">
        <f ca="1">IFERROR(__xludf.DUMMYFUNCTION("IMPORTRANGE(""https://docs.google.com/spreadsheets/d/1xQzEtGHhTTgxHh6YUkKY1P4dRyjVhS74dGswLfAASA4/edit?usp=sharing"",""ชัยภูมิ!J309"")"),0)</f>
        <v>0</v>
      </c>
      <c r="U34" s="177">
        <f t="shared" ca="1" si="21"/>
        <v>0</v>
      </c>
      <c r="V34" s="173">
        <f ca="1">IFERROR(__xludf.DUMMYFUNCTION("IMPORTRANGE(""https://docs.google.com/spreadsheets/d/1xQzEtGHhTTgxHh6YUkKY1P4dRyjVhS74dGswLfAASA4/edit?usp=sharing"",""ชัยภูมิ!J310"")"),0)</f>
        <v>0</v>
      </c>
      <c r="W34" s="177">
        <f t="shared" ca="1" si="11"/>
        <v>0</v>
      </c>
      <c r="X34" s="173">
        <f ca="1">IFERROR(__xludf.DUMMYFUNCTION("IMPORTRANGE(""https://docs.google.com/spreadsheets/d/1xQzEtGHhTTgxHh6YUkKY1P4dRyjVhS74dGswLfAASA4/edit?usp=sharing"",""ชัยภูมิ!J311"")"),0)</f>
        <v>0</v>
      </c>
      <c r="Y34" s="177">
        <f t="shared" ca="1" si="12"/>
        <v>0</v>
      </c>
      <c r="Z34" s="297">
        <f ca="1">IFERROR(__xludf.DUMMYFUNCTION("IMPORTRANGE(""https://docs.google.com/spreadsheets/d/1xQzEtGHhTTgxHh6YUkKY1P4dRyjVhS74dGswLfAASA4/edit?usp=sharing"",""ชัยภูมิ!I312"")"),0)</f>
        <v>0</v>
      </c>
      <c r="AA34" s="173">
        <f ca="1">IFERROR(__xludf.DUMMYFUNCTION("IMPORTRANGE(""https://docs.google.com/spreadsheets/d/1xQzEtGHhTTgxHh6YUkKY1P4dRyjVhS74dGswLfAASA4/edit?usp=sharing"",""ชัยภูมิ!J312"")"),0)</f>
        <v>0</v>
      </c>
      <c r="AB34" s="177">
        <f t="shared" ca="1" si="14"/>
        <v>0</v>
      </c>
    </row>
    <row r="35" spans="1:28" ht="21" customHeight="1" x14ac:dyDescent="0.3">
      <c r="A35" s="73">
        <v>4</v>
      </c>
      <c r="B35" s="74" t="s">
        <v>57</v>
      </c>
      <c r="C35" s="75">
        <f t="shared" ca="1" si="0"/>
        <v>63800</v>
      </c>
      <c r="D35" s="76">
        <f t="shared" ca="1" si="30"/>
        <v>63800</v>
      </c>
      <c r="E35" s="77">
        <f ca="1">IFERROR(__xludf.DUMMYFUNCTION("IMPORTRANGE(""https://docs.google.com/spreadsheets/d/1MeEWN-I1oV_STSDYn1IFDPWt_1FKiwhDph83XaGc0o0/edit?usp=sharing"",""งบพรบ!DT35"")"),0)</f>
        <v>0</v>
      </c>
      <c r="F35" s="77">
        <f ca="1">IFERROR(__xludf.DUMMYFUNCTION("IMPORTRANGE(""https://docs.google.com/spreadsheets/d/1MeEWN-I1oV_STSDYn1IFDPWt_1FKiwhDph83XaGc0o0/edit?usp=sharing"",""งบพรบ!DU35"")"),63800)</f>
        <v>63800</v>
      </c>
      <c r="G35" s="77">
        <f ca="1">IFERROR(__xludf.DUMMYFUNCTION("IMPORTRANGE(""https://docs.google.com/spreadsheets/d/1MeEWN-I1oV_STSDYn1IFDPWt_1FKiwhDph83XaGc0o0/edit?usp=sharing"",""งบพรบ!DV35"")"),0)</f>
        <v>0</v>
      </c>
      <c r="H35" s="77">
        <f ca="1">IFERROR(__xludf.DUMMYFUNCTION("IMPORTRANGE(""https://docs.google.com/spreadsheets/d/1MeEWN-I1oV_STSDYn1IFDPWt_1FKiwhDph83XaGc0o0/edit?usp=sharing"",""งบพรบ!DX35"")"),79400)</f>
        <v>79400</v>
      </c>
      <c r="I35" s="77">
        <f ca="1">IFERROR(__xludf.DUMMYFUNCTION("IMPORTRANGE(""https://docs.google.com/spreadsheets/d/1MeEWN-I1oV_STSDYn1IFDPWt_1FKiwhDph83XaGc0o0/edit?usp=sharing"",""งบพรบ!DY35"")"),0)</f>
        <v>0</v>
      </c>
      <c r="J35" s="77">
        <f t="shared" ca="1" si="3"/>
        <v>75720</v>
      </c>
      <c r="K35" s="78">
        <f t="shared" ca="1" si="4"/>
        <v>118.68338557993731</v>
      </c>
      <c r="L35" s="77">
        <f ca="1">IFERROR(__xludf.DUMMYFUNCTION("IMPORTRANGE(""https://docs.google.com/spreadsheets/d/1MeEWN-I1oV_STSDYn1IFDPWt_1FKiwhDph83XaGc0o0/edit?usp=sharing"",""งบพรบ!DZ35"")"),75720)</f>
        <v>75720</v>
      </c>
      <c r="M35" s="79">
        <f t="shared" ca="1" si="5"/>
        <v>118.68338557993731</v>
      </c>
      <c r="N35" s="79">
        <f t="shared" ca="1" si="6"/>
        <v>95.365239294710321</v>
      </c>
      <c r="O35" s="80">
        <f ca="1">IFERROR(__xludf.DUMMYFUNCTION("IMPORTRANGE(""https://docs.google.com/spreadsheets/d/1MeEWN-I1oV_STSDYn1IFDPWt_1FKiwhDph83XaGc0o0/edit?usp=sharing"",""งบพรบ!EA35"")"),0)</f>
        <v>0</v>
      </c>
      <c r="P35" s="80">
        <f t="shared" ca="1" si="23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IFERROR(__xludf.DUMMYFUNCTION("IMPORTRANGE(""https://docs.google.com/spreadsheets/d/1EXMBoBxU3OFbjT2TRpneM33qFjqDzrKmn9ydcflfI0o/edit?usp=sharing"",""นครพนม!J308"")"),1)</f>
        <v>1</v>
      </c>
      <c r="S35" s="297">
        <f ca="1">IFERROR(__xludf.DUMMYFUNCTION("IMPORTRANGE(""https://docs.google.com/spreadsheets/d/1EXMBoBxU3OFbjT2TRpneM33qFjqDzrKmn9ydcflfI0o/edit?usp=sharing"",""นครพนม!I309"")"),15)</f>
        <v>15</v>
      </c>
      <c r="T35" s="173">
        <f ca="1">IFERROR(__xludf.DUMMYFUNCTION("IMPORTRANGE(""https://docs.google.com/spreadsheets/d/1EXMBoBxU3OFbjT2TRpneM33qFjqDzrKmn9ydcflfI0o/edit?usp=sharing"",""นครพนม!J309"")"),15)</f>
        <v>15</v>
      </c>
      <c r="U35" s="177">
        <f t="shared" ca="1" si="21"/>
        <v>100</v>
      </c>
      <c r="V35" s="173">
        <f ca="1">IFERROR(__xludf.DUMMYFUNCTION("IMPORTRANGE(""https://docs.google.com/spreadsheets/d/1EXMBoBxU3OFbjT2TRpneM33qFjqDzrKmn9ydcflfI0o/edit?usp=sharing"",""นครพนม!J310"")"),15)</f>
        <v>15</v>
      </c>
      <c r="W35" s="177">
        <f t="shared" ca="1" si="11"/>
        <v>100</v>
      </c>
      <c r="X35" s="173">
        <f ca="1">IFERROR(__xludf.DUMMYFUNCTION("IMPORTRANGE(""https://docs.google.com/spreadsheets/d/1EXMBoBxU3OFbjT2TRpneM33qFjqDzrKmn9ydcflfI0o/edit?usp=sharing"",""นครพนม!J311"")"),15)</f>
        <v>15</v>
      </c>
      <c r="Y35" s="177">
        <f t="shared" ca="1" si="12"/>
        <v>100</v>
      </c>
      <c r="Z35" s="297">
        <f ca="1">IFERROR(__xludf.DUMMYFUNCTION("IMPORTRANGE(""https://docs.google.com/spreadsheets/d/1EXMBoBxU3OFbjT2TRpneM33qFjqDzrKmn9ydcflfI0o/edit?usp=sharing"",""นครพนม!I312"")"),3)</f>
        <v>3</v>
      </c>
      <c r="AA35" s="173">
        <f ca="1">IFERROR(__xludf.DUMMYFUNCTION("IMPORTRANGE(""https://docs.google.com/spreadsheets/d/1EXMBoBxU3OFbjT2TRpneM33qFjqDzrKmn9ydcflfI0o/edit?usp=sharing"",""นครพนม!J312"")"),3)</f>
        <v>3</v>
      </c>
      <c r="AB35" s="177">
        <f t="shared" ca="1" si="14"/>
        <v>20</v>
      </c>
    </row>
    <row r="36" spans="1:28" ht="21" customHeight="1" x14ac:dyDescent="0.3">
      <c r="A36" s="73">
        <v>5</v>
      </c>
      <c r="B36" s="74" t="s">
        <v>58</v>
      </c>
      <c r="C36" s="75">
        <f t="shared" ca="1" si="0"/>
        <v>101000</v>
      </c>
      <c r="D36" s="76">
        <f t="shared" ca="1" si="30"/>
        <v>101000</v>
      </c>
      <c r="E36" s="77">
        <f ca="1">IFERROR(__xludf.DUMMYFUNCTION("IMPORTRANGE(""https://docs.google.com/spreadsheets/d/1MeEWN-I1oV_STSDYn1IFDPWt_1FKiwhDph83XaGc0o0/edit?usp=sharing"",""งบพรบ!DT36"")"),0)</f>
        <v>0</v>
      </c>
      <c r="F36" s="77">
        <f ca="1">IFERROR(__xludf.DUMMYFUNCTION("IMPORTRANGE(""https://docs.google.com/spreadsheets/d/1MeEWN-I1oV_STSDYn1IFDPWt_1FKiwhDph83XaGc0o0/edit?usp=sharing"",""งบพรบ!DU36"")"),101000)</f>
        <v>101000</v>
      </c>
      <c r="G36" s="77">
        <f ca="1">IFERROR(__xludf.DUMMYFUNCTION("IMPORTRANGE(""https://docs.google.com/spreadsheets/d/1MeEWN-I1oV_STSDYn1IFDPWt_1FKiwhDph83XaGc0o0/edit?usp=sharing"",""งบพรบ!DV36"")"),0)</f>
        <v>0</v>
      </c>
      <c r="H36" s="77">
        <f ca="1">IFERROR(__xludf.DUMMYFUNCTION("IMPORTRANGE(""https://docs.google.com/spreadsheets/d/1MeEWN-I1oV_STSDYn1IFDPWt_1FKiwhDph83XaGc0o0/edit?usp=sharing"",""งบพรบ!DX36"")"),101000)</f>
        <v>101000</v>
      </c>
      <c r="I36" s="77">
        <f ca="1">IFERROR(__xludf.DUMMYFUNCTION("IMPORTRANGE(""https://docs.google.com/spreadsheets/d/1MeEWN-I1oV_STSDYn1IFDPWt_1FKiwhDph83XaGc0o0/edit?usp=sharing"",""งบพรบ!DY36"")"),0)</f>
        <v>0</v>
      </c>
      <c r="J36" s="77">
        <f t="shared" ca="1" si="3"/>
        <v>101000</v>
      </c>
      <c r="K36" s="78">
        <f t="shared" ca="1" si="4"/>
        <v>100</v>
      </c>
      <c r="L36" s="77">
        <f ca="1">IFERROR(__xludf.DUMMYFUNCTION("IMPORTRANGE(""https://docs.google.com/spreadsheets/d/1MeEWN-I1oV_STSDYn1IFDPWt_1FKiwhDph83XaGc0o0/edit?usp=sharing"",""งบพรบ!DZ36"")"),101000)</f>
        <v>101000</v>
      </c>
      <c r="M36" s="79">
        <f t="shared" ca="1" si="5"/>
        <v>100</v>
      </c>
      <c r="N36" s="79">
        <f t="shared" ca="1" si="6"/>
        <v>100</v>
      </c>
      <c r="O36" s="80">
        <f ca="1">IFERROR(__xludf.DUMMYFUNCTION("IMPORTRANGE(""https://docs.google.com/spreadsheets/d/1MeEWN-I1oV_STSDYn1IFDPWt_1FKiwhDph83XaGc0o0/edit?usp=sharing"",""งบพรบ!EA36"")"),0)</f>
        <v>0</v>
      </c>
      <c r="P36" s="80">
        <f t="shared" ca="1" si="23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IFERROR(__xludf.DUMMYFUNCTION("IMPORTRANGE(""https://docs.google.com/spreadsheets/d/1bDQrolntRWtHumK8W-x-HXKntwxB9S3sF5aDeRS66Ko/edit?usp=sharing"",""นครราชสีมา!J308"")"),1)</f>
        <v>1</v>
      </c>
      <c r="S36" s="297">
        <f ca="1">IFERROR(__xludf.DUMMYFUNCTION("IMPORTRANGE(""https://docs.google.com/spreadsheets/d/1bDQrolntRWtHumK8W-x-HXKntwxB9S3sF5aDeRS66Ko/edit?usp=sharing"",""นครราชสีมา!I309"")"),25)</f>
        <v>25</v>
      </c>
      <c r="T36" s="173">
        <f ca="1">IFERROR(__xludf.DUMMYFUNCTION("IMPORTRANGE(""https://docs.google.com/spreadsheets/d/1bDQrolntRWtHumK8W-x-HXKntwxB9S3sF5aDeRS66Ko/edit?usp=sharing"",""นครราชสีมา!J309"")"),25)</f>
        <v>25</v>
      </c>
      <c r="U36" s="177">
        <f t="shared" ca="1" si="21"/>
        <v>100</v>
      </c>
      <c r="V36" s="173">
        <f ca="1">IFERROR(__xludf.DUMMYFUNCTION("IMPORTRANGE(""https://docs.google.com/spreadsheets/d/1bDQrolntRWtHumK8W-x-HXKntwxB9S3sF5aDeRS66Ko/edit?usp=sharing"",""นครราชสีมา!J310"")"),25)</f>
        <v>25</v>
      </c>
      <c r="W36" s="177">
        <f t="shared" ca="1" si="11"/>
        <v>100</v>
      </c>
      <c r="X36" s="173">
        <f ca="1">IFERROR(__xludf.DUMMYFUNCTION("IMPORTRANGE(""https://docs.google.com/spreadsheets/d/1bDQrolntRWtHumK8W-x-HXKntwxB9S3sF5aDeRS66Ko/edit?usp=sharing"",""นครราชสีมา!J311"")"),25)</f>
        <v>25</v>
      </c>
      <c r="Y36" s="177">
        <f t="shared" ca="1" si="12"/>
        <v>100</v>
      </c>
      <c r="Z36" s="297">
        <f ca="1">IFERROR(__xludf.DUMMYFUNCTION("IMPORTRANGE(""https://docs.google.com/spreadsheets/d/1bDQrolntRWtHumK8W-x-HXKntwxB9S3sF5aDeRS66Ko/edit?usp=sharing"",""นครราชสีมา!I312"")"),5)</f>
        <v>5</v>
      </c>
      <c r="AA36" s="173">
        <f ca="1">IFERROR(__xludf.DUMMYFUNCTION("IMPORTRANGE(""https://docs.google.com/spreadsheets/d/1bDQrolntRWtHumK8W-x-HXKntwxB9S3sF5aDeRS66Ko/edit?usp=sharing"",""นครราชสีมา!J312"")"),5)</f>
        <v>5</v>
      </c>
      <c r="AB36" s="177">
        <f t="shared" ca="1" si="14"/>
        <v>20</v>
      </c>
    </row>
    <row r="37" spans="1:28" ht="21" customHeight="1" x14ac:dyDescent="0.3">
      <c r="A37" s="73">
        <v>6</v>
      </c>
      <c r="B37" s="74" t="s">
        <v>59</v>
      </c>
      <c r="C37" s="75">
        <f t="shared" ca="1" si="0"/>
        <v>0</v>
      </c>
      <c r="D37" s="76">
        <f t="shared" ca="1" si="30"/>
        <v>0</v>
      </c>
      <c r="E37" s="77">
        <f ca="1">IFERROR(__xludf.DUMMYFUNCTION("IMPORTRANGE(""https://docs.google.com/spreadsheets/d/1MeEWN-I1oV_STSDYn1IFDPWt_1FKiwhDph83XaGc0o0/edit?usp=sharing"",""งบพรบ!DT37"")"),0)</f>
        <v>0</v>
      </c>
      <c r="F37" s="77">
        <f ca="1">IFERROR(__xludf.DUMMYFUNCTION("IMPORTRANGE(""https://docs.google.com/spreadsheets/d/1MeEWN-I1oV_STSDYn1IFDPWt_1FKiwhDph83XaGc0o0/edit?usp=sharing"",""งบพรบ!DU37"")"),0)</f>
        <v>0</v>
      </c>
      <c r="G37" s="77">
        <f ca="1">IFERROR(__xludf.DUMMYFUNCTION("IMPORTRANGE(""https://docs.google.com/spreadsheets/d/1MeEWN-I1oV_STSDYn1IFDPWt_1FKiwhDph83XaGc0o0/edit?usp=sharing"",""งบพรบ!DV37"")"),0)</f>
        <v>0</v>
      </c>
      <c r="H37" s="77">
        <f ca="1">IFERROR(__xludf.DUMMYFUNCTION("IMPORTRANGE(""https://docs.google.com/spreadsheets/d/1MeEWN-I1oV_STSDYn1IFDPWt_1FKiwhDph83XaGc0o0/edit?usp=sharing"",""งบพรบ!DX37"")"),0)</f>
        <v>0</v>
      </c>
      <c r="I37" s="77">
        <f ca="1">IFERROR(__xludf.DUMMYFUNCTION("IMPORTRANGE(""https://docs.google.com/spreadsheets/d/1MeEWN-I1oV_STSDYn1IFDPWt_1FKiwhDph83XaGc0o0/edit?usp=sharing"",""งบพรบ!DY37"")"),0)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IFERROR(__xludf.DUMMYFUNCTION("IMPORTRANGE(""https://docs.google.com/spreadsheets/d/1MeEWN-I1oV_STSDYn1IFDPWt_1FKiwhDph83XaGc0o0/edit?usp=sharing"",""งบพรบ!DZ37"")"),0)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IFERROR(__xludf.DUMMYFUNCTION("IMPORTRANGE(""https://docs.google.com/spreadsheets/d/1MeEWN-I1oV_STSDYn1IFDPWt_1FKiwhDph83XaGc0o0/edit?usp=sharing"",""งบพรบ!EA37"")"),0)</f>
        <v>0</v>
      </c>
      <c r="P37" s="80">
        <f t="shared" ca="1" si="23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IFERROR(__xludf.DUMMYFUNCTION("IMPORTRANGE(""https://docs.google.com/spreadsheets/d/1_MzZ-2gVPiCW-d2VcafoCmFJQTSrZ6SQyFcMqRRQQ2w/edit?usp=sharing"",""บึงกาฬ!J308"")"),0)</f>
        <v>0</v>
      </c>
      <c r="S37" s="297">
        <f ca="1">IFERROR(__xludf.DUMMYFUNCTION("IMPORTRANGE(""https://docs.google.com/spreadsheets/d/1_MzZ-2gVPiCW-d2VcafoCmFJQTSrZ6SQyFcMqRRQQ2w/edit?usp=sharing"",""บึงกาฬ!I309"")"),0)</f>
        <v>0</v>
      </c>
      <c r="T37" s="173">
        <f ca="1">IFERROR(__xludf.DUMMYFUNCTION("IMPORTRANGE(""https://docs.google.com/spreadsheets/d/1_MzZ-2gVPiCW-d2VcafoCmFJQTSrZ6SQyFcMqRRQQ2w/edit?usp=sharing"",""บึงกาฬ!J309"")"),0)</f>
        <v>0</v>
      </c>
      <c r="U37" s="177">
        <f t="shared" ca="1" si="21"/>
        <v>0</v>
      </c>
      <c r="V37" s="173">
        <f ca="1">IFERROR(__xludf.DUMMYFUNCTION("IMPORTRANGE(""https://docs.google.com/spreadsheets/d/1_MzZ-2gVPiCW-d2VcafoCmFJQTSrZ6SQyFcMqRRQQ2w/edit?usp=sharing"",""บึงกาฬ!J310"")"),0)</f>
        <v>0</v>
      </c>
      <c r="W37" s="177">
        <f t="shared" ca="1" si="11"/>
        <v>0</v>
      </c>
      <c r="X37" s="173">
        <f ca="1">IFERROR(__xludf.DUMMYFUNCTION("IMPORTRANGE(""https://docs.google.com/spreadsheets/d/1_MzZ-2gVPiCW-d2VcafoCmFJQTSrZ6SQyFcMqRRQQ2w/edit?usp=sharing"",""บึงกาฬ!J311"")"),0)</f>
        <v>0</v>
      </c>
      <c r="Y37" s="177">
        <f t="shared" ca="1" si="12"/>
        <v>0</v>
      </c>
      <c r="Z37" s="297">
        <f ca="1">IFERROR(__xludf.DUMMYFUNCTION("IMPORTRANGE(""https://docs.google.com/spreadsheets/d/1_MzZ-2gVPiCW-d2VcafoCmFJQTSrZ6SQyFcMqRRQQ2w/edit?usp=sharing"",""บึงกาฬ!I312"")"),0)</f>
        <v>0</v>
      </c>
      <c r="AA37" s="173">
        <f ca="1">IFERROR(__xludf.DUMMYFUNCTION("IMPORTRANGE(""https://docs.google.com/spreadsheets/d/1_MzZ-2gVPiCW-d2VcafoCmFJQTSrZ6SQyFcMqRRQQ2w/edit?usp=sharing"",""บึงกาฬ!J312"")"),0)</f>
        <v>0</v>
      </c>
      <c r="AB37" s="177">
        <f t="shared" ca="1" si="14"/>
        <v>0</v>
      </c>
    </row>
    <row r="38" spans="1:28" ht="21" customHeight="1" x14ac:dyDescent="0.3">
      <c r="A38" s="73">
        <v>7</v>
      </c>
      <c r="B38" s="74" t="s">
        <v>60</v>
      </c>
      <c r="C38" s="75">
        <f t="shared" ca="1" si="0"/>
        <v>387000</v>
      </c>
      <c r="D38" s="76">
        <f t="shared" ca="1" si="30"/>
        <v>387000</v>
      </c>
      <c r="E38" s="77">
        <f ca="1">IFERROR(__xludf.DUMMYFUNCTION("IMPORTRANGE(""https://docs.google.com/spreadsheets/d/1MeEWN-I1oV_STSDYn1IFDPWt_1FKiwhDph83XaGc0o0/edit?usp=sharing"",""งบพรบ!DT38"")"),286000)</f>
        <v>286000</v>
      </c>
      <c r="F38" s="77">
        <f ca="1">IFERROR(__xludf.DUMMYFUNCTION("IMPORTRANGE(""https://docs.google.com/spreadsheets/d/1MeEWN-I1oV_STSDYn1IFDPWt_1FKiwhDph83XaGc0o0/edit?usp=sharing"",""งบพรบ!DU38"")"),101000)</f>
        <v>101000</v>
      </c>
      <c r="G38" s="77">
        <f ca="1">IFERROR(__xludf.DUMMYFUNCTION("IMPORTRANGE(""https://docs.google.com/spreadsheets/d/1MeEWN-I1oV_STSDYn1IFDPWt_1FKiwhDph83XaGc0o0/edit?usp=sharing"",""งบพรบ!DV38"")"),0)</f>
        <v>0</v>
      </c>
      <c r="H38" s="77">
        <f ca="1">IFERROR(__xludf.DUMMYFUNCTION("IMPORTRANGE(""https://docs.google.com/spreadsheets/d/1MeEWN-I1oV_STSDYn1IFDPWt_1FKiwhDph83XaGc0o0/edit?usp=sharing"",""งบพรบ!DX38"")"),400000)</f>
        <v>400000</v>
      </c>
      <c r="I38" s="77">
        <f ca="1">IFERROR(__xludf.DUMMYFUNCTION("IMPORTRANGE(""https://docs.google.com/spreadsheets/d/1MeEWN-I1oV_STSDYn1IFDPWt_1FKiwhDph83XaGc0o0/edit?usp=sharing"",""งบพรบ!DY38"")"),0)</f>
        <v>0</v>
      </c>
      <c r="J38" s="77">
        <f t="shared" ca="1" si="3"/>
        <v>399496.24</v>
      </c>
      <c r="K38" s="78">
        <f t="shared" ca="1" si="4"/>
        <v>103.22900258397932</v>
      </c>
      <c r="L38" s="77">
        <f ca="1">IFERROR(__xludf.DUMMYFUNCTION("IMPORTRANGE(""https://docs.google.com/spreadsheets/d/1MeEWN-I1oV_STSDYn1IFDPWt_1FKiwhDph83XaGc0o0/edit?usp=sharing"",""งบพรบ!DZ38"")"),399496.24)</f>
        <v>399496.24</v>
      </c>
      <c r="M38" s="79">
        <f t="shared" ca="1" si="5"/>
        <v>103.22900258397932</v>
      </c>
      <c r="N38" s="79">
        <f t="shared" ca="1" si="6"/>
        <v>99.87406</v>
      </c>
      <c r="O38" s="80">
        <f ca="1">IFERROR(__xludf.DUMMYFUNCTION("IMPORTRANGE(""https://docs.google.com/spreadsheets/d/1MeEWN-I1oV_STSDYn1IFDPWt_1FKiwhDph83XaGc0o0/edit?usp=sharing"",""งบพรบ!EA38"")"),0)</f>
        <v>0</v>
      </c>
      <c r="P38" s="80">
        <f t="shared" ca="1" si="23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IFERROR(__xludf.DUMMYFUNCTION("IMPORTRANGE(""https://docs.google.com/spreadsheets/d/1B3lPpzOuaNwVItLwLEZYl_qEblfcx7dRnbRkAw0l-pE/edit?usp=sharing"",""บุรีรัมย์!J308"")"),1)</f>
        <v>1</v>
      </c>
      <c r="S38" s="297">
        <f ca="1">IFERROR(__xludf.DUMMYFUNCTION("IMPORTRANGE(""https://docs.google.com/spreadsheets/d/1B3lPpzOuaNwVItLwLEZYl_qEblfcx7dRnbRkAw0l-pE/edit?usp=sharing"",""บุรีรัมย์!I309"")"),25)</f>
        <v>25</v>
      </c>
      <c r="T38" s="173">
        <f ca="1">IFERROR(__xludf.DUMMYFUNCTION("IMPORTRANGE(""https://docs.google.com/spreadsheets/d/1B3lPpzOuaNwVItLwLEZYl_qEblfcx7dRnbRkAw0l-pE/edit?usp=sharing"",""บุรีรัมย์!J309"")"),25)</f>
        <v>25</v>
      </c>
      <c r="U38" s="177">
        <f t="shared" ca="1" si="21"/>
        <v>100</v>
      </c>
      <c r="V38" s="173">
        <f ca="1">IFERROR(__xludf.DUMMYFUNCTION("IMPORTRANGE(""https://docs.google.com/spreadsheets/d/1B3lPpzOuaNwVItLwLEZYl_qEblfcx7dRnbRkAw0l-pE/edit?usp=sharing"",""บุรีรัมย์!J310"")"),25)</f>
        <v>25</v>
      </c>
      <c r="W38" s="177">
        <f t="shared" ca="1" si="11"/>
        <v>100</v>
      </c>
      <c r="X38" s="173">
        <f ca="1">IFERROR(__xludf.DUMMYFUNCTION("IMPORTRANGE(""https://docs.google.com/spreadsheets/d/1B3lPpzOuaNwVItLwLEZYl_qEblfcx7dRnbRkAw0l-pE/edit?usp=sharing"",""บุรีรัมย์!J311"")"),25)</f>
        <v>25</v>
      </c>
      <c r="Y38" s="177">
        <f t="shared" ca="1" si="12"/>
        <v>100</v>
      </c>
      <c r="Z38" s="297">
        <f ca="1">IFERROR(__xludf.DUMMYFUNCTION("IMPORTRANGE(""https://docs.google.com/spreadsheets/d/1B3lPpzOuaNwVItLwLEZYl_qEblfcx7dRnbRkAw0l-pE/edit?usp=sharing"",""บุรีรัมย์!I312"")"),5)</f>
        <v>5</v>
      </c>
      <c r="AA38" s="173">
        <f ca="1">IFERROR(__xludf.DUMMYFUNCTION("IMPORTRANGE(""https://docs.google.com/spreadsheets/d/1B3lPpzOuaNwVItLwLEZYl_qEblfcx7dRnbRkAw0l-pE/edit?usp=sharing"",""บุรีรัมย์!J312"")"),5)</f>
        <v>5</v>
      </c>
      <c r="AB38" s="177">
        <f t="shared" ca="1" si="14"/>
        <v>20</v>
      </c>
    </row>
    <row r="39" spans="1:28" ht="21" customHeight="1" x14ac:dyDescent="0.3">
      <c r="A39" s="73">
        <v>8</v>
      </c>
      <c r="B39" s="74" t="s">
        <v>61</v>
      </c>
      <c r="C39" s="75">
        <f t="shared" ca="1" si="0"/>
        <v>0</v>
      </c>
      <c r="D39" s="76">
        <f t="shared" ca="1" si="30"/>
        <v>0</v>
      </c>
      <c r="E39" s="77">
        <f ca="1">IFERROR(__xludf.DUMMYFUNCTION("IMPORTRANGE(""https://docs.google.com/spreadsheets/d/1MeEWN-I1oV_STSDYn1IFDPWt_1FKiwhDph83XaGc0o0/edit?usp=sharing"",""งบพรบ!DT39"")"),0)</f>
        <v>0</v>
      </c>
      <c r="F39" s="77">
        <f ca="1">IFERROR(__xludf.DUMMYFUNCTION("IMPORTRANGE(""https://docs.google.com/spreadsheets/d/1MeEWN-I1oV_STSDYn1IFDPWt_1FKiwhDph83XaGc0o0/edit?usp=sharing"",""งบพรบ!DU39"")"),0)</f>
        <v>0</v>
      </c>
      <c r="G39" s="77">
        <f ca="1">IFERROR(__xludf.DUMMYFUNCTION("IMPORTRANGE(""https://docs.google.com/spreadsheets/d/1MeEWN-I1oV_STSDYn1IFDPWt_1FKiwhDph83XaGc0o0/edit?usp=sharing"",""งบพรบ!DV39"")"),0)</f>
        <v>0</v>
      </c>
      <c r="H39" s="77">
        <f ca="1">IFERROR(__xludf.DUMMYFUNCTION("IMPORTRANGE(""https://docs.google.com/spreadsheets/d/1MeEWN-I1oV_STSDYn1IFDPWt_1FKiwhDph83XaGc0o0/edit?usp=sharing"",""งบพรบ!DX39"")"),0)</f>
        <v>0</v>
      </c>
      <c r="I39" s="77">
        <f ca="1">IFERROR(__xludf.DUMMYFUNCTION("IMPORTRANGE(""https://docs.google.com/spreadsheets/d/1MeEWN-I1oV_STSDYn1IFDPWt_1FKiwhDph83XaGc0o0/edit?usp=sharing"",""งบพรบ!DY39"")"),0)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IFERROR(__xludf.DUMMYFUNCTION("IMPORTRANGE(""https://docs.google.com/spreadsheets/d/1MeEWN-I1oV_STSDYn1IFDPWt_1FKiwhDph83XaGc0o0/edit?usp=sharing"",""งบพรบ!DZ39"")"),0)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IFERROR(__xludf.DUMMYFUNCTION("IMPORTRANGE(""https://docs.google.com/spreadsheets/d/1MeEWN-I1oV_STSDYn1IFDPWt_1FKiwhDph83XaGc0o0/edit?usp=sharing"",""งบพรบ!EA39"")"),0)</f>
        <v>0</v>
      </c>
      <c r="P39" s="80">
        <f t="shared" ca="1" si="23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IFERROR(__xludf.DUMMYFUNCTION("IMPORTRANGE(""https://docs.google.com/spreadsheets/d/19GOkiOqnzYbevLYWrMk4qFOXe3rX14BkSA8X-mq-a40/edit?usp=sharing"",""มหาสารคาม!J308"")"),0)</f>
        <v>0</v>
      </c>
      <c r="S39" s="297">
        <f ca="1">IFERROR(__xludf.DUMMYFUNCTION("IMPORTRANGE(""https://docs.google.com/spreadsheets/d/19GOkiOqnzYbevLYWrMk4qFOXe3rX14BkSA8X-mq-a40/edit?usp=sharing"",""มหาสารคาม!I309"")"),0)</f>
        <v>0</v>
      </c>
      <c r="T39" s="173">
        <f ca="1">IFERROR(__xludf.DUMMYFUNCTION("IMPORTRANGE(""https://docs.google.com/spreadsheets/d/19GOkiOqnzYbevLYWrMk4qFOXe3rX14BkSA8X-mq-a40/edit?usp=sharing"",""มหาสารคาม!J309"")"),0)</f>
        <v>0</v>
      </c>
      <c r="U39" s="177">
        <f t="shared" ca="1" si="21"/>
        <v>0</v>
      </c>
      <c r="V39" s="173">
        <f ca="1">IFERROR(__xludf.DUMMYFUNCTION("IMPORTRANGE(""https://docs.google.com/spreadsheets/d/19GOkiOqnzYbevLYWrMk4qFOXe3rX14BkSA8X-mq-a40/edit?usp=sharing"",""มหาสารคาม!J310"")"),0)</f>
        <v>0</v>
      </c>
      <c r="W39" s="177">
        <f t="shared" ca="1" si="11"/>
        <v>0</v>
      </c>
      <c r="X39" s="173">
        <f ca="1">IFERROR(__xludf.DUMMYFUNCTION("IMPORTRANGE(""https://docs.google.com/spreadsheets/d/19GOkiOqnzYbevLYWrMk4qFOXe3rX14BkSA8X-mq-a40/edit?usp=sharing"",""มหาสารคาม!J311"")"),0)</f>
        <v>0</v>
      </c>
      <c r="Y39" s="177">
        <f t="shared" ca="1" si="12"/>
        <v>0</v>
      </c>
      <c r="Z39" s="297">
        <f ca="1">IFERROR(__xludf.DUMMYFUNCTION("IMPORTRANGE(""https://docs.google.com/spreadsheets/d/19GOkiOqnzYbevLYWrMk4qFOXe3rX14BkSA8X-mq-a40/edit?usp=sharing"",""มหาสารคาม!I312"")"),0)</f>
        <v>0</v>
      </c>
      <c r="AA39" s="173">
        <f ca="1">IFERROR(__xludf.DUMMYFUNCTION("IMPORTRANGE(""https://docs.google.com/spreadsheets/d/19GOkiOqnzYbevLYWrMk4qFOXe3rX14BkSA8X-mq-a40/edit?usp=sharing"",""มหาสารคาม!J312"")"),0)</f>
        <v>0</v>
      </c>
      <c r="AB39" s="177">
        <f t="shared" ca="1" si="14"/>
        <v>0</v>
      </c>
    </row>
    <row r="40" spans="1:28" ht="21" customHeight="1" x14ac:dyDescent="0.3">
      <c r="A40" s="73">
        <v>9</v>
      </c>
      <c r="B40" s="74" t="s">
        <v>62</v>
      </c>
      <c r="C40" s="75">
        <f t="shared" ca="1" si="0"/>
        <v>82400</v>
      </c>
      <c r="D40" s="76">
        <f t="shared" ca="1" si="30"/>
        <v>82400</v>
      </c>
      <c r="E40" s="77">
        <f ca="1">IFERROR(__xludf.DUMMYFUNCTION("IMPORTRANGE(""https://docs.google.com/spreadsheets/d/1MeEWN-I1oV_STSDYn1IFDPWt_1FKiwhDph83XaGc0o0/edit?usp=sharing"",""งบพรบ!DT40"")"),0)</f>
        <v>0</v>
      </c>
      <c r="F40" s="77">
        <f ca="1">IFERROR(__xludf.DUMMYFUNCTION("IMPORTRANGE(""https://docs.google.com/spreadsheets/d/1MeEWN-I1oV_STSDYn1IFDPWt_1FKiwhDph83XaGc0o0/edit?usp=sharing"",""งบพรบ!DU40"")"),82400)</f>
        <v>82400</v>
      </c>
      <c r="G40" s="77">
        <f ca="1">IFERROR(__xludf.DUMMYFUNCTION("IMPORTRANGE(""https://docs.google.com/spreadsheets/d/1MeEWN-I1oV_STSDYn1IFDPWt_1FKiwhDph83XaGc0o0/edit?usp=sharing"",""งบพรบ!DV40"")"),0)</f>
        <v>0</v>
      </c>
      <c r="H40" s="77">
        <f ca="1">IFERROR(__xludf.DUMMYFUNCTION("IMPORTRANGE(""https://docs.google.com/spreadsheets/d/1MeEWN-I1oV_STSDYn1IFDPWt_1FKiwhDph83XaGc0o0/edit?usp=sharing"",""งบพรบ!DX40"")"),101440)</f>
        <v>101440</v>
      </c>
      <c r="I40" s="77">
        <f ca="1">IFERROR(__xludf.DUMMYFUNCTION("IMPORTRANGE(""https://docs.google.com/spreadsheets/d/1MeEWN-I1oV_STSDYn1IFDPWt_1FKiwhDph83XaGc0o0/edit?usp=sharing"",""งบพรบ!DY40"")"),0)</f>
        <v>0</v>
      </c>
      <c r="J40" s="77">
        <f t="shared" ca="1" si="3"/>
        <v>101440</v>
      </c>
      <c r="K40" s="78">
        <f t="shared" ca="1" si="4"/>
        <v>123.10679611650485</v>
      </c>
      <c r="L40" s="77">
        <f ca="1">IFERROR(__xludf.DUMMYFUNCTION("IMPORTRANGE(""https://docs.google.com/spreadsheets/d/1MeEWN-I1oV_STSDYn1IFDPWt_1FKiwhDph83XaGc0o0/edit?usp=sharing"",""งบพรบ!DZ40"")"),101440)</f>
        <v>101440</v>
      </c>
      <c r="M40" s="79">
        <f t="shared" ca="1" si="5"/>
        <v>123.10679611650485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IFERROR(__xludf.DUMMYFUNCTION("IMPORTRANGE(""https://docs.google.com/spreadsheets/d/1MeEWN-I1oV_STSDYn1IFDPWt_1FKiwhDph83XaGc0o0/edit?usp=sharing"",""งบพรบ!EA40"")"),0)</f>
        <v>0</v>
      </c>
      <c r="P40" s="80">
        <f t="shared" ca="1" si="23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IFERROR(__xludf.DUMMYFUNCTION("IMPORTRANGE(""https://docs.google.com/spreadsheets/d/1uMKqWwuNQ-TCKboGA3Bb1qXb5uj2-faACNUINCz8PN4/edit?usp=sharing"",""มุกดาหาร!J308"")"),1)</f>
        <v>1</v>
      </c>
      <c r="S40" s="297">
        <f ca="1">IFERROR(__xludf.DUMMYFUNCTION("IMPORTRANGE(""https://docs.google.com/spreadsheets/d/1uMKqWwuNQ-TCKboGA3Bb1qXb5uj2-faACNUINCz8PN4/edit?usp=sharing"",""มุกดาหาร!I309"")"),20)</f>
        <v>20</v>
      </c>
      <c r="T40" s="173">
        <f ca="1">IFERROR(__xludf.DUMMYFUNCTION("IMPORTRANGE(""https://docs.google.com/spreadsheets/d/1uMKqWwuNQ-TCKboGA3Bb1qXb5uj2-faACNUINCz8PN4/edit?usp=sharing"",""มุกดาหาร!J309"")"),20)</f>
        <v>20</v>
      </c>
      <c r="U40" s="177">
        <f t="shared" ca="1" si="21"/>
        <v>100</v>
      </c>
      <c r="V40" s="173">
        <f ca="1">IFERROR(__xludf.DUMMYFUNCTION("IMPORTRANGE(""https://docs.google.com/spreadsheets/d/1uMKqWwuNQ-TCKboGA3Bb1qXb5uj2-faACNUINCz8PN4/edit?usp=sharing"",""มุกดาหาร!J310"")"),20)</f>
        <v>20</v>
      </c>
      <c r="W40" s="177">
        <f t="shared" ca="1" si="11"/>
        <v>100</v>
      </c>
      <c r="X40" s="173">
        <f ca="1">IFERROR(__xludf.DUMMYFUNCTION("IMPORTRANGE(""https://docs.google.com/spreadsheets/d/1uMKqWwuNQ-TCKboGA3Bb1qXb5uj2-faACNUINCz8PN4/edit?usp=sharing"",""มุกดาหาร!J311"")"),20)</f>
        <v>20</v>
      </c>
      <c r="Y40" s="177">
        <f t="shared" ca="1" si="12"/>
        <v>100</v>
      </c>
      <c r="Z40" s="297">
        <f ca="1">IFERROR(__xludf.DUMMYFUNCTION("IMPORTRANGE(""https://docs.google.com/spreadsheets/d/1uMKqWwuNQ-TCKboGA3Bb1qXb5uj2-faACNUINCz8PN4/edit?usp=sharing"",""มุกดาหาร!I312"")"),4)</f>
        <v>4</v>
      </c>
      <c r="AA40" s="173">
        <f ca="1">IFERROR(__xludf.DUMMYFUNCTION("IMPORTRANGE(""https://docs.google.com/spreadsheets/d/1uMKqWwuNQ-TCKboGA3Bb1qXb5uj2-faACNUINCz8PN4/edit?usp=sharing"",""มุกดาหาร!J312"")"),4)</f>
        <v>4</v>
      </c>
      <c r="AB40" s="177">
        <f t="shared" ca="1" si="14"/>
        <v>20</v>
      </c>
    </row>
    <row r="41" spans="1:28" ht="21" customHeight="1" x14ac:dyDescent="0.3">
      <c r="A41" s="73">
        <v>10</v>
      </c>
      <c r="B41" s="74" t="s">
        <v>63</v>
      </c>
      <c r="C41" s="75">
        <f t="shared" ca="1" si="0"/>
        <v>82400</v>
      </c>
      <c r="D41" s="76">
        <f t="shared" ca="1" si="30"/>
        <v>82400</v>
      </c>
      <c r="E41" s="77">
        <f ca="1">IFERROR(__xludf.DUMMYFUNCTION("IMPORTRANGE(""https://docs.google.com/spreadsheets/d/1MeEWN-I1oV_STSDYn1IFDPWt_1FKiwhDph83XaGc0o0/edit?usp=sharing"",""งบพรบ!DT41"")"),0)</f>
        <v>0</v>
      </c>
      <c r="F41" s="77">
        <f ca="1">IFERROR(__xludf.DUMMYFUNCTION("IMPORTRANGE(""https://docs.google.com/spreadsheets/d/1MeEWN-I1oV_STSDYn1IFDPWt_1FKiwhDph83XaGc0o0/edit?usp=sharing"",""งบพรบ!DU41"")"),82400)</f>
        <v>82400</v>
      </c>
      <c r="G41" s="77">
        <f ca="1">IFERROR(__xludf.DUMMYFUNCTION("IMPORTRANGE(""https://docs.google.com/spreadsheets/d/1MeEWN-I1oV_STSDYn1IFDPWt_1FKiwhDph83XaGc0o0/edit?usp=sharing"",""งบพรบ!DV41"")"),0)</f>
        <v>0</v>
      </c>
      <c r="H41" s="77">
        <f ca="1">IFERROR(__xludf.DUMMYFUNCTION("IMPORTRANGE(""https://docs.google.com/spreadsheets/d/1MeEWN-I1oV_STSDYn1IFDPWt_1FKiwhDph83XaGc0o0/edit?usp=sharing"",""งบพรบ!DX41"")"),82400)</f>
        <v>82400</v>
      </c>
      <c r="I41" s="77">
        <f ca="1">IFERROR(__xludf.DUMMYFUNCTION("IMPORTRANGE(""https://docs.google.com/spreadsheets/d/1MeEWN-I1oV_STSDYn1IFDPWt_1FKiwhDph83XaGc0o0/edit?usp=sharing"",""งบพรบ!DY41"")"),0)</f>
        <v>0</v>
      </c>
      <c r="J41" s="77">
        <f t="shared" ca="1" si="3"/>
        <v>62740</v>
      </c>
      <c r="K41" s="78">
        <f t="shared" ca="1" si="4"/>
        <v>76.140776699029132</v>
      </c>
      <c r="L41" s="77">
        <f ca="1">IFERROR(__xludf.DUMMYFUNCTION("IMPORTRANGE(""https://docs.google.com/spreadsheets/d/1MeEWN-I1oV_STSDYn1IFDPWt_1FKiwhDph83XaGc0o0/edit?usp=sharing"",""งบพรบ!DZ41"")"),62740)</f>
        <v>62740</v>
      </c>
      <c r="M41" s="79">
        <f t="shared" ca="1" si="5"/>
        <v>76.140776699029132</v>
      </c>
      <c r="N41" s="79">
        <f t="shared" ca="1" si="6"/>
        <v>76.140776699029132</v>
      </c>
      <c r="O41" s="80">
        <f ca="1">IFERROR(__xludf.DUMMYFUNCTION("IMPORTRANGE(""https://docs.google.com/spreadsheets/d/1MeEWN-I1oV_STSDYn1IFDPWt_1FKiwhDph83XaGc0o0/edit?usp=sharing"",""งบพรบ!EA41"")"),0)</f>
        <v>0</v>
      </c>
      <c r="P41" s="80">
        <f t="shared" ca="1" si="23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IFERROR(__xludf.DUMMYFUNCTION("IMPORTRANGE(""https://docs.google.com/spreadsheets/d/1oKaccgDdQABndOzGr688Dbfxb_V3YcF67VqEPBtdzsc/edit?usp=sharing"",""ยโสธร!J308"")"),1)</f>
        <v>1</v>
      </c>
      <c r="S41" s="297">
        <f ca="1">IFERROR(__xludf.DUMMYFUNCTION("IMPORTRANGE(""https://docs.google.com/spreadsheets/d/1oKaccgDdQABndOzGr688Dbfxb_V3YcF67VqEPBtdzsc/edit?usp=sharing"",""ยโสธร!I309"")"),20)</f>
        <v>20</v>
      </c>
      <c r="T41" s="173">
        <f ca="1">IFERROR(__xludf.DUMMYFUNCTION("IMPORTRANGE(""https://docs.google.com/spreadsheets/d/1oKaccgDdQABndOzGr688Dbfxb_V3YcF67VqEPBtdzsc/edit?usp=sharing"",""ยโสธร!J309"")"),20)</f>
        <v>20</v>
      </c>
      <c r="U41" s="177">
        <f t="shared" ca="1" si="21"/>
        <v>100</v>
      </c>
      <c r="V41" s="173">
        <f ca="1">IFERROR(__xludf.DUMMYFUNCTION("IMPORTRANGE(""https://docs.google.com/spreadsheets/d/1oKaccgDdQABndOzGr688Dbfxb_V3YcF67VqEPBtdzsc/edit?usp=sharing"",""ยโสธร!J310"")"),20)</f>
        <v>20</v>
      </c>
      <c r="W41" s="177">
        <f t="shared" ca="1" si="11"/>
        <v>100</v>
      </c>
      <c r="X41" s="173">
        <f ca="1">IFERROR(__xludf.DUMMYFUNCTION("IMPORTRANGE(""https://docs.google.com/spreadsheets/d/1oKaccgDdQABndOzGr688Dbfxb_V3YcF67VqEPBtdzsc/edit?usp=sharing"",""ยโสธร!J311"")"),20)</f>
        <v>20</v>
      </c>
      <c r="Y41" s="177">
        <f t="shared" ca="1" si="12"/>
        <v>100</v>
      </c>
      <c r="Z41" s="297">
        <f ca="1">IFERROR(__xludf.DUMMYFUNCTION("IMPORTRANGE(""https://docs.google.com/spreadsheets/d/1oKaccgDdQABndOzGr688Dbfxb_V3YcF67VqEPBtdzsc/edit?usp=sharing"",""ยโสธร!I312"")"),4)</f>
        <v>4</v>
      </c>
      <c r="AA41" s="173">
        <f ca="1">IFERROR(__xludf.DUMMYFUNCTION("IMPORTRANGE(""https://docs.google.com/spreadsheets/d/1oKaccgDdQABndOzGr688Dbfxb_V3YcF67VqEPBtdzsc/edit?usp=sharing"",""ยโสธร!J312"")"),4)</f>
        <v>4</v>
      </c>
      <c r="AB41" s="177">
        <f t="shared" ca="1" si="14"/>
        <v>20</v>
      </c>
    </row>
    <row r="42" spans="1:28" ht="21" customHeight="1" x14ac:dyDescent="0.3">
      <c r="A42" s="73">
        <v>11</v>
      </c>
      <c r="B42" s="74" t="s">
        <v>64</v>
      </c>
      <c r="C42" s="75">
        <f t="shared" ca="1" si="0"/>
        <v>82400</v>
      </c>
      <c r="D42" s="76">
        <f t="shared" ca="1" si="30"/>
        <v>82400</v>
      </c>
      <c r="E42" s="77">
        <f ca="1">IFERROR(__xludf.DUMMYFUNCTION("IMPORTRANGE(""https://docs.google.com/spreadsheets/d/1MeEWN-I1oV_STSDYn1IFDPWt_1FKiwhDph83XaGc0o0/edit?usp=sharing"",""งบพรบ!DT42"")"),0)</f>
        <v>0</v>
      </c>
      <c r="F42" s="77">
        <f ca="1">IFERROR(__xludf.DUMMYFUNCTION("IMPORTRANGE(""https://docs.google.com/spreadsheets/d/1MeEWN-I1oV_STSDYn1IFDPWt_1FKiwhDph83XaGc0o0/edit?usp=sharing"",""งบพรบ!DU42"")"),82400)</f>
        <v>82400</v>
      </c>
      <c r="G42" s="77">
        <f ca="1">IFERROR(__xludf.DUMMYFUNCTION("IMPORTRANGE(""https://docs.google.com/spreadsheets/d/1MeEWN-I1oV_STSDYn1IFDPWt_1FKiwhDph83XaGc0o0/edit?usp=sharing"",""งบพรบ!DV42"")"),0)</f>
        <v>0</v>
      </c>
      <c r="H42" s="77">
        <f ca="1">IFERROR(__xludf.DUMMYFUNCTION("IMPORTRANGE(""https://docs.google.com/spreadsheets/d/1MeEWN-I1oV_STSDYn1IFDPWt_1FKiwhDph83XaGc0o0/edit?usp=sharing"",""งบพรบ!DX42"")"),96000)</f>
        <v>96000</v>
      </c>
      <c r="I42" s="77">
        <f ca="1">IFERROR(__xludf.DUMMYFUNCTION("IMPORTRANGE(""https://docs.google.com/spreadsheets/d/1MeEWN-I1oV_STSDYn1IFDPWt_1FKiwhDph83XaGc0o0/edit?usp=sharing"",""งบพรบ!DY42"")"),0)</f>
        <v>0</v>
      </c>
      <c r="J42" s="77">
        <f t="shared" ca="1" si="3"/>
        <v>84039</v>
      </c>
      <c r="K42" s="78">
        <f t="shared" ca="1" si="4"/>
        <v>101.98907766990291</v>
      </c>
      <c r="L42" s="77">
        <f ca="1">IFERROR(__xludf.DUMMYFUNCTION("IMPORTRANGE(""https://docs.google.com/spreadsheets/d/1MeEWN-I1oV_STSDYn1IFDPWt_1FKiwhDph83XaGc0o0/edit?usp=sharing"",""งบพรบ!DZ42"")"),84039)</f>
        <v>84039</v>
      </c>
      <c r="M42" s="79">
        <f t="shared" ca="1" si="5"/>
        <v>101.98907766990291</v>
      </c>
      <c r="N42" s="79">
        <f t="shared" ca="1" si="6"/>
        <v>87.540625000000006</v>
      </c>
      <c r="O42" s="80">
        <f ca="1">IFERROR(__xludf.DUMMYFUNCTION("IMPORTRANGE(""https://docs.google.com/spreadsheets/d/1MeEWN-I1oV_STSDYn1IFDPWt_1FKiwhDph83XaGc0o0/edit?usp=sharing"",""งบพรบ!EA42"")"),0)</f>
        <v>0</v>
      </c>
      <c r="P42" s="80">
        <f t="shared" ca="1" si="23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IFERROR(__xludf.DUMMYFUNCTION("IMPORTRANGE(""https://docs.google.com/spreadsheets/d/1BRgc8xKpxZ0PX-gauieMVkV_IOxKSotf0yW8MabGprQ/edit?usp=sharing"",""ร้อยเอ็ด!J308"")"),1)</f>
        <v>1</v>
      </c>
      <c r="S42" s="297">
        <f ca="1">IFERROR(__xludf.DUMMYFUNCTION("IMPORTRANGE(""https://docs.google.com/spreadsheets/d/1BRgc8xKpxZ0PX-gauieMVkV_IOxKSotf0yW8MabGprQ/edit?usp=sharing"",""ร้อยเอ็ด!I309"")"),20)</f>
        <v>20</v>
      </c>
      <c r="T42" s="173">
        <f ca="1">IFERROR(__xludf.DUMMYFUNCTION("IMPORTRANGE(""https://docs.google.com/spreadsheets/d/1BRgc8xKpxZ0PX-gauieMVkV_IOxKSotf0yW8MabGprQ/edit?usp=sharing"",""ร้อยเอ็ด!J309"")"),20)</f>
        <v>20</v>
      </c>
      <c r="U42" s="177">
        <f t="shared" ca="1" si="21"/>
        <v>100</v>
      </c>
      <c r="V42" s="173">
        <f ca="1">IFERROR(__xludf.DUMMYFUNCTION("IMPORTRANGE(""https://docs.google.com/spreadsheets/d/1BRgc8xKpxZ0PX-gauieMVkV_IOxKSotf0yW8MabGprQ/edit?usp=sharing"",""ร้อยเอ็ด!J310"")"),20)</f>
        <v>20</v>
      </c>
      <c r="W42" s="177">
        <f t="shared" ca="1" si="11"/>
        <v>100</v>
      </c>
      <c r="X42" s="173">
        <f ca="1">IFERROR(__xludf.DUMMYFUNCTION("IMPORTRANGE(""https://docs.google.com/spreadsheets/d/1BRgc8xKpxZ0PX-gauieMVkV_IOxKSotf0yW8MabGprQ/edit?usp=sharing"",""ร้อยเอ็ด!J311"")"),20)</f>
        <v>20</v>
      </c>
      <c r="Y42" s="177">
        <f t="shared" ca="1" si="12"/>
        <v>100</v>
      </c>
      <c r="Z42" s="297">
        <f ca="1">IFERROR(__xludf.DUMMYFUNCTION("IMPORTRANGE(""https://docs.google.com/spreadsheets/d/1BRgc8xKpxZ0PX-gauieMVkV_IOxKSotf0yW8MabGprQ/edit?usp=sharing"",""ร้อยเอ็ด!I312"")"),4)</f>
        <v>4</v>
      </c>
      <c r="AA42" s="173">
        <f ca="1">IFERROR(__xludf.DUMMYFUNCTION("IMPORTRANGE(""https://docs.google.com/spreadsheets/d/1BRgc8xKpxZ0PX-gauieMVkV_IOxKSotf0yW8MabGprQ/edit?usp=sharing"",""ร้อยเอ็ด!J312"")"),4)</f>
        <v>4</v>
      </c>
      <c r="AB42" s="177">
        <f t="shared" ca="1" si="14"/>
        <v>20</v>
      </c>
    </row>
    <row r="43" spans="1:28" ht="21" customHeight="1" x14ac:dyDescent="0.3">
      <c r="A43" s="73">
        <v>12</v>
      </c>
      <c r="B43" s="74" t="s">
        <v>65</v>
      </c>
      <c r="C43" s="75">
        <f t="shared" ca="1" si="0"/>
        <v>0</v>
      </c>
      <c r="D43" s="76">
        <f t="shared" ca="1" si="30"/>
        <v>0</v>
      </c>
      <c r="E43" s="77">
        <f ca="1">IFERROR(__xludf.DUMMYFUNCTION("IMPORTRANGE(""https://docs.google.com/spreadsheets/d/1MeEWN-I1oV_STSDYn1IFDPWt_1FKiwhDph83XaGc0o0/edit?usp=sharing"",""งบพรบ!DT43"")"),0)</f>
        <v>0</v>
      </c>
      <c r="F43" s="77">
        <f ca="1">IFERROR(__xludf.DUMMYFUNCTION("IMPORTRANGE(""https://docs.google.com/spreadsheets/d/1MeEWN-I1oV_STSDYn1IFDPWt_1FKiwhDph83XaGc0o0/edit?usp=sharing"",""งบพรบ!DU43"")"),0)</f>
        <v>0</v>
      </c>
      <c r="G43" s="77">
        <f ca="1">IFERROR(__xludf.DUMMYFUNCTION("IMPORTRANGE(""https://docs.google.com/spreadsheets/d/1MeEWN-I1oV_STSDYn1IFDPWt_1FKiwhDph83XaGc0o0/edit?usp=sharing"",""งบพรบ!DV43"")"),0)</f>
        <v>0</v>
      </c>
      <c r="H43" s="77">
        <f ca="1">IFERROR(__xludf.DUMMYFUNCTION("IMPORTRANGE(""https://docs.google.com/spreadsheets/d/1MeEWN-I1oV_STSDYn1IFDPWt_1FKiwhDph83XaGc0o0/edit?usp=sharing"",""งบพรบ!DX43"")"),0)</f>
        <v>0</v>
      </c>
      <c r="I43" s="77">
        <f ca="1">IFERROR(__xludf.DUMMYFUNCTION("IMPORTRANGE(""https://docs.google.com/spreadsheets/d/1MeEWN-I1oV_STSDYn1IFDPWt_1FKiwhDph83XaGc0o0/edit?usp=sharing"",""งบพรบ!DY43"")"),0)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IFERROR(__xludf.DUMMYFUNCTION("IMPORTRANGE(""https://docs.google.com/spreadsheets/d/1MeEWN-I1oV_STSDYn1IFDPWt_1FKiwhDph83XaGc0o0/edit?usp=sharing"",""งบพรบ!DZ43"")"),0)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IFERROR(__xludf.DUMMYFUNCTION("IMPORTRANGE(""https://docs.google.com/spreadsheets/d/1MeEWN-I1oV_STSDYn1IFDPWt_1FKiwhDph83XaGc0o0/edit?usp=sharing"",""งบพรบ!EA43"")"),0)</f>
        <v>0</v>
      </c>
      <c r="P43" s="80">
        <f t="shared" ca="1" si="23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IFERROR(__xludf.DUMMYFUNCTION("IMPORTRANGE(""https://docs.google.com/spreadsheets/d/1IdolZc-dfdgMwAm_KZxYJl1sUOcIgnbGQzbWOlddedo/edit?usp=sharing"",""เลย!J308"")"),0)</f>
        <v>0</v>
      </c>
      <c r="S43" s="297">
        <f ca="1">IFERROR(__xludf.DUMMYFUNCTION("IMPORTRANGE(""https://docs.google.com/spreadsheets/d/1IdolZc-dfdgMwAm_KZxYJl1sUOcIgnbGQzbWOlddedo/edit?usp=sharing"",""เลย!I309"")"),0)</f>
        <v>0</v>
      </c>
      <c r="T43" s="173">
        <f ca="1">IFERROR(__xludf.DUMMYFUNCTION("IMPORTRANGE(""https://docs.google.com/spreadsheets/d/1IdolZc-dfdgMwAm_KZxYJl1sUOcIgnbGQzbWOlddedo/edit?usp=sharing"",""เลย!J309"")"),0)</f>
        <v>0</v>
      </c>
      <c r="U43" s="177">
        <f t="shared" ca="1" si="21"/>
        <v>0</v>
      </c>
      <c r="V43" s="173">
        <f ca="1">IFERROR(__xludf.DUMMYFUNCTION("IMPORTRANGE(""https://docs.google.com/spreadsheets/d/1IdolZc-dfdgMwAm_KZxYJl1sUOcIgnbGQzbWOlddedo/edit?usp=sharing"",""เลย!J310"")"),0)</f>
        <v>0</v>
      </c>
      <c r="W43" s="177">
        <f t="shared" ca="1" si="11"/>
        <v>0</v>
      </c>
      <c r="X43" s="173">
        <f ca="1">IFERROR(__xludf.DUMMYFUNCTION("IMPORTRANGE(""https://docs.google.com/spreadsheets/d/1IdolZc-dfdgMwAm_KZxYJl1sUOcIgnbGQzbWOlddedo/edit?usp=sharing"",""เลย!J311"")"),0)</f>
        <v>0</v>
      </c>
      <c r="Y43" s="177">
        <f t="shared" ca="1" si="12"/>
        <v>0</v>
      </c>
      <c r="Z43" s="297">
        <f ca="1">IFERROR(__xludf.DUMMYFUNCTION("IMPORTRANGE(""https://docs.google.com/spreadsheets/d/1IdolZc-dfdgMwAm_KZxYJl1sUOcIgnbGQzbWOlddedo/edit?usp=sharing"",""เลย!I312"")"),0)</f>
        <v>0</v>
      </c>
      <c r="AA43" s="173">
        <f ca="1">IFERROR(__xludf.DUMMYFUNCTION("IMPORTRANGE(""https://docs.google.com/spreadsheets/d/1IdolZc-dfdgMwAm_KZxYJl1sUOcIgnbGQzbWOlddedo/edit?usp=sharing"",""เลย!J312"")"),0)</f>
        <v>0</v>
      </c>
      <c r="AB43" s="177">
        <f t="shared" ca="1" si="14"/>
        <v>0</v>
      </c>
    </row>
    <row r="44" spans="1:28" ht="21" customHeight="1" x14ac:dyDescent="0.3">
      <c r="A44" s="73">
        <v>13</v>
      </c>
      <c r="B44" s="74" t="s">
        <v>66</v>
      </c>
      <c r="C44" s="75">
        <f t="shared" ca="1" si="0"/>
        <v>82400</v>
      </c>
      <c r="D44" s="76">
        <f t="shared" ca="1" si="30"/>
        <v>82400</v>
      </c>
      <c r="E44" s="77">
        <f ca="1">IFERROR(__xludf.DUMMYFUNCTION("IMPORTRANGE(""https://docs.google.com/spreadsheets/d/1MeEWN-I1oV_STSDYn1IFDPWt_1FKiwhDph83XaGc0o0/edit?usp=sharing"",""งบพรบ!DT44"")"),0)</f>
        <v>0</v>
      </c>
      <c r="F44" s="77">
        <f ca="1">IFERROR(__xludf.DUMMYFUNCTION("IMPORTRANGE(""https://docs.google.com/spreadsheets/d/1MeEWN-I1oV_STSDYn1IFDPWt_1FKiwhDph83XaGc0o0/edit?usp=sharing"",""งบพรบ!DU44"")"),82400)</f>
        <v>82400</v>
      </c>
      <c r="G44" s="77">
        <f ca="1">IFERROR(__xludf.DUMMYFUNCTION("IMPORTRANGE(""https://docs.google.com/spreadsheets/d/1MeEWN-I1oV_STSDYn1IFDPWt_1FKiwhDph83XaGc0o0/edit?usp=sharing"",""งบพรบ!DV44"")"),0)</f>
        <v>0</v>
      </c>
      <c r="H44" s="77">
        <f ca="1">IFERROR(__xludf.DUMMYFUNCTION("IMPORTRANGE(""https://docs.google.com/spreadsheets/d/1MeEWN-I1oV_STSDYn1IFDPWt_1FKiwhDph83XaGc0o0/edit?usp=sharing"",""งบพรบ!DX44"")"),98180)</f>
        <v>98180</v>
      </c>
      <c r="I44" s="77">
        <f ca="1">IFERROR(__xludf.DUMMYFUNCTION("IMPORTRANGE(""https://docs.google.com/spreadsheets/d/1MeEWN-I1oV_STSDYn1IFDPWt_1FKiwhDph83XaGc0o0/edit?usp=sharing"",""งบพรบ!DY44"")"),0)</f>
        <v>0</v>
      </c>
      <c r="J44" s="77">
        <f t="shared" ca="1" si="3"/>
        <v>97990</v>
      </c>
      <c r="K44" s="78">
        <f t="shared" ca="1" si="4"/>
        <v>118.91990291262135</v>
      </c>
      <c r="L44" s="77">
        <f ca="1">IFERROR(__xludf.DUMMYFUNCTION("IMPORTRANGE(""https://docs.google.com/spreadsheets/d/1MeEWN-I1oV_STSDYn1IFDPWt_1FKiwhDph83XaGc0o0/edit?usp=sharing"",""งบพรบ!DZ44"")"),97990)</f>
        <v>97990</v>
      </c>
      <c r="M44" s="79">
        <f t="shared" ca="1" si="5"/>
        <v>118.91990291262135</v>
      </c>
      <c r="N44" s="79">
        <f t="shared" ca="1" si="6"/>
        <v>99.806477897738844</v>
      </c>
      <c r="O44" s="80">
        <f ca="1">IFERROR(__xludf.DUMMYFUNCTION("IMPORTRANGE(""https://docs.google.com/spreadsheets/d/1MeEWN-I1oV_STSDYn1IFDPWt_1FKiwhDph83XaGc0o0/edit?usp=sharing"",""งบพรบ!EA44"")"),0)</f>
        <v>0</v>
      </c>
      <c r="P44" s="80">
        <f t="shared" ca="1" si="23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IFERROR(__xludf.DUMMYFUNCTION("IMPORTRANGE(""https://docs.google.com/spreadsheets/d/1tZ0nmtGuIRCaGAMXHlQU8EpR9LOAJvyKfc4f7EFmE34/edit?usp=sharing"",""ศรีสะเกษ!J308"")"),1)</f>
        <v>1</v>
      </c>
      <c r="S44" s="297">
        <f ca="1">IFERROR(__xludf.DUMMYFUNCTION("IMPORTRANGE(""https://docs.google.com/spreadsheets/d/1tZ0nmtGuIRCaGAMXHlQU8EpR9LOAJvyKfc4f7EFmE34/edit?usp=sharing"",""ศรีสะเกษ!I309"")"),20)</f>
        <v>20</v>
      </c>
      <c r="T44" s="173">
        <f ca="1">IFERROR(__xludf.DUMMYFUNCTION("IMPORTRANGE(""https://docs.google.com/spreadsheets/d/1tZ0nmtGuIRCaGAMXHlQU8EpR9LOAJvyKfc4f7EFmE34/edit?usp=sharing"",""ศรีสะเกษ!J309"")"),20)</f>
        <v>20</v>
      </c>
      <c r="U44" s="177">
        <f t="shared" ca="1" si="21"/>
        <v>100</v>
      </c>
      <c r="V44" s="173">
        <f ca="1">IFERROR(__xludf.DUMMYFUNCTION("IMPORTRANGE(""https://docs.google.com/spreadsheets/d/1tZ0nmtGuIRCaGAMXHlQU8EpR9LOAJvyKfc4f7EFmE34/edit?usp=sharing"",""ศรีสะเกษ!J310"")"),20)</f>
        <v>20</v>
      </c>
      <c r="W44" s="177">
        <f t="shared" ca="1" si="11"/>
        <v>100</v>
      </c>
      <c r="X44" s="173">
        <f ca="1">IFERROR(__xludf.DUMMYFUNCTION("IMPORTRANGE(""https://docs.google.com/spreadsheets/d/1tZ0nmtGuIRCaGAMXHlQU8EpR9LOAJvyKfc4f7EFmE34/edit?usp=sharing"",""ศรีสะเกษ!J311"")"),20)</f>
        <v>20</v>
      </c>
      <c r="Y44" s="177">
        <f t="shared" ca="1" si="12"/>
        <v>100</v>
      </c>
      <c r="Z44" s="297">
        <f ca="1">IFERROR(__xludf.DUMMYFUNCTION("IMPORTRANGE(""https://docs.google.com/spreadsheets/d/1tZ0nmtGuIRCaGAMXHlQU8EpR9LOAJvyKfc4f7EFmE34/edit?usp=sharing"",""ศรีสะเกษ!I312"")"),4)</f>
        <v>4</v>
      </c>
      <c r="AA44" s="173">
        <f ca="1">IFERROR(__xludf.DUMMYFUNCTION("IMPORTRANGE(""https://docs.google.com/spreadsheets/d/1tZ0nmtGuIRCaGAMXHlQU8EpR9LOAJvyKfc4f7EFmE34/edit?usp=sharing"",""ศรีสะเกษ!J312"")"),4)</f>
        <v>4</v>
      </c>
      <c r="AB44" s="177">
        <f t="shared" ca="1" si="14"/>
        <v>20</v>
      </c>
    </row>
    <row r="45" spans="1:28" ht="21" customHeight="1" x14ac:dyDescent="0.3">
      <c r="A45" s="73">
        <v>14</v>
      </c>
      <c r="B45" s="74" t="s">
        <v>67</v>
      </c>
      <c r="C45" s="75">
        <f t="shared" ca="1" si="0"/>
        <v>82400</v>
      </c>
      <c r="D45" s="76">
        <f t="shared" ca="1" si="30"/>
        <v>82400</v>
      </c>
      <c r="E45" s="77">
        <f ca="1">IFERROR(__xludf.DUMMYFUNCTION("IMPORTRANGE(""https://docs.google.com/spreadsheets/d/1MeEWN-I1oV_STSDYn1IFDPWt_1FKiwhDph83XaGc0o0/edit?usp=sharing"",""งบพรบ!DT45"")"),0)</f>
        <v>0</v>
      </c>
      <c r="F45" s="77">
        <f ca="1">IFERROR(__xludf.DUMMYFUNCTION("IMPORTRANGE(""https://docs.google.com/spreadsheets/d/1MeEWN-I1oV_STSDYn1IFDPWt_1FKiwhDph83XaGc0o0/edit?usp=sharing"",""งบพรบ!DU45"")"),82400)</f>
        <v>82400</v>
      </c>
      <c r="G45" s="77">
        <f ca="1">IFERROR(__xludf.DUMMYFUNCTION("IMPORTRANGE(""https://docs.google.com/spreadsheets/d/1MeEWN-I1oV_STSDYn1IFDPWt_1FKiwhDph83XaGc0o0/edit?usp=sharing"",""งบพรบ!DV45"")"),0)</f>
        <v>0</v>
      </c>
      <c r="H45" s="77">
        <f ca="1">IFERROR(__xludf.DUMMYFUNCTION("IMPORTRANGE(""https://docs.google.com/spreadsheets/d/1MeEWN-I1oV_STSDYn1IFDPWt_1FKiwhDph83XaGc0o0/edit?usp=sharing"",""งบพรบ!DX45"")"),97500)</f>
        <v>97500</v>
      </c>
      <c r="I45" s="77">
        <f ca="1">IFERROR(__xludf.DUMMYFUNCTION("IMPORTRANGE(""https://docs.google.com/spreadsheets/d/1MeEWN-I1oV_STSDYn1IFDPWt_1FKiwhDph83XaGc0o0/edit?usp=sharing"",""งบพรบ!DY45"")"),0)</f>
        <v>0</v>
      </c>
      <c r="J45" s="77">
        <f t="shared" ca="1" si="3"/>
        <v>92500</v>
      </c>
      <c r="K45" s="78">
        <f t="shared" ca="1" si="4"/>
        <v>112.25728155339806</v>
      </c>
      <c r="L45" s="77">
        <f ca="1">IFERROR(__xludf.DUMMYFUNCTION("IMPORTRANGE(""https://docs.google.com/spreadsheets/d/1MeEWN-I1oV_STSDYn1IFDPWt_1FKiwhDph83XaGc0o0/edit?usp=sharing"",""งบพรบ!DZ45"")"),92500)</f>
        <v>92500</v>
      </c>
      <c r="M45" s="79">
        <f t="shared" ca="1" si="5"/>
        <v>112.25728155339806</v>
      </c>
      <c r="N45" s="79">
        <f t="shared" ca="1" si="6"/>
        <v>94.871794871794876</v>
      </c>
      <c r="O45" s="80">
        <f ca="1">IFERROR(__xludf.DUMMYFUNCTION("IMPORTRANGE(""https://docs.google.com/spreadsheets/d/1MeEWN-I1oV_STSDYn1IFDPWt_1FKiwhDph83XaGc0o0/edit?usp=sharing"",""งบพรบ!EA45"")"),0)</f>
        <v>0</v>
      </c>
      <c r="P45" s="80">
        <f t="shared" ca="1" si="23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IFERROR(__xludf.DUMMYFUNCTION("IMPORTRANGE(""https://docs.google.com/spreadsheets/d/1QC8psz9w0f9IVE9Xuc2FT_btkaOzZbbUSgYObpBuetM/edit?usp=sharing"",""สกลนคร!J308"")"),1)</f>
        <v>1</v>
      </c>
      <c r="S45" s="297">
        <f ca="1">IFERROR(__xludf.DUMMYFUNCTION("IMPORTRANGE(""https://docs.google.com/spreadsheets/d/1QC8psz9w0f9IVE9Xuc2FT_btkaOzZbbUSgYObpBuetM/edit?usp=sharing"",""สกลนคร!I309"")"),20)</f>
        <v>20</v>
      </c>
      <c r="T45" s="173">
        <f ca="1">IFERROR(__xludf.DUMMYFUNCTION("IMPORTRANGE(""https://docs.google.com/spreadsheets/d/1QC8psz9w0f9IVE9Xuc2FT_btkaOzZbbUSgYObpBuetM/edit?usp=sharing"",""สกลนคร!J309"")"),20)</f>
        <v>20</v>
      </c>
      <c r="U45" s="177">
        <f t="shared" ca="1" si="21"/>
        <v>100</v>
      </c>
      <c r="V45" s="173">
        <f ca="1">IFERROR(__xludf.DUMMYFUNCTION("IMPORTRANGE(""https://docs.google.com/spreadsheets/d/1QC8psz9w0f9IVE9Xuc2FT_btkaOzZbbUSgYObpBuetM/edit?usp=sharing"",""สกลนคร!J310"")"),20)</f>
        <v>20</v>
      </c>
      <c r="W45" s="177">
        <f t="shared" ca="1" si="11"/>
        <v>100</v>
      </c>
      <c r="X45" s="173">
        <f ca="1">IFERROR(__xludf.DUMMYFUNCTION("IMPORTRANGE(""https://docs.google.com/spreadsheets/d/1QC8psz9w0f9IVE9Xuc2FT_btkaOzZbbUSgYObpBuetM/edit?usp=sharing"",""สกลนคร!J311"")"),20)</f>
        <v>20</v>
      </c>
      <c r="Y45" s="177">
        <f t="shared" ca="1" si="12"/>
        <v>100</v>
      </c>
      <c r="Z45" s="297">
        <f ca="1">IFERROR(__xludf.DUMMYFUNCTION("IMPORTRANGE(""https://docs.google.com/spreadsheets/d/1QC8psz9w0f9IVE9Xuc2FT_btkaOzZbbUSgYObpBuetM/edit?usp=sharing"",""สกลนคร!I312"")"),4)</f>
        <v>4</v>
      </c>
      <c r="AA45" s="173">
        <f ca="1">IFERROR(__xludf.DUMMYFUNCTION("IMPORTRANGE(""https://docs.google.com/spreadsheets/d/1QC8psz9w0f9IVE9Xuc2FT_btkaOzZbbUSgYObpBuetM/edit?usp=sharing"",""สกลนคร!J312"")"),4)</f>
        <v>4</v>
      </c>
      <c r="AB45" s="177">
        <f t="shared" ca="1" si="14"/>
        <v>20</v>
      </c>
    </row>
    <row r="46" spans="1:28" ht="21" customHeight="1" x14ac:dyDescent="0.3">
      <c r="A46" s="73">
        <v>15</v>
      </c>
      <c r="B46" s="74" t="s">
        <v>68</v>
      </c>
      <c r="C46" s="75">
        <f t="shared" ca="1" si="0"/>
        <v>82400</v>
      </c>
      <c r="D46" s="76">
        <f t="shared" ca="1" si="30"/>
        <v>82400</v>
      </c>
      <c r="E46" s="77">
        <f ca="1">IFERROR(__xludf.DUMMYFUNCTION("IMPORTRANGE(""https://docs.google.com/spreadsheets/d/1MeEWN-I1oV_STSDYn1IFDPWt_1FKiwhDph83XaGc0o0/edit?usp=sharing"",""งบพรบ!DT46"")"),0)</f>
        <v>0</v>
      </c>
      <c r="F46" s="77">
        <f ca="1">IFERROR(__xludf.DUMMYFUNCTION("IMPORTRANGE(""https://docs.google.com/spreadsheets/d/1MeEWN-I1oV_STSDYn1IFDPWt_1FKiwhDph83XaGc0o0/edit?usp=sharing"",""งบพรบ!DU46"")"),82400)</f>
        <v>82400</v>
      </c>
      <c r="G46" s="77">
        <f ca="1">IFERROR(__xludf.DUMMYFUNCTION("IMPORTRANGE(""https://docs.google.com/spreadsheets/d/1MeEWN-I1oV_STSDYn1IFDPWt_1FKiwhDph83XaGc0o0/edit?usp=sharing"",""งบพรบ!DV46"")"),0)</f>
        <v>0</v>
      </c>
      <c r="H46" s="77">
        <f ca="1">IFERROR(__xludf.DUMMYFUNCTION("IMPORTRANGE(""https://docs.google.com/spreadsheets/d/1MeEWN-I1oV_STSDYn1IFDPWt_1FKiwhDph83XaGc0o0/edit?usp=sharing"",""งบพรบ!DX46"")"),95500)</f>
        <v>95500</v>
      </c>
      <c r="I46" s="77">
        <f ca="1">IFERROR(__xludf.DUMMYFUNCTION("IMPORTRANGE(""https://docs.google.com/spreadsheets/d/1MeEWN-I1oV_STSDYn1IFDPWt_1FKiwhDph83XaGc0o0/edit?usp=sharing"",""งบพรบ!DY46"")"),0)</f>
        <v>0</v>
      </c>
      <c r="J46" s="77">
        <f t="shared" ca="1" si="3"/>
        <v>93453</v>
      </c>
      <c r="K46" s="78">
        <f t="shared" ca="1" si="4"/>
        <v>113.41383495145631</v>
      </c>
      <c r="L46" s="77">
        <f ca="1">IFERROR(__xludf.DUMMYFUNCTION("IMPORTRANGE(""https://docs.google.com/spreadsheets/d/1MeEWN-I1oV_STSDYn1IFDPWt_1FKiwhDph83XaGc0o0/edit?usp=sharing"",""งบพรบ!DZ46"")"),93453)</f>
        <v>93453</v>
      </c>
      <c r="M46" s="79">
        <f t="shared" ca="1" si="5"/>
        <v>113.41383495145631</v>
      </c>
      <c r="N46" s="79">
        <f t="shared" ca="1" si="6"/>
        <v>97.856544502617794</v>
      </c>
      <c r="O46" s="80">
        <f ca="1">IFERROR(__xludf.DUMMYFUNCTION("IMPORTRANGE(""https://docs.google.com/spreadsheets/d/1MeEWN-I1oV_STSDYn1IFDPWt_1FKiwhDph83XaGc0o0/edit?usp=sharing"",""งบพรบ!EA46"")"),0)</f>
        <v>0</v>
      </c>
      <c r="P46" s="80">
        <f t="shared" ca="1" si="23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IFERROR(__xludf.DUMMYFUNCTION("IMPORTRANGE(""https://docs.google.com/spreadsheets/d/1wPdvRbu02d33MYVlbsCnyTiZpefEBs9NNktAnT1HZvw/edit?usp=sharing"",""สุรินทร์!J308"")"),0)</f>
        <v>0</v>
      </c>
      <c r="S46" s="297">
        <f ca="1">IFERROR(__xludf.DUMMYFUNCTION("IMPORTRANGE(""https://docs.google.com/spreadsheets/d/1wPdvRbu02d33MYVlbsCnyTiZpefEBs9NNktAnT1HZvw/edit?usp=sharing"",""สุรินทร์!I309"")"),20)</f>
        <v>20</v>
      </c>
      <c r="T46" s="173">
        <f ca="1">IFERROR(__xludf.DUMMYFUNCTION("IMPORTRANGE(""https://docs.google.com/spreadsheets/d/1wPdvRbu02d33MYVlbsCnyTiZpefEBs9NNktAnT1HZvw/edit?usp=sharing"",""สุรินทร์!J309"")"),20)</f>
        <v>20</v>
      </c>
      <c r="U46" s="177">
        <f t="shared" ca="1" si="21"/>
        <v>100</v>
      </c>
      <c r="V46" s="173">
        <f ca="1">IFERROR(__xludf.DUMMYFUNCTION("IMPORTRANGE(""https://docs.google.com/spreadsheets/d/1wPdvRbu02d33MYVlbsCnyTiZpefEBs9NNktAnT1HZvw/edit?usp=sharing"",""สุรินทร์!J310"")"),20)</f>
        <v>20</v>
      </c>
      <c r="W46" s="177">
        <f t="shared" ca="1" si="11"/>
        <v>100</v>
      </c>
      <c r="X46" s="173">
        <f ca="1">IFERROR(__xludf.DUMMYFUNCTION("IMPORTRANGE(""https://docs.google.com/spreadsheets/d/1wPdvRbu02d33MYVlbsCnyTiZpefEBs9NNktAnT1HZvw/edit?usp=sharing"",""สุรินทร์!J311"")"),20)</f>
        <v>20</v>
      </c>
      <c r="Y46" s="177">
        <f t="shared" ca="1" si="12"/>
        <v>100</v>
      </c>
      <c r="Z46" s="297">
        <f ca="1">IFERROR(__xludf.DUMMYFUNCTION("IMPORTRANGE(""https://docs.google.com/spreadsheets/d/1wPdvRbu02d33MYVlbsCnyTiZpefEBs9NNktAnT1HZvw/edit?usp=sharing"",""สุรินทร์!I312"")"),4)</f>
        <v>4</v>
      </c>
      <c r="AA46" s="173">
        <f ca="1">IFERROR(__xludf.DUMMYFUNCTION("IMPORTRANGE(""https://docs.google.com/spreadsheets/d/1wPdvRbu02d33MYVlbsCnyTiZpefEBs9NNktAnT1HZvw/edit?usp=sharing"",""สุรินทร์!J312"")"),4)</f>
        <v>4</v>
      </c>
      <c r="AB46" s="177">
        <f t="shared" ca="1" si="14"/>
        <v>20</v>
      </c>
    </row>
    <row r="47" spans="1:28" ht="21" customHeight="1" x14ac:dyDescent="0.3">
      <c r="A47" s="73">
        <v>16</v>
      </c>
      <c r="B47" s="74" t="s">
        <v>69</v>
      </c>
      <c r="C47" s="75">
        <f t="shared" ca="1" si="0"/>
        <v>0</v>
      </c>
      <c r="D47" s="76">
        <f t="shared" ca="1" si="30"/>
        <v>0</v>
      </c>
      <c r="E47" s="77">
        <f ca="1">IFERROR(__xludf.DUMMYFUNCTION("IMPORTRANGE(""https://docs.google.com/spreadsheets/d/1MeEWN-I1oV_STSDYn1IFDPWt_1FKiwhDph83XaGc0o0/edit?usp=sharing"",""งบพรบ!DT47"")"),0)</f>
        <v>0</v>
      </c>
      <c r="F47" s="77">
        <f ca="1">IFERROR(__xludf.DUMMYFUNCTION("IMPORTRANGE(""https://docs.google.com/spreadsheets/d/1MeEWN-I1oV_STSDYn1IFDPWt_1FKiwhDph83XaGc0o0/edit?usp=sharing"",""งบพรบ!DU47"")"),0)</f>
        <v>0</v>
      </c>
      <c r="G47" s="77">
        <f ca="1">IFERROR(__xludf.DUMMYFUNCTION("IMPORTRANGE(""https://docs.google.com/spreadsheets/d/1MeEWN-I1oV_STSDYn1IFDPWt_1FKiwhDph83XaGc0o0/edit?usp=sharing"",""งบพรบ!DV47"")"),0)</f>
        <v>0</v>
      </c>
      <c r="H47" s="77">
        <f ca="1">IFERROR(__xludf.DUMMYFUNCTION("IMPORTRANGE(""https://docs.google.com/spreadsheets/d/1MeEWN-I1oV_STSDYn1IFDPWt_1FKiwhDph83XaGc0o0/edit?usp=sharing"",""งบพรบ!DX47"")"),0)</f>
        <v>0</v>
      </c>
      <c r="I47" s="77">
        <f ca="1">IFERROR(__xludf.DUMMYFUNCTION("IMPORTRANGE(""https://docs.google.com/spreadsheets/d/1MeEWN-I1oV_STSDYn1IFDPWt_1FKiwhDph83XaGc0o0/edit?usp=sharing"",""งบพรบ!DY47"")"),0)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IFERROR(__xludf.DUMMYFUNCTION("IMPORTRANGE(""https://docs.google.com/spreadsheets/d/1MeEWN-I1oV_STSDYn1IFDPWt_1FKiwhDph83XaGc0o0/edit?usp=sharing"",""งบพรบ!DZ47"")"),0)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IFERROR(__xludf.DUMMYFUNCTION("IMPORTRANGE(""https://docs.google.com/spreadsheets/d/1MeEWN-I1oV_STSDYn1IFDPWt_1FKiwhDph83XaGc0o0/edit?usp=sharing"",""งบพรบ!EA47"")"),0)</f>
        <v>0</v>
      </c>
      <c r="P47" s="80">
        <f t="shared" ca="1" si="23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IFERROR(__xludf.DUMMYFUNCTION("IMPORTRANGE(""https://docs.google.com/spreadsheets/d/1GVExpf-Exi_2gmuqTYH28fseTB9MoKPXWcXCbSt_YrM/edit?usp=sharing"",""หนองคาย!J308"")"),0)</f>
        <v>0</v>
      </c>
      <c r="S47" s="297">
        <f ca="1">IFERROR(__xludf.DUMMYFUNCTION("IMPORTRANGE(""https://docs.google.com/spreadsheets/d/1GVExpf-Exi_2gmuqTYH28fseTB9MoKPXWcXCbSt_YrM/edit?usp=sharing"",""หนองคาย!I309"")"),0)</f>
        <v>0</v>
      </c>
      <c r="T47" s="173">
        <f ca="1">IFERROR(__xludf.DUMMYFUNCTION("IMPORTRANGE(""https://docs.google.com/spreadsheets/d/1GVExpf-Exi_2gmuqTYH28fseTB9MoKPXWcXCbSt_YrM/edit?usp=sharing"",""หนองคาย!J309"")"),0)</f>
        <v>0</v>
      </c>
      <c r="U47" s="177">
        <f t="shared" ca="1" si="21"/>
        <v>0</v>
      </c>
      <c r="V47" s="173">
        <f ca="1">IFERROR(__xludf.DUMMYFUNCTION("IMPORTRANGE(""https://docs.google.com/spreadsheets/d/1GVExpf-Exi_2gmuqTYH28fseTB9MoKPXWcXCbSt_YrM/edit?usp=sharing"",""หนองคาย!J310"")"),0)</f>
        <v>0</v>
      </c>
      <c r="W47" s="177">
        <f t="shared" ca="1" si="11"/>
        <v>0</v>
      </c>
      <c r="X47" s="173">
        <f ca="1">IFERROR(__xludf.DUMMYFUNCTION("IMPORTRANGE(""https://docs.google.com/spreadsheets/d/1GVExpf-Exi_2gmuqTYH28fseTB9MoKPXWcXCbSt_YrM/edit?usp=sharing"",""หนองคาย!J311"")"),0)</f>
        <v>0</v>
      </c>
      <c r="Y47" s="177">
        <f t="shared" ca="1" si="12"/>
        <v>0</v>
      </c>
      <c r="Z47" s="297">
        <f ca="1">IFERROR(__xludf.DUMMYFUNCTION("IMPORTRANGE(""https://docs.google.com/spreadsheets/d/1GVExpf-Exi_2gmuqTYH28fseTB9MoKPXWcXCbSt_YrM/edit?usp=sharing"",""หนองคาย!I312"")"),0)</f>
        <v>0</v>
      </c>
      <c r="AA47" s="173">
        <f ca="1">IFERROR(__xludf.DUMMYFUNCTION("IMPORTRANGE(""https://docs.google.com/spreadsheets/d/1GVExpf-Exi_2gmuqTYH28fseTB9MoKPXWcXCbSt_YrM/edit?usp=sharing"",""หนองคาย!J312"")"),0)</f>
        <v>0</v>
      </c>
      <c r="AB47" s="177">
        <f t="shared" ca="1" si="14"/>
        <v>0</v>
      </c>
    </row>
    <row r="48" spans="1:28" ht="21" customHeight="1" x14ac:dyDescent="0.3">
      <c r="A48" s="73">
        <v>17</v>
      </c>
      <c r="B48" s="74" t="s">
        <v>70</v>
      </c>
      <c r="C48" s="75">
        <f t="shared" ca="1" si="0"/>
        <v>0</v>
      </c>
      <c r="D48" s="76">
        <f t="shared" ca="1" si="30"/>
        <v>0</v>
      </c>
      <c r="E48" s="77">
        <f ca="1">IFERROR(__xludf.DUMMYFUNCTION("IMPORTRANGE(""https://docs.google.com/spreadsheets/d/1MeEWN-I1oV_STSDYn1IFDPWt_1FKiwhDph83XaGc0o0/edit?usp=sharing"",""งบพรบ!DT48"")"),0)</f>
        <v>0</v>
      </c>
      <c r="F48" s="77">
        <f ca="1">IFERROR(__xludf.DUMMYFUNCTION("IMPORTRANGE(""https://docs.google.com/spreadsheets/d/1MeEWN-I1oV_STSDYn1IFDPWt_1FKiwhDph83XaGc0o0/edit?usp=sharing"",""งบพรบ!DU48"")"),0)</f>
        <v>0</v>
      </c>
      <c r="G48" s="77">
        <f ca="1">IFERROR(__xludf.DUMMYFUNCTION("IMPORTRANGE(""https://docs.google.com/spreadsheets/d/1MeEWN-I1oV_STSDYn1IFDPWt_1FKiwhDph83XaGc0o0/edit?usp=sharing"",""งบพรบ!DV48"")"),0)</f>
        <v>0</v>
      </c>
      <c r="H48" s="77">
        <f ca="1">IFERROR(__xludf.DUMMYFUNCTION("IMPORTRANGE(""https://docs.google.com/spreadsheets/d/1MeEWN-I1oV_STSDYn1IFDPWt_1FKiwhDph83XaGc0o0/edit?usp=sharing"",""งบพรบ!DX48"")"),0)</f>
        <v>0</v>
      </c>
      <c r="I48" s="77">
        <f ca="1">IFERROR(__xludf.DUMMYFUNCTION("IMPORTRANGE(""https://docs.google.com/spreadsheets/d/1MeEWN-I1oV_STSDYn1IFDPWt_1FKiwhDph83XaGc0o0/edit?usp=sharing"",""งบพรบ!DY48"")"),0)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IFERROR(__xludf.DUMMYFUNCTION("IMPORTRANGE(""https://docs.google.com/spreadsheets/d/1MeEWN-I1oV_STSDYn1IFDPWt_1FKiwhDph83XaGc0o0/edit?usp=sharing"",""งบพรบ!DZ48"")"),0)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IFERROR(__xludf.DUMMYFUNCTION("IMPORTRANGE(""https://docs.google.com/spreadsheets/d/1MeEWN-I1oV_STSDYn1IFDPWt_1FKiwhDph83XaGc0o0/edit?usp=sharing"",""งบพรบ!EA48"")"),0)</f>
        <v>0</v>
      </c>
      <c r="P48" s="80">
        <f t="shared" ca="1" si="23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IFERROR(__xludf.DUMMYFUNCTION("IMPORTRANGE(""https://docs.google.com/spreadsheets/d/16UeMz0UgOB5BZcoxP75eYGcLFtGYRn9GoesD4OX9m5U/edit?usp=sharing"",""หนองบัวลำภู!J308"")"),0)</f>
        <v>0</v>
      </c>
      <c r="S48" s="297">
        <f ca="1">IFERROR(__xludf.DUMMYFUNCTION("IMPORTRANGE(""https://docs.google.com/spreadsheets/d/16UeMz0UgOB5BZcoxP75eYGcLFtGYRn9GoesD4OX9m5U/edit?usp=sharing"",""หนองบัวลำภู!I309"")"),0)</f>
        <v>0</v>
      </c>
      <c r="T48" s="173">
        <f ca="1">IFERROR(__xludf.DUMMYFUNCTION("IMPORTRANGE(""https://docs.google.com/spreadsheets/d/16UeMz0UgOB5BZcoxP75eYGcLFtGYRn9GoesD4OX9m5U/edit?usp=sharing"",""หนองบัวลำภู!J309"")"),0)</f>
        <v>0</v>
      </c>
      <c r="U48" s="177">
        <f t="shared" ca="1" si="21"/>
        <v>0</v>
      </c>
      <c r="V48" s="173">
        <f ca="1">IFERROR(__xludf.DUMMYFUNCTION("IMPORTRANGE(""https://docs.google.com/spreadsheets/d/16UeMz0UgOB5BZcoxP75eYGcLFtGYRn9GoesD4OX9m5U/edit?usp=sharing"",""หนองบัวลำภู!J310"")"),0)</f>
        <v>0</v>
      </c>
      <c r="W48" s="177">
        <f t="shared" ca="1" si="11"/>
        <v>0</v>
      </c>
      <c r="X48" s="173">
        <f ca="1">IFERROR(__xludf.DUMMYFUNCTION("IMPORTRANGE(""https://docs.google.com/spreadsheets/d/16UeMz0UgOB5BZcoxP75eYGcLFtGYRn9GoesD4OX9m5U/edit?usp=sharing"",""หนองบัวลำภู!J311"")"),0)</f>
        <v>0</v>
      </c>
      <c r="Y48" s="177">
        <f t="shared" ca="1" si="12"/>
        <v>0</v>
      </c>
      <c r="Z48" s="297">
        <f ca="1">IFERROR(__xludf.DUMMYFUNCTION("IMPORTRANGE(""https://docs.google.com/spreadsheets/d/16UeMz0UgOB5BZcoxP75eYGcLFtGYRn9GoesD4OX9m5U/edit?usp=sharing"",""หนองบัวลำภู!I312"")"),0)</f>
        <v>0</v>
      </c>
      <c r="AA48" s="173">
        <f ca="1">IFERROR(__xludf.DUMMYFUNCTION("IMPORTRANGE(""https://docs.google.com/spreadsheets/d/16UeMz0UgOB5BZcoxP75eYGcLFtGYRn9GoesD4OX9m5U/edit?usp=sharing"",""หนองบัวลำภู!J312"")"),0)</f>
        <v>0</v>
      </c>
      <c r="AB48" s="177">
        <f t="shared" ca="1" si="14"/>
        <v>0</v>
      </c>
    </row>
    <row r="49" spans="1:28" ht="21" customHeight="1" x14ac:dyDescent="0.3">
      <c r="A49" s="73">
        <v>18</v>
      </c>
      <c r="B49" s="74" t="s">
        <v>71</v>
      </c>
      <c r="C49" s="75">
        <f t="shared" ca="1" si="0"/>
        <v>0</v>
      </c>
      <c r="D49" s="76">
        <f t="shared" ca="1" si="30"/>
        <v>0</v>
      </c>
      <c r="E49" s="77">
        <f ca="1">IFERROR(__xludf.DUMMYFUNCTION("IMPORTRANGE(""https://docs.google.com/spreadsheets/d/1MeEWN-I1oV_STSDYn1IFDPWt_1FKiwhDph83XaGc0o0/edit?usp=sharing"",""งบพรบ!DT49"")"),0)</f>
        <v>0</v>
      </c>
      <c r="F49" s="77">
        <f ca="1">IFERROR(__xludf.DUMMYFUNCTION("IMPORTRANGE(""https://docs.google.com/spreadsheets/d/1MeEWN-I1oV_STSDYn1IFDPWt_1FKiwhDph83XaGc0o0/edit?usp=sharing"",""งบพรบ!DU49"")"),0)</f>
        <v>0</v>
      </c>
      <c r="G49" s="77">
        <f ca="1">IFERROR(__xludf.DUMMYFUNCTION("IMPORTRANGE(""https://docs.google.com/spreadsheets/d/1MeEWN-I1oV_STSDYn1IFDPWt_1FKiwhDph83XaGc0o0/edit?usp=sharing"",""งบพรบ!DV49"")"),0)</f>
        <v>0</v>
      </c>
      <c r="H49" s="77">
        <f ca="1">IFERROR(__xludf.DUMMYFUNCTION("IMPORTRANGE(""https://docs.google.com/spreadsheets/d/1MeEWN-I1oV_STSDYn1IFDPWt_1FKiwhDph83XaGc0o0/edit?usp=sharing"",""งบพรบ!DX49"")"),0)</f>
        <v>0</v>
      </c>
      <c r="I49" s="77">
        <f ca="1">IFERROR(__xludf.DUMMYFUNCTION("IMPORTRANGE(""https://docs.google.com/spreadsheets/d/1MeEWN-I1oV_STSDYn1IFDPWt_1FKiwhDph83XaGc0o0/edit?usp=sharing"",""งบพรบ!DY49"")"),0)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IFERROR(__xludf.DUMMYFUNCTION("IMPORTRANGE(""https://docs.google.com/spreadsheets/d/1MeEWN-I1oV_STSDYn1IFDPWt_1FKiwhDph83XaGc0o0/edit?usp=sharing"",""งบพรบ!DZ49"")"),0)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IFERROR(__xludf.DUMMYFUNCTION("IMPORTRANGE(""https://docs.google.com/spreadsheets/d/1MeEWN-I1oV_STSDYn1IFDPWt_1FKiwhDph83XaGc0o0/edit?usp=sharing"",""งบพรบ!EA49"")"),0)</f>
        <v>0</v>
      </c>
      <c r="P49" s="80">
        <f t="shared" ca="1" si="23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IFERROR(__xludf.DUMMYFUNCTION("IMPORTRANGE(""https://docs.google.com/spreadsheets/d/1uUP8Zo1-qaJLuIkRU0qlwLSE3DHkbdrrj2JGJiWBQZE/edit?usp=sharing"",""อำนาจเจริญ!J308"")"),0)</f>
        <v>0</v>
      </c>
      <c r="S49" s="297">
        <f ca="1">IFERROR(__xludf.DUMMYFUNCTION("IMPORTRANGE(""https://docs.google.com/spreadsheets/d/1uUP8Zo1-qaJLuIkRU0qlwLSE3DHkbdrrj2JGJiWBQZE/edit?usp=sharing"",""อำนาจเจริญ!I309"")"),0)</f>
        <v>0</v>
      </c>
      <c r="T49" s="173">
        <f ca="1">IFERROR(__xludf.DUMMYFUNCTION("IMPORTRANGE(""https://docs.google.com/spreadsheets/d/1uUP8Zo1-qaJLuIkRU0qlwLSE3DHkbdrrj2JGJiWBQZE/edit?usp=sharing"",""อำนาจเจริญ!J309"")"),0)</f>
        <v>0</v>
      </c>
      <c r="U49" s="177">
        <f t="shared" ca="1" si="21"/>
        <v>0</v>
      </c>
      <c r="V49" s="173">
        <f ca="1">IFERROR(__xludf.DUMMYFUNCTION("IMPORTRANGE(""https://docs.google.com/spreadsheets/d/1uUP8Zo1-qaJLuIkRU0qlwLSE3DHkbdrrj2JGJiWBQZE/edit?usp=sharing"",""อำนาจเจริญ!J310"")"),0)</f>
        <v>0</v>
      </c>
      <c r="W49" s="177">
        <f t="shared" ca="1" si="11"/>
        <v>0</v>
      </c>
      <c r="X49" s="173">
        <f ca="1">IFERROR(__xludf.DUMMYFUNCTION("IMPORTRANGE(""https://docs.google.com/spreadsheets/d/1uUP8Zo1-qaJLuIkRU0qlwLSE3DHkbdrrj2JGJiWBQZE/edit?usp=sharing"",""อำนาจเจริญ!J311"")"),0)</f>
        <v>0</v>
      </c>
      <c r="Y49" s="177">
        <f t="shared" ca="1" si="12"/>
        <v>0</v>
      </c>
      <c r="Z49" s="297">
        <f ca="1">IFERROR(__xludf.DUMMYFUNCTION("IMPORTRANGE(""https://docs.google.com/spreadsheets/d/1uUP8Zo1-qaJLuIkRU0qlwLSE3DHkbdrrj2JGJiWBQZE/edit?usp=sharing"",""อำนาจเจริญ!I312"")"),0)</f>
        <v>0</v>
      </c>
      <c r="AA49" s="173">
        <f ca="1">IFERROR(__xludf.DUMMYFUNCTION("IMPORTRANGE(""https://docs.google.com/spreadsheets/d/1uUP8Zo1-qaJLuIkRU0qlwLSE3DHkbdrrj2JGJiWBQZE/edit?usp=sharing"",""อำนาจเจริญ!J312"")"),0)</f>
        <v>0</v>
      </c>
      <c r="AB49" s="177">
        <f t="shared" ca="1" si="14"/>
        <v>0</v>
      </c>
    </row>
    <row r="50" spans="1:28" ht="21" customHeight="1" x14ac:dyDescent="0.3">
      <c r="A50" s="73">
        <v>19</v>
      </c>
      <c r="B50" s="74" t="s">
        <v>72</v>
      </c>
      <c r="C50" s="75">
        <f t="shared" ca="1" si="0"/>
        <v>82400</v>
      </c>
      <c r="D50" s="76">
        <f t="shared" ca="1" si="30"/>
        <v>82400</v>
      </c>
      <c r="E50" s="77">
        <f ca="1">IFERROR(__xludf.DUMMYFUNCTION("IMPORTRANGE(""https://docs.google.com/spreadsheets/d/1MeEWN-I1oV_STSDYn1IFDPWt_1FKiwhDph83XaGc0o0/edit?usp=sharing"",""งบพรบ!DT50"")"),0)</f>
        <v>0</v>
      </c>
      <c r="F50" s="77">
        <f ca="1">IFERROR(__xludf.DUMMYFUNCTION("IMPORTRANGE(""https://docs.google.com/spreadsheets/d/1MeEWN-I1oV_STSDYn1IFDPWt_1FKiwhDph83XaGc0o0/edit?usp=sharing"",""งบพรบ!DU50"")"),82400)</f>
        <v>82400</v>
      </c>
      <c r="G50" s="77">
        <f ca="1">IFERROR(__xludf.DUMMYFUNCTION("IMPORTRANGE(""https://docs.google.com/spreadsheets/d/1MeEWN-I1oV_STSDYn1IFDPWt_1FKiwhDph83XaGc0o0/edit?usp=sharing"",""งบพรบ!DV50"")"),0)</f>
        <v>0</v>
      </c>
      <c r="H50" s="77">
        <f ca="1">IFERROR(__xludf.DUMMYFUNCTION("IMPORTRANGE(""https://docs.google.com/spreadsheets/d/1MeEWN-I1oV_STSDYn1IFDPWt_1FKiwhDph83XaGc0o0/edit?usp=sharing"",""งบพรบ!DX50"")"),82400)</f>
        <v>82400</v>
      </c>
      <c r="I50" s="77">
        <f ca="1">IFERROR(__xludf.DUMMYFUNCTION("IMPORTRANGE(""https://docs.google.com/spreadsheets/d/1MeEWN-I1oV_STSDYn1IFDPWt_1FKiwhDph83XaGc0o0/edit?usp=sharing"",""งบพรบ!DY50"")"),0)</f>
        <v>0</v>
      </c>
      <c r="J50" s="77">
        <f t="shared" ca="1" si="3"/>
        <v>82400</v>
      </c>
      <c r="K50" s="78">
        <f t="shared" ca="1" si="4"/>
        <v>100</v>
      </c>
      <c r="L50" s="77">
        <f ca="1">IFERROR(__xludf.DUMMYFUNCTION("IMPORTRANGE(""https://docs.google.com/spreadsheets/d/1MeEWN-I1oV_STSDYn1IFDPWt_1FKiwhDph83XaGc0o0/edit?usp=sharing"",""งบพรบ!DZ50"")"),82400)</f>
        <v>82400</v>
      </c>
      <c r="M50" s="79">
        <f t="shared" ca="1" si="5"/>
        <v>100</v>
      </c>
      <c r="N50" s="79">
        <f t="shared" ca="1" si="6"/>
        <v>100</v>
      </c>
      <c r="O50" s="80">
        <f ca="1">IFERROR(__xludf.DUMMYFUNCTION("IMPORTRANGE(""https://docs.google.com/spreadsheets/d/1MeEWN-I1oV_STSDYn1IFDPWt_1FKiwhDph83XaGc0o0/edit?usp=sharing"",""งบพรบ!EA50"")"),0)</f>
        <v>0</v>
      </c>
      <c r="P50" s="80">
        <f t="shared" ca="1" si="23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IFERROR(__xludf.DUMMYFUNCTION("IMPORTRANGE(""https://docs.google.com/spreadsheets/d/1hb_taSOHanzRjqfzWPiFo8yiT83VV1L7vvUCLhOiHKc/edit?usp=sharing"",""อุดรธานี!J308"")"),1)</f>
        <v>1</v>
      </c>
      <c r="S50" s="297">
        <f ca="1">IFERROR(__xludf.DUMMYFUNCTION("IMPORTRANGE(""https://docs.google.com/spreadsheets/d/1hb_taSOHanzRjqfzWPiFo8yiT83VV1L7vvUCLhOiHKc/edit?usp=sharing"",""อุดรธานี!I309"")"),20)</f>
        <v>20</v>
      </c>
      <c r="T50" s="173">
        <f ca="1">IFERROR(__xludf.DUMMYFUNCTION("IMPORTRANGE(""https://docs.google.com/spreadsheets/d/1hb_taSOHanzRjqfzWPiFo8yiT83VV1L7vvUCLhOiHKc/edit?usp=sharing"",""อุดรธานี!J309"")"),20)</f>
        <v>20</v>
      </c>
      <c r="U50" s="177">
        <f t="shared" ca="1" si="21"/>
        <v>100</v>
      </c>
      <c r="V50" s="173">
        <f ca="1">IFERROR(__xludf.DUMMYFUNCTION("IMPORTRANGE(""https://docs.google.com/spreadsheets/d/1hb_taSOHanzRjqfzWPiFo8yiT83VV1L7vvUCLhOiHKc/edit?usp=sharing"",""อุดรธานี!J310"")"),20)</f>
        <v>20</v>
      </c>
      <c r="W50" s="177">
        <f t="shared" ca="1" si="11"/>
        <v>100</v>
      </c>
      <c r="X50" s="173">
        <f ca="1">IFERROR(__xludf.DUMMYFUNCTION("IMPORTRANGE(""https://docs.google.com/spreadsheets/d/1hb_taSOHanzRjqfzWPiFo8yiT83VV1L7vvUCLhOiHKc/edit?usp=sharing"",""อุดรธานี!J311"")"),20)</f>
        <v>20</v>
      </c>
      <c r="Y50" s="177">
        <f t="shared" ca="1" si="12"/>
        <v>100</v>
      </c>
      <c r="Z50" s="297">
        <f ca="1">IFERROR(__xludf.DUMMYFUNCTION("IMPORTRANGE(""https://docs.google.com/spreadsheets/d/1hb_taSOHanzRjqfzWPiFo8yiT83VV1L7vvUCLhOiHKc/edit?usp=sharing"",""อุดรธานี!I312"")"),4)</f>
        <v>4</v>
      </c>
      <c r="AA50" s="173">
        <f ca="1">IFERROR(__xludf.DUMMYFUNCTION("IMPORTRANGE(""https://docs.google.com/spreadsheets/d/1hb_taSOHanzRjqfzWPiFo8yiT83VV1L7vvUCLhOiHKc/edit?usp=sharing"",""อุดรธานี!J312"")"),4)</f>
        <v>4</v>
      </c>
      <c r="AB50" s="177">
        <f t="shared" ca="1" si="14"/>
        <v>20</v>
      </c>
    </row>
    <row r="51" spans="1:28" ht="21" customHeight="1" x14ac:dyDescent="0.3">
      <c r="A51" s="84">
        <v>20</v>
      </c>
      <c r="B51" s="85" t="s">
        <v>73</v>
      </c>
      <c r="C51" s="86">
        <f t="shared" ca="1" si="0"/>
        <v>368400</v>
      </c>
      <c r="D51" s="87">
        <f t="shared" ca="1" si="30"/>
        <v>368400</v>
      </c>
      <c r="E51" s="88">
        <f ca="1">IFERROR(__xludf.DUMMYFUNCTION("IMPORTRANGE(""https://docs.google.com/spreadsheets/d/1MeEWN-I1oV_STSDYn1IFDPWt_1FKiwhDph83XaGc0o0/edit?usp=sharing"",""งบพรบ!DT51"")"),286000)</f>
        <v>286000</v>
      </c>
      <c r="F51" s="88">
        <f ca="1">IFERROR(__xludf.DUMMYFUNCTION("IMPORTRANGE(""https://docs.google.com/spreadsheets/d/1MeEWN-I1oV_STSDYn1IFDPWt_1FKiwhDph83XaGc0o0/edit?usp=sharing"",""งบพรบ!DU51"")"),82400)</f>
        <v>82400</v>
      </c>
      <c r="G51" s="88">
        <f ca="1">IFERROR(__xludf.DUMMYFUNCTION("IMPORTRANGE(""https://docs.google.com/spreadsheets/d/1MeEWN-I1oV_STSDYn1IFDPWt_1FKiwhDph83XaGc0o0/edit?usp=sharing"",""งบพรบ!DV51"")"),0)</f>
        <v>0</v>
      </c>
      <c r="H51" s="88">
        <f ca="1">IFERROR(__xludf.DUMMYFUNCTION("IMPORTRANGE(""https://docs.google.com/spreadsheets/d/1MeEWN-I1oV_STSDYn1IFDPWt_1FKiwhDph83XaGc0o0/edit?usp=sharing"",""งบพรบ!DX51"")"),368400)</f>
        <v>368400</v>
      </c>
      <c r="I51" s="88">
        <f ca="1">IFERROR(__xludf.DUMMYFUNCTION("IMPORTRANGE(""https://docs.google.com/spreadsheets/d/1MeEWN-I1oV_STSDYn1IFDPWt_1FKiwhDph83XaGc0o0/edit?usp=sharing"",""งบพรบ!DY51"")"),0)</f>
        <v>0</v>
      </c>
      <c r="J51" s="88">
        <f t="shared" ca="1" si="3"/>
        <v>337350.2</v>
      </c>
      <c r="K51" s="89">
        <f t="shared" ca="1" si="4"/>
        <v>91.571715526601523</v>
      </c>
      <c r="L51" s="88">
        <f ca="1">IFERROR(__xludf.DUMMYFUNCTION("IMPORTRANGE(""https://docs.google.com/spreadsheets/d/1MeEWN-I1oV_STSDYn1IFDPWt_1FKiwhDph83XaGc0o0/edit?usp=sharing"",""งบพรบ!DZ51"")"),337350.2)</f>
        <v>337350.2</v>
      </c>
      <c r="M51" s="90">
        <f t="shared" ca="1" si="5"/>
        <v>91.571715526601523</v>
      </c>
      <c r="N51" s="90">
        <f t="shared" ca="1" si="6"/>
        <v>91.571715526601523</v>
      </c>
      <c r="O51" s="91">
        <f ca="1">IFERROR(__xludf.DUMMYFUNCTION("IMPORTRANGE(""https://docs.google.com/spreadsheets/d/1MeEWN-I1oV_STSDYn1IFDPWt_1FKiwhDph83XaGc0o0/edit?usp=sharing"",""งบพรบ!EA51"")"),0)</f>
        <v>0</v>
      </c>
      <c r="P51" s="91">
        <f t="shared" ca="1" si="23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IFERROR(__xludf.DUMMYFUNCTION("IMPORTRANGE(""https://docs.google.com/spreadsheets/d/17IOkEwkUd63EGNfyNDnM5de9YlZ7rwzTiW6-dokVjKI/edit?usp=sharing"",""อุบลราชธานี!J308"")"),1)</f>
        <v>1</v>
      </c>
      <c r="S51" s="298">
        <f ca="1">IFERROR(__xludf.DUMMYFUNCTION("IMPORTRANGE(""https://docs.google.com/spreadsheets/d/17IOkEwkUd63EGNfyNDnM5de9YlZ7rwzTiW6-dokVjKI/edit?usp=sharing"",""อุบลราชธานี!I309"")"),20)</f>
        <v>20</v>
      </c>
      <c r="T51" s="188">
        <f ca="1">IFERROR(__xludf.DUMMYFUNCTION("IMPORTRANGE(""https://docs.google.com/spreadsheets/d/17IOkEwkUd63EGNfyNDnM5de9YlZ7rwzTiW6-dokVjKI/edit?usp=sharing"",""อุบลราชธานี!J309"")"),20)</f>
        <v>20</v>
      </c>
      <c r="U51" s="189">
        <f t="shared" ca="1" si="21"/>
        <v>100</v>
      </c>
      <c r="V51" s="188">
        <f ca="1">IFERROR(__xludf.DUMMYFUNCTION("IMPORTRANGE(""https://docs.google.com/spreadsheets/d/17IOkEwkUd63EGNfyNDnM5de9YlZ7rwzTiW6-dokVjKI/edit?usp=sharing"",""อุบลราชธานี!J310"")"),20)</f>
        <v>20</v>
      </c>
      <c r="W51" s="189">
        <f t="shared" ca="1" si="11"/>
        <v>100</v>
      </c>
      <c r="X51" s="188">
        <f ca="1">IFERROR(__xludf.DUMMYFUNCTION("IMPORTRANGE(""https://docs.google.com/spreadsheets/d/17IOkEwkUd63EGNfyNDnM5de9YlZ7rwzTiW6-dokVjKI/edit?usp=sharing"",""อุบลราชธานี!J311"")"),20)</f>
        <v>20</v>
      </c>
      <c r="Y51" s="189">
        <f t="shared" ca="1" si="12"/>
        <v>100</v>
      </c>
      <c r="Z51" s="298">
        <f ca="1">IFERROR(__xludf.DUMMYFUNCTION("IMPORTRANGE(""https://docs.google.com/spreadsheets/d/17IOkEwkUd63EGNfyNDnM5de9YlZ7rwzTiW6-dokVjKI/edit?usp=sharing"",""อุบลราชธานี!I312"")"),4)</f>
        <v>4</v>
      </c>
      <c r="AA51" s="188">
        <f ca="1">IFERROR(__xludf.DUMMYFUNCTION("IMPORTRANGE(""https://docs.google.com/spreadsheets/d/17IOkEwkUd63EGNfyNDnM5de9YlZ7rwzTiW6-dokVjKI/edit?usp=sharing"",""อุบลราชธานี!J312"")"),4)</f>
        <v>4</v>
      </c>
      <c r="AB51" s="189">
        <f t="shared" ca="1" si="14"/>
        <v>20</v>
      </c>
    </row>
    <row r="52" spans="1:28" ht="21" customHeight="1" x14ac:dyDescent="0.3">
      <c r="A52" s="385" t="s">
        <v>74</v>
      </c>
      <c r="B52" s="384"/>
      <c r="C52" s="94">
        <f t="shared" ca="1" si="0"/>
        <v>2220000</v>
      </c>
      <c r="D52" s="57">
        <f t="shared" ref="D52:I52" ca="1" si="31">SUM(D53:D73)</f>
        <v>2220000</v>
      </c>
      <c r="E52" s="57">
        <f t="shared" ca="1" si="31"/>
        <v>1287000</v>
      </c>
      <c r="F52" s="57">
        <f t="shared" ca="1" si="31"/>
        <v>933000</v>
      </c>
      <c r="G52" s="57">
        <f t="shared" ca="1" si="31"/>
        <v>0</v>
      </c>
      <c r="H52" s="57">
        <f t="shared" ca="1" si="31"/>
        <v>2284790</v>
      </c>
      <c r="I52" s="57">
        <f t="shared" ca="1" si="31"/>
        <v>0</v>
      </c>
      <c r="J52" s="57">
        <f t="shared" ca="1" si="3"/>
        <v>2126932.5499999998</v>
      </c>
      <c r="K52" s="95">
        <f t="shared" ca="1" si="4"/>
        <v>95.807772522522512</v>
      </c>
      <c r="L52" s="57">
        <f ca="1">SUM(L53:L73)</f>
        <v>2126932.5499999998</v>
      </c>
      <c r="M52" s="96">
        <f t="shared" ca="1" si="5"/>
        <v>95.807772522522512</v>
      </c>
      <c r="N52" s="96">
        <f t="shared" ca="1" si="6"/>
        <v>93.090942712459338</v>
      </c>
      <c r="O52" s="97">
        <f ca="1">SUM(O53:O73)</f>
        <v>0</v>
      </c>
      <c r="P52" s="97">
        <f t="shared" ca="1" si="23"/>
        <v>0</v>
      </c>
      <c r="Q52" s="96">
        <f t="shared" ca="1" si="8"/>
        <v>0</v>
      </c>
      <c r="R52" s="57">
        <f t="shared" ref="R52:T52" ca="1" si="32">SUM(R53:R73)</f>
        <v>11</v>
      </c>
      <c r="S52" s="294">
        <f t="shared" ca="1" si="32"/>
        <v>225</v>
      </c>
      <c r="T52" s="150">
        <f t="shared" ca="1" si="32"/>
        <v>225</v>
      </c>
      <c r="U52" s="152">
        <f t="shared" ca="1" si="21"/>
        <v>100</v>
      </c>
      <c r="V52" s="150">
        <f ca="1">SUM(V53:V73)</f>
        <v>225</v>
      </c>
      <c r="W52" s="152">
        <f t="shared" ca="1" si="11"/>
        <v>100</v>
      </c>
      <c r="X52" s="150">
        <f ca="1">SUM(X53:X73)</f>
        <v>225</v>
      </c>
      <c r="Y52" s="152">
        <f t="shared" ca="1" si="12"/>
        <v>100</v>
      </c>
      <c r="Z52" s="294">
        <f t="shared" ref="Z52:AA52" ca="1" si="33">SUM(Z53:Z73)</f>
        <v>45</v>
      </c>
      <c r="AA52" s="150">
        <f t="shared" ca="1" si="33"/>
        <v>42</v>
      </c>
      <c r="AB52" s="152">
        <f t="shared" ca="1" si="14"/>
        <v>18.666666666666668</v>
      </c>
    </row>
    <row r="53" spans="1:28" ht="21" customHeight="1" x14ac:dyDescent="0.3">
      <c r="A53" s="63">
        <v>1</v>
      </c>
      <c r="B53" s="64" t="s">
        <v>75</v>
      </c>
      <c r="C53" s="98">
        <f t="shared" ca="1" si="0"/>
        <v>368400</v>
      </c>
      <c r="D53" s="66">
        <f t="shared" ref="D53:D73" ca="1" si="34">+E53+F53</f>
        <v>368400</v>
      </c>
      <c r="E53" s="67">
        <f ca="1">IFERROR(__xludf.DUMMYFUNCTION("IMPORTRANGE(""https://docs.google.com/spreadsheets/d/1MeEWN-I1oV_STSDYn1IFDPWt_1FKiwhDph83XaGc0o0/edit?usp=sharing"",""งบพรบ!DT53"")"),286000)</f>
        <v>286000</v>
      </c>
      <c r="F53" s="67">
        <f ca="1">IFERROR(__xludf.DUMMYFUNCTION("IMPORTRANGE(""https://docs.google.com/spreadsheets/d/1MeEWN-I1oV_STSDYn1IFDPWt_1FKiwhDph83XaGc0o0/edit?usp=sharing"",""งบพรบ!DU53"")"),82400)</f>
        <v>82400</v>
      </c>
      <c r="G53" s="68">
        <f ca="1">IFERROR(__xludf.DUMMYFUNCTION("IMPORTRANGE(""https://docs.google.com/spreadsheets/d/1MeEWN-I1oV_STSDYn1IFDPWt_1FKiwhDph83XaGc0o0/edit?usp=sharing"",""งบพรบ!DV53"")"),0)</f>
        <v>0</v>
      </c>
      <c r="H53" s="68">
        <f ca="1">IFERROR(__xludf.DUMMYFUNCTION("IMPORTRANGE(""https://docs.google.com/spreadsheets/d/1MeEWN-I1oV_STSDYn1IFDPWt_1FKiwhDph83XaGc0o0/edit?usp=sharing"",""งบพรบ!DX53"")"),388900)</f>
        <v>388900</v>
      </c>
      <c r="I53" s="68">
        <f ca="1">IFERROR(__xludf.DUMMYFUNCTION("IMPORTRANGE(""https://docs.google.com/spreadsheets/d/1MeEWN-I1oV_STSDYn1IFDPWt_1FKiwhDph83XaGc0o0/edit?usp=sharing"",""งบพรบ!DY53"")"),0)</f>
        <v>0</v>
      </c>
      <c r="J53" s="68">
        <f t="shared" ca="1" si="3"/>
        <v>343728</v>
      </c>
      <c r="K53" s="69">
        <f t="shared" ca="1" si="4"/>
        <v>93.302931596091199</v>
      </c>
      <c r="L53" s="68">
        <f ca="1">IFERROR(__xludf.DUMMYFUNCTION("IMPORTRANGE(""https://docs.google.com/spreadsheets/d/1MeEWN-I1oV_STSDYn1IFDPWt_1FKiwhDph83XaGc0o0/edit?usp=sharing"",""งบพรบ!DZ53"")"),343728)</f>
        <v>343728</v>
      </c>
      <c r="M53" s="70">
        <f t="shared" ca="1" si="5"/>
        <v>93.302931596091199</v>
      </c>
      <c r="N53" s="70">
        <f t="shared" ca="1" si="6"/>
        <v>88.384674723579323</v>
      </c>
      <c r="O53" s="71">
        <f ca="1">IFERROR(__xludf.DUMMYFUNCTION("IMPORTRANGE(""https://docs.google.com/spreadsheets/d/1MeEWN-I1oV_STSDYn1IFDPWt_1FKiwhDph83XaGc0o0/edit?usp=sharing"",""งบพรบ!EA53"")"),0)</f>
        <v>0</v>
      </c>
      <c r="P53" s="71">
        <f t="shared" ca="1" si="23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IFERROR(__xludf.DUMMYFUNCTION("IMPORTRANGE(""https://docs.google.com/spreadsheets/d/1hKO5uv94SSRZWOvrh72HRcpyoEQF9TsE_Cvxl77XNU4/edit?usp=sharing"",""กาญจนบุรี!J308"")"),1)</f>
        <v>1</v>
      </c>
      <c r="S53" s="297">
        <f ca="1">IFERROR(__xludf.DUMMYFUNCTION("IMPORTRANGE(""https://docs.google.com/spreadsheets/d/1hKO5uv94SSRZWOvrh72HRcpyoEQF9TsE_Cvxl77XNU4/edit?usp=sharing"",""กาญจนบุรี!I309"")"),20)</f>
        <v>20</v>
      </c>
      <c r="T53" s="173">
        <f ca="1">IFERROR(__xludf.DUMMYFUNCTION("IMPORTRANGE(""https://docs.google.com/spreadsheets/d/1hKO5uv94SSRZWOvrh72HRcpyoEQF9TsE_Cvxl77XNU4/edit?usp=sharing"",""กาญจนบุรี!J309"")"),20)</f>
        <v>20</v>
      </c>
      <c r="U53" s="177">
        <f t="shared" ca="1" si="21"/>
        <v>100</v>
      </c>
      <c r="V53" s="173">
        <f ca="1">IFERROR(__xludf.DUMMYFUNCTION("IMPORTRANGE(""https://docs.google.com/spreadsheets/d/1hKO5uv94SSRZWOvrh72HRcpyoEQF9TsE_Cvxl77XNU4/edit?usp=sharing"",""กาญจนบุรี!J310"")"),20)</f>
        <v>20</v>
      </c>
      <c r="W53" s="177">
        <f t="shared" ca="1" si="11"/>
        <v>100</v>
      </c>
      <c r="X53" s="173">
        <f ca="1">IFERROR(__xludf.DUMMYFUNCTION("IMPORTRANGE(""https://docs.google.com/spreadsheets/d/1hKO5uv94SSRZWOvrh72HRcpyoEQF9TsE_Cvxl77XNU4/edit?usp=sharing"",""กาญจนบุรี!J311"")"),20)</f>
        <v>20</v>
      </c>
      <c r="Y53" s="177">
        <f t="shared" ca="1" si="12"/>
        <v>100</v>
      </c>
      <c r="Z53" s="297">
        <f ca="1">IFERROR(__xludf.DUMMYFUNCTION("IMPORTRANGE(""https://docs.google.com/spreadsheets/d/1hKO5uv94SSRZWOvrh72HRcpyoEQF9TsE_Cvxl77XNU4/edit?usp=sharing"",""กาญจนบุรี!I312"")"),4)</f>
        <v>4</v>
      </c>
      <c r="AA53" s="173">
        <f ca="1">IFERROR(__xludf.DUMMYFUNCTION("IMPORTRANGE(""https://docs.google.com/spreadsheets/d/1hKO5uv94SSRZWOvrh72HRcpyoEQF9TsE_Cvxl77XNU4/edit?usp=sharing"",""กาญจนบุรี!J312"")"),4)</f>
        <v>4</v>
      </c>
      <c r="AB53" s="177">
        <f t="shared" ca="1" si="14"/>
        <v>20</v>
      </c>
    </row>
    <row r="54" spans="1:28" ht="21" customHeight="1" x14ac:dyDescent="0.3">
      <c r="A54" s="73">
        <v>2</v>
      </c>
      <c r="B54" s="74" t="s">
        <v>76</v>
      </c>
      <c r="C54" s="75">
        <f t="shared" ca="1" si="0"/>
        <v>0</v>
      </c>
      <c r="D54" s="76">
        <f t="shared" ca="1" si="34"/>
        <v>0</v>
      </c>
      <c r="E54" s="77">
        <f ca="1">IFERROR(__xludf.DUMMYFUNCTION("IMPORTRANGE(""https://docs.google.com/spreadsheets/d/1MeEWN-I1oV_STSDYn1IFDPWt_1FKiwhDph83XaGc0o0/edit?usp=sharing"",""งบพรบ!DT54"")"),0)</f>
        <v>0</v>
      </c>
      <c r="F54" s="77">
        <f ca="1">IFERROR(__xludf.DUMMYFUNCTION("IMPORTRANGE(""https://docs.google.com/spreadsheets/d/1MeEWN-I1oV_STSDYn1IFDPWt_1FKiwhDph83XaGc0o0/edit?usp=sharing"",""งบพรบ!DU54"")"),0)</f>
        <v>0</v>
      </c>
      <c r="G54" s="77">
        <f ca="1">IFERROR(__xludf.DUMMYFUNCTION("IMPORTRANGE(""https://docs.google.com/spreadsheets/d/1MeEWN-I1oV_STSDYn1IFDPWt_1FKiwhDph83XaGc0o0/edit?usp=sharing"",""งบพรบ!DV54"")"),0)</f>
        <v>0</v>
      </c>
      <c r="H54" s="77">
        <f ca="1">IFERROR(__xludf.DUMMYFUNCTION("IMPORTRANGE(""https://docs.google.com/spreadsheets/d/1MeEWN-I1oV_STSDYn1IFDPWt_1FKiwhDph83XaGc0o0/edit?usp=sharing"",""งบพรบ!DX54"")"),0)</f>
        <v>0</v>
      </c>
      <c r="I54" s="77">
        <f ca="1">IFERROR(__xludf.DUMMYFUNCTION("IMPORTRANGE(""https://docs.google.com/spreadsheets/d/1MeEWN-I1oV_STSDYn1IFDPWt_1FKiwhDph83XaGc0o0/edit?usp=sharing"",""งบพรบ!DY54"")"),0)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IFERROR(__xludf.DUMMYFUNCTION("IMPORTRANGE(""https://docs.google.com/spreadsheets/d/1MeEWN-I1oV_STSDYn1IFDPWt_1FKiwhDph83XaGc0o0/edit?usp=sharing"",""งบพรบ!DZ54"")"),0)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IFERROR(__xludf.DUMMYFUNCTION("IMPORTRANGE(""https://docs.google.com/spreadsheets/d/1MeEWN-I1oV_STSDYn1IFDPWt_1FKiwhDph83XaGc0o0/edit?usp=sharing"",""งบพรบ!EA54"")"),0)</f>
        <v>0</v>
      </c>
      <c r="P54" s="80">
        <f t="shared" ca="1" si="23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IFERROR(__xludf.DUMMYFUNCTION("IMPORTRANGE(""https://docs.google.com/spreadsheets/d/1njBaP_xXd-Uotvo2D9zb01TTCFkLJLDK97Tk1l9Qux0/edit?usp=sharing"",""จันทบุรี!J308"")"),0)</f>
        <v>0</v>
      </c>
      <c r="S54" s="297">
        <f ca="1">IFERROR(__xludf.DUMMYFUNCTION("IMPORTRANGE(""https://docs.google.com/spreadsheets/d/1njBaP_xXd-Uotvo2D9zb01TTCFkLJLDK97Tk1l9Qux0/edit?usp=sharing"",""จันทบุรี!I309"")"),0)</f>
        <v>0</v>
      </c>
      <c r="T54" s="173">
        <f ca="1">IFERROR(__xludf.DUMMYFUNCTION("IMPORTRANGE(""https://docs.google.com/spreadsheets/d/1njBaP_xXd-Uotvo2D9zb01TTCFkLJLDK97Tk1l9Qux0/edit?usp=sharing"",""จันทบุรี!J309"")"),0)</f>
        <v>0</v>
      </c>
      <c r="U54" s="177">
        <f t="shared" ca="1" si="21"/>
        <v>0</v>
      </c>
      <c r="V54" s="173">
        <f ca="1">IFERROR(__xludf.DUMMYFUNCTION("IMPORTRANGE(""https://docs.google.com/spreadsheets/d/1njBaP_xXd-Uotvo2D9zb01TTCFkLJLDK97Tk1l9Qux0/edit?usp=sharing"",""จันทบุรี!J310"")"),0)</f>
        <v>0</v>
      </c>
      <c r="W54" s="177">
        <f t="shared" ca="1" si="11"/>
        <v>0</v>
      </c>
      <c r="X54" s="173">
        <f ca="1">IFERROR(__xludf.DUMMYFUNCTION("IMPORTRANGE(""https://docs.google.com/spreadsheets/d/1njBaP_xXd-Uotvo2D9zb01TTCFkLJLDK97Tk1l9Qux0/edit?usp=sharing"",""จันทบุรี!J311"")"),0)</f>
        <v>0</v>
      </c>
      <c r="Y54" s="177">
        <f t="shared" ca="1" si="12"/>
        <v>0</v>
      </c>
      <c r="Z54" s="297">
        <f ca="1">IFERROR(__xludf.DUMMYFUNCTION("IMPORTRANGE(""https://docs.google.com/spreadsheets/d/1njBaP_xXd-Uotvo2D9zb01TTCFkLJLDK97Tk1l9Qux0/edit?usp=sharing"",""จันทบุรี!I312"")"),0)</f>
        <v>0</v>
      </c>
      <c r="AA54" s="173">
        <f ca="1">IFERROR(__xludf.DUMMYFUNCTION("IMPORTRANGE(""https://docs.google.com/spreadsheets/d/1njBaP_xXd-Uotvo2D9zb01TTCFkLJLDK97Tk1l9Qux0/edit?usp=sharing"",""จันทบุรี!J312"")"),0)</f>
        <v>0</v>
      </c>
      <c r="AB54" s="177">
        <f t="shared" ca="1" si="14"/>
        <v>0</v>
      </c>
    </row>
    <row r="55" spans="1:28" ht="21" customHeight="1" x14ac:dyDescent="0.3">
      <c r="A55" s="73">
        <v>3</v>
      </c>
      <c r="B55" s="74" t="s">
        <v>77</v>
      </c>
      <c r="C55" s="75">
        <f t="shared" ca="1" si="0"/>
        <v>225400</v>
      </c>
      <c r="D55" s="76">
        <f t="shared" ca="1" si="34"/>
        <v>225400</v>
      </c>
      <c r="E55" s="77">
        <f ca="1">IFERROR(__xludf.DUMMYFUNCTION("IMPORTRANGE(""https://docs.google.com/spreadsheets/d/1MeEWN-I1oV_STSDYn1IFDPWt_1FKiwhDph83XaGc0o0/edit?usp=sharing"",""งบพรบ!DT55"")"),143000)</f>
        <v>143000</v>
      </c>
      <c r="F55" s="77">
        <f ca="1">IFERROR(__xludf.DUMMYFUNCTION("IMPORTRANGE(""https://docs.google.com/spreadsheets/d/1MeEWN-I1oV_STSDYn1IFDPWt_1FKiwhDph83XaGc0o0/edit?usp=sharing"",""งบพรบ!DU55"")"),82400)</f>
        <v>82400</v>
      </c>
      <c r="G55" s="77">
        <f ca="1">IFERROR(__xludf.DUMMYFUNCTION("IMPORTRANGE(""https://docs.google.com/spreadsheets/d/1MeEWN-I1oV_STSDYn1IFDPWt_1FKiwhDph83XaGc0o0/edit?usp=sharing"",""งบพรบ!DV55"")"),0)</f>
        <v>0</v>
      </c>
      <c r="H55" s="77">
        <f ca="1">IFERROR(__xludf.DUMMYFUNCTION("IMPORTRANGE(""https://docs.google.com/spreadsheets/d/1MeEWN-I1oV_STSDYn1IFDPWt_1FKiwhDph83XaGc0o0/edit?usp=sharing"",""งบพรบ!DX55"")"),225400)</f>
        <v>225400</v>
      </c>
      <c r="I55" s="77">
        <f ca="1">IFERROR(__xludf.DUMMYFUNCTION("IMPORTRANGE(""https://docs.google.com/spreadsheets/d/1MeEWN-I1oV_STSDYn1IFDPWt_1FKiwhDph83XaGc0o0/edit?usp=sharing"",""งบพรบ!DY55"")"),0)</f>
        <v>0</v>
      </c>
      <c r="J55" s="77">
        <f t="shared" ca="1" si="3"/>
        <v>218500.08</v>
      </c>
      <c r="K55" s="78">
        <f t="shared" ca="1" si="4"/>
        <v>96.938811002661936</v>
      </c>
      <c r="L55" s="77">
        <f ca="1">IFERROR(__xludf.DUMMYFUNCTION("IMPORTRANGE(""https://docs.google.com/spreadsheets/d/1MeEWN-I1oV_STSDYn1IFDPWt_1FKiwhDph83XaGc0o0/edit?usp=sharing"",""งบพรบ!DZ55"")"),218500.08)</f>
        <v>218500.08</v>
      </c>
      <c r="M55" s="79">
        <f t="shared" ca="1" si="5"/>
        <v>96.938811002661936</v>
      </c>
      <c r="N55" s="79">
        <f t="shared" ca="1" si="6"/>
        <v>96.938811002661936</v>
      </c>
      <c r="O55" s="80">
        <f ca="1">IFERROR(__xludf.DUMMYFUNCTION("IMPORTRANGE(""https://docs.google.com/spreadsheets/d/1MeEWN-I1oV_STSDYn1IFDPWt_1FKiwhDph83XaGc0o0/edit?usp=sharing"",""งบพรบ!EA55"")"),0)</f>
        <v>0</v>
      </c>
      <c r="P55" s="80">
        <f t="shared" ca="1" si="23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IFERROR(__xludf.DUMMYFUNCTION("IMPORTRANGE(""https://docs.google.com/spreadsheets/d/14xp6qUzrGFnUk_qnc1eEmfiaNRd4_grkhpfQH_46fa8/edit?usp=sharing"",""ฉะเชิงเทรา!J308"")"),1)</f>
        <v>1</v>
      </c>
      <c r="S55" s="297">
        <f ca="1">IFERROR(__xludf.DUMMYFUNCTION("IMPORTRANGE(""https://docs.google.com/spreadsheets/d/14xp6qUzrGFnUk_qnc1eEmfiaNRd4_grkhpfQH_46fa8/edit?usp=sharing"",""ฉะเชิงเทรา!I309"")"),20)</f>
        <v>20</v>
      </c>
      <c r="T55" s="173">
        <f ca="1">IFERROR(__xludf.DUMMYFUNCTION("IMPORTRANGE(""https://docs.google.com/spreadsheets/d/14xp6qUzrGFnUk_qnc1eEmfiaNRd4_grkhpfQH_46fa8/edit?usp=sharing"",""ฉะเชิงเทรา!J309"")"),20)</f>
        <v>20</v>
      </c>
      <c r="U55" s="177">
        <f t="shared" ca="1" si="21"/>
        <v>100</v>
      </c>
      <c r="V55" s="173">
        <f ca="1">IFERROR(__xludf.DUMMYFUNCTION("IMPORTRANGE(""https://docs.google.com/spreadsheets/d/14xp6qUzrGFnUk_qnc1eEmfiaNRd4_grkhpfQH_46fa8/edit?usp=sharing"",""ฉะเชิงเทรา!J310"")"),20)</f>
        <v>20</v>
      </c>
      <c r="W55" s="177">
        <f t="shared" ca="1" si="11"/>
        <v>100</v>
      </c>
      <c r="X55" s="173">
        <f ca="1">IFERROR(__xludf.DUMMYFUNCTION("IMPORTRANGE(""https://docs.google.com/spreadsheets/d/14xp6qUzrGFnUk_qnc1eEmfiaNRd4_grkhpfQH_46fa8/edit?usp=sharing"",""ฉะเชิงเทรา!J311"")"),20)</f>
        <v>20</v>
      </c>
      <c r="Y55" s="177">
        <f t="shared" ca="1" si="12"/>
        <v>100</v>
      </c>
      <c r="Z55" s="297">
        <f ca="1">IFERROR(__xludf.DUMMYFUNCTION("IMPORTRANGE(""https://docs.google.com/spreadsheets/d/14xp6qUzrGFnUk_qnc1eEmfiaNRd4_grkhpfQH_46fa8/edit?usp=sharing"",""ฉะเชิงเทรา!I312"")"),4)</f>
        <v>4</v>
      </c>
      <c r="AA55" s="173">
        <f ca="1">IFERROR(__xludf.DUMMYFUNCTION("IMPORTRANGE(""https://docs.google.com/spreadsheets/d/14xp6qUzrGFnUk_qnc1eEmfiaNRd4_grkhpfQH_46fa8/edit?usp=sharing"",""ฉะเชิงเทรา!J312"")"),4)</f>
        <v>4</v>
      </c>
      <c r="AB55" s="177">
        <f t="shared" ca="1" si="14"/>
        <v>20</v>
      </c>
    </row>
    <row r="56" spans="1:28" ht="21" customHeight="1" x14ac:dyDescent="0.3">
      <c r="A56" s="73">
        <v>4</v>
      </c>
      <c r="B56" s="74" t="s">
        <v>78</v>
      </c>
      <c r="C56" s="75">
        <f t="shared" ca="1" si="0"/>
        <v>206800</v>
      </c>
      <c r="D56" s="76">
        <f t="shared" ca="1" si="34"/>
        <v>206800</v>
      </c>
      <c r="E56" s="77">
        <f ca="1">IFERROR(__xludf.DUMMYFUNCTION("IMPORTRANGE(""https://docs.google.com/spreadsheets/d/1MeEWN-I1oV_STSDYn1IFDPWt_1FKiwhDph83XaGc0o0/edit?usp=sharing"",""งบพรบ!DT56"")"),143000)</f>
        <v>143000</v>
      </c>
      <c r="F56" s="77">
        <f ca="1">IFERROR(__xludf.DUMMYFUNCTION("IMPORTRANGE(""https://docs.google.com/spreadsheets/d/1MeEWN-I1oV_STSDYn1IFDPWt_1FKiwhDph83XaGc0o0/edit?usp=sharing"",""งบพรบ!DU56"")"),63800)</f>
        <v>63800</v>
      </c>
      <c r="G56" s="77">
        <f ca="1">IFERROR(__xludf.DUMMYFUNCTION("IMPORTRANGE(""https://docs.google.com/spreadsheets/d/1MeEWN-I1oV_STSDYn1IFDPWt_1FKiwhDph83XaGc0o0/edit?usp=sharing"",""งบพรบ!DV56"")"),0)</f>
        <v>0</v>
      </c>
      <c r="H56" s="77">
        <f ca="1">IFERROR(__xludf.DUMMYFUNCTION("IMPORTRANGE(""https://docs.google.com/spreadsheets/d/1MeEWN-I1oV_STSDYn1IFDPWt_1FKiwhDph83XaGc0o0/edit?usp=sharing"",""งบพรบ!DX56"")"),213180)</f>
        <v>213180</v>
      </c>
      <c r="I56" s="77">
        <f ca="1">IFERROR(__xludf.DUMMYFUNCTION("IMPORTRANGE(""https://docs.google.com/spreadsheets/d/1MeEWN-I1oV_STSDYn1IFDPWt_1FKiwhDph83XaGc0o0/edit?usp=sharing"",""งบพรบ!DY56"")"),0)</f>
        <v>0</v>
      </c>
      <c r="J56" s="77">
        <f t="shared" ca="1" si="3"/>
        <v>202173.3</v>
      </c>
      <c r="K56" s="78">
        <f t="shared" ca="1" si="4"/>
        <v>97.762717601547394</v>
      </c>
      <c r="L56" s="77">
        <f ca="1">IFERROR(__xludf.DUMMYFUNCTION("IMPORTRANGE(""https://docs.google.com/spreadsheets/d/1MeEWN-I1oV_STSDYn1IFDPWt_1FKiwhDph83XaGc0o0/edit?usp=sharing"",""งบพรบ!DZ56"")"),202173.3)</f>
        <v>202173.3</v>
      </c>
      <c r="M56" s="79">
        <f t="shared" ca="1" si="5"/>
        <v>97.762717601547394</v>
      </c>
      <c r="N56" s="79">
        <f t="shared" ca="1" si="6"/>
        <v>94.836898395721931</v>
      </c>
      <c r="O56" s="80">
        <f ca="1">IFERROR(__xludf.DUMMYFUNCTION("IMPORTRANGE(""https://docs.google.com/spreadsheets/d/1MeEWN-I1oV_STSDYn1IFDPWt_1FKiwhDph83XaGc0o0/edit?usp=sharing"",""งบพรบ!EA56"")"),0)</f>
        <v>0</v>
      </c>
      <c r="P56" s="80">
        <f t="shared" ca="1" si="23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IFERROR(__xludf.DUMMYFUNCTION("IMPORTRANGE(""https://docs.google.com/spreadsheets/d/1_Zwps30dlVa-pZFsorjVf1Pil6WXwzCsJU0U2whO3NI/edit?usp=sharing"",""ชลบุรี!J308"")"),1)</f>
        <v>1</v>
      </c>
      <c r="S56" s="297">
        <f ca="1">IFERROR(__xludf.DUMMYFUNCTION("IMPORTRANGE(""https://docs.google.com/spreadsheets/d/1_Zwps30dlVa-pZFsorjVf1Pil6WXwzCsJU0U2whO3NI/edit?usp=sharing"",""ชลบุรี!I309"")"),15)</f>
        <v>15</v>
      </c>
      <c r="T56" s="173">
        <f ca="1">IFERROR(__xludf.DUMMYFUNCTION("IMPORTRANGE(""https://docs.google.com/spreadsheets/d/1_Zwps30dlVa-pZFsorjVf1Pil6WXwzCsJU0U2whO3NI/edit?usp=sharing"",""ชลบุรี!J309"")"),15)</f>
        <v>15</v>
      </c>
      <c r="U56" s="177">
        <f t="shared" ca="1" si="21"/>
        <v>100</v>
      </c>
      <c r="V56" s="173">
        <f ca="1">IFERROR(__xludf.DUMMYFUNCTION("IMPORTRANGE(""https://docs.google.com/spreadsheets/d/1_Zwps30dlVa-pZFsorjVf1Pil6WXwzCsJU0U2whO3NI/edit?usp=sharing"",""ชลบุรี!J310"")"),15)</f>
        <v>15</v>
      </c>
      <c r="W56" s="177">
        <f t="shared" ca="1" si="11"/>
        <v>100</v>
      </c>
      <c r="X56" s="173">
        <f ca="1">IFERROR(__xludf.DUMMYFUNCTION("IMPORTRANGE(""https://docs.google.com/spreadsheets/d/1_Zwps30dlVa-pZFsorjVf1Pil6WXwzCsJU0U2whO3NI/edit?usp=sharing"",""ชลบุรี!J311"")"),15)</f>
        <v>15</v>
      </c>
      <c r="Y56" s="177">
        <f t="shared" ca="1" si="12"/>
        <v>100</v>
      </c>
      <c r="Z56" s="297">
        <f ca="1">IFERROR(__xludf.DUMMYFUNCTION("IMPORTRANGE(""https://docs.google.com/spreadsheets/d/1_Zwps30dlVa-pZFsorjVf1Pil6WXwzCsJU0U2whO3NI/edit?usp=sharing"",""ชลบุรี!I312"")"),3)</f>
        <v>3</v>
      </c>
      <c r="AA56" s="173">
        <f ca="1">IFERROR(__xludf.DUMMYFUNCTION("IMPORTRANGE(""https://docs.google.com/spreadsheets/d/1_Zwps30dlVa-pZFsorjVf1Pil6WXwzCsJU0U2whO3NI/edit?usp=sharing"",""ชลบุรี!J312"")"),0)</f>
        <v>0</v>
      </c>
      <c r="AB56" s="177">
        <f t="shared" ca="1" si="14"/>
        <v>0</v>
      </c>
    </row>
    <row r="57" spans="1:28" ht="21" customHeight="1" x14ac:dyDescent="0.3">
      <c r="A57" s="73">
        <v>5</v>
      </c>
      <c r="B57" s="74" t="s">
        <v>79</v>
      </c>
      <c r="C57" s="75">
        <f t="shared" ca="1" si="0"/>
        <v>82400</v>
      </c>
      <c r="D57" s="76">
        <f t="shared" ca="1" si="34"/>
        <v>82400</v>
      </c>
      <c r="E57" s="77">
        <f ca="1">IFERROR(__xludf.DUMMYFUNCTION("IMPORTRANGE(""https://docs.google.com/spreadsheets/d/1MeEWN-I1oV_STSDYn1IFDPWt_1FKiwhDph83XaGc0o0/edit?usp=sharing"",""งบพรบ!DT57"")"),0)</f>
        <v>0</v>
      </c>
      <c r="F57" s="77">
        <f ca="1">IFERROR(__xludf.DUMMYFUNCTION("IMPORTRANGE(""https://docs.google.com/spreadsheets/d/1MeEWN-I1oV_STSDYn1IFDPWt_1FKiwhDph83XaGc0o0/edit?usp=sharing"",""งบพรบ!DU57"")"),82400)</f>
        <v>82400</v>
      </c>
      <c r="G57" s="77">
        <f ca="1">IFERROR(__xludf.DUMMYFUNCTION("IMPORTRANGE(""https://docs.google.com/spreadsheets/d/1MeEWN-I1oV_STSDYn1IFDPWt_1FKiwhDph83XaGc0o0/edit?usp=sharing"",""งบพรบ!DV57"")"),0)</f>
        <v>0</v>
      </c>
      <c r="H57" s="77">
        <f ca="1">IFERROR(__xludf.DUMMYFUNCTION("IMPORTRANGE(""https://docs.google.com/spreadsheets/d/1MeEWN-I1oV_STSDYn1IFDPWt_1FKiwhDph83XaGc0o0/edit?usp=sharing"",""งบพรบ!DX57"")"),90400)</f>
        <v>90400</v>
      </c>
      <c r="I57" s="77">
        <f ca="1">IFERROR(__xludf.DUMMYFUNCTION("IMPORTRANGE(""https://docs.google.com/spreadsheets/d/1MeEWN-I1oV_STSDYn1IFDPWt_1FKiwhDph83XaGc0o0/edit?usp=sharing"",""งบพรบ!DY57"")"),0)</f>
        <v>0</v>
      </c>
      <c r="J57" s="77">
        <f t="shared" ca="1" si="3"/>
        <v>87130</v>
      </c>
      <c r="K57" s="78">
        <f t="shared" ca="1" si="4"/>
        <v>105.74029126213593</v>
      </c>
      <c r="L57" s="77">
        <f ca="1">IFERROR(__xludf.DUMMYFUNCTION("IMPORTRANGE(""https://docs.google.com/spreadsheets/d/1MeEWN-I1oV_STSDYn1IFDPWt_1FKiwhDph83XaGc0o0/edit?usp=sharing"",""งบพรบ!DZ57"")"),87130)</f>
        <v>87130</v>
      </c>
      <c r="M57" s="79">
        <f t="shared" ca="1" si="5"/>
        <v>105.74029126213593</v>
      </c>
      <c r="N57" s="79">
        <f t="shared" ca="1" si="6"/>
        <v>96.38274336283186</v>
      </c>
      <c r="O57" s="80">
        <f ca="1">IFERROR(__xludf.DUMMYFUNCTION("IMPORTRANGE(""https://docs.google.com/spreadsheets/d/1MeEWN-I1oV_STSDYn1IFDPWt_1FKiwhDph83XaGc0o0/edit?usp=sharing"",""งบพรบ!EA57"")"),0)</f>
        <v>0</v>
      </c>
      <c r="P57" s="80">
        <f t="shared" ca="1" si="23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IFERROR(__xludf.DUMMYFUNCTION("IMPORTRANGE(""https://docs.google.com/spreadsheets/d/1xAsT4sUbBlom7l0acStESh_15nvjZcXjZM7fK5uZSq8/edit?usp=sharing"",""ชัยนาท!J308"")"),1)</f>
        <v>1</v>
      </c>
      <c r="S57" s="297">
        <f ca="1">IFERROR(__xludf.DUMMYFUNCTION("IMPORTRANGE(""https://docs.google.com/spreadsheets/d/1xAsT4sUbBlom7l0acStESh_15nvjZcXjZM7fK5uZSq8/edit?usp=sharing"",""ชัยนาท!I309"")"),20)</f>
        <v>20</v>
      </c>
      <c r="T57" s="173">
        <f ca="1">IFERROR(__xludf.DUMMYFUNCTION("IMPORTRANGE(""https://docs.google.com/spreadsheets/d/1xAsT4sUbBlom7l0acStESh_15nvjZcXjZM7fK5uZSq8/edit?usp=sharing"",""ชัยนาท!J309"")"),20)</f>
        <v>20</v>
      </c>
      <c r="U57" s="177">
        <f t="shared" ca="1" si="21"/>
        <v>100</v>
      </c>
      <c r="V57" s="173">
        <f ca="1">IFERROR(__xludf.DUMMYFUNCTION("IMPORTRANGE(""https://docs.google.com/spreadsheets/d/1xAsT4sUbBlom7l0acStESh_15nvjZcXjZM7fK5uZSq8/edit?usp=sharing"",""ชัยนาท!J310"")"),20)</f>
        <v>20</v>
      </c>
      <c r="W57" s="177">
        <f t="shared" ca="1" si="11"/>
        <v>100</v>
      </c>
      <c r="X57" s="173">
        <f ca="1">IFERROR(__xludf.DUMMYFUNCTION("IMPORTRANGE(""https://docs.google.com/spreadsheets/d/1xAsT4sUbBlom7l0acStESh_15nvjZcXjZM7fK5uZSq8/edit?usp=sharing"",""ชัยนาท!J311"")"),20)</f>
        <v>20</v>
      </c>
      <c r="Y57" s="177">
        <f t="shared" ca="1" si="12"/>
        <v>100</v>
      </c>
      <c r="Z57" s="297">
        <f ca="1">IFERROR(__xludf.DUMMYFUNCTION("IMPORTRANGE(""https://docs.google.com/spreadsheets/d/1xAsT4sUbBlom7l0acStESh_15nvjZcXjZM7fK5uZSq8/edit?usp=sharing"",""ชัยนาท!I312"")"),4)</f>
        <v>4</v>
      </c>
      <c r="AA57" s="173">
        <f ca="1">IFERROR(__xludf.DUMMYFUNCTION("IMPORTRANGE(""https://docs.google.com/spreadsheets/d/1xAsT4sUbBlom7l0acStESh_15nvjZcXjZM7fK5uZSq8/edit?usp=sharing"",""ชัยนาท!J312"")"),4)</f>
        <v>4</v>
      </c>
      <c r="AB57" s="177">
        <f t="shared" ca="1" si="14"/>
        <v>20</v>
      </c>
    </row>
    <row r="58" spans="1:28" ht="21" customHeight="1" x14ac:dyDescent="0.3">
      <c r="A58" s="73">
        <v>6</v>
      </c>
      <c r="B58" s="74" t="s">
        <v>80</v>
      </c>
      <c r="C58" s="75">
        <f t="shared" ca="1" si="0"/>
        <v>0</v>
      </c>
      <c r="D58" s="76">
        <f t="shared" ca="1" si="34"/>
        <v>0</v>
      </c>
      <c r="E58" s="77">
        <f ca="1">IFERROR(__xludf.DUMMYFUNCTION("IMPORTRANGE(""https://docs.google.com/spreadsheets/d/1MeEWN-I1oV_STSDYn1IFDPWt_1FKiwhDph83XaGc0o0/edit?usp=sharing"",""งบพรบ!DT58"")"),0)</f>
        <v>0</v>
      </c>
      <c r="F58" s="77">
        <f ca="1">IFERROR(__xludf.DUMMYFUNCTION("IMPORTRANGE(""https://docs.google.com/spreadsheets/d/1MeEWN-I1oV_STSDYn1IFDPWt_1FKiwhDph83XaGc0o0/edit?usp=sharing"",""งบพรบ!DU58"")"),0)</f>
        <v>0</v>
      </c>
      <c r="G58" s="77">
        <f ca="1">IFERROR(__xludf.DUMMYFUNCTION("IMPORTRANGE(""https://docs.google.com/spreadsheets/d/1MeEWN-I1oV_STSDYn1IFDPWt_1FKiwhDph83XaGc0o0/edit?usp=sharing"",""งบพรบ!DV58"")"),0)</f>
        <v>0</v>
      </c>
      <c r="H58" s="77">
        <f ca="1">IFERROR(__xludf.DUMMYFUNCTION("IMPORTRANGE(""https://docs.google.com/spreadsheets/d/1MeEWN-I1oV_STSDYn1IFDPWt_1FKiwhDph83XaGc0o0/edit?usp=sharing"",""งบพรบ!DX58"")"),0)</f>
        <v>0</v>
      </c>
      <c r="I58" s="77">
        <f ca="1">IFERROR(__xludf.DUMMYFUNCTION("IMPORTRANGE(""https://docs.google.com/spreadsheets/d/1MeEWN-I1oV_STSDYn1IFDPWt_1FKiwhDph83XaGc0o0/edit?usp=sharing"",""งบพรบ!DY58"")"),0)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IFERROR(__xludf.DUMMYFUNCTION("IMPORTRANGE(""https://docs.google.com/spreadsheets/d/1MeEWN-I1oV_STSDYn1IFDPWt_1FKiwhDph83XaGc0o0/edit?usp=sharing"",""งบพรบ!DZ58"")"),0)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IFERROR(__xludf.DUMMYFUNCTION("IMPORTRANGE(""https://docs.google.com/spreadsheets/d/1MeEWN-I1oV_STSDYn1IFDPWt_1FKiwhDph83XaGc0o0/edit?usp=sharing"",""งบพรบ!EA58"")"),0)</f>
        <v>0</v>
      </c>
      <c r="P58" s="80">
        <f t="shared" ca="1" si="23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IFERROR(__xludf.DUMMYFUNCTION("IMPORTRANGE(""https://docs.google.com/spreadsheets/d/1vWPVBOAaZ6mHSI8yf95DNqHwTJ1cpeFsvqt6cxV34QA/edit?usp=sharing"",""ตราด!J308"")"),0)</f>
        <v>0</v>
      </c>
      <c r="S58" s="297">
        <f ca="1">IFERROR(__xludf.DUMMYFUNCTION("IMPORTRANGE(""https://docs.google.com/spreadsheets/d/1vWPVBOAaZ6mHSI8yf95DNqHwTJ1cpeFsvqt6cxV34QA/edit?usp=sharing"",""ตราด!I309"")"),0)</f>
        <v>0</v>
      </c>
      <c r="T58" s="173">
        <f ca="1">IFERROR(__xludf.DUMMYFUNCTION("IMPORTRANGE(""https://docs.google.com/spreadsheets/d/1vWPVBOAaZ6mHSI8yf95DNqHwTJ1cpeFsvqt6cxV34QA/edit?usp=sharing"",""ตราด!J309"")"),0)</f>
        <v>0</v>
      </c>
      <c r="U58" s="177">
        <f t="shared" ca="1" si="21"/>
        <v>0</v>
      </c>
      <c r="V58" s="173">
        <f ca="1">IFERROR(__xludf.DUMMYFUNCTION("IMPORTRANGE(""https://docs.google.com/spreadsheets/d/1vWPVBOAaZ6mHSI8yf95DNqHwTJ1cpeFsvqt6cxV34QA/edit?usp=sharing"",""ตราด!J310"")"),0)</f>
        <v>0</v>
      </c>
      <c r="W58" s="177">
        <f t="shared" ca="1" si="11"/>
        <v>0</v>
      </c>
      <c r="X58" s="173">
        <f ca="1">IFERROR(__xludf.DUMMYFUNCTION("IMPORTRANGE(""https://docs.google.com/spreadsheets/d/1vWPVBOAaZ6mHSI8yf95DNqHwTJ1cpeFsvqt6cxV34QA/edit?usp=sharing"",""ตราด!J311"")"),0)</f>
        <v>0</v>
      </c>
      <c r="Y58" s="177">
        <f t="shared" ca="1" si="12"/>
        <v>0</v>
      </c>
      <c r="Z58" s="297">
        <f ca="1">IFERROR(__xludf.DUMMYFUNCTION("IMPORTRANGE(""https://docs.google.com/spreadsheets/d/1vWPVBOAaZ6mHSI8yf95DNqHwTJ1cpeFsvqt6cxV34QA/edit?usp=sharing"",""ตราด!I312"")"),0)</f>
        <v>0</v>
      </c>
      <c r="AA58" s="173">
        <f ca="1">IFERROR(__xludf.DUMMYFUNCTION("IMPORTRANGE(""https://docs.google.com/spreadsheets/d/1vWPVBOAaZ6mHSI8yf95DNqHwTJ1cpeFsvqt6cxV34QA/edit?usp=sharing"",""ตราด!J312"")"),0)</f>
        <v>0</v>
      </c>
      <c r="AB58" s="177">
        <f t="shared" ca="1" si="14"/>
        <v>0</v>
      </c>
    </row>
    <row r="59" spans="1:28" ht="21" customHeight="1" x14ac:dyDescent="0.3">
      <c r="A59" s="73">
        <v>7</v>
      </c>
      <c r="B59" s="74" t="s">
        <v>81</v>
      </c>
      <c r="C59" s="75">
        <f t="shared" ca="1" si="0"/>
        <v>206800</v>
      </c>
      <c r="D59" s="76">
        <f t="shared" ca="1" si="34"/>
        <v>206800</v>
      </c>
      <c r="E59" s="77">
        <f ca="1">IFERROR(__xludf.DUMMYFUNCTION("IMPORTRANGE(""https://docs.google.com/spreadsheets/d/1MeEWN-I1oV_STSDYn1IFDPWt_1FKiwhDph83XaGc0o0/edit?usp=sharing"",""งบพรบ!DT59"")"),143000)</f>
        <v>143000</v>
      </c>
      <c r="F59" s="77">
        <f ca="1">IFERROR(__xludf.DUMMYFUNCTION("IMPORTRANGE(""https://docs.google.com/spreadsheets/d/1MeEWN-I1oV_STSDYn1IFDPWt_1FKiwhDph83XaGc0o0/edit?usp=sharing"",""งบพรบ!DU59"")"),63800)</f>
        <v>63800</v>
      </c>
      <c r="G59" s="77">
        <f ca="1">IFERROR(__xludf.DUMMYFUNCTION("IMPORTRANGE(""https://docs.google.com/spreadsheets/d/1MeEWN-I1oV_STSDYn1IFDPWt_1FKiwhDph83XaGc0o0/edit?usp=sharing"",""งบพรบ!DV59"")"),0)</f>
        <v>0</v>
      </c>
      <c r="H59" s="77">
        <f ca="1">IFERROR(__xludf.DUMMYFUNCTION("IMPORTRANGE(""https://docs.google.com/spreadsheets/d/1MeEWN-I1oV_STSDYn1IFDPWt_1FKiwhDph83XaGc0o0/edit?usp=sharing"",""งบพรบ!DX59"")"),206800)</f>
        <v>206800</v>
      </c>
      <c r="I59" s="77">
        <f ca="1">IFERROR(__xludf.DUMMYFUNCTION("IMPORTRANGE(""https://docs.google.com/spreadsheets/d/1MeEWN-I1oV_STSDYn1IFDPWt_1FKiwhDph83XaGc0o0/edit?usp=sharing"",""งบพรบ!DY59"")"),0)</f>
        <v>0</v>
      </c>
      <c r="J59" s="77">
        <f t="shared" ca="1" si="3"/>
        <v>187903</v>
      </c>
      <c r="K59" s="78">
        <f t="shared" ca="1" si="4"/>
        <v>90.862185686653774</v>
      </c>
      <c r="L59" s="77">
        <f ca="1">IFERROR(__xludf.DUMMYFUNCTION("IMPORTRANGE(""https://docs.google.com/spreadsheets/d/1MeEWN-I1oV_STSDYn1IFDPWt_1FKiwhDph83XaGc0o0/edit?usp=sharing"",""งบพรบ!DZ59"")"),187903)</f>
        <v>187903</v>
      </c>
      <c r="M59" s="79">
        <f t="shared" ca="1" si="5"/>
        <v>90.862185686653774</v>
      </c>
      <c r="N59" s="79">
        <f t="shared" ca="1" si="6"/>
        <v>90.862185686653774</v>
      </c>
      <c r="O59" s="80">
        <f ca="1">IFERROR(__xludf.DUMMYFUNCTION("IMPORTRANGE(""https://docs.google.com/spreadsheets/d/1MeEWN-I1oV_STSDYn1IFDPWt_1FKiwhDph83XaGc0o0/edit?usp=sharing"",""งบพรบ!EA59"")"),0)</f>
        <v>0</v>
      </c>
      <c r="P59" s="80">
        <f t="shared" ca="1" si="23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IFERROR(__xludf.DUMMYFUNCTION("IMPORTRANGE(""https://docs.google.com/spreadsheets/d/1phaeSb9lTGgzDpbvVqI9hfmOQQzUom07-HEvpbARzEg/edit?usp=sharing"",""นครนายก!J308"")"),1)</f>
        <v>1</v>
      </c>
      <c r="S59" s="297">
        <f ca="1">IFERROR(__xludf.DUMMYFUNCTION("IMPORTRANGE(""https://docs.google.com/spreadsheets/d/1phaeSb9lTGgzDpbvVqI9hfmOQQzUom07-HEvpbARzEg/edit?usp=sharing"",""นครนายก!I309"")"),15)</f>
        <v>15</v>
      </c>
      <c r="T59" s="173">
        <f ca="1">IFERROR(__xludf.DUMMYFUNCTION("IMPORTRANGE(""https://docs.google.com/spreadsheets/d/1phaeSb9lTGgzDpbvVqI9hfmOQQzUom07-HEvpbARzEg/edit?usp=sharing"",""นครนายก!J309"")"),15)</f>
        <v>15</v>
      </c>
      <c r="U59" s="177">
        <f t="shared" ca="1" si="21"/>
        <v>100</v>
      </c>
      <c r="V59" s="173">
        <f ca="1">IFERROR(__xludf.DUMMYFUNCTION("IMPORTRANGE(""https://docs.google.com/spreadsheets/d/1phaeSb9lTGgzDpbvVqI9hfmOQQzUom07-HEvpbARzEg/edit?usp=sharing"",""นครนายก!J310"")"),15)</f>
        <v>15</v>
      </c>
      <c r="W59" s="177">
        <f t="shared" ca="1" si="11"/>
        <v>100</v>
      </c>
      <c r="X59" s="173">
        <f ca="1">IFERROR(__xludf.DUMMYFUNCTION("IMPORTRANGE(""https://docs.google.com/spreadsheets/d/1phaeSb9lTGgzDpbvVqI9hfmOQQzUom07-HEvpbARzEg/edit?usp=sharing"",""นครนายก!J311"")"),15)</f>
        <v>15</v>
      </c>
      <c r="Y59" s="177">
        <f t="shared" ca="1" si="12"/>
        <v>100</v>
      </c>
      <c r="Z59" s="297">
        <f ca="1">IFERROR(__xludf.DUMMYFUNCTION("IMPORTRANGE(""https://docs.google.com/spreadsheets/d/1phaeSb9lTGgzDpbvVqI9hfmOQQzUom07-HEvpbARzEg/edit?usp=sharing"",""นครนายก!I312"")"),3)</f>
        <v>3</v>
      </c>
      <c r="AA59" s="173">
        <f ca="1">IFERROR(__xludf.DUMMYFUNCTION("IMPORTRANGE(""https://docs.google.com/spreadsheets/d/1phaeSb9lTGgzDpbvVqI9hfmOQQzUom07-HEvpbARzEg/edit?usp=sharing"",""นครนายก!J312"")"),3)</f>
        <v>3</v>
      </c>
      <c r="AB59" s="177">
        <f t="shared" ca="1" si="14"/>
        <v>20</v>
      </c>
    </row>
    <row r="60" spans="1:28" ht="21" customHeight="1" x14ac:dyDescent="0.3">
      <c r="A60" s="73">
        <v>8</v>
      </c>
      <c r="B60" s="74" t="s">
        <v>82</v>
      </c>
      <c r="C60" s="75">
        <f t="shared" ca="1" si="0"/>
        <v>0</v>
      </c>
      <c r="D60" s="76">
        <f t="shared" ca="1" si="34"/>
        <v>0</v>
      </c>
      <c r="E60" s="77">
        <f ca="1">IFERROR(__xludf.DUMMYFUNCTION("IMPORTRANGE(""https://docs.google.com/spreadsheets/d/1MeEWN-I1oV_STSDYn1IFDPWt_1FKiwhDph83XaGc0o0/edit?usp=sharing"",""งบพรบ!DT60"")"),0)</f>
        <v>0</v>
      </c>
      <c r="F60" s="77">
        <f ca="1">IFERROR(__xludf.DUMMYFUNCTION("IMPORTRANGE(""https://docs.google.com/spreadsheets/d/1MeEWN-I1oV_STSDYn1IFDPWt_1FKiwhDph83XaGc0o0/edit?usp=sharing"",""งบพรบ!DU60"")"),0)</f>
        <v>0</v>
      </c>
      <c r="G60" s="77">
        <f ca="1">IFERROR(__xludf.DUMMYFUNCTION("IMPORTRANGE(""https://docs.google.com/spreadsheets/d/1MeEWN-I1oV_STSDYn1IFDPWt_1FKiwhDph83XaGc0o0/edit?usp=sharing"",""งบพรบ!DV60"")"),0)</f>
        <v>0</v>
      </c>
      <c r="H60" s="77">
        <f ca="1">IFERROR(__xludf.DUMMYFUNCTION("IMPORTRANGE(""https://docs.google.com/spreadsheets/d/1MeEWN-I1oV_STSDYn1IFDPWt_1FKiwhDph83XaGc0o0/edit?usp=sharing"",""งบพรบ!DX60"")"),0)</f>
        <v>0</v>
      </c>
      <c r="I60" s="77">
        <f ca="1">IFERROR(__xludf.DUMMYFUNCTION("IMPORTRANGE(""https://docs.google.com/spreadsheets/d/1MeEWN-I1oV_STSDYn1IFDPWt_1FKiwhDph83XaGc0o0/edit?usp=sharing"",""งบพรบ!DY60"")"),0)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IFERROR(__xludf.DUMMYFUNCTION("IMPORTRANGE(""https://docs.google.com/spreadsheets/d/1MeEWN-I1oV_STSDYn1IFDPWt_1FKiwhDph83XaGc0o0/edit?usp=sharing"",""งบพรบ!DZ60"")"),0)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IFERROR(__xludf.DUMMYFUNCTION("IMPORTRANGE(""https://docs.google.com/spreadsheets/d/1MeEWN-I1oV_STSDYn1IFDPWt_1FKiwhDph83XaGc0o0/edit?usp=sharing"",""งบพรบ!EA60"")"),0)</f>
        <v>0</v>
      </c>
      <c r="P60" s="80">
        <f t="shared" ca="1" si="23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IFERROR(__xludf.DUMMYFUNCTION("IMPORTRANGE(""https://docs.google.com/spreadsheets/d/1tpwhWwkqkBeiSWCcfB5f2fbwPRbM9hHOEDSDHpl2MIc/edit?usp=sharing"",""นครปฐม!J308"")"),0)</f>
        <v>0</v>
      </c>
      <c r="S60" s="297">
        <f ca="1">IFERROR(__xludf.DUMMYFUNCTION("IMPORTRANGE(""https://docs.google.com/spreadsheets/d/1tpwhWwkqkBeiSWCcfB5f2fbwPRbM9hHOEDSDHpl2MIc/edit?usp=sharing"",""นครปฐม!I309"")"),0)</f>
        <v>0</v>
      </c>
      <c r="T60" s="173">
        <f ca="1">IFERROR(__xludf.DUMMYFUNCTION("IMPORTRANGE(""https://docs.google.com/spreadsheets/d/1tpwhWwkqkBeiSWCcfB5f2fbwPRbM9hHOEDSDHpl2MIc/edit?usp=sharing"",""นครปฐม!J309"")"),0)</f>
        <v>0</v>
      </c>
      <c r="U60" s="177">
        <f t="shared" ca="1" si="21"/>
        <v>0</v>
      </c>
      <c r="V60" s="173">
        <f ca="1">IFERROR(__xludf.DUMMYFUNCTION("IMPORTRANGE(""https://docs.google.com/spreadsheets/d/1tpwhWwkqkBeiSWCcfB5f2fbwPRbM9hHOEDSDHpl2MIc/edit?usp=sharing"",""นครปฐม!J310"")"),0)</f>
        <v>0</v>
      </c>
      <c r="W60" s="177">
        <f t="shared" ca="1" si="11"/>
        <v>0</v>
      </c>
      <c r="X60" s="173">
        <f ca="1">IFERROR(__xludf.DUMMYFUNCTION("IMPORTRANGE(""https://docs.google.com/spreadsheets/d/1tpwhWwkqkBeiSWCcfB5f2fbwPRbM9hHOEDSDHpl2MIc/edit?usp=sharing"",""นครปฐม!J311"")"),0)</f>
        <v>0</v>
      </c>
      <c r="Y60" s="177">
        <f t="shared" ca="1" si="12"/>
        <v>0</v>
      </c>
      <c r="Z60" s="297">
        <f ca="1">IFERROR(__xludf.DUMMYFUNCTION("IMPORTRANGE(""https://docs.google.com/spreadsheets/d/1tpwhWwkqkBeiSWCcfB5f2fbwPRbM9hHOEDSDHpl2MIc/edit?usp=sharing"",""นครปฐม!I312"")"),0)</f>
        <v>0</v>
      </c>
      <c r="AA60" s="173">
        <f ca="1">IFERROR(__xludf.DUMMYFUNCTION("IMPORTRANGE(""https://docs.google.com/spreadsheets/d/1tpwhWwkqkBeiSWCcfB5f2fbwPRbM9hHOEDSDHpl2MIc/edit?usp=sharing"",""นครปฐม!J312"")"),0)</f>
        <v>0</v>
      </c>
      <c r="AB60" s="177">
        <f t="shared" ca="1" si="14"/>
        <v>0</v>
      </c>
    </row>
    <row r="61" spans="1:28" ht="21" customHeight="1" x14ac:dyDescent="0.3">
      <c r="A61" s="73">
        <v>9</v>
      </c>
      <c r="B61" s="74" t="s">
        <v>83</v>
      </c>
      <c r="C61" s="75">
        <f t="shared" ca="1" si="0"/>
        <v>0</v>
      </c>
      <c r="D61" s="76">
        <f t="shared" ca="1" si="34"/>
        <v>0</v>
      </c>
      <c r="E61" s="77">
        <f ca="1">IFERROR(__xludf.DUMMYFUNCTION("IMPORTRANGE(""https://docs.google.com/spreadsheets/d/1MeEWN-I1oV_STSDYn1IFDPWt_1FKiwhDph83XaGc0o0/edit?usp=sharing"",""งบพรบ!DT61"")"),0)</f>
        <v>0</v>
      </c>
      <c r="F61" s="77">
        <f ca="1">IFERROR(__xludf.DUMMYFUNCTION("IMPORTRANGE(""https://docs.google.com/spreadsheets/d/1MeEWN-I1oV_STSDYn1IFDPWt_1FKiwhDph83XaGc0o0/edit?usp=sharing"",""งบพรบ!DU61"")"),0)</f>
        <v>0</v>
      </c>
      <c r="G61" s="77">
        <f ca="1">IFERROR(__xludf.DUMMYFUNCTION("IMPORTRANGE(""https://docs.google.com/spreadsheets/d/1MeEWN-I1oV_STSDYn1IFDPWt_1FKiwhDph83XaGc0o0/edit?usp=sharing"",""งบพรบ!DV61"")"),0)</f>
        <v>0</v>
      </c>
      <c r="H61" s="77">
        <f ca="1">IFERROR(__xludf.DUMMYFUNCTION("IMPORTRANGE(""https://docs.google.com/spreadsheets/d/1MeEWN-I1oV_STSDYn1IFDPWt_1FKiwhDph83XaGc0o0/edit?usp=sharing"",""งบพรบ!DX61"")"),0)</f>
        <v>0</v>
      </c>
      <c r="I61" s="77">
        <f ca="1">IFERROR(__xludf.DUMMYFUNCTION("IMPORTRANGE(""https://docs.google.com/spreadsheets/d/1MeEWN-I1oV_STSDYn1IFDPWt_1FKiwhDph83XaGc0o0/edit?usp=sharing"",""งบพรบ!DY61"")"),0)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IFERROR(__xludf.DUMMYFUNCTION("IMPORTRANGE(""https://docs.google.com/spreadsheets/d/1MeEWN-I1oV_STSDYn1IFDPWt_1FKiwhDph83XaGc0o0/edit?usp=sharing"",""งบพรบ!DZ61"")"),0)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IFERROR(__xludf.DUMMYFUNCTION("IMPORTRANGE(""https://docs.google.com/spreadsheets/d/1MeEWN-I1oV_STSDYn1IFDPWt_1FKiwhDph83XaGc0o0/edit?usp=sharing"",""งบพรบ!EA61"")"),0)</f>
        <v>0</v>
      </c>
      <c r="P61" s="80">
        <f t="shared" ca="1" si="23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IFERROR(__xludf.DUMMYFUNCTION("IMPORTRANGE(""https://docs.google.com/spreadsheets/d/1fJJCVBkBnhriyv0Cp5ZFMr0I_yrfdEITNpb4zILJgUQ/edit?usp=sharing"",""ปทุมธานี!J308"")"),0)</f>
        <v>0</v>
      </c>
      <c r="S61" s="297">
        <f ca="1">IFERROR(__xludf.DUMMYFUNCTION("IMPORTRANGE(""https://docs.google.com/spreadsheets/d/1fJJCVBkBnhriyv0Cp5ZFMr0I_yrfdEITNpb4zILJgUQ/edit?usp=sharing"",""ปทุมธานี!I309"")"),0)</f>
        <v>0</v>
      </c>
      <c r="T61" s="173">
        <f ca="1">IFERROR(__xludf.DUMMYFUNCTION("IMPORTRANGE(""https://docs.google.com/spreadsheets/d/1fJJCVBkBnhriyv0Cp5ZFMr0I_yrfdEITNpb4zILJgUQ/edit?usp=sharing"",""ปทุมธานี!J309"")"),0)</f>
        <v>0</v>
      </c>
      <c r="U61" s="177">
        <f t="shared" ca="1" si="21"/>
        <v>0</v>
      </c>
      <c r="V61" s="173">
        <f ca="1">IFERROR(__xludf.DUMMYFUNCTION("IMPORTRANGE(""https://docs.google.com/spreadsheets/d/1fJJCVBkBnhriyv0Cp5ZFMr0I_yrfdEITNpb4zILJgUQ/edit?usp=sharing"",""ปทุมธานี!J310"")"),0)</f>
        <v>0</v>
      </c>
      <c r="W61" s="177">
        <f t="shared" ca="1" si="11"/>
        <v>0</v>
      </c>
      <c r="X61" s="173">
        <f ca="1">IFERROR(__xludf.DUMMYFUNCTION("IMPORTRANGE(""https://docs.google.com/spreadsheets/d/1fJJCVBkBnhriyv0Cp5ZFMr0I_yrfdEITNpb4zILJgUQ/edit?usp=sharing"",""ปทุมธานี!J311"")"),0)</f>
        <v>0</v>
      </c>
      <c r="Y61" s="177">
        <f t="shared" ca="1" si="12"/>
        <v>0</v>
      </c>
      <c r="Z61" s="297">
        <f ca="1">IFERROR(__xludf.DUMMYFUNCTION("IMPORTRANGE(""https://docs.google.com/spreadsheets/d/1fJJCVBkBnhriyv0Cp5ZFMr0I_yrfdEITNpb4zILJgUQ/edit?usp=sharing"",""ปทุมธานี!I312"")"),0)</f>
        <v>0</v>
      </c>
      <c r="AA61" s="173">
        <f ca="1">IFERROR(__xludf.DUMMYFUNCTION("IMPORTRANGE(""https://docs.google.com/spreadsheets/d/1fJJCVBkBnhriyv0Cp5ZFMr0I_yrfdEITNpb4zILJgUQ/edit?usp=sharing"",""ปทุมธานี!J312"")"),0)</f>
        <v>0</v>
      </c>
      <c r="AB61" s="177">
        <f t="shared" ca="1" si="14"/>
        <v>0</v>
      </c>
    </row>
    <row r="62" spans="1:28" ht="21" customHeight="1" x14ac:dyDescent="0.3">
      <c r="A62" s="73">
        <v>10</v>
      </c>
      <c r="B62" s="74" t="s">
        <v>84</v>
      </c>
      <c r="C62" s="75">
        <f t="shared" ca="1" si="0"/>
        <v>0</v>
      </c>
      <c r="D62" s="76">
        <f t="shared" ca="1" si="34"/>
        <v>0</v>
      </c>
      <c r="E62" s="77">
        <f ca="1">IFERROR(__xludf.DUMMYFUNCTION("IMPORTRANGE(""https://docs.google.com/spreadsheets/d/1MeEWN-I1oV_STSDYn1IFDPWt_1FKiwhDph83XaGc0o0/edit?usp=sharing"",""งบพรบ!DT62"")"),0)</f>
        <v>0</v>
      </c>
      <c r="F62" s="77">
        <f ca="1">IFERROR(__xludf.DUMMYFUNCTION("IMPORTRANGE(""https://docs.google.com/spreadsheets/d/1MeEWN-I1oV_STSDYn1IFDPWt_1FKiwhDph83XaGc0o0/edit?usp=sharing"",""งบพรบ!DU62"")"),0)</f>
        <v>0</v>
      </c>
      <c r="G62" s="77">
        <f ca="1">IFERROR(__xludf.DUMMYFUNCTION("IMPORTRANGE(""https://docs.google.com/spreadsheets/d/1MeEWN-I1oV_STSDYn1IFDPWt_1FKiwhDph83XaGc0o0/edit?usp=sharing"",""งบพรบ!DV62"")"),0)</f>
        <v>0</v>
      </c>
      <c r="H62" s="77">
        <f ca="1">IFERROR(__xludf.DUMMYFUNCTION("IMPORTRANGE(""https://docs.google.com/spreadsheets/d/1MeEWN-I1oV_STSDYn1IFDPWt_1FKiwhDph83XaGc0o0/edit?usp=sharing"",""งบพรบ!DX62"")"),0)</f>
        <v>0</v>
      </c>
      <c r="I62" s="77">
        <f ca="1">IFERROR(__xludf.DUMMYFUNCTION("IMPORTRANGE(""https://docs.google.com/spreadsheets/d/1MeEWN-I1oV_STSDYn1IFDPWt_1FKiwhDph83XaGc0o0/edit?usp=sharing"",""งบพรบ!DY62"")"),0)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IFERROR(__xludf.DUMMYFUNCTION("IMPORTRANGE(""https://docs.google.com/spreadsheets/d/1MeEWN-I1oV_STSDYn1IFDPWt_1FKiwhDph83XaGc0o0/edit?usp=sharing"",""งบพรบ!DZ62"")"),0)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IFERROR(__xludf.DUMMYFUNCTION("IMPORTRANGE(""https://docs.google.com/spreadsheets/d/1MeEWN-I1oV_STSDYn1IFDPWt_1FKiwhDph83XaGc0o0/edit?usp=sharing"",""งบพรบ!EA62"")"),0)</f>
        <v>0</v>
      </c>
      <c r="P62" s="80">
        <f t="shared" ca="1" si="23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97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73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77">
        <f t="shared" ca="1" si="21"/>
        <v>0</v>
      </c>
      <c r="V62" s="173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77">
        <f t="shared" ca="1" si="11"/>
        <v>0</v>
      </c>
      <c r="X62" s="173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77">
        <f t="shared" ca="1" si="12"/>
        <v>0</v>
      </c>
      <c r="Z62" s="297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73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77">
        <f t="shared" ca="1" si="14"/>
        <v>0</v>
      </c>
    </row>
    <row r="63" spans="1:28" ht="21" customHeight="1" x14ac:dyDescent="0.3">
      <c r="A63" s="73">
        <v>11</v>
      </c>
      <c r="B63" s="74" t="s">
        <v>85</v>
      </c>
      <c r="C63" s="75">
        <f t="shared" ca="1" si="0"/>
        <v>206800</v>
      </c>
      <c r="D63" s="76">
        <f t="shared" ca="1" si="34"/>
        <v>206800</v>
      </c>
      <c r="E63" s="77">
        <f ca="1">IFERROR(__xludf.DUMMYFUNCTION("IMPORTRANGE(""https://docs.google.com/spreadsheets/d/1MeEWN-I1oV_STSDYn1IFDPWt_1FKiwhDph83XaGc0o0/edit?usp=sharing"",""งบพรบ!DT63"")"),143000)</f>
        <v>143000</v>
      </c>
      <c r="F63" s="77">
        <f ca="1">IFERROR(__xludf.DUMMYFUNCTION("IMPORTRANGE(""https://docs.google.com/spreadsheets/d/1MeEWN-I1oV_STSDYn1IFDPWt_1FKiwhDph83XaGc0o0/edit?usp=sharing"",""งบพรบ!DU63"")"),63800)</f>
        <v>63800</v>
      </c>
      <c r="G63" s="77">
        <f ca="1">IFERROR(__xludf.DUMMYFUNCTION("IMPORTRANGE(""https://docs.google.com/spreadsheets/d/1MeEWN-I1oV_STSDYn1IFDPWt_1FKiwhDph83XaGc0o0/edit?usp=sharing"",""งบพรบ!DV63"")"),0)</f>
        <v>0</v>
      </c>
      <c r="H63" s="77">
        <f ca="1">IFERROR(__xludf.DUMMYFUNCTION("IMPORTRANGE(""https://docs.google.com/spreadsheets/d/1MeEWN-I1oV_STSDYn1IFDPWt_1FKiwhDph83XaGc0o0/edit?usp=sharing"",""งบพรบ!DX63"")"),211210)</f>
        <v>211210</v>
      </c>
      <c r="I63" s="77">
        <f ca="1">IFERROR(__xludf.DUMMYFUNCTION("IMPORTRANGE(""https://docs.google.com/spreadsheets/d/1MeEWN-I1oV_STSDYn1IFDPWt_1FKiwhDph83XaGc0o0/edit?usp=sharing"",""งบพรบ!DY63"")"),0)</f>
        <v>0</v>
      </c>
      <c r="J63" s="77">
        <f t="shared" ca="1" si="3"/>
        <v>198210</v>
      </c>
      <c r="K63" s="78">
        <f t="shared" ca="1" si="4"/>
        <v>95.84622823984526</v>
      </c>
      <c r="L63" s="77">
        <f ca="1">IFERROR(__xludf.DUMMYFUNCTION("IMPORTRANGE(""https://docs.google.com/spreadsheets/d/1MeEWN-I1oV_STSDYn1IFDPWt_1FKiwhDph83XaGc0o0/edit?usp=sharing"",""งบพรบ!DZ63"")"),198210)</f>
        <v>198210</v>
      </c>
      <c r="M63" s="79">
        <f t="shared" ca="1" si="5"/>
        <v>95.84622823984526</v>
      </c>
      <c r="N63" s="79">
        <f t="shared" ca="1" si="6"/>
        <v>93.84498840017045</v>
      </c>
      <c r="O63" s="80">
        <f ca="1">IFERROR(__xludf.DUMMYFUNCTION("IMPORTRANGE(""https://docs.google.com/spreadsheets/d/1MeEWN-I1oV_STSDYn1IFDPWt_1FKiwhDph83XaGc0o0/edit?usp=sharing"",""งบพรบ!EA63"")"),0)</f>
        <v>0</v>
      </c>
      <c r="P63" s="80">
        <f t="shared" ca="1" si="23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IFERROR(__xludf.DUMMYFUNCTION("IMPORTRANGE(""https://docs.google.com/spreadsheets/d/1nYxRXgnCfTXtqUY1otYuTlnrzE0Tn-Y0YRsW5pkRVqo/edit?usp=sharing"",""ปราจีนบุรี!J308"")"),1)</f>
        <v>1</v>
      </c>
      <c r="S63" s="297">
        <f ca="1">IFERROR(__xludf.DUMMYFUNCTION("IMPORTRANGE(""https://docs.google.com/spreadsheets/d/1nYxRXgnCfTXtqUY1otYuTlnrzE0Tn-Y0YRsW5pkRVqo/edit?usp=sharing"",""ปราจีนบุรี!I309"")"),15)</f>
        <v>15</v>
      </c>
      <c r="T63" s="173">
        <f ca="1">IFERROR(__xludf.DUMMYFUNCTION("IMPORTRANGE(""https://docs.google.com/spreadsheets/d/1nYxRXgnCfTXtqUY1otYuTlnrzE0Tn-Y0YRsW5pkRVqo/edit?usp=sharing"",""ปราจีนบุรี!J309"")"),15)</f>
        <v>15</v>
      </c>
      <c r="U63" s="177">
        <f t="shared" ca="1" si="21"/>
        <v>100</v>
      </c>
      <c r="V63" s="173">
        <f ca="1">IFERROR(__xludf.DUMMYFUNCTION("IMPORTRANGE(""https://docs.google.com/spreadsheets/d/1nYxRXgnCfTXtqUY1otYuTlnrzE0Tn-Y0YRsW5pkRVqo/edit?usp=sharing"",""ปราจีนบุรี!J310"")"),15)</f>
        <v>15</v>
      </c>
      <c r="W63" s="177">
        <f t="shared" ca="1" si="11"/>
        <v>100</v>
      </c>
      <c r="X63" s="173">
        <f ca="1">IFERROR(__xludf.DUMMYFUNCTION("IMPORTRANGE(""https://docs.google.com/spreadsheets/d/1nYxRXgnCfTXtqUY1otYuTlnrzE0Tn-Y0YRsW5pkRVqo/edit?usp=sharing"",""ปราจีนบุรี!J311"")"),15)</f>
        <v>15</v>
      </c>
      <c r="Y63" s="177">
        <f t="shared" ca="1" si="12"/>
        <v>100</v>
      </c>
      <c r="Z63" s="297">
        <f ca="1">IFERROR(__xludf.DUMMYFUNCTION("IMPORTRANGE(""https://docs.google.com/spreadsheets/d/1nYxRXgnCfTXtqUY1otYuTlnrzE0Tn-Y0YRsW5pkRVqo/edit?usp=sharing"",""ปราจีนบุรี!I312"")"),3)</f>
        <v>3</v>
      </c>
      <c r="AA63" s="173">
        <f ca="1">IFERROR(__xludf.DUMMYFUNCTION("IMPORTRANGE(""https://docs.google.com/spreadsheets/d/1nYxRXgnCfTXtqUY1otYuTlnrzE0Tn-Y0YRsW5pkRVqo/edit?usp=sharing"",""ปราจีนบุรี!J312"")"),3)</f>
        <v>3</v>
      </c>
      <c r="AB63" s="177">
        <f t="shared" ca="1" si="14"/>
        <v>20</v>
      </c>
    </row>
    <row r="64" spans="1:28" ht="21" customHeight="1" x14ac:dyDescent="0.3">
      <c r="A64" s="73">
        <v>12</v>
      </c>
      <c r="B64" s="74" t="s">
        <v>86</v>
      </c>
      <c r="C64" s="75">
        <f t="shared" ca="1" si="0"/>
        <v>63800</v>
      </c>
      <c r="D64" s="76">
        <f t="shared" ca="1" si="34"/>
        <v>63800</v>
      </c>
      <c r="E64" s="77">
        <f ca="1">IFERROR(__xludf.DUMMYFUNCTION("IMPORTRANGE(""https://docs.google.com/spreadsheets/d/1MeEWN-I1oV_STSDYn1IFDPWt_1FKiwhDph83XaGc0o0/edit?usp=sharing"",""งบพรบ!DT64"")"),0)</f>
        <v>0</v>
      </c>
      <c r="F64" s="77">
        <f ca="1">IFERROR(__xludf.DUMMYFUNCTION("IMPORTRANGE(""https://docs.google.com/spreadsheets/d/1MeEWN-I1oV_STSDYn1IFDPWt_1FKiwhDph83XaGc0o0/edit?usp=sharing"",""งบพรบ!DU64"")"),63800)</f>
        <v>63800</v>
      </c>
      <c r="G64" s="77">
        <f ca="1">IFERROR(__xludf.DUMMYFUNCTION("IMPORTRANGE(""https://docs.google.com/spreadsheets/d/1MeEWN-I1oV_STSDYn1IFDPWt_1FKiwhDph83XaGc0o0/edit?usp=sharing"",""งบพรบ!DV64"")"),0)</f>
        <v>0</v>
      </c>
      <c r="H64" s="77">
        <f ca="1">IFERROR(__xludf.DUMMYFUNCTION("IMPORTRANGE(""https://docs.google.com/spreadsheets/d/1MeEWN-I1oV_STSDYn1IFDPWt_1FKiwhDph83XaGc0o0/edit?usp=sharing"",""งบพรบ!DX64"")"),63800)</f>
        <v>63800</v>
      </c>
      <c r="I64" s="77">
        <f ca="1">IFERROR(__xludf.DUMMYFUNCTION("IMPORTRANGE(""https://docs.google.com/spreadsheets/d/1MeEWN-I1oV_STSDYn1IFDPWt_1FKiwhDph83XaGc0o0/edit?usp=sharing"",""งบพรบ!DY64"")"),0)</f>
        <v>0</v>
      </c>
      <c r="J64" s="77">
        <f t="shared" ca="1" si="3"/>
        <v>63800</v>
      </c>
      <c r="K64" s="78">
        <f t="shared" ca="1" si="4"/>
        <v>100</v>
      </c>
      <c r="L64" s="77">
        <f ca="1">IFERROR(__xludf.DUMMYFUNCTION("IMPORTRANGE(""https://docs.google.com/spreadsheets/d/1MeEWN-I1oV_STSDYn1IFDPWt_1FKiwhDph83XaGc0o0/edit?usp=sharing"",""งบพรบ!DZ64"")"),63800)</f>
        <v>63800</v>
      </c>
      <c r="M64" s="79">
        <f t="shared" ca="1" si="5"/>
        <v>100</v>
      </c>
      <c r="N64" s="79">
        <f t="shared" ca="1" si="6"/>
        <v>100</v>
      </c>
      <c r="O64" s="80">
        <f ca="1">IFERROR(__xludf.DUMMYFUNCTION("IMPORTRANGE(""https://docs.google.com/spreadsheets/d/1MeEWN-I1oV_STSDYn1IFDPWt_1FKiwhDph83XaGc0o0/edit?usp=sharing"",""งบพรบ!EA64"")"),0)</f>
        <v>0</v>
      </c>
      <c r="P64" s="80">
        <f t="shared" ca="1" si="23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97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73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77">
        <f t="shared" ca="1" si="21"/>
        <v>100</v>
      </c>
      <c r="V64" s="173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77">
        <f t="shared" ca="1" si="11"/>
        <v>100</v>
      </c>
      <c r="X64" s="173">
        <f ca="1">IFERROR(__xludf.DUMMYFUNCTION("IMPORTRANGE(""https://docs.google.com/spreadsheets/d/1nNHCLO8ZAXOMfQvxux7cf_hrzPAh8FAvaHq_ClKbZNo/edit?usp=sharing"",""พระนครศรีอยุธยา!J311"")"),15)</f>
        <v>15</v>
      </c>
      <c r="Y64" s="177">
        <f t="shared" ca="1" si="12"/>
        <v>100</v>
      </c>
      <c r="Z64" s="297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73">
        <f ca="1">IFERROR(__xludf.DUMMYFUNCTION("IMPORTRANGE(""https://docs.google.com/spreadsheets/d/1nNHCLO8ZAXOMfQvxux7cf_hrzPAh8FAvaHq_ClKbZNo/edit?usp=sharing"",""พระนครศรีอยุธยา!J312"")"),3)</f>
        <v>3</v>
      </c>
      <c r="AB64" s="177">
        <f t="shared" ca="1" si="14"/>
        <v>20</v>
      </c>
    </row>
    <row r="65" spans="1:28" ht="21" customHeight="1" x14ac:dyDescent="0.3">
      <c r="A65" s="73">
        <v>13</v>
      </c>
      <c r="B65" s="74" t="s">
        <v>87</v>
      </c>
      <c r="C65" s="75">
        <f t="shared" ca="1" si="0"/>
        <v>0</v>
      </c>
      <c r="D65" s="76">
        <f t="shared" ca="1" si="34"/>
        <v>0</v>
      </c>
      <c r="E65" s="77">
        <f ca="1">IFERROR(__xludf.DUMMYFUNCTION("IMPORTRANGE(""https://docs.google.com/spreadsheets/d/1MeEWN-I1oV_STSDYn1IFDPWt_1FKiwhDph83XaGc0o0/edit?usp=sharing"",""งบพรบ!DT65"")"),0)</f>
        <v>0</v>
      </c>
      <c r="F65" s="77">
        <f ca="1">IFERROR(__xludf.DUMMYFUNCTION("IMPORTRANGE(""https://docs.google.com/spreadsheets/d/1MeEWN-I1oV_STSDYn1IFDPWt_1FKiwhDph83XaGc0o0/edit?usp=sharing"",""งบพรบ!DU65"")"),0)</f>
        <v>0</v>
      </c>
      <c r="G65" s="77">
        <f ca="1">IFERROR(__xludf.DUMMYFUNCTION("IMPORTRANGE(""https://docs.google.com/spreadsheets/d/1MeEWN-I1oV_STSDYn1IFDPWt_1FKiwhDph83XaGc0o0/edit?usp=sharing"",""งบพรบ!DV65"")"),0)</f>
        <v>0</v>
      </c>
      <c r="H65" s="77">
        <f ca="1">IFERROR(__xludf.DUMMYFUNCTION("IMPORTRANGE(""https://docs.google.com/spreadsheets/d/1MeEWN-I1oV_STSDYn1IFDPWt_1FKiwhDph83XaGc0o0/edit?usp=sharing"",""งบพรบ!DX65"")"),0)</f>
        <v>0</v>
      </c>
      <c r="I65" s="77">
        <f ca="1">IFERROR(__xludf.DUMMYFUNCTION("IMPORTRANGE(""https://docs.google.com/spreadsheets/d/1MeEWN-I1oV_STSDYn1IFDPWt_1FKiwhDph83XaGc0o0/edit?usp=sharing"",""งบพรบ!DY65"")"),0)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IFERROR(__xludf.DUMMYFUNCTION("IMPORTRANGE(""https://docs.google.com/spreadsheets/d/1MeEWN-I1oV_STSDYn1IFDPWt_1FKiwhDph83XaGc0o0/edit?usp=sharing"",""งบพรบ!DZ65"")"),0)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IFERROR(__xludf.DUMMYFUNCTION("IMPORTRANGE(""https://docs.google.com/spreadsheets/d/1MeEWN-I1oV_STSDYn1IFDPWt_1FKiwhDph83XaGc0o0/edit?usp=sharing"",""งบพรบ!EA65"")"),0)</f>
        <v>0</v>
      </c>
      <c r="P65" s="80">
        <f t="shared" ca="1" si="23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IFERROR(__xludf.DUMMYFUNCTION("IMPORTRANGE(""https://docs.google.com/spreadsheets/d/1CdNicvf3i6yt4tJlCePe3V1Va76wYqW0QzMzTsaGRrA/edit?usp=sharing"",""เพชรบุรี!J308"")"),0)</f>
        <v>0</v>
      </c>
      <c r="S65" s="297">
        <f ca="1">IFERROR(__xludf.DUMMYFUNCTION("IMPORTRANGE(""https://docs.google.com/spreadsheets/d/1CdNicvf3i6yt4tJlCePe3V1Va76wYqW0QzMzTsaGRrA/edit?usp=sharing"",""เพชรบุรี!I309"")"),0)</f>
        <v>0</v>
      </c>
      <c r="T65" s="173">
        <f ca="1">IFERROR(__xludf.DUMMYFUNCTION("IMPORTRANGE(""https://docs.google.com/spreadsheets/d/1CdNicvf3i6yt4tJlCePe3V1Va76wYqW0QzMzTsaGRrA/edit?usp=sharing"",""เพชรบุรี!J309"")"),0)</f>
        <v>0</v>
      </c>
      <c r="U65" s="177">
        <f t="shared" ca="1" si="21"/>
        <v>0</v>
      </c>
      <c r="V65" s="173">
        <f ca="1">IFERROR(__xludf.DUMMYFUNCTION("IMPORTRANGE(""https://docs.google.com/spreadsheets/d/1CdNicvf3i6yt4tJlCePe3V1Va76wYqW0QzMzTsaGRrA/edit?usp=sharing"",""เพชรบุรี!J310"")"),0)</f>
        <v>0</v>
      </c>
      <c r="W65" s="177">
        <f t="shared" ca="1" si="11"/>
        <v>0</v>
      </c>
      <c r="X65" s="173">
        <f ca="1">IFERROR(__xludf.DUMMYFUNCTION("IMPORTRANGE(""https://docs.google.com/spreadsheets/d/1CdNicvf3i6yt4tJlCePe3V1Va76wYqW0QzMzTsaGRrA/edit?usp=sharing"",""เพชรบุรี!J311"")"),0)</f>
        <v>0</v>
      </c>
      <c r="Y65" s="177">
        <f t="shared" ca="1" si="12"/>
        <v>0</v>
      </c>
      <c r="Z65" s="297">
        <f ca="1">IFERROR(__xludf.DUMMYFUNCTION("IMPORTRANGE(""https://docs.google.com/spreadsheets/d/1CdNicvf3i6yt4tJlCePe3V1Va76wYqW0QzMzTsaGRrA/edit?usp=sharing"",""เพชรบุรี!I312"")"),0)</f>
        <v>0</v>
      </c>
      <c r="AA65" s="173">
        <f ca="1">IFERROR(__xludf.DUMMYFUNCTION("IMPORTRANGE(""https://docs.google.com/spreadsheets/d/1CdNicvf3i6yt4tJlCePe3V1Va76wYqW0QzMzTsaGRrA/edit?usp=sharing"",""เพชรบุรี!J312"")"),0)</f>
        <v>0</v>
      </c>
      <c r="AB65" s="177">
        <f t="shared" ca="1" si="14"/>
        <v>0</v>
      </c>
    </row>
    <row r="66" spans="1:28" ht="21" customHeight="1" x14ac:dyDescent="0.3">
      <c r="A66" s="73">
        <v>14</v>
      </c>
      <c r="B66" s="74" t="s">
        <v>88</v>
      </c>
      <c r="C66" s="75">
        <f t="shared" ca="1" si="0"/>
        <v>244000</v>
      </c>
      <c r="D66" s="76">
        <f t="shared" ca="1" si="34"/>
        <v>244000</v>
      </c>
      <c r="E66" s="77">
        <f ca="1">IFERROR(__xludf.DUMMYFUNCTION("IMPORTRANGE(""https://docs.google.com/spreadsheets/d/1MeEWN-I1oV_STSDYn1IFDPWt_1FKiwhDph83XaGc0o0/edit?usp=sharing"",""งบพรบ!DT66"")"),143000)</f>
        <v>143000</v>
      </c>
      <c r="F66" s="77">
        <f ca="1">IFERROR(__xludf.DUMMYFUNCTION("IMPORTRANGE(""https://docs.google.com/spreadsheets/d/1MeEWN-I1oV_STSDYn1IFDPWt_1FKiwhDph83XaGc0o0/edit?usp=sharing"",""งบพรบ!DU66"")"),101000)</f>
        <v>101000</v>
      </c>
      <c r="G66" s="77">
        <f ca="1">IFERROR(__xludf.DUMMYFUNCTION("IMPORTRANGE(""https://docs.google.com/spreadsheets/d/1MeEWN-I1oV_STSDYn1IFDPWt_1FKiwhDph83XaGc0o0/edit?usp=sharing"",""งบพรบ!DV66"")"),0)</f>
        <v>0</v>
      </c>
      <c r="H66" s="77">
        <f ca="1">IFERROR(__xludf.DUMMYFUNCTION("IMPORTRANGE(""https://docs.google.com/spreadsheets/d/1MeEWN-I1oV_STSDYn1IFDPWt_1FKiwhDph83XaGc0o0/edit?usp=sharing"",""งบพรบ!DX66"")"),257000)</f>
        <v>257000</v>
      </c>
      <c r="I66" s="77">
        <f ca="1">IFERROR(__xludf.DUMMYFUNCTION("IMPORTRANGE(""https://docs.google.com/spreadsheets/d/1MeEWN-I1oV_STSDYn1IFDPWt_1FKiwhDph83XaGc0o0/edit?usp=sharing"",""งบพรบ!DY66"")"),0)</f>
        <v>0</v>
      </c>
      <c r="J66" s="77">
        <f t="shared" ca="1" si="3"/>
        <v>235062</v>
      </c>
      <c r="K66" s="78">
        <f t="shared" ca="1" si="4"/>
        <v>96.336885245901641</v>
      </c>
      <c r="L66" s="77">
        <f ca="1">IFERROR(__xludf.DUMMYFUNCTION("IMPORTRANGE(""https://docs.google.com/spreadsheets/d/1MeEWN-I1oV_STSDYn1IFDPWt_1FKiwhDph83XaGc0o0/edit?usp=sharing"",""งบพรบ!DZ66"")"),235062)</f>
        <v>235062</v>
      </c>
      <c r="M66" s="79">
        <f t="shared" ca="1" si="5"/>
        <v>96.336885245901641</v>
      </c>
      <c r="N66" s="79">
        <f t="shared" ca="1" si="6"/>
        <v>91.463813229571983</v>
      </c>
      <c r="O66" s="80">
        <f ca="1">IFERROR(__xludf.DUMMYFUNCTION("IMPORTRANGE(""https://docs.google.com/spreadsheets/d/1MeEWN-I1oV_STSDYn1IFDPWt_1FKiwhDph83XaGc0o0/edit?usp=sharing"",""งบพรบ!EA66"")"),0)</f>
        <v>0</v>
      </c>
      <c r="P66" s="80">
        <f t="shared" ca="1" si="23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IFERROR(__xludf.DUMMYFUNCTION("IMPORTRANGE(""https://docs.google.com/spreadsheets/d/1XiF77UIVHV0Kjc6xbXuOuJ10WgJYxd4p_22ngKVV5oM/edit?usp=sharing"",""ระยอง!J308"")"),1)</f>
        <v>1</v>
      </c>
      <c r="S66" s="297">
        <f ca="1">IFERROR(__xludf.DUMMYFUNCTION("IMPORTRANGE(""https://docs.google.com/spreadsheets/d/1XiF77UIVHV0Kjc6xbXuOuJ10WgJYxd4p_22ngKVV5oM/edit?usp=sharing"",""ระยอง!I309"")"),25)</f>
        <v>25</v>
      </c>
      <c r="T66" s="173">
        <f ca="1">IFERROR(__xludf.DUMMYFUNCTION("IMPORTRANGE(""https://docs.google.com/spreadsheets/d/1XiF77UIVHV0Kjc6xbXuOuJ10WgJYxd4p_22ngKVV5oM/edit?usp=sharing"",""ระยอง!J309"")"),25)</f>
        <v>25</v>
      </c>
      <c r="U66" s="177">
        <f t="shared" ca="1" si="21"/>
        <v>100</v>
      </c>
      <c r="V66" s="173">
        <f ca="1">IFERROR(__xludf.DUMMYFUNCTION("IMPORTRANGE(""https://docs.google.com/spreadsheets/d/1XiF77UIVHV0Kjc6xbXuOuJ10WgJYxd4p_22ngKVV5oM/edit?usp=sharing"",""ระยอง!J310"")"),25)</f>
        <v>25</v>
      </c>
      <c r="W66" s="177">
        <f t="shared" ca="1" si="11"/>
        <v>100</v>
      </c>
      <c r="X66" s="173">
        <f ca="1">IFERROR(__xludf.DUMMYFUNCTION("IMPORTRANGE(""https://docs.google.com/spreadsheets/d/1XiF77UIVHV0Kjc6xbXuOuJ10WgJYxd4p_22ngKVV5oM/edit?usp=sharing"",""ระยอง!J311"")"),25)</f>
        <v>25</v>
      </c>
      <c r="Y66" s="177">
        <f t="shared" ca="1" si="12"/>
        <v>100</v>
      </c>
      <c r="Z66" s="297">
        <f ca="1">IFERROR(__xludf.DUMMYFUNCTION("IMPORTRANGE(""https://docs.google.com/spreadsheets/d/1XiF77UIVHV0Kjc6xbXuOuJ10WgJYxd4p_22ngKVV5oM/edit?usp=sharing"",""ระยอง!I312"")"),5)</f>
        <v>5</v>
      </c>
      <c r="AA66" s="173">
        <f ca="1">IFERROR(__xludf.DUMMYFUNCTION("IMPORTRANGE(""https://docs.google.com/spreadsheets/d/1XiF77UIVHV0Kjc6xbXuOuJ10WgJYxd4p_22ngKVV5oM/edit?usp=sharing"",""ระยอง!J312"")"),5)</f>
        <v>5</v>
      </c>
      <c r="AB66" s="177">
        <f t="shared" ca="1" si="14"/>
        <v>20</v>
      </c>
    </row>
    <row r="67" spans="1:28" ht="21" customHeight="1" x14ac:dyDescent="0.3">
      <c r="A67" s="73">
        <v>15</v>
      </c>
      <c r="B67" s="74" t="s">
        <v>89</v>
      </c>
      <c r="C67" s="75">
        <f t="shared" ca="1" si="0"/>
        <v>206800</v>
      </c>
      <c r="D67" s="76">
        <f t="shared" ca="1" si="34"/>
        <v>206800</v>
      </c>
      <c r="E67" s="77">
        <f ca="1">IFERROR(__xludf.DUMMYFUNCTION("IMPORTRANGE(""https://docs.google.com/spreadsheets/d/1MeEWN-I1oV_STSDYn1IFDPWt_1FKiwhDph83XaGc0o0/edit?usp=sharing"",""งบพรบ!DT67"")"),143000)</f>
        <v>143000</v>
      </c>
      <c r="F67" s="77">
        <f ca="1">IFERROR(__xludf.DUMMYFUNCTION("IMPORTRANGE(""https://docs.google.com/spreadsheets/d/1MeEWN-I1oV_STSDYn1IFDPWt_1FKiwhDph83XaGc0o0/edit?usp=sharing"",""งบพรบ!DU67"")"),63800)</f>
        <v>63800</v>
      </c>
      <c r="G67" s="77">
        <f ca="1">IFERROR(__xludf.DUMMYFUNCTION("IMPORTRANGE(""https://docs.google.com/spreadsheets/d/1MeEWN-I1oV_STSDYn1IFDPWt_1FKiwhDph83XaGc0o0/edit?usp=sharing"",""งบพรบ!DV67"")"),0)</f>
        <v>0</v>
      </c>
      <c r="H67" s="77">
        <f ca="1">IFERROR(__xludf.DUMMYFUNCTION("IMPORTRANGE(""https://docs.google.com/spreadsheets/d/1MeEWN-I1oV_STSDYn1IFDPWt_1FKiwhDph83XaGc0o0/edit?usp=sharing"",""งบพรบ!DX67"")"),219300)</f>
        <v>219300</v>
      </c>
      <c r="I67" s="77">
        <f ca="1">IFERROR(__xludf.DUMMYFUNCTION("IMPORTRANGE(""https://docs.google.com/spreadsheets/d/1MeEWN-I1oV_STSDYn1IFDPWt_1FKiwhDph83XaGc0o0/edit?usp=sharing"",""งบพรบ!DY67"")"),0)</f>
        <v>0</v>
      </c>
      <c r="J67" s="77">
        <f t="shared" ca="1" si="3"/>
        <v>196168.17</v>
      </c>
      <c r="K67" s="78">
        <f t="shared" ca="1" si="4"/>
        <v>94.8588829787234</v>
      </c>
      <c r="L67" s="77">
        <f ca="1">IFERROR(__xludf.DUMMYFUNCTION("IMPORTRANGE(""https://docs.google.com/spreadsheets/d/1MeEWN-I1oV_STSDYn1IFDPWt_1FKiwhDph83XaGc0o0/edit?usp=sharing"",""งบพรบ!DZ67"")"),196168.17)</f>
        <v>196168.17</v>
      </c>
      <c r="M67" s="79">
        <f t="shared" ca="1" si="5"/>
        <v>94.8588829787234</v>
      </c>
      <c r="N67" s="79">
        <f t="shared" ca="1" si="6"/>
        <v>89.451969904240769</v>
      </c>
      <c r="O67" s="80">
        <f ca="1">IFERROR(__xludf.DUMMYFUNCTION("IMPORTRANGE(""https://docs.google.com/spreadsheets/d/1MeEWN-I1oV_STSDYn1IFDPWt_1FKiwhDph83XaGc0o0/edit?usp=sharing"",""งบพรบ!EA67"")"),0)</f>
        <v>0</v>
      </c>
      <c r="P67" s="80">
        <f t="shared" ca="1" si="23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IFERROR(__xludf.DUMMYFUNCTION("IMPORTRANGE(""https://docs.google.com/spreadsheets/d/1qU-W_9MCQD1pgIVXGEOjCFo9QqlmJywuebyGgaN92r8/edit?usp=sharing"",""ราชบุรี!J308"")"),1)</f>
        <v>1</v>
      </c>
      <c r="S67" s="297">
        <f ca="1">IFERROR(__xludf.DUMMYFUNCTION("IMPORTRANGE(""https://docs.google.com/spreadsheets/d/1qU-W_9MCQD1pgIVXGEOjCFo9QqlmJywuebyGgaN92r8/edit?usp=sharing"",""ราชบุรี!I309"")"),15)</f>
        <v>15</v>
      </c>
      <c r="T67" s="173">
        <f ca="1">IFERROR(__xludf.DUMMYFUNCTION("IMPORTRANGE(""https://docs.google.com/spreadsheets/d/1qU-W_9MCQD1pgIVXGEOjCFo9QqlmJywuebyGgaN92r8/edit?usp=sharing"",""ราชบุรี!J309"")"),15)</f>
        <v>15</v>
      </c>
      <c r="U67" s="177">
        <f t="shared" ca="1" si="21"/>
        <v>100</v>
      </c>
      <c r="V67" s="173">
        <f ca="1">IFERROR(__xludf.DUMMYFUNCTION("IMPORTRANGE(""https://docs.google.com/spreadsheets/d/1qU-W_9MCQD1pgIVXGEOjCFo9QqlmJywuebyGgaN92r8/edit?usp=sharing"",""ราชบุรี!J310"")"),15)</f>
        <v>15</v>
      </c>
      <c r="W67" s="177">
        <f t="shared" ca="1" si="11"/>
        <v>100</v>
      </c>
      <c r="X67" s="173">
        <f ca="1">IFERROR(__xludf.DUMMYFUNCTION("IMPORTRANGE(""https://docs.google.com/spreadsheets/d/1qU-W_9MCQD1pgIVXGEOjCFo9QqlmJywuebyGgaN92r8/edit?usp=sharing"",""ราชบุรี!J311"")"),15)</f>
        <v>15</v>
      </c>
      <c r="Y67" s="177">
        <f t="shared" ca="1" si="12"/>
        <v>100</v>
      </c>
      <c r="Z67" s="297">
        <f ca="1">IFERROR(__xludf.DUMMYFUNCTION("IMPORTRANGE(""https://docs.google.com/spreadsheets/d/1qU-W_9MCQD1pgIVXGEOjCFo9QqlmJywuebyGgaN92r8/edit?usp=sharing"",""ราชบุรี!I312"")"),3)</f>
        <v>3</v>
      </c>
      <c r="AA67" s="173">
        <f ca="1">IFERROR(__xludf.DUMMYFUNCTION("IMPORTRANGE(""https://docs.google.com/spreadsheets/d/1qU-W_9MCQD1pgIVXGEOjCFo9QqlmJywuebyGgaN92r8/edit?usp=sharing"",""ราชบุรี!J312"")"),3)</f>
        <v>3</v>
      </c>
      <c r="AB67" s="177">
        <f t="shared" ca="1" si="14"/>
        <v>20</v>
      </c>
    </row>
    <row r="68" spans="1:28" ht="24" customHeight="1" x14ac:dyDescent="0.3">
      <c r="A68" s="73">
        <v>16</v>
      </c>
      <c r="B68" s="74" t="s">
        <v>90</v>
      </c>
      <c r="C68" s="75">
        <f t="shared" ca="1" si="0"/>
        <v>101000</v>
      </c>
      <c r="D68" s="76">
        <f t="shared" ca="1" si="34"/>
        <v>101000</v>
      </c>
      <c r="E68" s="77">
        <f ca="1">IFERROR(__xludf.DUMMYFUNCTION("IMPORTRANGE(""https://docs.google.com/spreadsheets/d/1MeEWN-I1oV_STSDYn1IFDPWt_1FKiwhDph83XaGc0o0/edit?usp=sharing"",""งบพรบ!DT68"")"),0)</f>
        <v>0</v>
      </c>
      <c r="F68" s="77">
        <f ca="1">IFERROR(__xludf.DUMMYFUNCTION("IMPORTRANGE(""https://docs.google.com/spreadsheets/d/1MeEWN-I1oV_STSDYn1IFDPWt_1FKiwhDph83XaGc0o0/edit?usp=sharing"",""งบพรบ!DU68"")"),101000)</f>
        <v>101000</v>
      </c>
      <c r="G68" s="77">
        <f ca="1">IFERROR(__xludf.DUMMYFUNCTION("IMPORTRANGE(""https://docs.google.com/spreadsheets/d/1MeEWN-I1oV_STSDYn1IFDPWt_1FKiwhDph83XaGc0o0/edit?usp=sharing"",""งบพรบ!DV68"")"),0)</f>
        <v>0</v>
      </c>
      <c r="H68" s="77">
        <f ca="1">IFERROR(__xludf.DUMMYFUNCTION("IMPORTRANGE(""https://docs.google.com/spreadsheets/d/1MeEWN-I1oV_STSDYn1IFDPWt_1FKiwhDph83XaGc0o0/edit?usp=sharing"",""งบพรบ!DX68"")"),101000)</f>
        <v>101000</v>
      </c>
      <c r="I68" s="77">
        <f ca="1">IFERROR(__xludf.DUMMYFUNCTION("IMPORTRANGE(""https://docs.google.com/spreadsheets/d/1MeEWN-I1oV_STSDYn1IFDPWt_1FKiwhDph83XaGc0o0/edit?usp=sharing"",""งบพรบ!DY68"")"),0)</f>
        <v>0</v>
      </c>
      <c r="J68" s="77">
        <f t="shared" ca="1" si="3"/>
        <v>101000</v>
      </c>
      <c r="K68" s="78">
        <f t="shared" ca="1" si="4"/>
        <v>100</v>
      </c>
      <c r="L68" s="77">
        <f ca="1">IFERROR(__xludf.DUMMYFUNCTION("IMPORTRANGE(""https://docs.google.com/spreadsheets/d/1MeEWN-I1oV_STSDYn1IFDPWt_1FKiwhDph83XaGc0o0/edit?usp=sharing"",""งบพรบ!DZ68"")"),101000)</f>
        <v>101000</v>
      </c>
      <c r="M68" s="79">
        <f t="shared" ca="1" si="5"/>
        <v>100</v>
      </c>
      <c r="N68" s="79">
        <f t="shared" ca="1" si="6"/>
        <v>100</v>
      </c>
      <c r="O68" s="80">
        <f ca="1">IFERROR(__xludf.DUMMYFUNCTION("IMPORTRANGE(""https://docs.google.com/spreadsheets/d/1MeEWN-I1oV_STSDYn1IFDPWt_1FKiwhDph83XaGc0o0/edit?usp=sharing"",""งบพรบ!EA68"")"),0)</f>
        <v>0</v>
      </c>
      <c r="P68" s="80">
        <f t="shared" ca="1" si="23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IFERROR(__xludf.DUMMYFUNCTION("IMPORTRANGE(""https://docs.google.com/spreadsheets/d/1xYFIxIM_CspAP5Q-5Zx_V0T_Ut3cjryrjd2hss28vGk/edit?usp=sharing"",""ลพบุรี!J308"")"),1)</f>
        <v>1</v>
      </c>
      <c r="S68" s="297">
        <f ca="1">IFERROR(__xludf.DUMMYFUNCTION("IMPORTRANGE(""https://docs.google.com/spreadsheets/d/1xYFIxIM_CspAP5Q-5Zx_V0T_Ut3cjryrjd2hss28vGk/edit?usp=sharing"",""ลพบุรี!I309"")"),25)</f>
        <v>25</v>
      </c>
      <c r="T68" s="173">
        <f ca="1">IFERROR(__xludf.DUMMYFUNCTION("IMPORTRANGE(""https://docs.google.com/spreadsheets/d/1xYFIxIM_CspAP5Q-5Zx_V0T_Ut3cjryrjd2hss28vGk/edit?usp=sharing"",""ลพบุรี!J309"")"),25)</f>
        <v>25</v>
      </c>
      <c r="U68" s="177">
        <f t="shared" ca="1" si="21"/>
        <v>100</v>
      </c>
      <c r="V68" s="173">
        <f ca="1">IFERROR(__xludf.DUMMYFUNCTION("IMPORTRANGE(""https://docs.google.com/spreadsheets/d/1xYFIxIM_CspAP5Q-5Zx_V0T_Ut3cjryrjd2hss28vGk/edit?usp=sharing"",""ลพบุรี!J310"")"),25)</f>
        <v>25</v>
      </c>
      <c r="W68" s="177">
        <f t="shared" ca="1" si="11"/>
        <v>100</v>
      </c>
      <c r="X68" s="173">
        <f ca="1">IFERROR(__xludf.DUMMYFUNCTION("IMPORTRANGE(""https://docs.google.com/spreadsheets/d/1xYFIxIM_CspAP5Q-5Zx_V0T_Ut3cjryrjd2hss28vGk/edit?usp=sharing"",""ลพบุรี!J311"")"),25)</f>
        <v>25</v>
      </c>
      <c r="Y68" s="177">
        <f t="shared" ca="1" si="12"/>
        <v>100</v>
      </c>
      <c r="Z68" s="297">
        <f ca="1">IFERROR(__xludf.DUMMYFUNCTION("IMPORTRANGE(""https://docs.google.com/spreadsheets/d/1xYFIxIM_CspAP5Q-5Zx_V0T_Ut3cjryrjd2hss28vGk/edit?usp=sharing"",""ลพบุรี!I312"")"),5)</f>
        <v>5</v>
      </c>
      <c r="AA68" s="173">
        <f ca="1">IFERROR(__xludf.DUMMYFUNCTION("IMPORTRANGE(""https://docs.google.com/spreadsheets/d/1xYFIxIM_CspAP5Q-5Zx_V0T_Ut3cjryrjd2hss28vGk/edit?usp=sharing"",""ลพบุรี!J312"")"),5)</f>
        <v>5</v>
      </c>
      <c r="AB68" s="177">
        <f t="shared" ca="1" si="14"/>
        <v>20</v>
      </c>
    </row>
    <row r="69" spans="1:28" ht="21" customHeight="1" x14ac:dyDescent="0.3">
      <c r="A69" s="73">
        <v>17</v>
      </c>
      <c r="B69" s="74" t="s">
        <v>91</v>
      </c>
      <c r="C69" s="75">
        <f t="shared" ca="1" si="0"/>
        <v>0</v>
      </c>
      <c r="D69" s="76">
        <f t="shared" ca="1" si="34"/>
        <v>0</v>
      </c>
      <c r="E69" s="77">
        <f ca="1">IFERROR(__xludf.DUMMYFUNCTION("IMPORTRANGE(""https://docs.google.com/spreadsheets/d/1MeEWN-I1oV_STSDYn1IFDPWt_1FKiwhDph83XaGc0o0/edit?usp=sharing"",""งบพรบ!DT69"")"),0)</f>
        <v>0</v>
      </c>
      <c r="F69" s="77">
        <f ca="1">IFERROR(__xludf.DUMMYFUNCTION("IMPORTRANGE(""https://docs.google.com/spreadsheets/d/1MeEWN-I1oV_STSDYn1IFDPWt_1FKiwhDph83XaGc0o0/edit?usp=sharing"",""งบพรบ!DU69"")"),0)</f>
        <v>0</v>
      </c>
      <c r="G69" s="77">
        <f ca="1">IFERROR(__xludf.DUMMYFUNCTION("IMPORTRANGE(""https://docs.google.com/spreadsheets/d/1MeEWN-I1oV_STSDYn1IFDPWt_1FKiwhDph83XaGc0o0/edit?usp=sharing"",""งบพรบ!DV69"")"),0)</f>
        <v>0</v>
      </c>
      <c r="H69" s="77">
        <f ca="1">IFERROR(__xludf.DUMMYFUNCTION("IMPORTRANGE(""https://docs.google.com/spreadsheets/d/1MeEWN-I1oV_STSDYn1IFDPWt_1FKiwhDph83XaGc0o0/edit?usp=sharing"",""งบพรบ!DX69"")"),0)</f>
        <v>0</v>
      </c>
      <c r="I69" s="77">
        <f ca="1">IFERROR(__xludf.DUMMYFUNCTION("IMPORTRANGE(""https://docs.google.com/spreadsheets/d/1MeEWN-I1oV_STSDYn1IFDPWt_1FKiwhDph83XaGc0o0/edit?usp=sharing"",""งบพรบ!DY69"")"),0)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IFERROR(__xludf.DUMMYFUNCTION("IMPORTRANGE(""https://docs.google.com/spreadsheets/d/1MeEWN-I1oV_STSDYn1IFDPWt_1FKiwhDph83XaGc0o0/edit?usp=sharing"",""งบพรบ!DZ69"")"),0)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IFERROR(__xludf.DUMMYFUNCTION("IMPORTRANGE(""https://docs.google.com/spreadsheets/d/1MeEWN-I1oV_STSDYn1IFDPWt_1FKiwhDph83XaGc0o0/edit?usp=sharing"",""งบพรบ!EA69"")"),0)</f>
        <v>0</v>
      </c>
      <c r="P69" s="80">
        <f t="shared" ca="1" si="23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IFERROR(__xludf.DUMMYFUNCTION("IMPORTRANGE(""https://docs.google.com/spreadsheets/d/11s9m3tKsCBdPWq6syhZm27eBGbKneDLZc75co106bio/edit?usp=sharing"",""สระแก้ว!J308"")"),0)</f>
        <v>0</v>
      </c>
      <c r="S69" s="297">
        <f ca="1">IFERROR(__xludf.DUMMYFUNCTION("IMPORTRANGE(""https://docs.google.com/spreadsheets/d/11s9m3tKsCBdPWq6syhZm27eBGbKneDLZc75co106bio/edit?usp=sharing"",""สระแก้ว!I309"")"),0)</f>
        <v>0</v>
      </c>
      <c r="T69" s="173">
        <f ca="1">IFERROR(__xludf.DUMMYFUNCTION("IMPORTRANGE(""https://docs.google.com/spreadsheets/d/11s9m3tKsCBdPWq6syhZm27eBGbKneDLZc75co106bio/edit?usp=sharing"",""สระแก้ว!J309"")"),0)</f>
        <v>0</v>
      </c>
      <c r="U69" s="177">
        <f t="shared" ca="1" si="21"/>
        <v>0</v>
      </c>
      <c r="V69" s="173">
        <f ca="1">IFERROR(__xludf.DUMMYFUNCTION("IMPORTRANGE(""https://docs.google.com/spreadsheets/d/11s9m3tKsCBdPWq6syhZm27eBGbKneDLZc75co106bio/edit?usp=sharing"",""สระแก้ว!J310"")"),0)</f>
        <v>0</v>
      </c>
      <c r="W69" s="177">
        <f t="shared" ca="1" si="11"/>
        <v>0</v>
      </c>
      <c r="X69" s="173">
        <f ca="1">IFERROR(__xludf.DUMMYFUNCTION("IMPORTRANGE(""https://docs.google.com/spreadsheets/d/11s9m3tKsCBdPWq6syhZm27eBGbKneDLZc75co106bio/edit?usp=sharing"",""สระแก้ว!J311"")"),0)</f>
        <v>0</v>
      </c>
      <c r="Y69" s="177">
        <f t="shared" ca="1" si="12"/>
        <v>0</v>
      </c>
      <c r="Z69" s="297">
        <f ca="1">IFERROR(__xludf.DUMMYFUNCTION("IMPORTRANGE(""https://docs.google.com/spreadsheets/d/11s9m3tKsCBdPWq6syhZm27eBGbKneDLZc75co106bio/edit?usp=sharing"",""สระแก้ว!I312"")"),0)</f>
        <v>0</v>
      </c>
      <c r="AA69" s="173">
        <f ca="1">IFERROR(__xludf.DUMMYFUNCTION("IMPORTRANGE(""https://docs.google.com/spreadsheets/d/11s9m3tKsCBdPWq6syhZm27eBGbKneDLZc75co106bio/edit?usp=sharing"",""สระแก้ว!J312"")"),0)</f>
        <v>0</v>
      </c>
      <c r="AB69" s="177">
        <f t="shared" ca="1" si="14"/>
        <v>0</v>
      </c>
    </row>
    <row r="70" spans="1:28" ht="21" customHeight="1" x14ac:dyDescent="0.3">
      <c r="A70" s="73">
        <v>18</v>
      </c>
      <c r="B70" s="74" t="s">
        <v>92</v>
      </c>
      <c r="C70" s="75">
        <f t="shared" ca="1" si="0"/>
        <v>244000</v>
      </c>
      <c r="D70" s="76">
        <f t="shared" ca="1" si="34"/>
        <v>244000</v>
      </c>
      <c r="E70" s="77">
        <f ca="1">IFERROR(__xludf.DUMMYFUNCTION("IMPORTRANGE(""https://docs.google.com/spreadsheets/d/1MeEWN-I1oV_STSDYn1IFDPWt_1FKiwhDph83XaGc0o0/edit?usp=sharing"",""งบพรบ!DT70"")"),143000)</f>
        <v>143000</v>
      </c>
      <c r="F70" s="77">
        <f ca="1">IFERROR(__xludf.DUMMYFUNCTION("IMPORTRANGE(""https://docs.google.com/spreadsheets/d/1MeEWN-I1oV_STSDYn1IFDPWt_1FKiwhDph83XaGc0o0/edit?usp=sharing"",""งบพรบ!DU70"")"),101000)</f>
        <v>101000</v>
      </c>
      <c r="G70" s="77">
        <f ca="1">IFERROR(__xludf.DUMMYFUNCTION("IMPORTRANGE(""https://docs.google.com/spreadsheets/d/1MeEWN-I1oV_STSDYn1IFDPWt_1FKiwhDph83XaGc0o0/edit?usp=sharing"",""งบพรบ!DV70"")"),0)</f>
        <v>0</v>
      </c>
      <c r="H70" s="77">
        <f ca="1">IFERROR(__xludf.DUMMYFUNCTION("IMPORTRANGE(""https://docs.google.com/spreadsheets/d/1MeEWN-I1oV_STSDYn1IFDPWt_1FKiwhDph83XaGc0o0/edit?usp=sharing"",""งบพรบ!DX70"")"),244000)</f>
        <v>244000</v>
      </c>
      <c r="I70" s="77">
        <f ca="1">IFERROR(__xludf.DUMMYFUNCTION("IMPORTRANGE(""https://docs.google.com/spreadsheets/d/1MeEWN-I1oV_STSDYn1IFDPWt_1FKiwhDph83XaGc0o0/edit?usp=sharing"",""งบพรบ!DY70"")"),0)</f>
        <v>0</v>
      </c>
      <c r="J70" s="77">
        <f t="shared" ca="1" si="3"/>
        <v>231000</v>
      </c>
      <c r="K70" s="78">
        <f t="shared" ca="1" si="4"/>
        <v>94.672131147540981</v>
      </c>
      <c r="L70" s="77">
        <f ca="1">IFERROR(__xludf.DUMMYFUNCTION("IMPORTRANGE(""https://docs.google.com/spreadsheets/d/1MeEWN-I1oV_STSDYn1IFDPWt_1FKiwhDph83XaGc0o0/edit?usp=sharing"",""งบพรบ!DZ70"")"),231000)</f>
        <v>231000</v>
      </c>
      <c r="M70" s="79">
        <f t="shared" ca="1" si="5"/>
        <v>94.672131147540981</v>
      </c>
      <c r="N70" s="79">
        <f t="shared" ca="1" si="6"/>
        <v>94.672131147540981</v>
      </c>
      <c r="O70" s="80">
        <f ca="1">IFERROR(__xludf.DUMMYFUNCTION("IMPORTRANGE(""https://docs.google.com/spreadsheets/d/1MeEWN-I1oV_STSDYn1IFDPWt_1FKiwhDph83XaGc0o0/edit?usp=sharing"",""งบพรบ!EA70"")"),0)</f>
        <v>0</v>
      </c>
      <c r="P70" s="80">
        <f t="shared" ca="1" si="23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IFERROR(__xludf.DUMMYFUNCTION("IMPORTRANGE(""https://docs.google.com/spreadsheets/d/1Nn1EvsFPtXldgpgVb3Rcng2K2cls68LFQsBh2FyW0Bg/edit?usp=sharing"",""สระบุรี!J308"")"),1)</f>
        <v>1</v>
      </c>
      <c r="S70" s="297">
        <f ca="1">IFERROR(__xludf.DUMMYFUNCTION("IMPORTRANGE(""https://docs.google.com/spreadsheets/d/1Nn1EvsFPtXldgpgVb3Rcng2K2cls68LFQsBh2FyW0Bg/edit?usp=sharing"",""สระบุรี!I309"")"),25)</f>
        <v>25</v>
      </c>
      <c r="T70" s="173">
        <f ca="1">IFERROR(__xludf.DUMMYFUNCTION("IMPORTRANGE(""https://docs.google.com/spreadsheets/d/1Nn1EvsFPtXldgpgVb3Rcng2K2cls68LFQsBh2FyW0Bg/edit?usp=sharing"",""สระบุรี!J309"")"),25)</f>
        <v>25</v>
      </c>
      <c r="U70" s="177">
        <f t="shared" ca="1" si="21"/>
        <v>100</v>
      </c>
      <c r="V70" s="173">
        <f ca="1">IFERROR(__xludf.DUMMYFUNCTION("IMPORTRANGE(""https://docs.google.com/spreadsheets/d/1Nn1EvsFPtXldgpgVb3Rcng2K2cls68LFQsBh2FyW0Bg/edit?usp=sharing"",""สระบุรี!J310"")"),25)</f>
        <v>25</v>
      </c>
      <c r="W70" s="177">
        <f t="shared" ca="1" si="11"/>
        <v>100</v>
      </c>
      <c r="X70" s="173">
        <f ca="1">IFERROR(__xludf.DUMMYFUNCTION("IMPORTRANGE(""https://docs.google.com/spreadsheets/d/1Nn1EvsFPtXldgpgVb3Rcng2K2cls68LFQsBh2FyW0Bg/edit?usp=sharing"",""สระบุรี!J311"")"),25)</f>
        <v>25</v>
      </c>
      <c r="Y70" s="177">
        <f t="shared" ca="1" si="12"/>
        <v>100</v>
      </c>
      <c r="Z70" s="297">
        <f ca="1">IFERROR(__xludf.DUMMYFUNCTION("IMPORTRANGE(""https://docs.google.com/spreadsheets/d/1Nn1EvsFPtXldgpgVb3Rcng2K2cls68LFQsBh2FyW0Bg/edit?usp=sharing"",""สระบุรี!I312"")"),5)</f>
        <v>5</v>
      </c>
      <c r="AA70" s="173">
        <f ca="1">IFERROR(__xludf.DUMMYFUNCTION("IMPORTRANGE(""https://docs.google.com/spreadsheets/d/1Nn1EvsFPtXldgpgVb3Rcng2K2cls68LFQsBh2FyW0Bg/edit?usp=sharing"",""สระบุรี!J312"")"),5)</f>
        <v>5</v>
      </c>
      <c r="AB70" s="177">
        <f t="shared" ca="1" si="14"/>
        <v>20</v>
      </c>
    </row>
    <row r="71" spans="1:28" ht="21" customHeight="1" x14ac:dyDescent="0.3">
      <c r="A71" s="73">
        <v>19</v>
      </c>
      <c r="B71" s="74" t="s">
        <v>93</v>
      </c>
      <c r="C71" s="75">
        <f t="shared" ca="1" si="0"/>
        <v>0</v>
      </c>
      <c r="D71" s="76">
        <f t="shared" ca="1" si="34"/>
        <v>0</v>
      </c>
      <c r="E71" s="77">
        <f ca="1">IFERROR(__xludf.DUMMYFUNCTION("IMPORTRANGE(""https://docs.google.com/spreadsheets/d/1MeEWN-I1oV_STSDYn1IFDPWt_1FKiwhDph83XaGc0o0/edit?usp=sharing"",""งบพรบ!DT71"")"),0)</f>
        <v>0</v>
      </c>
      <c r="F71" s="77">
        <f ca="1">IFERROR(__xludf.DUMMYFUNCTION("IMPORTRANGE(""https://docs.google.com/spreadsheets/d/1MeEWN-I1oV_STSDYn1IFDPWt_1FKiwhDph83XaGc0o0/edit?usp=sharing"",""งบพรบ!DU71"")"),0)</f>
        <v>0</v>
      </c>
      <c r="G71" s="77">
        <f ca="1">IFERROR(__xludf.DUMMYFUNCTION("IMPORTRANGE(""https://docs.google.com/spreadsheets/d/1MeEWN-I1oV_STSDYn1IFDPWt_1FKiwhDph83XaGc0o0/edit?usp=sharing"",""งบพรบ!DV71"")"),0)</f>
        <v>0</v>
      </c>
      <c r="H71" s="77">
        <f ca="1">IFERROR(__xludf.DUMMYFUNCTION("IMPORTRANGE(""https://docs.google.com/spreadsheets/d/1MeEWN-I1oV_STSDYn1IFDPWt_1FKiwhDph83XaGc0o0/edit?usp=sharing"",""งบพรบ!DX71"")"),0)</f>
        <v>0</v>
      </c>
      <c r="I71" s="77">
        <f ca="1">IFERROR(__xludf.DUMMYFUNCTION("IMPORTRANGE(""https://docs.google.com/spreadsheets/d/1MeEWN-I1oV_STSDYn1IFDPWt_1FKiwhDph83XaGc0o0/edit?usp=sharing"",""งบพรบ!DY71"")"),0)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IFERROR(__xludf.DUMMYFUNCTION("IMPORTRANGE(""https://docs.google.com/spreadsheets/d/1MeEWN-I1oV_STSDYn1IFDPWt_1FKiwhDph83XaGc0o0/edit?usp=sharing"",""งบพรบ!DZ71"")"),0)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IFERROR(__xludf.DUMMYFUNCTION("IMPORTRANGE(""https://docs.google.com/spreadsheets/d/1MeEWN-I1oV_STSDYn1IFDPWt_1FKiwhDph83XaGc0o0/edit?usp=sharing"",""งบพรบ!EA71"")"),0)</f>
        <v>0</v>
      </c>
      <c r="P71" s="80">
        <f t="shared" ca="1" si="23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IFERROR(__xludf.DUMMYFUNCTION("IMPORTRANGE(""https://docs.google.com/spreadsheets/d/149xufxukrnEciK3WPbNpHwUK8BKEJxp3UcBG3Al6dA4/edit?usp=sharing"",""สิงห์บุรี!J308"")"),0)</f>
        <v>0</v>
      </c>
      <c r="S71" s="297">
        <f ca="1">IFERROR(__xludf.DUMMYFUNCTION("IMPORTRANGE(""https://docs.google.com/spreadsheets/d/149xufxukrnEciK3WPbNpHwUK8BKEJxp3UcBG3Al6dA4/edit?usp=sharing"",""สิงห์บุรี!I309"")"),0)</f>
        <v>0</v>
      </c>
      <c r="T71" s="173">
        <f ca="1">IFERROR(__xludf.DUMMYFUNCTION("IMPORTRANGE(""https://docs.google.com/spreadsheets/d/149xufxukrnEciK3WPbNpHwUK8BKEJxp3UcBG3Al6dA4/edit?usp=sharing"",""สิงห์บุรี!J309"")"),0)</f>
        <v>0</v>
      </c>
      <c r="U71" s="177">
        <f t="shared" ca="1" si="21"/>
        <v>0</v>
      </c>
      <c r="V71" s="173">
        <f ca="1">IFERROR(__xludf.DUMMYFUNCTION("IMPORTRANGE(""https://docs.google.com/spreadsheets/d/149xufxukrnEciK3WPbNpHwUK8BKEJxp3UcBG3Al6dA4/edit?usp=sharing"",""สิงห์บุรี!J310"")"),0)</f>
        <v>0</v>
      </c>
      <c r="W71" s="177">
        <f t="shared" ca="1" si="11"/>
        <v>0</v>
      </c>
      <c r="X71" s="173">
        <f ca="1">IFERROR(__xludf.DUMMYFUNCTION("IMPORTRANGE(""https://docs.google.com/spreadsheets/d/149xufxukrnEciK3WPbNpHwUK8BKEJxp3UcBG3Al6dA4/edit?usp=sharing"",""สิงห์บุรี!J311"")"),0)</f>
        <v>0</v>
      </c>
      <c r="Y71" s="177">
        <f t="shared" ca="1" si="12"/>
        <v>0</v>
      </c>
      <c r="Z71" s="297">
        <f ca="1">IFERROR(__xludf.DUMMYFUNCTION("IMPORTRANGE(""https://docs.google.com/spreadsheets/d/149xufxukrnEciK3WPbNpHwUK8BKEJxp3UcBG3Al6dA4/edit?usp=sharing"",""สิงห์บุรี!I312"")"),0)</f>
        <v>0</v>
      </c>
      <c r="AA71" s="173">
        <f ca="1">IFERROR(__xludf.DUMMYFUNCTION("IMPORTRANGE(""https://docs.google.com/spreadsheets/d/149xufxukrnEciK3WPbNpHwUK8BKEJxp3UcBG3Al6dA4/edit?usp=sharing"",""สิงห์บุรี!J312"")"),0)</f>
        <v>0</v>
      </c>
      <c r="AB71" s="177">
        <f t="shared" ca="1" si="14"/>
        <v>0</v>
      </c>
    </row>
    <row r="72" spans="1:28" ht="21" customHeight="1" x14ac:dyDescent="0.3">
      <c r="A72" s="73">
        <v>20</v>
      </c>
      <c r="B72" s="74" t="s">
        <v>94</v>
      </c>
      <c r="C72" s="75">
        <f t="shared" ca="1" si="0"/>
        <v>63800</v>
      </c>
      <c r="D72" s="76">
        <f t="shared" ca="1" si="34"/>
        <v>63800</v>
      </c>
      <c r="E72" s="77">
        <f ca="1">IFERROR(__xludf.DUMMYFUNCTION("IMPORTRANGE(""https://docs.google.com/spreadsheets/d/1MeEWN-I1oV_STSDYn1IFDPWt_1FKiwhDph83XaGc0o0/edit?usp=sharing"",""งบพรบ!DT72"")"),0)</f>
        <v>0</v>
      </c>
      <c r="F72" s="77">
        <f ca="1">IFERROR(__xludf.DUMMYFUNCTION("IMPORTRANGE(""https://docs.google.com/spreadsheets/d/1MeEWN-I1oV_STSDYn1IFDPWt_1FKiwhDph83XaGc0o0/edit?usp=sharing"",""งบพรบ!DU72"")"),63800)</f>
        <v>63800</v>
      </c>
      <c r="G72" s="77">
        <f ca="1">IFERROR(__xludf.DUMMYFUNCTION("IMPORTRANGE(""https://docs.google.com/spreadsheets/d/1MeEWN-I1oV_STSDYn1IFDPWt_1FKiwhDph83XaGc0o0/edit?usp=sharing"",""งบพรบ!DV72"")"),0)</f>
        <v>0</v>
      </c>
      <c r="H72" s="77">
        <f ca="1">IFERROR(__xludf.DUMMYFUNCTION("IMPORTRANGE(""https://docs.google.com/spreadsheets/d/1MeEWN-I1oV_STSDYn1IFDPWt_1FKiwhDph83XaGc0o0/edit?usp=sharing"",""งบพรบ!DX72"")"),63800)</f>
        <v>63800</v>
      </c>
      <c r="I72" s="77">
        <f ca="1">IFERROR(__xludf.DUMMYFUNCTION("IMPORTRANGE(""https://docs.google.com/spreadsheets/d/1MeEWN-I1oV_STSDYn1IFDPWt_1FKiwhDph83XaGc0o0/edit?usp=sharing"",""งบพรบ!DY72"")"),0)</f>
        <v>0</v>
      </c>
      <c r="J72" s="77">
        <f t="shared" ca="1" si="3"/>
        <v>62258</v>
      </c>
      <c r="K72" s="78">
        <f t="shared" ca="1" si="4"/>
        <v>97.583072100313473</v>
      </c>
      <c r="L72" s="77">
        <f ca="1">IFERROR(__xludf.DUMMYFUNCTION("IMPORTRANGE(""https://docs.google.com/spreadsheets/d/1MeEWN-I1oV_STSDYn1IFDPWt_1FKiwhDph83XaGc0o0/edit?usp=sharing"",""งบพรบ!DZ72"")"),62258)</f>
        <v>62258</v>
      </c>
      <c r="M72" s="79">
        <f t="shared" ca="1" si="5"/>
        <v>97.583072100313473</v>
      </c>
      <c r="N72" s="79">
        <f t="shared" ca="1" si="6"/>
        <v>97.583072100313473</v>
      </c>
      <c r="O72" s="80">
        <f ca="1">IFERROR(__xludf.DUMMYFUNCTION("IMPORTRANGE(""https://docs.google.com/spreadsheets/d/1MeEWN-I1oV_STSDYn1IFDPWt_1FKiwhDph83XaGc0o0/edit?usp=sharing"",""งบพรบ!EA72"")"),0)</f>
        <v>0</v>
      </c>
      <c r="P72" s="80">
        <f t="shared" ca="1" si="23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IFERROR(__xludf.DUMMYFUNCTION("IMPORTRANGE(""https://docs.google.com/spreadsheets/d/132g-zJpz2uMKimp17uOIx8A7o3w1Z25zwJyXnwsB56c/edit?usp=sharing"",""สุพรรณบุรี!J308"")"),1)</f>
        <v>1</v>
      </c>
      <c r="S72" s="297">
        <f ca="1">IFERROR(__xludf.DUMMYFUNCTION("IMPORTRANGE(""https://docs.google.com/spreadsheets/d/132g-zJpz2uMKimp17uOIx8A7o3w1Z25zwJyXnwsB56c/edit?usp=sharing"",""สุพรรณบุรี!I309"")"),15)</f>
        <v>15</v>
      </c>
      <c r="T72" s="173">
        <f ca="1">IFERROR(__xludf.DUMMYFUNCTION("IMPORTRANGE(""https://docs.google.com/spreadsheets/d/132g-zJpz2uMKimp17uOIx8A7o3w1Z25zwJyXnwsB56c/edit?usp=sharing"",""สุพรรณบุรี!J309"")"),15)</f>
        <v>15</v>
      </c>
      <c r="U72" s="177">
        <f t="shared" ca="1" si="21"/>
        <v>100</v>
      </c>
      <c r="V72" s="173">
        <f ca="1">IFERROR(__xludf.DUMMYFUNCTION("IMPORTRANGE(""https://docs.google.com/spreadsheets/d/132g-zJpz2uMKimp17uOIx8A7o3w1Z25zwJyXnwsB56c/edit?usp=sharing"",""สุพรรณบุรี!J310"")"),15)</f>
        <v>15</v>
      </c>
      <c r="W72" s="177">
        <f t="shared" ca="1" si="11"/>
        <v>100</v>
      </c>
      <c r="X72" s="173">
        <f ca="1">IFERROR(__xludf.DUMMYFUNCTION("IMPORTRANGE(""https://docs.google.com/spreadsheets/d/132g-zJpz2uMKimp17uOIx8A7o3w1Z25zwJyXnwsB56c/edit?usp=sharing"",""สุพรรณบุรี!J311"")"),15)</f>
        <v>15</v>
      </c>
      <c r="Y72" s="177">
        <f t="shared" ca="1" si="12"/>
        <v>100</v>
      </c>
      <c r="Z72" s="297">
        <f ca="1">IFERROR(__xludf.DUMMYFUNCTION("IMPORTRANGE(""https://docs.google.com/spreadsheets/d/132g-zJpz2uMKimp17uOIx8A7o3w1Z25zwJyXnwsB56c/edit?usp=sharing"",""สุพรรณบุรี!I312"")"),3)</f>
        <v>3</v>
      </c>
      <c r="AA72" s="173">
        <f ca="1">IFERROR(__xludf.DUMMYFUNCTION("IMPORTRANGE(""https://docs.google.com/spreadsheets/d/132g-zJpz2uMKimp17uOIx8A7o3w1Z25zwJyXnwsB56c/edit?usp=sharing"",""สุพรรณบุรี!J312"")"),3)</f>
        <v>3</v>
      </c>
      <c r="AB72" s="177">
        <f t="shared" ca="1" si="14"/>
        <v>20</v>
      </c>
    </row>
    <row r="73" spans="1:28" ht="21" customHeight="1" x14ac:dyDescent="0.3">
      <c r="A73" s="84">
        <v>21</v>
      </c>
      <c r="B73" s="85" t="s">
        <v>95</v>
      </c>
      <c r="C73" s="86">
        <f t="shared" ca="1" si="0"/>
        <v>0</v>
      </c>
      <c r="D73" s="87">
        <f t="shared" ca="1" si="34"/>
        <v>0</v>
      </c>
      <c r="E73" s="88">
        <f ca="1">IFERROR(__xludf.DUMMYFUNCTION("IMPORTRANGE(""https://docs.google.com/spreadsheets/d/1MeEWN-I1oV_STSDYn1IFDPWt_1FKiwhDph83XaGc0o0/edit?usp=sharing"",""งบพรบ!DT73"")"),0)</f>
        <v>0</v>
      </c>
      <c r="F73" s="88">
        <f ca="1">IFERROR(__xludf.DUMMYFUNCTION("IMPORTRANGE(""https://docs.google.com/spreadsheets/d/1MeEWN-I1oV_STSDYn1IFDPWt_1FKiwhDph83XaGc0o0/edit?usp=sharing"",""งบพรบ!DU73"")"),0)</f>
        <v>0</v>
      </c>
      <c r="G73" s="88">
        <f ca="1">IFERROR(__xludf.DUMMYFUNCTION("IMPORTRANGE(""https://docs.google.com/spreadsheets/d/1MeEWN-I1oV_STSDYn1IFDPWt_1FKiwhDph83XaGc0o0/edit?usp=sharing"",""งบพรบ!DV73"")"),0)</f>
        <v>0</v>
      </c>
      <c r="H73" s="88">
        <f ca="1">IFERROR(__xludf.DUMMYFUNCTION("IMPORTRANGE(""https://docs.google.com/spreadsheets/d/1MeEWN-I1oV_STSDYn1IFDPWt_1FKiwhDph83XaGc0o0/edit?usp=sharing"",""งบพรบ!DX73"")"),0)</f>
        <v>0</v>
      </c>
      <c r="I73" s="88">
        <f ca="1">IFERROR(__xludf.DUMMYFUNCTION("IMPORTRANGE(""https://docs.google.com/spreadsheets/d/1MeEWN-I1oV_STSDYn1IFDPWt_1FKiwhDph83XaGc0o0/edit?usp=sharing"",""งบพรบ!DY73"")"),0)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IFERROR(__xludf.DUMMYFUNCTION("IMPORTRANGE(""https://docs.google.com/spreadsheets/d/1MeEWN-I1oV_STSDYn1IFDPWt_1FKiwhDph83XaGc0o0/edit?usp=sharing"",""งบพรบ!DZ73"")"),0)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IFERROR(__xludf.DUMMYFUNCTION("IMPORTRANGE(""https://docs.google.com/spreadsheets/d/1MeEWN-I1oV_STSDYn1IFDPWt_1FKiwhDph83XaGc0o0/edit?usp=sharing"",""งบพรบ!EA73"")"),0)</f>
        <v>0</v>
      </c>
      <c r="P73" s="91">
        <f t="shared" ca="1" si="23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IFERROR(__xludf.DUMMYFUNCTION("IMPORTRANGE(""https://docs.google.com/spreadsheets/d/12Q_U0nVnFdxDFwa0pej9xvx8ZvLC9Dpi_vRro_aiG5g/edit?usp=sharing"",""อ่างทอง!J308"")"),0)</f>
        <v>0</v>
      </c>
      <c r="S73" s="298">
        <f ca="1">IFERROR(__xludf.DUMMYFUNCTION("IMPORTRANGE(""https://docs.google.com/spreadsheets/d/12Q_U0nVnFdxDFwa0pej9xvx8ZvLC9Dpi_vRro_aiG5g/edit?usp=sharing"",""อ่างทอง!I309"")"),0)</f>
        <v>0</v>
      </c>
      <c r="T73" s="188">
        <f ca="1">IFERROR(__xludf.DUMMYFUNCTION("IMPORTRANGE(""https://docs.google.com/spreadsheets/d/12Q_U0nVnFdxDFwa0pej9xvx8ZvLC9Dpi_vRro_aiG5g/edit?usp=sharing"",""อ่างทอง!J309"")"),0)</f>
        <v>0</v>
      </c>
      <c r="U73" s="189">
        <f t="shared" ca="1" si="21"/>
        <v>0</v>
      </c>
      <c r="V73" s="188">
        <f ca="1">IFERROR(__xludf.DUMMYFUNCTION("IMPORTRANGE(""https://docs.google.com/spreadsheets/d/12Q_U0nVnFdxDFwa0pej9xvx8ZvLC9Dpi_vRro_aiG5g/edit?usp=sharing"",""อ่างทอง!J310"")"),0)</f>
        <v>0</v>
      </c>
      <c r="W73" s="189">
        <f t="shared" ca="1" si="11"/>
        <v>0</v>
      </c>
      <c r="X73" s="188">
        <f ca="1">IFERROR(__xludf.DUMMYFUNCTION("IMPORTRANGE(""https://docs.google.com/spreadsheets/d/12Q_U0nVnFdxDFwa0pej9xvx8ZvLC9Dpi_vRro_aiG5g/edit?usp=sharing"",""อ่างทอง!J311"")"),0)</f>
        <v>0</v>
      </c>
      <c r="Y73" s="189">
        <f t="shared" ca="1" si="12"/>
        <v>0</v>
      </c>
      <c r="Z73" s="298">
        <f ca="1">IFERROR(__xludf.DUMMYFUNCTION("IMPORTRANGE(""https://docs.google.com/spreadsheets/d/12Q_U0nVnFdxDFwa0pej9xvx8ZvLC9Dpi_vRro_aiG5g/edit?usp=sharing"",""อ่างทอง!I312"")"),0)</f>
        <v>0</v>
      </c>
      <c r="AA73" s="188">
        <f ca="1">IFERROR(__xludf.DUMMYFUNCTION("IMPORTRANGE(""https://docs.google.com/spreadsheets/d/12Q_U0nVnFdxDFwa0pej9xvx8ZvLC9Dpi_vRro_aiG5g/edit?usp=sharing"",""อ่างทอง!J312"")"),0)</f>
        <v>0</v>
      </c>
      <c r="AB73" s="189">
        <f t="shared" ca="1" si="14"/>
        <v>0</v>
      </c>
    </row>
    <row r="74" spans="1:28" ht="21" customHeight="1" x14ac:dyDescent="0.3">
      <c r="A74" s="381" t="s">
        <v>96</v>
      </c>
      <c r="B74" s="370"/>
      <c r="C74" s="99">
        <f t="shared" ca="1" si="0"/>
        <v>412000</v>
      </c>
      <c r="D74" s="57">
        <f t="shared" ref="D74:I74" ca="1" si="35">SUM(D75:D88)</f>
        <v>412000</v>
      </c>
      <c r="E74" s="57">
        <f t="shared" ca="1" si="35"/>
        <v>0</v>
      </c>
      <c r="F74" s="57">
        <f t="shared" ca="1" si="35"/>
        <v>412000</v>
      </c>
      <c r="G74" s="57">
        <f t="shared" ca="1" si="35"/>
        <v>0</v>
      </c>
      <c r="H74" s="57">
        <f t="shared" ca="1" si="35"/>
        <v>459000</v>
      </c>
      <c r="I74" s="57">
        <f t="shared" ca="1" si="35"/>
        <v>0</v>
      </c>
      <c r="J74" s="57">
        <f t="shared" ca="1" si="3"/>
        <v>455780</v>
      </c>
      <c r="K74" s="95">
        <f t="shared" ca="1" si="4"/>
        <v>110.62621359223301</v>
      </c>
      <c r="L74" s="57">
        <f ca="1">SUM(L75:L88)</f>
        <v>455780</v>
      </c>
      <c r="M74" s="96">
        <f t="shared" ca="1" si="5"/>
        <v>110.62621359223301</v>
      </c>
      <c r="N74" s="96">
        <f t="shared" ca="1" si="6"/>
        <v>99.298474945533769</v>
      </c>
      <c r="O74" s="97">
        <f ca="1">SUM(O75:O88)</f>
        <v>0</v>
      </c>
      <c r="P74" s="97">
        <f t="shared" ca="1" si="23"/>
        <v>0</v>
      </c>
      <c r="Q74" s="96">
        <f t="shared" ca="1" si="8"/>
        <v>0</v>
      </c>
      <c r="R74" s="57">
        <f t="shared" ref="R74:T74" ca="1" si="36">SUM(R75:R88)</f>
        <v>3</v>
      </c>
      <c r="S74" s="294">
        <f t="shared" ca="1" si="36"/>
        <v>100</v>
      </c>
      <c r="T74" s="150">
        <f t="shared" ca="1" si="36"/>
        <v>100</v>
      </c>
      <c r="U74" s="152">
        <f t="shared" ca="1" si="21"/>
        <v>100</v>
      </c>
      <c r="V74" s="150">
        <f ca="1">SUM(V75:V88)</f>
        <v>100</v>
      </c>
      <c r="W74" s="152">
        <f t="shared" ca="1" si="11"/>
        <v>100</v>
      </c>
      <c r="X74" s="150">
        <f ca="1">SUM(X75:X88)</f>
        <v>100</v>
      </c>
      <c r="Y74" s="152">
        <f t="shared" ca="1" si="12"/>
        <v>100</v>
      </c>
      <c r="Z74" s="294">
        <f t="shared" ref="Z74:AA74" ca="1" si="37">SUM(Z75:Z88)</f>
        <v>20</v>
      </c>
      <c r="AA74" s="150">
        <f t="shared" ca="1" si="37"/>
        <v>20</v>
      </c>
      <c r="AB74" s="152">
        <f t="shared" ca="1" si="14"/>
        <v>20</v>
      </c>
    </row>
    <row r="75" spans="1:28" ht="21" customHeight="1" x14ac:dyDescent="0.3">
      <c r="A75" s="63">
        <v>1</v>
      </c>
      <c r="B75" s="64" t="s">
        <v>97</v>
      </c>
      <c r="C75" s="98">
        <f t="shared" ca="1" si="0"/>
        <v>0</v>
      </c>
      <c r="D75" s="66">
        <f t="shared" ref="D75:D88" ca="1" si="38">+E75+F75</f>
        <v>0</v>
      </c>
      <c r="E75" s="67">
        <f ca="1">IFERROR(__xludf.DUMMYFUNCTION("IMPORTRANGE(""https://docs.google.com/spreadsheets/d/1MeEWN-I1oV_STSDYn1IFDPWt_1FKiwhDph83XaGc0o0/edit?usp=sharing"",""งบพรบ!DT75"")"),0)</f>
        <v>0</v>
      </c>
      <c r="F75" s="67">
        <f ca="1">IFERROR(__xludf.DUMMYFUNCTION("IMPORTRANGE(""https://docs.google.com/spreadsheets/d/1MeEWN-I1oV_STSDYn1IFDPWt_1FKiwhDph83XaGc0o0/edit?usp=sharing"",""งบพรบ!DU75"")"),0)</f>
        <v>0</v>
      </c>
      <c r="G75" s="100">
        <f ca="1">IFERROR(__xludf.DUMMYFUNCTION("IMPORTRANGE(""https://docs.google.com/spreadsheets/d/1MeEWN-I1oV_STSDYn1IFDPWt_1FKiwhDph83XaGc0o0/edit?usp=sharing"",""งบพรบ!DV75"")"),0)</f>
        <v>0</v>
      </c>
      <c r="H75" s="100">
        <f ca="1">IFERROR(__xludf.DUMMYFUNCTION("IMPORTRANGE(""https://docs.google.com/spreadsheets/d/1MeEWN-I1oV_STSDYn1IFDPWt_1FKiwhDph83XaGc0o0/edit?usp=sharing"",""งบพรบ!DX75"")"),0)</f>
        <v>0</v>
      </c>
      <c r="I75" s="100">
        <f ca="1">IFERROR(__xludf.DUMMYFUNCTION("IMPORTRANGE(""https://docs.google.com/spreadsheets/d/1MeEWN-I1oV_STSDYn1IFDPWt_1FKiwhDph83XaGc0o0/edit?usp=sharing"",""งบพรบ!DY75"")"),0)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IFERROR(__xludf.DUMMYFUNCTION("IMPORTRANGE(""https://docs.google.com/spreadsheets/d/1MeEWN-I1oV_STSDYn1IFDPWt_1FKiwhDph83XaGc0o0/edit?usp=sharing"",""งบพรบ!DZ75"")"),0)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IFERROR(__xludf.DUMMYFUNCTION("IMPORTRANGE(""https://docs.google.com/spreadsheets/d/1MeEWN-I1oV_STSDYn1IFDPWt_1FKiwhDph83XaGc0o0/edit?usp=sharing"",""งบพรบ!EA75"")"),0)</f>
        <v>0</v>
      </c>
      <c r="P75" s="71">
        <f t="shared" ca="1" si="23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IFERROR(__xludf.DUMMYFUNCTION("IMPORTRANGE(""https://docs.google.com/spreadsheets/d/1kC41EOXpGBFOW658Fs3oD8beYlym0-zO54WY-2Qnp9I/edit?usp=sharing"",""กระบี่!J308"")"),0)</f>
        <v>0</v>
      </c>
      <c r="S75" s="297">
        <f ca="1">IFERROR(__xludf.DUMMYFUNCTION("IMPORTRANGE(""https://docs.google.com/spreadsheets/d/1kC41EOXpGBFOW658Fs3oD8beYlym0-zO54WY-2Qnp9I/edit?usp=sharing"",""กระบี่!I309"")"),0)</f>
        <v>0</v>
      </c>
      <c r="T75" s="173">
        <f ca="1">IFERROR(__xludf.DUMMYFUNCTION("IMPORTRANGE(""https://docs.google.com/spreadsheets/d/1kC41EOXpGBFOW658Fs3oD8beYlym0-zO54WY-2Qnp9I/edit?usp=sharing"",""กระบี่!J309"")"),0)</f>
        <v>0</v>
      </c>
      <c r="U75" s="177">
        <f t="shared" ca="1" si="21"/>
        <v>0</v>
      </c>
      <c r="V75" s="173">
        <f ca="1">IFERROR(__xludf.DUMMYFUNCTION("IMPORTRANGE(""https://docs.google.com/spreadsheets/d/1kC41EOXpGBFOW658Fs3oD8beYlym0-zO54WY-2Qnp9I/edit?usp=sharing"",""กระบี่!J310"")"),0)</f>
        <v>0</v>
      </c>
      <c r="W75" s="177">
        <f t="shared" ca="1" si="11"/>
        <v>0</v>
      </c>
      <c r="X75" s="173">
        <f ca="1">IFERROR(__xludf.DUMMYFUNCTION("IMPORTRANGE(""https://docs.google.com/spreadsheets/d/1kC41EOXpGBFOW658Fs3oD8beYlym0-zO54WY-2Qnp9I/edit?usp=sharing"",""กระบี่!J311"")"),0)</f>
        <v>0</v>
      </c>
      <c r="Y75" s="177">
        <f t="shared" ca="1" si="12"/>
        <v>0</v>
      </c>
      <c r="Z75" s="297">
        <f ca="1">IFERROR(__xludf.DUMMYFUNCTION("IMPORTRANGE(""https://docs.google.com/spreadsheets/d/1kC41EOXpGBFOW658Fs3oD8beYlym0-zO54WY-2Qnp9I/edit?usp=sharing"",""กระบี่!I312"")"),0)</f>
        <v>0</v>
      </c>
      <c r="AA75" s="173">
        <f ca="1">IFERROR(__xludf.DUMMYFUNCTION("IMPORTRANGE(""https://docs.google.com/spreadsheets/d/1kC41EOXpGBFOW658Fs3oD8beYlym0-zO54WY-2Qnp9I/edit?usp=sharing"",""กระบี่!J312"")"),0)</f>
        <v>0</v>
      </c>
      <c r="AB75" s="177">
        <f t="shared" ca="1" si="14"/>
        <v>0</v>
      </c>
    </row>
    <row r="76" spans="1:28" ht="21" customHeight="1" x14ac:dyDescent="0.3">
      <c r="A76" s="73">
        <v>2</v>
      </c>
      <c r="B76" s="74" t="s">
        <v>98</v>
      </c>
      <c r="C76" s="75">
        <f t="shared" ca="1" si="0"/>
        <v>82400</v>
      </c>
      <c r="D76" s="76">
        <f t="shared" ca="1" si="38"/>
        <v>82400</v>
      </c>
      <c r="E76" s="77">
        <f ca="1">IFERROR(__xludf.DUMMYFUNCTION("IMPORTRANGE(""https://docs.google.com/spreadsheets/d/1MeEWN-I1oV_STSDYn1IFDPWt_1FKiwhDph83XaGc0o0/edit?usp=sharing"",""งบพรบ!DT76"")"),0)</f>
        <v>0</v>
      </c>
      <c r="F76" s="77">
        <f ca="1">IFERROR(__xludf.DUMMYFUNCTION("IMPORTRANGE(""https://docs.google.com/spreadsheets/d/1MeEWN-I1oV_STSDYn1IFDPWt_1FKiwhDph83XaGc0o0/edit?usp=sharing"",""งบพรบ!DU76"")"),82400)</f>
        <v>82400</v>
      </c>
      <c r="G76" s="77">
        <f ca="1">IFERROR(__xludf.DUMMYFUNCTION("IMPORTRANGE(""https://docs.google.com/spreadsheets/d/1MeEWN-I1oV_STSDYn1IFDPWt_1FKiwhDph83XaGc0o0/edit?usp=sharing"",""งบพรบ!DV76"")"),0)</f>
        <v>0</v>
      </c>
      <c r="H76" s="77">
        <f ca="1">IFERROR(__xludf.DUMMYFUNCTION("IMPORTRANGE(""https://docs.google.com/spreadsheets/d/1MeEWN-I1oV_STSDYn1IFDPWt_1FKiwhDph83XaGc0o0/edit?usp=sharing"",""งบพรบ!DX76"")"),111400)</f>
        <v>111400</v>
      </c>
      <c r="I76" s="77">
        <f ca="1">IFERROR(__xludf.DUMMYFUNCTION("IMPORTRANGE(""https://docs.google.com/spreadsheets/d/1MeEWN-I1oV_STSDYn1IFDPWt_1FKiwhDph83XaGc0o0/edit?usp=sharing"",""งบพรบ!DY76"")"),0)</f>
        <v>0</v>
      </c>
      <c r="J76" s="77">
        <f t="shared" ca="1" si="3"/>
        <v>109440</v>
      </c>
      <c r="K76" s="78">
        <f t="shared" ca="1" si="4"/>
        <v>132.81553398058253</v>
      </c>
      <c r="L76" s="77">
        <f ca="1">IFERROR(__xludf.DUMMYFUNCTION("IMPORTRANGE(""https://docs.google.com/spreadsheets/d/1MeEWN-I1oV_STSDYn1IFDPWt_1FKiwhDph83XaGc0o0/edit?usp=sharing"",""งบพรบ!DZ76"")"),109440)</f>
        <v>109440</v>
      </c>
      <c r="M76" s="79">
        <f t="shared" ca="1" si="5"/>
        <v>132.81553398058253</v>
      </c>
      <c r="N76" s="79">
        <f t="shared" ca="1" si="6"/>
        <v>98.240574506283664</v>
      </c>
      <c r="O76" s="80">
        <f ca="1">IFERROR(__xludf.DUMMYFUNCTION("IMPORTRANGE(""https://docs.google.com/spreadsheets/d/1MeEWN-I1oV_STSDYn1IFDPWt_1FKiwhDph83XaGc0o0/edit?usp=sharing"",""งบพรบ!EA76"")"),0)</f>
        <v>0</v>
      </c>
      <c r="P76" s="80">
        <f t="shared" ca="1" si="23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IFERROR(__xludf.DUMMYFUNCTION("IMPORTRANGE(""https://docs.google.com/spreadsheets/d/1FbzMZY_f3MDiEuK7RpCQKrilJ_kpX0Wm7QBZ1L7EjIU/edit?usp=sharing"",""ชุมพร!J308"")"),1)</f>
        <v>1</v>
      </c>
      <c r="S76" s="297">
        <f ca="1">IFERROR(__xludf.DUMMYFUNCTION("IMPORTRANGE(""https://docs.google.com/spreadsheets/d/1FbzMZY_f3MDiEuK7RpCQKrilJ_kpX0Wm7QBZ1L7EjIU/edit?usp=sharing"",""ชุมพร!I309"")"),20)</f>
        <v>20</v>
      </c>
      <c r="T76" s="173">
        <f ca="1">IFERROR(__xludf.DUMMYFUNCTION("IMPORTRANGE(""https://docs.google.com/spreadsheets/d/1FbzMZY_f3MDiEuK7RpCQKrilJ_kpX0Wm7QBZ1L7EjIU/edit?usp=sharing"",""ชุมพร!J309"")"),20)</f>
        <v>20</v>
      </c>
      <c r="U76" s="177">
        <f t="shared" ca="1" si="21"/>
        <v>100</v>
      </c>
      <c r="V76" s="173">
        <f ca="1">IFERROR(__xludf.DUMMYFUNCTION("IMPORTRANGE(""https://docs.google.com/spreadsheets/d/1FbzMZY_f3MDiEuK7RpCQKrilJ_kpX0Wm7QBZ1L7EjIU/edit?usp=sharing"",""ชุมพร!J310"")"),20)</f>
        <v>20</v>
      </c>
      <c r="W76" s="177">
        <f t="shared" ca="1" si="11"/>
        <v>100</v>
      </c>
      <c r="X76" s="173">
        <f ca="1">IFERROR(__xludf.DUMMYFUNCTION("IMPORTRANGE(""https://docs.google.com/spreadsheets/d/1FbzMZY_f3MDiEuK7RpCQKrilJ_kpX0Wm7QBZ1L7EjIU/edit?usp=sharing"",""ชุมพร!J311"")"),20)</f>
        <v>20</v>
      </c>
      <c r="Y76" s="177">
        <f t="shared" ca="1" si="12"/>
        <v>100</v>
      </c>
      <c r="Z76" s="297">
        <f ca="1">IFERROR(__xludf.DUMMYFUNCTION("IMPORTRANGE(""https://docs.google.com/spreadsheets/d/1FbzMZY_f3MDiEuK7RpCQKrilJ_kpX0Wm7QBZ1L7EjIU/edit?usp=sharing"",""ชุมพร!I312"")"),4)</f>
        <v>4</v>
      </c>
      <c r="AA76" s="173">
        <f ca="1">IFERROR(__xludf.DUMMYFUNCTION("IMPORTRANGE(""https://docs.google.com/spreadsheets/d/1FbzMZY_f3MDiEuK7RpCQKrilJ_kpX0Wm7QBZ1L7EjIU/edit?usp=sharing"",""ชุมพร!J312"")"),4)</f>
        <v>4</v>
      </c>
      <c r="AB76" s="177">
        <f t="shared" ca="1" si="14"/>
        <v>20</v>
      </c>
    </row>
    <row r="77" spans="1:28" ht="21" customHeight="1" x14ac:dyDescent="0.3">
      <c r="A77" s="73">
        <v>3</v>
      </c>
      <c r="B77" s="74" t="s">
        <v>99</v>
      </c>
      <c r="C77" s="75">
        <f t="shared" ca="1" si="0"/>
        <v>0</v>
      </c>
      <c r="D77" s="76">
        <f t="shared" ca="1" si="38"/>
        <v>0</v>
      </c>
      <c r="E77" s="77">
        <f ca="1">IFERROR(__xludf.DUMMYFUNCTION("IMPORTRANGE(""https://docs.google.com/spreadsheets/d/1MeEWN-I1oV_STSDYn1IFDPWt_1FKiwhDph83XaGc0o0/edit?usp=sharing"",""งบพรบ!DT77"")"),0)</f>
        <v>0</v>
      </c>
      <c r="F77" s="77">
        <f ca="1">IFERROR(__xludf.DUMMYFUNCTION("IMPORTRANGE(""https://docs.google.com/spreadsheets/d/1MeEWN-I1oV_STSDYn1IFDPWt_1FKiwhDph83XaGc0o0/edit?usp=sharing"",""งบพรบ!DU77"")"),0)</f>
        <v>0</v>
      </c>
      <c r="G77" s="77">
        <f ca="1">IFERROR(__xludf.DUMMYFUNCTION("IMPORTRANGE(""https://docs.google.com/spreadsheets/d/1MeEWN-I1oV_STSDYn1IFDPWt_1FKiwhDph83XaGc0o0/edit?usp=sharing"",""งบพรบ!DV77"")"),0)</f>
        <v>0</v>
      </c>
      <c r="H77" s="77">
        <f ca="1">IFERROR(__xludf.DUMMYFUNCTION("IMPORTRANGE(""https://docs.google.com/spreadsheets/d/1MeEWN-I1oV_STSDYn1IFDPWt_1FKiwhDph83XaGc0o0/edit?usp=sharing"",""งบพรบ!DX77"")"),0)</f>
        <v>0</v>
      </c>
      <c r="I77" s="77">
        <f ca="1">IFERROR(__xludf.DUMMYFUNCTION("IMPORTRANGE(""https://docs.google.com/spreadsheets/d/1MeEWN-I1oV_STSDYn1IFDPWt_1FKiwhDph83XaGc0o0/edit?usp=sharing"",""งบพรบ!DY77"")"),0)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IFERROR(__xludf.DUMMYFUNCTION("IMPORTRANGE(""https://docs.google.com/spreadsheets/d/1MeEWN-I1oV_STSDYn1IFDPWt_1FKiwhDph83XaGc0o0/edit?usp=sharing"",""งบพรบ!DZ77"")"),0)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IFERROR(__xludf.DUMMYFUNCTION("IMPORTRANGE(""https://docs.google.com/spreadsheets/d/1MeEWN-I1oV_STSDYn1IFDPWt_1FKiwhDph83XaGc0o0/edit?usp=sharing"",""งบพรบ!EA77"")"),0)</f>
        <v>0</v>
      </c>
      <c r="P77" s="80">
        <f t="shared" ca="1" si="23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IFERROR(__xludf.DUMMYFUNCTION("IMPORTRANGE(""https://docs.google.com/spreadsheets/d/1v5sN-00LrXuhBxw4dkh2GrG_z4l5oAqOdJRBCsUyMaM/edit?usp=sharing"",""ตรัง!J308"")"),0)</f>
        <v>0</v>
      </c>
      <c r="S77" s="297">
        <f ca="1">IFERROR(__xludf.DUMMYFUNCTION("IMPORTRANGE(""https://docs.google.com/spreadsheets/d/1v5sN-00LrXuhBxw4dkh2GrG_z4l5oAqOdJRBCsUyMaM/edit?usp=sharing"",""ตรัง!I309"")"),0)</f>
        <v>0</v>
      </c>
      <c r="T77" s="173">
        <f ca="1">IFERROR(__xludf.DUMMYFUNCTION("IMPORTRANGE(""https://docs.google.com/spreadsheets/d/1v5sN-00LrXuhBxw4dkh2GrG_z4l5oAqOdJRBCsUyMaM/edit?usp=sharing"",""ตรัง!J309"")"),0)</f>
        <v>0</v>
      </c>
      <c r="U77" s="177">
        <f t="shared" ca="1" si="21"/>
        <v>0</v>
      </c>
      <c r="V77" s="173">
        <f ca="1">IFERROR(__xludf.DUMMYFUNCTION("IMPORTRANGE(""https://docs.google.com/spreadsheets/d/1v5sN-00LrXuhBxw4dkh2GrG_z4l5oAqOdJRBCsUyMaM/edit?usp=sharing"",""ตรัง!J310"")"),0)</f>
        <v>0</v>
      </c>
      <c r="W77" s="177">
        <f t="shared" ca="1" si="11"/>
        <v>0</v>
      </c>
      <c r="X77" s="173">
        <f ca="1">IFERROR(__xludf.DUMMYFUNCTION("IMPORTRANGE(""https://docs.google.com/spreadsheets/d/1v5sN-00LrXuhBxw4dkh2GrG_z4l5oAqOdJRBCsUyMaM/edit?usp=sharing"",""ตรัง!J311"")"),0)</f>
        <v>0</v>
      </c>
      <c r="Y77" s="177">
        <f t="shared" ca="1" si="12"/>
        <v>0</v>
      </c>
      <c r="Z77" s="297">
        <f ca="1">IFERROR(__xludf.DUMMYFUNCTION("IMPORTRANGE(""https://docs.google.com/spreadsheets/d/1v5sN-00LrXuhBxw4dkh2GrG_z4l5oAqOdJRBCsUyMaM/edit?usp=sharing"",""ตรัง!I312"")"),0)</f>
        <v>0</v>
      </c>
      <c r="AA77" s="173">
        <f ca="1">IFERROR(__xludf.DUMMYFUNCTION("IMPORTRANGE(""https://docs.google.com/spreadsheets/d/1v5sN-00LrXuhBxw4dkh2GrG_z4l5oAqOdJRBCsUyMaM/edit?usp=sharing"",""ตรัง!J312"")"),0)</f>
        <v>0</v>
      </c>
      <c r="AB77" s="177">
        <f t="shared" ca="1" si="14"/>
        <v>0</v>
      </c>
    </row>
    <row r="78" spans="1:28" ht="21" customHeight="1" x14ac:dyDescent="0.3">
      <c r="A78" s="73">
        <v>4</v>
      </c>
      <c r="B78" s="74" t="s">
        <v>100</v>
      </c>
      <c r="C78" s="75">
        <f t="shared" ca="1" si="0"/>
        <v>82400</v>
      </c>
      <c r="D78" s="76">
        <f t="shared" ca="1" si="38"/>
        <v>82400</v>
      </c>
      <c r="E78" s="77">
        <f ca="1">IFERROR(__xludf.DUMMYFUNCTION("IMPORTRANGE(""https://docs.google.com/spreadsheets/d/1MeEWN-I1oV_STSDYn1IFDPWt_1FKiwhDph83XaGc0o0/edit?usp=sharing"",""งบพรบ!DT78"")"),0)</f>
        <v>0</v>
      </c>
      <c r="F78" s="77">
        <f ca="1">IFERROR(__xludf.DUMMYFUNCTION("IMPORTRANGE(""https://docs.google.com/spreadsheets/d/1MeEWN-I1oV_STSDYn1IFDPWt_1FKiwhDph83XaGc0o0/edit?usp=sharing"",""งบพรบ!DU78"")"),82400)</f>
        <v>82400</v>
      </c>
      <c r="G78" s="77">
        <f ca="1">IFERROR(__xludf.DUMMYFUNCTION("IMPORTRANGE(""https://docs.google.com/spreadsheets/d/1MeEWN-I1oV_STSDYn1IFDPWt_1FKiwhDph83XaGc0o0/edit?usp=sharing"",""งบพรบ!DV78"")"),0)</f>
        <v>0</v>
      </c>
      <c r="H78" s="77">
        <f ca="1">IFERROR(__xludf.DUMMYFUNCTION("IMPORTRANGE(""https://docs.google.com/spreadsheets/d/1MeEWN-I1oV_STSDYn1IFDPWt_1FKiwhDph83XaGc0o0/edit?usp=sharing"",""งบพรบ!DX78"")"),100400)</f>
        <v>100400</v>
      </c>
      <c r="I78" s="77">
        <f ca="1">IFERROR(__xludf.DUMMYFUNCTION("IMPORTRANGE(""https://docs.google.com/spreadsheets/d/1MeEWN-I1oV_STSDYn1IFDPWt_1FKiwhDph83XaGc0o0/edit?usp=sharing"",""งบพรบ!DY78"")"),0)</f>
        <v>0</v>
      </c>
      <c r="J78" s="77">
        <f t="shared" ca="1" si="3"/>
        <v>100400</v>
      </c>
      <c r="K78" s="78">
        <f t="shared" ca="1" si="4"/>
        <v>121.84466019417475</v>
      </c>
      <c r="L78" s="77">
        <f ca="1">IFERROR(__xludf.DUMMYFUNCTION("IMPORTRANGE(""https://docs.google.com/spreadsheets/d/1MeEWN-I1oV_STSDYn1IFDPWt_1FKiwhDph83XaGc0o0/edit?usp=sharing"",""งบพรบ!DZ78"")"),100400)</f>
        <v>100400</v>
      </c>
      <c r="M78" s="79">
        <f t="shared" ca="1" si="5"/>
        <v>121.84466019417475</v>
      </c>
      <c r="N78" s="79">
        <f t="shared" ca="1" si="6"/>
        <v>100</v>
      </c>
      <c r="O78" s="80">
        <f ca="1">IFERROR(__xludf.DUMMYFUNCTION("IMPORTRANGE(""https://docs.google.com/spreadsheets/d/1MeEWN-I1oV_STSDYn1IFDPWt_1FKiwhDph83XaGc0o0/edit?usp=sharing"",""งบพรบ!EA78"")"),0)</f>
        <v>0</v>
      </c>
      <c r="P78" s="80">
        <f t="shared" ca="1" si="23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IFERROR(__xludf.DUMMYFUNCTION("IMPORTRANGE(""https://docs.google.com/spreadsheets/d/1T5rRTzFc79aSIvqnzkZNvwPstq829QYz_xALlO1Z0s8/edit?usp=sharing"",""นครศรีธรรมราช!J308"")"),0)</f>
        <v>0</v>
      </c>
      <c r="S78" s="297">
        <f ca="1">IFERROR(__xludf.DUMMYFUNCTION("IMPORTRANGE(""https://docs.google.com/spreadsheets/d/1T5rRTzFc79aSIvqnzkZNvwPstq829QYz_xALlO1Z0s8/edit?usp=sharing"",""นครศรีธรรมราช!I309"")"),20)</f>
        <v>20</v>
      </c>
      <c r="T78" s="173">
        <f ca="1">IFERROR(__xludf.DUMMYFUNCTION("IMPORTRANGE(""https://docs.google.com/spreadsheets/d/1T5rRTzFc79aSIvqnzkZNvwPstq829QYz_xALlO1Z0s8/edit?usp=sharing"",""นครศรีธรรมราช!J309"")"),20)</f>
        <v>20</v>
      </c>
      <c r="U78" s="177">
        <f t="shared" ca="1" si="21"/>
        <v>100</v>
      </c>
      <c r="V78" s="173">
        <f ca="1">IFERROR(__xludf.DUMMYFUNCTION("IMPORTRANGE(""https://docs.google.com/spreadsheets/d/1T5rRTzFc79aSIvqnzkZNvwPstq829QYz_xALlO1Z0s8/edit?usp=sharing"",""นครศรีธรรมราช!J310"")"),20)</f>
        <v>20</v>
      </c>
      <c r="W78" s="177">
        <f t="shared" ca="1" si="11"/>
        <v>100</v>
      </c>
      <c r="X78" s="173">
        <f ca="1">IFERROR(__xludf.DUMMYFUNCTION("IMPORTRANGE(""https://docs.google.com/spreadsheets/d/1T5rRTzFc79aSIvqnzkZNvwPstq829QYz_xALlO1Z0s8/edit?usp=sharing"",""นครศรีธรรมราช!J311"")"),20)</f>
        <v>20</v>
      </c>
      <c r="Y78" s="177">
        <f t="shared" ca="1" si="12"/>
        <v>100</v>
      </c>
      <c r="Z78" s="297">
        <f ca="1">IFERROR(__xludf.DUMMYFUNCTION("IMPORTRANGE(""https://docs.google.com/spreadsheets/d/1T5rRTzFc79aSIvqnzkZNvwPstq829QYz_xALlO1Z0s8/edit?usp=sharing"",""นครศรีธรรมราช!I312"")"),4)</f>
        <v>4</v>
      </c>
      <c r="AA78" s="173">
        <f ca="1">IFERROR(__xludf.DUMMYFUNCTION("IMPORTRANGE(""https://docs.google.com/spreadsheets/d/1T5rRTzFc79aSIvqnzkZNvwPstq829QYz_xALlO1Z0s8/edit?usp=sharing"",""นครศรีธรรมราช!J312"")"),4)</f>
        <v>4</v>
      </c>
      <c r="AB78" s="177">
        <f t="shared" ca="1" si="14"/>
        <v>20</v>
      </c>
    </row>
    <row r="79" spans="1:28" ht="21" customHeight="1" x14ac:dyDescent="0.3">
      <c r="A79" s="73">
        <v>5</v>
      </c>
      <c r="B79" s="74" t="s">
        <v>101</v>
      </c>
      <c r="C79" s="75">
        <f t="shared" ca="1" si="0"/>
        <v>0</v>
      </c>
      <c r="D79" s="76">
        <f t="shared" ca="1" si="38"/>
        <v>0</v>
      </c>
      <c r="E79" s="77">
        <f ca="1">IFERROR(__xludf.DUMMYFUNCTION("IMPORTRANGE(""https://docs.google.com/spreadsheets/d/1MeEWN-I1oV_STSDYn1IFDPWt_1FKiwhDph83XaGc0o0/edit?usp=sharing"",""งบพรบ!DT79"")"),0)</f>
        <v>0</v>
      </c>
      <c r="F79" s="77">
        <f ca="1">IFERROR(__xludf.DUMMYFUNCTION("IMPORTRANGE(""https://docs.google.com/spreadsheets/d/1MeEWN-I1oV_STSDYn1IFDPWt_1FKiwhDph83XaGc0o0/edit?usp=sharing"",""งบพรบ!DU79"")"),0)</f>
        <v>0</v>
      </c>
      <c r="G79" s="77">
        <f ca="1">IFERROR(__xludf.DUMMYFUNCTION("IMPORTRANGE(""https://docs.google.com/spreadsheets/d/1MeEWN-I1oV_STSDYn1IFDPWt_1FKiwhDph83XaGc0o0/edit?usp=sharing"",""งบพรบ!DV79"")"),0)</f>
        <v>0</v>
      </c>
      <c r="H79" s="77">
        <f ca="1">IFERROR(__xludf.DUMMYFUNCTION("IMPORTRANGE(""https://docs.google.com/spreadsheets/d/1MeEWN-I1oV_STSDYn1IFDPWt_1FKiwhDph83XaGc0o0/edit?usp=sharing"",""งบพรบ!DX79"")"),0)</f>
        <v>0</v>
      </c>
      <c r="I79" s="77">
        <f ca="1">IFERROR(__xludf.DUMMYFUNCTION("IMPORTRANGE(""https://docs.google.com/spreadsheets/d/1MeEWN-I1oV_STSDYn1IFDPWt_1FKiwhDph83XaGc0o0/edit?usp=sharing"",""งบพรบ!DY79"")"),0)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IFERROR(__xludf.DUMMYFUNCTION("IMPORTRANGE(""https://docs.google.com/spreadsheets/d/1MeEWN-I1oV_STSDYn1IFDPWt_1FKiwhDph83XaGc0o0/edit?usp=sharing"",""งบพรบ!DZ79"")"),0)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IFERROR(__xludf.DUMMYFUNCTION("IMPORTRANGE(""https://docs.google.com/spreadsheets/d/1MeEWN-I1oV_STSDYn1IFDPWt_1FKiwhDph83XaGc0o0/edit?usp=sharing"",""งบพรบ!EA79"")"),0)</f>
        <v>0</v>
      </c>
      <c r="P79" s="80">
        <f t="shared" ca="1" si="23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IFERROR(__xludf.DUMMYFUNCTION("IMPORTRANGE(""https://docs.google.com/spreadsheets/d/1BeghqumK0IvCmRd2QOy6_afsZq7ZtAGrSnVJy2u7WmY/edit?usp=sharing"",""นราธิวาส!J308"")"),0)</f>
        <v>0</v>
      </c>
      <c r="S79" s="297">
        <f ca="1">IFERROR(__xludf.DUMMYFUNCTION("IMPORTRANGE(""https://docs.google.com/spreadsheets/d/1BeghqumK0IvCmRd2QOy6_afsZq7ZtAGrSnVJy2u7WmY/edit?usp=sharing"",""นราธิวาส!I309"")"),0)</f>
        <v>0</v>
      </c>
      <c r="T79" s="173">
        <f ca="1">IFERROR(__xludf.DUMMYFUNCTION("IMPORTRANGE(""https://docs.google.com/spreadsheets/d/1BeghqumK0IvCmRd2QOy6_afsZq7ZtAGrSnVJy2u7WmY/edit?usp=sharing"",""นราธิวาส!J309"")"),0)</f>
        <v>0</v>
      </c>
      <c r="U79" s="177">
        <f t="shared" ca="1" si="21"/>
        <v>0</v>
      </c>
      <c r="V79" s="173">
        <f ca="1">IFERROR(__xludf.DUMMYFUNCTION("IMPORTRANGE(""https://docs.google.com/spreadsheets/d/1BeghqumK0IvCmRd2QOy6_afsZq7ZtAGrSnVJy2u7WmY/edit?usp=sharing"",""นราธิวาส!J310"")"),0)</f>
        <v>0</v>
      </c>
      <c r="W79" s="177">
        <f t="shared" ca="1" si="11"/>
        <v>0</v>
      </c>
      <c r="X79" s="173">
        <f ca="1">IFERROR(__xludf.DUMMYFUNCTION("IMPORTRANGE(""https://docs.google.com/spreadsheets/d/1BeghqumK0IvCmRd2QOy6_afsZq7ZtAGrSnVJy2u7WmY/edit?usp=sharing"",""นราธิวาส!J311"")"),0)</f>
        <v>0</v>
      </c>
      <c r="Y79" s="177">
        <f t="shared" ca="1" si="12"/>
        <v>0</v>
      </c>
      <c r="Z79" s="297">
        <f ca="1">IFERROR(__xludf.DUMMYFUNCTION("IMPORTRANGE(""https://docs.google.com/spreadsheets/d/1BeghqumK0IvCmRd2QOy6_afsZq7ZtAGrSnVJy2u7WmY/edit?usp=sharing"",""นราธิวาส!I312"")"),0)</f>
        <v>0</v>
      </c>
      <c r="AA79" s="173">
        <f ca="1">IFERROR(__xludf.DUMMYFUNCTION("IMPORTRANGE(""https://docs.google.com/spreadsheets/d/1BeghqumK0IvCmRd2QOy6_afsZq7ZtAGrSnVJy2u7WmY/edit?usp=sharing"",""นราธิวาส!J312"")"),0)</f>
        <v>0</v>
      </c>
      <c r="AB79" s="177">
        <f t="shared" ca="1" si="14"/>
        <v>0</v>
      </c>
    </row>
    <row r="80" spans="1:28" ht="21" customHeight="1" x14ac:dyDescent="0.3">
      <c r="A80" s="73">
        <v>6</v>
      </c>
      <c r="B80" s="74" t="s">
        <v>102</v>
      </c>
      <c r="C80" s="75">
        <f t="shared" ca="1" si="0"/>
        <v>0</v>
      </c>
      <c r="D80" s="76">
        <f t="shared" ca="1" si="38"/>
        <v>0</v>
      </c>
      <c r="E80" s="77">
        <f ca="1">IFERROR(__xludf.DUMMYFUNCTION("IMPORTRANGE(""https://docs.google.com/spreadsheets/d/1MeEWN-I1oV_STSDYn1IFDPWt_1FKiwhDph83XaGc0o0/edit?usp=sharing"",""งบพรบ!DT80"")"),0)</f>
        <v>0</v>
      </c>
      <c r="F80" s="77">
        <f ca="1">IFERROR(__xludf.DUMMYFUNCTION("IMPORTRANGE(""https://docs.google.com/spreadsheets/d/1MeEWN-I1oV_STSDYn1IFDPWt_1FKiwhDph83XaGc0o0/edit?usp=sharing"",""งบพรบ!DU80"")"),0)</f>
        <v>0</v>
      </c>
      <c r="G80" s="77">
        <f ca="1">IFERROR(__xludf.DUMMYFUNCTION("IMPORTRANGE(""https://docs.google.com/spreadsheets/d/1MeEWN-I1oV_STSDYn1IFDPWt_1FKiwhDph83XaGc0o0/edit?usp=sharing"",""งบพรบ!DV80"")"),0)</f>
        <v>0</v>
      </c>
      <c r="H80" s="77">
        <f ca="1">IFERROR(__xludf.DUMMYFUNCTION("IMPORTRANGE(""https://docs.google.com/spreadsheets/d/1MeEWN-I1oV_STSDYn1IFDPWt_1FKiwhDph83XaGc0o0/edit?usp=sharing"",""งบพรบ!DX80"")"),0)</f>
        <v>0</v>
      </c>
      <c r="I80" s="77">
        <f ca="1">IFERROR(__xludf.DUMMYFUNCTION("IMPORTRANGE(""https://docs.google.com/spreadsheets/d/1MeEWN-I1oV_STSDYn1IFDPWt_1FKiwhDph83XaGc0o0/edit?usp=sharing"",""งบพรบ!DY80"")"),0)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IFERROR(__xludf.DUMMYFUNCTION("IMPORTRANGE(""https://docs.google.com/spreadsheets/d/1MeEWN-I1oV_STSDYn1IFDPWt_1FKiwhDph83XaGc0o0/edit?usp=sharing"",""งบพรบ!DZ80"")"),0)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IFERROR(__xludf.DUMMYFUNCTION("IMPORTRANGE(""https://docs.google.com/spreadsheets/d/1MeEWN-I1oV_STSDYn1IFDPWt_1FKiwhDph83XaGc0o0/edit?usp=sharing"",""งบพรบ!EA80"")"),0)</f>
        <v>0</v>
      </c>
      <c r="P80" s="80">
        <f t="shared" ca="1" si="23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IFERROR(__xludf.DUMMYFUNCTION("IMPORTRANGE(""https://docs.google.com/spreadsheets/d/1IwnW3-jjRf74MCLW-6PiFwMUffRQXZwZA7YM609NmRc/edit?usp=sharing"",""ปัตตานี!J308"")"),0)</f>
        <v>0</v>
      </c>
      <c r="S80" s="297">
        <f ca="1">IFERROR(__xludf.DUMMYFUNCTION("IMPORTRANGE(""https://docs.google.com/spreadsheets/d/1IwnW3-jjRf74MCLW-6PiFwMUffRQXZwZA7YM609NmRc/edit?usp=sharing"",""ปัตตานี!I309"")"),0)</f>
        <v>0</v>
      </c>
      <c r="T80" s="173">
        <f ca="1">IFERROR(__xludf.DUMMYFUNCTION("IMPORTRANGE(""https://docs.google.com/spreadsheets/d/1IwnW3-jjRf74MCLW-6PiFwMUffRQXZwZA7YM609NmRc/edit?usp=sharing"",""ปัตตานี!J309"")"),0)</f>
        <v>0</v>
      </c>
      <c r="U80" s="177">
        <f t="shared" ca="1" si="21"/>
        <v>0</v>
      </c>
      <c r="V80" s="173">
        <f ca="1">IFERROR(__xludf.DUMMYFUNCTION("IMPORTRANGE(""https://docs.google.com/spreadsheets/d/1IwnW3-jjRf74MCLW-6PiFwMUffRQXZwZA7YM609NmRc/edit?usp=sharing"",""ปัตตานี!J310"")"),0)</f>
        <v>0</v>
      </c>
      <c r="W80" s="177">
        <f t="shared" ca="1" si="11"/>
        <v>0</v>
      </c>
      <c r="X80" s="173">
        <f ca="1">IFERROR(__xludf.DUMMYFUNCTION("IMPORTRANGE(""https://docs.google.com/spreadsheets/d/1IwnW3-jjRf74MCLW-6PiFwMUffRQXZwZA7YM609NmRc/edit?usp=sharing"",""ปัตตานี!J311"")"),0)</f>
        <v>0</v>
      </c>
      <c r="Y80" s="177">
        <f t="shared" ca="1" si="12"/>
        <v>0</v>
      </c>
      <c r="Z80" s="297">
        <f ca="1">IFERROR(__xludf.DUMMYFUNCTION("IMPORTRANGE(""https://docs.google.com/spreadsheets/d/1IwnW3-jjRf74MCLW-6PiFwMUffRQXZwZA7YM609NmRc/edit?usp=sharing"",""ปัตตานี!I312"")"),0)</f>
        <v>0</v>
      </c>
      <c r="AA80" s="173">
        <f ca="1">IFERROR(__xludf.DUMMYFUNCTION("IMPORTRANGE(""https://docs.google.com/spreadsheets/d/1IwnW3-jjRf74MCLW-6PiFwMUffRQXZwZA7YM609NmRc/edit?usp=sharing"",""ปัตตานี!J312"")"),0)</f>
        <v>0</v>
      </c>
      <c r="AB80" s="177">
        <f t="shared" ca="1" si="14"/>
        <v>0</v>
      </c>
    </row>
    <row r="81" spans="1:28" ht="21" customHeight="1" x14ac:dyDescent="0.3">
      <c r="A81" s="73">
        <v>7</v>
      </c>
      <c r="B81" s="74" t="s">
        <v>103</v>
      </c>
      <c r="C81" s="75">
        <f t="shared" ca="1" si="0"/>
        <v>0</v>
      </c>
      <c r="D81" s="76">
        <f t="shared" ca="1" si="38"/>
        <v>0</v>
      </c>
      <c r="E81" s="77">
        <f ca="1">IFERROR(__xludf.DUMMYFUNCTION("IMPORTRANGE(""https://docs.google.com/spreadsheets/d/1MeEWN-I1oV_STSDYn1IFDPWt_1FKiwhDph83XaGc0o0/edit?usp=sharing"",""งบพรบ!DT81"")"),0)</f>
        <v>0</v>
      </c>
      <c r="F81" s="77">
        <f ca="1">IFERROR(__xludf.DUMMYFUNCTION("IMPORTRANGE(""https://docs.google.com/spreadsheets/d/1MeEWN-I1oV_STSDYn1IFDPWt_1FKiwhDph83XaGc0o0/edit?usp=sharing"",""งบพรบ!DU81"")"),0)</f>
        <v>0</v>
      </c>
      <c r="G81" s="77">
        <f ca="1">IFERROR(__xludf.DUMMYFUNCTION("IMPORTRANGE(""https://docs.google.com/spreadsheets/d/1MeEWN-I1oV_STSDYn1IFDPWt_1FKiwhDph83XaGc0o0/edit?usp=sharing"",""งบพรบ!DV81"")"),0)</f>
        <v>0</v>
      </c>
      <c r="H81" s="77">
        <f ca="1">IFERROR(__xludf.DUMMYFUNCTION("IMPORTRANGE(""https://docs.google.com/spreadsheets/d/1MeEWN-I1oV_STSDYn1IFDPWt_1FKiwhDph83XaGc0o0/edit?usp=sharing"",""งบพรบ!DX81"")"),0)</f>
        <v>0</v>
      </c>
      <c r="I81" s="77">
        <f ca="1">IFERROR(__xludf.DUMMYFUNCTION("IMPORTRANGE(""https://docs.google.com/spreadsheets/d/1MeEWN-I1oV_STSDYn1IFDPWt_1FKiwhDph83XaGc0o0/edit?usp=sharing"",""งบพรบ!DY81"")"),0)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IFERROR(__xludf.DUMMYFUNCTION("IMPORTRANGE(""https://docs.google.com/spreadsheets/d/1MeEWN-I1oV_STSDYn1IFDPWt_1FKiwhDph83XaGc0o0/edit?usp=sharing"",""งบพรบ!DZ81"")"),0)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IFERROR(__xludf.DUMMYFUNCTION("IMPORTRANGE(""https://docs.google.com/spreadsheets/d/1MeEWN-I1oV_STSDYn1IFDPWt_1FKiwhDph83XaGc0o0/edit?usp=sharing"",""งบพรบ!EA81"")"),0)</f>
        <v>0</v>
      </c>
      <c r="P81" s="80">
        <f t="shared" ca="1" si="23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IFERROR(__xludf.DUMMYFUNCTION("IMPORTRANGE(""https://docs.google.com/spreadsheets/d/1vl4QWbWdFruual5o_wdo6ZSqXZ_it806oja4CctTLKs/edit?usp=sharing"",""พังงา!J308"")"),0)</f>
        <v>0</v>
      </c>
      <c r="S81" s="297">
        <f ca="1">IFERROR(__xludf.DUMMYFUNCTION("IMPORTRANGE(""https://docs.google.com/spreadsheets/d/1vl4QWbWdFruual5o_wdo6ZSqXZ_it806oja4CctTLKs/edit?usp=sharing"",""พังงา!I309"")"),0)</f>
        <v>0</v>
      </c>
      <c r="T81" s="173">
        <f ca="1">IFERROR(__xludf.DUMMYFUNCTION("IMPORTRANGE(""https://docs.google.com/spreadsheets/d/1vl4QWbWdFruual5o_wdo6ZSqXZ_it806oja4CctTLKs/edit?usp=sharing"",""พังงา!J309"")"),0)</f>
        <v>0</v>
      </c>
      <c r="U81" s="177">
        <f t="shared" ca="1" si="21"/>
        <v>0</v>
      </c>
      <c r="V81" s="173">
        <f ca="1">IFERROR(__xludf.DUMMYFUNCTION("IMPORTRANGE(""https://docs.google.com/spreadsheets/d/1vl4QWbWdFruual5o_wdo6ZSqXZ_it806oja4CctTLKs/edit?usp=sharing"",""พังงา!J310"")"),0)</f>
        <v>0</v>
      </c>
      <c r="W81" s="177">
        <f t="shared" ca="1" si="11"/>
        <v>0</v>
      </c>
      <c r="X81" s="173">
        <f ca="1">IFERROR(__xludf.DUMMYFUNCTION("IMPORTRANGE(""https://docs.google.com/spreadsheets/d/1vl4QWbWdFruual5o_wdo6ZSqXZ_it806oja4CctTLKs/edit?usp=sharing"",""พังงา!J311"")"),0)</f>
        <v>0</v>
      </c>
      <c r="Y81" s="177">
        <f t="shared" ca="1" si="12"/>
        <v>0</v>
      </c>
      <c r="Z81" s="297">
        <f ca="1">IFERROR(__xludf.DUMMYFUNCTION("IMPORTRANGE(""https://docs.google.com/spreadsheets/d/1vl4QWbWdFruual5o_wdo6ZSqXZ_it806oja4CctTLKs/edit?usp=sharing"",""พังงา!I312"")"),0)</f>
        <v>0</v>
      </c>
      <c r="AA81" s="173">
        <f ca="1">IFERROR(__xludf.DUMMYFUNCTION("IMPORTRANGE(""https://docs.google.com/spreadsheets/d/1vl4QWbWdFruual5o_wdo6ZSqXZ_it806oja4CctTLKs/edit?usp=sharing"",""พังงา!J312"")"),0)</f>
        <v>0</v>
      </c>
      <c r="AB81" s="177">
        <f t="shared" ca="1" si="14"/>
        <v>0</v>
      </c>
    </row>
    <row r="82" spans="1:28" ht="21" customHeight="1" x14ac:dyDescent="0.3">
      <c r="A82" s="73">
        <v>8</v>
      </c>
      <c r="B82" s="74" t="s">
        <v>104</v>
      </c>
      <c r="C82" s="75">
        <f t="shared" ca="1" si="0"/>
        <v>82400</v>
      </c>
      <c r="D82" s="76">
        <f t="shared" ca="1" si="38"/>
        <v>82400</v>
      </c>
      <c r="E82" s="77">
        <f ca="1">IFERROR(__xludf.DUMMYFUNCTION("IMPORTRANGE(""https://docs.google.com/spreadsheets/d/1MeEWN-I1oV_STSDYn1IFDPWt_1FKiwhDph83XaGc0o0/edit?usp=sharing"",""งบพรบ!DT82"")"),0)</f>
        <v>0</v>
      </c>
      <c r="F82" s="77">
        <f ca="1">IFERROR(__xludf.DUMMYFUNCTION("IMPORTRANGE(""https://docs.google.com/spreadsheets/d/1MeEWN-I1oV_STSDYn1IFDPWt_1FKiwhDph83XaGc0o0/edit?usp=sharing"",""งบพรบ!DU82"")"),82400)</f>
        <v>82400</v>
      </c>
      <c r="G82" s="77">
        <f ca="1">IFERROR(__xludf.DUMMYFUNCTION("IMPORTRANGE(""https://docs.google.com/spreadsheets/d/1MeEWN-I1oV_STSDYn1IFDPWt_1FKiwhDph83XaGc0o0/edit?usp=sharing"",""งบพรบ!DV82"")"),0)</f>
        <v>0</v>
      </c>
      <c r="H82" s="77">
        <f ca="1">IFERROR(__xludf.DUMMYFUNCTION("IMPORTRANGE(""https://docs.google.com/spreadsheets/d/1MeEWN-I1oV_STSDYn1IFDPWt_1FKiwhDph83XaGc0o0/edit?usp=sharing"",""งบพรบ!DX82"")"),82400)</f>
        <v>82400</v>
      </c>
      <c r="I82" s="77">
        <f ca="1">IFERROR(__xludf.DUMMYFUNCTION("IMPORTRANGE(""https://docs.google.com/spreadsheets/d/1MeEWN-I1oV_STSDYn1IFDPWt_1FKiwhDph83XaGc0o0/edit?usp=sharing"",""งบพรบ!DY82"")"),0)</f>
        <v>0</v>
      </c>
      <c r="J82" s="77">
        <f t="shared" ca="1" si="3"/>
        <v>82400</v>
      </c>
      <c r="K82" s="78">
        <f t="shared" ca="1" si="4"/>
        <v>100</v>
      </c>
      <c r="L82" s="77">
        <f ca="1">IFERROR(__xludf.DUMMYFUNCTION("IMPORTRANGE(""https://docs.google.com/spreadsheets/d/1MeEWN-I1oV_STSDYn1IFDPWt_1FKiwhDph83XaGc0o0/edit?usp=sharing"",""งบพรบ!DZ82"")"),82400)</f>
        <v>82400</v>
      </c>
      <c r="M82" s="79">
        <f t="shared" ca="1" si="5"/>
        <v>100</v>
      </c>
      <c r="N82" s="79">
        <f t="shared" ca="1" si="6"/>
        <v>100</v>
      </c>
      <c r="O82" s="80">
        <f ca="1">IFERROR(__xludf.DUMMYFUNCTION("IMPORTRANGE(""https://docs.google.com/spreadsheets/d/1MeEWN-I1oV_STSDYn1IFDPWt_1FKiwhDph83XaGc0o0/edit?usp=sharing"",""งบพรบ!EA82"")"),0)</f>
        <v>0</v>
      </c>
      <c r="P82" s="80">
        <f t="shared" ca="1" si="23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IFERROR(__xludf.DUMMYFUNCTION("IMPORTRANGE(""https://docs.google.com/spreadsheets/d/1b6QssHQp2FoAPSMKHOy273KNzAomaIKhtdlvuZ_zDNE/edit?usp=sharing"",""พัทลุง!J308"")"),0)</f>
        <v>0</v>
      </c>
      <c r="S82" s="297">
        <f ca="1">IFERROR(__xludf.DUMMYFUNCTION("IMPORTRANGE(""https://docs.google.com/spreadsheets/d/1b6QssHQp2FoAPSMKHOy273KNzAomaIKhtdlvuZ_zDNE/edit?usp=sharing"",""พัทลุง!I309"")"),20)</f>
        <v>20</v>
      </c>
      <c r="T82" s="173">
        <f ca="1">IFERROR(__xludf.DUMMYFUNCTION("IMPORTRANGE(""https://docs.google.com/spreadsheets/d/1b6QssHQp2FoAPSMKHOy273KNzAomaIKhtdlvuZ_zDNE/edit?usp=sharing"",""พัทลุง!J309"")"),20)</f>
        <v>20</v>
      </c>
      <c r="U82" s="177">
        <f t="shared" ca="1" si="21"/>
        <v>100</v>
      </c>
      <c r="V82" s="173">
        <f ca="1">IFERROR(__xludf.DUMMYFUNCTION("IMPORTRANGE(""https://docs.google.com/spreadsheets/d/1b6QssHQp2FoAPSMKHOy273KNzAomaIKhtdlvuZ_zDNE/edit?usp=sharing"",""พัทลุง!J310"")"),20)</f>
        <v>20</v>
      </c>
      <c r="W82" s="177">
        <f t="shared" ca="1" si="11"/>
        <v>100</v>
      </c>
      <c r="X82" s="173">
        <f ca="1">IFERROR(__xludf.DUMMYFUNCTION("IMPORTRANGE(""https://docs.google.com/spreadsheets/d/1b6QssHQp2FoAPSMKHOy273KNzAomaIKhtdlvuZ_zDNE/edit?usp=sharing"",""พัทลุง!J311"")"),20)</f>
        <v>20</v>
      </c>
      <c r="Y82" s="177">
        <f t="shared" ca="1" si="12"/>
        <v>100</v>
      </c>
      <c r="Z82" s="297">
        <f ca="1">IFERROR(__xludf.DUMMYFUNCTION("IMPORTRANGE(""https://docs.google.com/spreadsheets/d/1b6QssHQp2FoAPSMKHOy273KNzAomaIKhtdlvuZ_zDNE/edit?usp=sharing"",""พัทลุง!I312"")"),4)</f>
        <v>4</v>
      </c>
      <c r="AA82" s="173">
        <f ca="1">IFERROR(__xludf.DUMMYFUNCTION("IMPORTRANGE(""https://docs.google.com/spreadsheets/d/1b6QssHQp2FoAPSMKHOy273KNzAomaIKhtdlvuZ_zDNE/edit?usp=sharing"",""พัทลุง!J312"")"),4)</f>
        <v>4</v>
      </c>
      <c r="AB82" s="177">
        <f t="shared" ca="1" si="14"/>
        <v>20</v>
      </c>
    </row>
    <row r="83" spans="1:28" ht="21" customHeight="1" x14ac:dyDescent="0.3">
      <c r="A83" s="73">
        <v>9</v>
      </c>
      <c r="B83" s="74" t="s">
        <v>105</v>
      </c>
      <c r="C83" s="75">
        <f t="shared" ca="1" si="0"/>
        <v>0</v>
      </c>
      <c r="D83" s="76">
        <f t="shared" ca="1" si="38"/>
        <v>0</v>
      </c>
      <c r="E83" s="77">
        <f ca="1">IFERROR(__xludf.DUMMYFUNCTION("IMPORTRANGE(""https://docs.google.com/spreadsheets/d/1MeEWN-I1oV_STSDYn1IFDPWt_1FKiwhDph83XaGc0o0/edit?usp=sharing"",""งบพรบ!DT83"")"),0)</f>
        <v>0</v>
      </c>
      <c r="F83" s="77">
        <f ca="1">IFERROR(__xludf.DUMMYFUNCTION("IMPORTRANGE(""https://docs.google.com/spreadsheets/d/1MeEWN-I1oV_STSDYn1IFDPWt_1FKiwhDph83XaGc0o0/edit?usp=sharing"",""งบพรบ!DU83"")"),0)</f>
        <v>0</v>
      </c>
      <c r="G83" s="77">
        <f ca="1">IFERROR(__xludf.DUMMYFUNCTION("IMPORTRANGE(""https://docs.google.com/spreadsheets/d/1MeEWN-I1oV_STSDYn1IFDPWt_1FKiwhDph83XaGc0o0/edit?usp=sharing"",""งบพรบ!DV83"")"),0)</f>
        <v>0</v>
      </c>
      <c r="H83" s="77">
        <f ca="1">IFERROR(__xludf.DUMMYFUNCTION("IMPORTRANGE(""https://docs.google.com/spreadsheets/d/1MeEWN-I1oV_STSDYn1IFDPWt_1FKiwhDph83XaGc0o0/edit?usp=sharing"",""งบพรบ!DX83"")"),0)</f>
        <v>0</v>
      </c>
      <c r="I83" s="77">
        <f ca="1">IFERROR(__xludf.DUMMYFUNCTION("IMPORTRANGE(""https://docs.google.com/spreadsheets/d/1MeEWN-I1oV_STSDYn1IFDPWt_1FKiwhDph83XaGc0o0/edit?usp=sharing"",""งบพรบ!DY83"")"),0)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IFERROR(__xludf.DUMMYFUNCTION("IMPORTRANGE(""https://docs.google.com/spreadsheets/d/1MeEWN-I1oV_STSDYn1IFDPWt_1FKiwhDph83XaGc0o0/edit?usp=sharing"",""งบพรบ!DZ83"")"),0)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IFERROR(__xludf.DUMMYFUNCTION("IMPORTRANGE(""https://docs.google.com/spreadsheets/d/1MeEWN-I1oV_STSDYn1IFDPWt_1FKiwhDph83XaGc0o0/edit?usp=sharing"",""งบพรบ!EA83"")"),0)</f>
        <v>0</v>
      </c>
      <c r="P83" s="80">
        <f t="shared" ca="1" si="23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IFERROR(__xludf.DUMMYFUNCTION("IMPORTRANGE(""https://docs.google.com/spreadsheets/d/1o7UZe4_OqlqtLDHrj01Z2YFRSZDf1DMy1n3XViHaxRc/edit?usp=sharing"",""ภูเก็ต!J308"")"),0)</f>
        <v>0</v>
      </c>
      <c r="S83" s="297">
        <f ca="1">IFERROR(__xludf.DUMMYFUNCTION("IMPORTRANGE(""https://docs.google.com/spreadsheets/d/1o7UZe4_OqlqtLDHrj01Z2YFRSZDf1DMy1n3XViHaxRc/edit?usp=sharing"",""ภูเก็ต!I309"")"),0)</f>
        <v>0</v>
      </c>
      <c r="T83" s="173">
        <f ca="1">IFERROR(__xludf.DUMMYFUNCTION("IMPORTRANGE(""https://docs.google.com/spreadsheets/d/1o7UZe4_OqlqtLDHrj01Z2YFRSZDf1DMy1n3XViHaxRc/edit?usp=sharing"",""ภูเก็ต!J309"")"),0)</f>
        <v>0</v>
      </c>
      <c r="U83" s="177">
        <f t="shared" ca="1" si="21"/>
        <v>0</v>
      </c>
      <c r="V83" s="173">
        <f ca="1">IFERROR(__xludf.DUMMYFUNCTION("IMPORTRANGE(""https://docs.google.com/spreadsheets/d/1o7UZe4_OqlqtLDHrj01Z2YFRSZDf1DMy1n3XViHaxRc/edit?usp=sharing"",""ภูเก็ต!J310"")"),0)</f>
        <v>0</v>
      </c>
      <c r="W83" s="177">
        <f t="shared" ca="1" si="11"/>
        <v>0</v>
      </c>
      <c r="X83" s="173">
        <f ca="1">IFERROR(__xludf.DUMMYFUNCTION("IMPORTRANGE(""https://docs.google.com/spreadsheets/d/1o7UZe4_OqlqtLDHrj01Z2YFRSZDf1DMy1n3XViHaxRc/edit?usp=sharing"",""ภูเก็ต!J311"")"),0)</f>
        <v>0</v>
      </c>
      <c r="Y83" s="177">
        <f t="shared" ca="1" si="12"/>
        <v>0</v>
      </c>
      <c r="Z83" s="297">
        <f ca="1">IFERROR(__xludf.DUMMYFUNCTION("IMPORTRANGE(""https://docs.google.com/spreadsheets/d/1o7UZe4_OqlqtLDHrj01Z2YFRSZDf1DMy1n3XViHaxRc/edit?usp=sharing"",""ภูเก็ต!I312"")"),0)</f>
        <v>0</v>
      </c>
      <c r="AA83" s="173">
        <f ca="1">IFERROR(__xludf.DUMMYFUNCTION("IMPORTRANGE(""https://docs.google.com/spreadsheets/d/1o7UZe4_OqlqtLDHrj01Z2YFRSZDf1DMy1n3XViHaxRc/edit?usp=sharing"",""ภูเก็ต!J312"")"),0)</f>
        <v>0</v>
      </c>
      <c r="AB83" s="177">
        <f t="shared" ca="1" si="14"/>
        <v>0</v>
      </c>
    </row>
    <row r="84" spans="1:28" ht="21" customHeight="1" x14ac:dyDescent="0.3">
      <c r="A84" s="73">
        <v>10</v>
      </c>
      <c r="B84" s="74" t="s">
        <v>106</v>
      </c>
      <c r="C84" s="75">
        <f t="shared" ca="1" si="0"/>
        <v>0</v>
      </c>
      <c r="D84" s="76">
        <f t="shared" ca="1" si="38"/>
        <v>0</v>
      </c>
      <c r="E84" s="77">
        <f ca="1">IFERROR(__xludf.DUMMYFUNCTION("IMPORTRANGE(""https://docs.google.com/spreadsheets/d/1MeEWN-I1oV_STSDYn1IFDPWt_1FKiwhDph83XaGc0o0/edit?usp=sharing"",""งบพรบ!DT84"")"),0)</f>
        <v>0</v>
      </c>
      <c r="F84" s="77">
        <f ca="1">IFERROR(__xludf.DUMMYFUNCTION("IMPORTRANGE(""https://docs.google.com/spreadsheets/d/1MeEWN-I1oV_STSDYn1IFDPWt_1FKiwhDph83XaGc0o0/edit?usp=sharing"",""งบพรบ!DU84"")"),0)</f>
        <v>0</v>
      </c>
      <c r="G84" s="77">
        <f ca="1">IFERROR(__xludf.DUMMYFUNCTION("IMPORTRANGE(""https://docs.google.com/spreadsheets/d/1MeEWN-I1oV_STSDYn1IFDPWt_1FKiwhDph83XaGc0o0/edit?usp=sharing"",""งบพรบ!DV84"")"),0)</f>
        <v>0</v>
      </c>
      <c r="H84" s="77">
        <f ca="1">IFERROR(__xludf.DUMMYFUNCTION("IMPORTRANGE(""https://docs.google.com/spreadsheets/d/1MeEWN-I1oV_STSDYn1IFDPWt_1FKiwhDph83XaGc0o0/edit?usp=sharing"",""งบพรบ!DX84"")"),0)</f>
        <v>0</v>
      </c>
      <c r="I84" s="77">
        <f ca="1">IFERROR(__xludf.DUMMYFUNCTION("IMPORTRANGE(""https://docs.google.com/spreadsheets/d/1MeEWN-I1oV_STSDYn1IFDPWt_1FKiwhDph83XaGc0o0/edit?usp=sharing"",""งบพรบ!DY84"")"),0)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IFERROR(__xludf.DUMMYFUNCTION("IMPORTRANGE(""https://docs.google.com/spreadsheets/d/1MeEWN-I1oV_STSDYn1IFDPWt_1FKiwhDph83XaGc0o0/edit?usp=sharing"",""งบพรบ!DZ84"")"),0)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IFERROR(__xludf.DUMMYFUNCTION("IMPORTRANGE(""https://docs.google.com/spreadsheets/d/1MeEWN-I1oV_STSDYn1IFDPWt_1FKiwhDph83XaGc0o0/edit?usp=sharing"",""งบพรบ!EA84"")"),0)</f>
        <v>0</v>
      </c>
      <c r="P84" s="80">
        <f t="shared" ca="1" si="23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IFERROR(__xludf.DUMMYFUNCTION("IMPORTRANGE(""https://docs.google.com/spreadsheets/d/1ctPm1vUzcUCPuOj9-eoHUD85PqINFqUB0TjdSWmR5-c/edit?usp=sharing"",""ยะลา!J308"")"),0)</f>
        <v>0</v>
      </c>
      <c r="S84" s="297">
        <f ca="1">IFERROR(__xludf.DUMMYFUNCTION("IMPORTRANGE(""https://docs.google.com/spreadsheets/d/1ctPm1vUzcUCPuOj9-eoHUD85PqINFqUB0TjdSWmR5-c/edit?usp=sharing"",""ยะลา!I309"")"),0)</f>
        <v>0</v>
      </c>
      <c r="T84" s="173">
        <f ca="1">IFERROR(__xludf.DUMMYFUNCTION("IMPORTRANGE(""https://docs.google.com/spreadsheets/d/1ctPm1vUzcUCPuOj9-eoHUD85PqINFqUB0TjdSWmR5-c/edit?usp=sharing"",""ยะลา!J309"")"),0)</f>
        <v>0</v>
      </c>
      <c r="U84" s="177">
        <f t="shared" ca="1" si="21"/>
        <v>0</v>
      </c>
      <c r="V84" s="173">
        <f ca="1">IFERROR(__xludf.DUMMYFUNCTION("IMPORTRANGE(""https://docs.google.com/spreadsheets/d/1ctPm1vUzcUCPuOj9-eoHUD85PqINFqUB0TjdSWmR5-c/edit?usp=sharing"",""ยะลา!J310"")"),0)</f>
        <v>0</v>
      </c>
      <c r="W84" s="177">
        <f t="shared" ca="1" si="11"/>
        <v>0</v>
      </c>
      <c r="X84" s="173">
        <f ca="1">IFERROR(__xludf.DUMMYFUNCTION("IMPORTRANGE(""https://docs.google.com/spreadsheets/d/1ctPm1vUzcUCPuOj9-eoHUD85PqINFqUB0TjdSWmR5-c/edit?usp=sharing"",""ยะลา!J311"")"),0)</f>
        <v>0</v>
      </c>
      <c r="Y84" s="177">
        <f t="shared" ca="1" si="12"/>
        <v>0</v>
      </c>
      <c r="Z84" s="297">
        <f ca="1">IFERROR(__xludf.DUMMYFUNCTION("IMPORTRANGE(""https://docs.google.com/spreadsheets/d/1ctPm1vUzcUCPuOj9-eoHUD85PqINFqUB0TjdSWmR5-c/edit?usp=sharing"",""ยะลา!I312"")"),0)</f>
        <v>0</v>
      </c>
      <c r="AA84" s="173">
        <f ca="1">IFERROR(__xludf.DUMMYFUNCTION("IMPORTRANGE(""https://docs.google.com/spreadsheets/d/1ctPm1vUzcUCPuOj9-eoHUD85PqINFqUB0TjdSWmR5-c/edit?usp=sharing"",""ยะลา!J312"")"),0)</f>
        <v>0</v>
      </c>
      <c r="AB84" s="177">
        <f t="shared" ca="1" si="14"/>
        <v>0</v>
      </c>
    </row>
    <row r="85" spans="1:28" ht="21" customHeight="1" x14ac:dyDescent="0.3">
      <c r="A85" s="73">
        <v>11</v>
      </c>
      <c r="B85" s="74" t="s">
        <v>107</v>
      </c>
      <c r="C85" s="75">
        <f t="shared" ca="1" si="0"/>
        <v>0</v>
      </c>
      <c r="D85" s="76">
        <f t="shared" ca="1" si="38"/>
        <v>0</v>
      </c>
      <c r="E85" s="77">
        <f ca="1">IFERROR(__xludf.DUMMYFUNCTION("IMPORTRANGE(""https://docs.google.com/spreadsheets/d/1MeEWN-I1oV_STSDYn1IFDPWt_1FKiwhDph83XaGc0o0/edit?usp=sharing"",""งบพรบ!DT85"")"),0)</f>
        <v>0</v>
      </c>
      <c r="F85" s="77">
        <f ca="1">IFERROR(__xludf.DUMMYFUNCTION("IMPORTRANGE(""https://docs.google.com/spreadsheets/d/1MeEWN-I1oV_STSDYn1IFDPWt_1FKiwhDph83XaGc0o0/edit?usp=sharing"",""งบพรบ!DU85"")"),0)</f>
        <v>0</v>
      </c>
      <c r="G85" s="77">
        <f ca="1">IFERROR(__xludf.DUMMYFUNCTION("IMPORTRANGE(""https://docs.google.com/spreadsheets/d/1MeEWN-I1oV_STSDYn1IFDPWt_1FKiwhDph83XaGc0o0/edit?usp=sharing"",""งบพรบ!DV85"")"),0)</f>
        <v>0</v>
      </c>
      <c r="H85" s="77">
        <f ca="1">IFERROR(__xludf.DUMMYFUNCTION("IMPORTRANGE(""https://docs.google.com/spreadsheets/d/1MeEWN-I1oV_STSDYn1IFDPWt_1FKiwhDph83XaGc0o0/edit?usp=sharing"",""งบพรบ!DX85"")"),0)</f>
        <v>0</v>
      </c>
      <c r="I85" s="77">
        <f ca="1">IFERROR(__xludf.DUMMYFUNCTION("IMPORTRANGE(""https://docs.google.com/spreadsheets/d/1MeEWN-I1oV_STSDYn1IFDPWt_1FKiwhDph83XaGc0o0/edit?usp=sharing"",""งบพรบ!DY85"")"),0)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IFERROR(__xludf.DUMMYFUNCTION("IMPORTRANGE(""https://docs.google.com/spreadsheets/d/1MeEWN-I1oV_STSDYn1IFDPWt_1FKiwhDph83XaGc0o0/edit?usp=sharing"",""งบพรบ!DZ85"")"),0)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IFERROR(__xludf.DUMMYFUNCTION("IMPORTRANGE(""https://docs.google.com/spreadsheets/d/1MeEWN-I1oV_STSDYn1IFDPWt_1FKiwhDph83XaGc0o0/edit?usp=sharing"",""งบพรบ!EA85"")"),0)</f>
        <v>0</v>
      </c>
      <c r="P85" s="80">
        <f t="shared" ca="1" si="23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IFERROR(__xludf.DUMMYFUNCTION("IMPORTRANGE(""https://docs.google.com/spreadsheets/d/1YiDIE7Klmt8osgdapRqYWNr7iPGFSsiJqq46S7PYRE0/edit?usp=sharing"",""ระนอง!J308"")"),0)</f>
        <v>0</v>
      </c>
      <c r="S85" s="297">
        <f ca="1">IFERROR(__xludf.DUMMYFUNCTION("IMPORTRANGE(""https://docs.google.com/spreadsheets/d/1YiDIE7Klmt8osgdapRqYWNr7iPGFSsiJqq46S7PYRE0/edit?usp=sharing"",""ระนอง!I309"")"),0)</f>
        <v>0</v>
      </c>
      <c r="T85" s="173">
        <f ca="1">IFERROR(__xludf.DUMMYFUNCTION("IMPORTRANGE(""https://docs.google.com/spreadsheets/d/1YiDIE7Klmt8osgdapRqYWNr7iPGFSsiJqq46S7PYRE0/edit?usp=sharing"",""ระนอง!J309"")"),0)</f>
        <v>0</v>
      </c>
      <c r="U85" s="177">
        <f t="shared" ca="1" si="21"/>
        <v>0</v>
      </c>
      <c r="V85" s="173">
        <f ca="1">IFERROR(__xludf.DUMMYFUNCTION("IMPORTRANGE(""https://docs.google.com/spreadsheets/d/1YiDIE7Klmt8osgdapRqYWNr7iPGFSsiJqq46S7PYRE0/edit?usp=sharing"",""ระนอง!J310"")"),0)</f>
        <v>0</v>
      </c>
      <c r="W85" s="177">
        <f t="shared" ca="1" si="11"/>
        <v>0</v>
      </c>
      <c r="X85" s="173">
        <f ca="1">IFERROR(__xludf.DUMMYFUNCTION("IMPORTRANGE(""https://docs.google.com/spreadsheets/d/1YiDIE7Klmt8osgdapRqYWNr7iPGFSsiJqq46S7PYRE0/edit?usp=sharing"",""ระนอง!J311"")"),0)</f>
        <v>0</v>
      </c>
      <c r="Y85" s="177">
        <f t="shared" ca="1" si="12"/>
        <v>0</v>
      </c>
      <c r="Z85" s="297">
        <f ca="1">IFERROR(__xludf.DUMMYFUNCTION("IMPORTRANGE(""https://docs.google.com/spreadsheets/d/1YiDIE7Klmt8osgdapRqYWNr7iPGFSsiJqq46S7PYRE0/edit?usp=sharing"",""ระนอง!I312"")"),0)</f>
        <v>0</v>
      </c>
      <c r="AA85" s="173">
        <f ca="1">IFERROR(__xludf.DUMMYFUNCTION("IMPORTRANGE(""https://docs.google.com/spreadsheets/d/1YiDIE7Klmt8osgdapRqYWNr7iPGFSsiJqq46S7PYRE0/edit?usp=sharing"",""ระนอง!J312"")"),0)</f>
        <v>0</v>
      </c>
      <c r="AB85" s="177">
        <f t="shared" ca="1" si="14"/>
        <v>0</v>
      </c>
    </row>
    <row r="86" spans="1:28" ht="24" customHeight="1" x14ac:dyDescent="0.3">
      <c r="A86" s="73">
        <v>12</v>
      </c>
      <c r="B86" s="74" t="s">
        <v>108</v>
      </c>
      <c r="C86" s="75">
        <f t="shared" ca="1" si="0"/>
        <v>82400</v>
      </c>
      <c r="D86" s="76">
        <f t="shared" ca="1" si="38"/>
        <v>82400</v>
      </c>
      <c r="E86" s="77">
        <f ca="1">IFERROR(__xludf.DUMMYFUNCTION("IMPORTRANGE(""https://docs.google.com/spreadsheets/d/1MeEWN-I1oV_STSDYn1IFDPWt_1FKiwhDph83XaGc0o0/edit?usp=sharing"",""งบพรบ!DT86"")"),0)</f>
        <v>0</v>
      </c>
      <c r="F86" s="77">
        <f ca="1">IFERROR(__xludf.DUMMYFUNCTION("IMPORTRANGE(""https://docs.google.com/spreadsheets/d/1MeEWN-I1oV_STSDYn1IFDPWt_1FKiwhDph83XaGc0o0/edit?usp=sharing"",""งบพรบ!DU86"")"),82400)</f>
        <v>82400</v>
      </c>
      <c r="G86" s="77">
        <f ca="1">IFERROR(__xludf.DUMMYFUNCTION("IMPORTRANGE(""https://docs.google.com/spreadsheets/d/1MeEWN-I1oV_STSDYn1IFDPWt_1FKiwhDph83XaGc0o0/edit?usp=sharing"",""งบพรบ!DV86"")"),0)</f>
        <v>0</v>
      </c>
      <c r="H86" s="77">
        <f ca="1">IFERROR(__xludf.DUMMYFUNCTION("IMPORTRANGE(""https://docs.google.com/spreadsheets/d/1MeEWN-I1oV_STSDYn1IFDPWt_1FKiwhDph83XaGc0o0/edit?usp=sharing"",""งบพรบ!DX86"")"),82400)</f>
        <v>82400</v>
      </c>
      <c r="I86" s="77">
        <f ca="1">IFERROR(__xludf.DUMMYFUNCTION("IMPORTRANGE(""https://docs.google.com/spreadsheets/d/1MeEWN-I1oV_STSDYn1IFDPWt_1FKiwhDph83XaGc0o0/edit?usp=sharing"",""งบพรบ!DY86"")"),0)</f>
        <v>0</v>
      </c>
      <c r="J86" s="77">
        <f t="shared" ca="1" si="3"/>
        <v>81140</v>
      </c>
      <c r="K86" s="78">
        <f t="shared" ca="1" si="4"/>
        <v>98.470873786407765</v>
      </c>
      <c r="L86" s="77">
        <f ca="1">IFERROR(__xludf.DUMMYFUNCTION("IMPORTRANGE(""https://docs.google.com/spreadsheets/d/1MeEWN-I1oV_STSDYn1IFDPWt_1FKiwhDph83XaGc0o0/edit?usp=sharing"",""งบพรบ!DZ86"")"),81140)</f>
        <v>81140</v>
      </c>
      <c r="M86" s="79">
        <f t="shared" ca="1" si="5"/>
        <v>98.470873786407765</v>
      </c>
      <c r="N86" s="79">
        <f t="shared" ca="1" si="6"/>
        <v>98.470873786407765</v>
      </c>
      <c r="O86" s="80">
        <f ca="1">IFERROR(__xludf.DUMMYFUNCTION("IMPORTRANGE(""https://docs.google.com/spreadsheets/d/1MeEWN-I1oV_STSDYn1IFDPWt_1FKiwhDph83XaGc0o0/edit?usp=sharing"",""งบพรบ!EA86"")"),0)</f>
        <v>0</v>
      </c>
      <c r="P86" s="80">
        <f t="shared" ca="1" si="23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IFERROR(__xludf.DUMMYFUNCTION("IMPORTRANGE(""https://docs.google.com/spreadsheets/d/16o_4B-V7AWw_6E93bSpXj_XxVv1oVQctk-B6z1dNEWU/edit?usp=sharing"",""สงขลา!J308"")"),1)</f>
        <v>1</v>
      </c>
      <c r="S86" s="297">
        <f ca="1">IFERROR(__xludf.DUMMYFUNCTION("IMPORTRANGE(""https://docs.google.com/spreadsheets/d/16o_4B-V7AWw_6E93bSpXj_XxVv1oVQctk-B6z1dNEWU/edit?usp=sharing"",""สงขลา!I309"")"),20)</f>
        <v>20</v>
      </c>
      <c r="T86" s="173">
        <f ca="1">IFERROR(__xludf.DUMMYFUNCTION("IMPORTRANGE(""https://docs.google.com/spreadsheets/d/16o_4B-V7AWw_6E93bSpXj_XxVv1oVQctk-B6z1dNEWU/edit?usp=sharing"",""สงขลา!J309"")"),20)</f>
        <v>20</v>
      </c>
      <c r="U86" s="177">
        <f t="shared" ca="1" si="21"/>
        <v>100</v>
      </c>
      <c r="V86" s="173">
        <f ca="1">IFERROR(__xludf.DUMMYFUNCTION("IMPORTRANGE(""https://docs.google.com/spreadsheets/d/16o_4B-V7AWw_6E93bSpXj_XxVv1oVQctk-B6z1dNEWU/edit?usp=sharing"",""สงขลา!J310"")"),20)</f>
        <v>20</v>
      </c>
      <c r="W86" s="177">
        <f t="shared" ca="1" si="11"/>
        <v>100</v>
      </c>
      <c r="X86" s="173">
        <f ca="1">IFERROR(__xludf.DUMMYFUNCTION("IMPORTRANGE(""https://docs.google.com/spreadsheets/d/16o_4B-V7AWw_6E93bSpXj_XxVv1oVQctk-B6z1dNEWU/edit?usp=sharing"",""สงขลา!J311"")"),20)</f>
        <v>20</v>
      </c>
      <c r="Y86" s="177">
        <f t="shared" ca="1" si="12"/>
        <v>100</v>
      </c>
      <c r="Z86" s="297">
        <f ca="1">IFERROR(__xludf.DUMMYFUNCTION("IMPORTRANGE(""https://docs.google.com/spreadsheets/d/16o_4B-V7AWw_6E93bSpXj_XxVv1oVQctk-B6z1dNEWU/edit?usp=sharing"",""สงขลา!I312"")"),4)</f>
        <v>4</v>
      </c>
      <c r="AA86" s="173">
        <f ca="1">IFERROR(__xludf.DUMMYFUNCTION("IMPORTRANGE(""https://docs.google.com/spreadsheets/d/16o_4B-V7AWw_6E93bSpXj_XxVv1oVQctk-B6z1dNEWU/edit?usp=sharing"",""สงขลา!J312"")"),4)</f>
        <v>4</v>
      </c>
      <c r="AB86" s="177">
        <f t="shared" ca="1" si="14"/>
        <v>20</v>
      </c>
    </row>
    <row r="87" spans="1:28" ht="24" customHeight="1" x14ac:dyDescent="0.3">
      <c r="A87" s="73">
        <v>13</v>
      </c>
      <c r="B87" s="74" t="s">
        <v>109</v>
      </c>
      <c r="C87" s="75">
        <f t="shared" ca="1" si="0"/>
        <v>0</v>
      </c>
      <c r="D87" s="76">
        <f t="shared" ca="1" si="38"/>
        <v>0</v>
      </c>
      <c r="E87" s="77">
        <f ca="1">IFERROR(__xludf.DUMMYFUNCTION("IMPORTRANGE(""https://docs.google.com/spreadsheets/d/1MeEWN-I1oV_STSDYn1IFDPWt_1FKiwhDph83XaGc0o0/edit?usp=sharing"",""งบพรบ!DT87"")"),0)</f>
        <v>0</v>
      </c>
      <c r="F87" s="77">
        <f ca="1">IFERROR(__xludf.DUMMYFUNCTION("IMPORTRANGE(""https://docs.google.com/spreadsheets/d/1MeEWN-I1oV_STSDYn1IFDPWt_1FKiwhDph83XaGc0o0/edit?usp=sharing"",""งบพรบ!DU87"")"),0)</f>
        <v>0</v>
      </c>
      <c r="G87" s="77">
        <f ca="1">IFERROR(__xludf.DUMMYFUNCTION("IMPORTRANGE(""https://docs.google.com/spreadsheets/d/1MeEWN-I1oV_STSDYn1IFDPWt_1FKiwhDph83XaGc0o0/edit?usp=sharing"",""งบพรบ!DV87"")"),0)</f>
        <v>0</v>
      </c>
      <c r="H87" s="77">
        <f ca="1">IFERROR(__xludf.DUMMYFUNCTION("IMPORTRANGE(""https://docs.google.com/spreadsheets/d/1MeEWN-I1oV_STSDYn1IFDPWt_1FKiwhDph83XaGc0o0/edit?usp=sharing"",""งบพรบ!DX87"")"),0)</f>
        <v>0</v>
      </c>
      <c r="I87" s="77">
        <f ca="1">IFERROR(__xludf.DUMMYFUNCTION("IMPORTRANGE(""https://docs.google.com/spreadsheets/d/1MeEWN-I1oV_STSDYn1IFDPWt_1FKiwhDph83XaGc0o0/edit?usp=sharing"",""งบพรบ!DY87"")"),0)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IFERROR(__xludf.DUMMYFUNCTION("IMPORTRANGE(""https://docs.google.com/spreadsheets/d/1MeEWN-I1oV_STSDYn1IFDPWt_1FKiwhDph83XaGc0o0/edit?usp=sharing"",""งบพรบ!DZ87"")"),0)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IFERROR(__xludf.DUMMYFUNCTION("IMPORTRANGE(""https://docs.google.com/spreadsheets/d/1MeEWN-I1oV_STSDYn1IFDPWt_1FKiwhDph83XaGc0o0/edit?usp=sharing"",""งบพรบ!EA87"")"),0)</f>
        <v>0</v>
      </c>
      <c r="P87" s="80">
        <f t="shared" ca="1" si="23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IFERROR(__xludf.DUMMYFUNCTION("IMPORTRANGE(""https://docs.google.com/spreadsheets/d/16cywr71Fj4fA5OGRHsZh30ZG2gwJhMAQv69oVBzYHv0/edit?usp=sharing"",""สตูล!J308"")"),0)</f>
        <v>0</v>
      </c>
      <c r="S87" s="297">
        <f ca="1">IFERROR(__xludf.DUMMYFUNCTION("IMPORTRANGE(""https://docs.google.com/spreadsheets/d/16cywr71Fj4fA5OGRHsZh30ZG2gwJhMAQv69oVBzYHv0/edit?usp=sharing"",""สตูล!I309"")"),0)</f>
        <v>0</v>
      </c>
      <c r="T87" s="173">
        <f ca="1">IFERROR(__xludf.DUMMYFUNCTION("IMPORTRANGE(""https://docs.google.com/spreadsheets/d/16cywr71Fj4fA5OGRHsZh30ZG2gwJhMAQv69oVBzYHv0/edit?usp=sharing"",""สตูล!J309"")"),0)</f>
        <v>0</v>
      </c>
      <c r="U87" s="177">
        <f t="shared" ca="1" si="21"/>
        <v>0</v>
      </c>
      <c r="V87" s="173">
        <f ca="1">IFERROR(__xludf.DUMMYFUNCTION("IMPORTRANGE(""https://docs.google.com/spreadsheets/d/16cywr71Fj4fA5OGRHsZh30ZG2gwJhMAQv69oVBzYHv0/edit?usp=sharing"",""สตูล!J310"")"),0)</f>
        <v>0</v>
      </c>
      <c r="W87" s="177">
        <f t="shared" ca="1" si="11"/>
        <v>0</v>
      </c>
      <c r="X87" s="173">
        <f ca="1">IFERROR(__xludf.DUMMYFUNCTION("IMPORTRANGE(""https://docs.google.com/spreadsheets/d/16cywr71Fj4fA5OGRHsZh30ZG2gwJhMAQv69oVBzYHv0/edit?usp=sharing"",""สตูล!J311"")"),0)</f>
        <v>0</v>
      </c>
      <c r="Y87" s="177">
        <f t="shared" ca="1" si="12"/>
        <v>0</v>
      </c>
      <c r="Z87" s="297">
        <f ca="1">IFERROR(__xludf.DUMMYFUNCTION("IMPORTRANGE(""https://docs.google.com/spreadsheets/d/16cywr71Fj4fA5OGRHsZh30ZG2gwJhMAQv69oVBzYHv0/edit?usp=sharing"",""สตูล!I312"")"),0)</f>
        <v>0</v>
      </c>
      <c r="AA87" s="173">
        <f ca="1">IFERROR(__xludf.DUMMYFUNCTION("IMPORTRANGE(""https://docs.google.com/spreadsheets/d/16cywr71Fj4fA5OGRHsZh30ZG2gwJhMAQv69oVBzYHv0/edit?usp=sharing"",""สตูล!J312"")"),0)</f>
        <v>0</v>
      </c>
      <c r="AB87" s="177">
        <f t="shared" ca="1" si="14"/>
        <v>0</v>
      </c>
    </row>
    <row r="88" spans="1:28" ht="24" customHeight="1" x14ac:dyDescent="0.3">
      <c r="A88" s="84">
        <v>14</v>
      </c>
      <c r="B88" s="85" t="s">
        <v>110</v>
      </c>
      <c r="C88" s="86">
        <f t="shared" ca="1" si="0"/>
        <v>82400</v>
      </c>
      <c r="D88" s="87">
        <f t="shared" ca="1" si="38"/>
        <v>82400</v>
      </c>
      <c r="E88" s="88">
        <f ca="1">IFERROR(__xludf.DUMMYFUNCTION("IMPORTRANGE(""https://docs.google.com/spreadsheets/d/1MeEWN-I1oV_STSDYn1IFDPWt_1FKiwhDph83XaGc0o0/edit?usp=sharing"",""งบพรบ!DT88"")"),0)</f>
        <v>0</v>
      </c>
      <c r="F88" s="88">
        <f ca="1">IFERROR(__xludf.DUMMYFUNCTION("IMPORTRANGE(""https://docs.google.com/spreadsheets/d/1MeEWN-I1oV_STSDYn1IFDPWt_1FKiwhDph83XaGc0o0/edit?usp=sharing"",""งบพรบ!DU88"")"),82400)</f>
        <v>82400</v>
      </c>
      <c r="G88" s="88">
        <f ca="1">IFERROR(__xludf.DUMMYFUNCTION("IMPORTRANGE(""https://docs.google.com/spreadsheets/d/1MeEWN-I1oV_STSDYn1IFDPWt_1FKiwhDph83XaGc0o0/edit?usp=sharing"",""งบพรบ!DV88"")"),0)</f>
        <v>0</v>
      </c>
      <c r="H88" s="88">
        <f ca="1">IFERROR(__xludf.DUMMYFUNCTION("IMPORTRANGE(""https://docs.google.com/spreadsheets/d/1MeEWN-I1oV_STSDYn1IFDPWt_1FKiwhDph83XaGc0o0/edit?usp=sharing"",""งบพรบ!DX88"")"),82400)</f>
        <v>82400</v>
      </c>
      <c r="I88" s="88">
        <f ca="1">IFERROR(__xludf.DUMMYFUNCTION("IMPORTRANGE(""https://docs.google.com/spreadsheets/d/1MeEWN-I1oV_STSDYn1IFDPWt_1FKiwhDph83XaGc0o0/edit?usp=sharing"",""งบพรบ!DY88"")"),0)</f>
        <v>0</v>
      </c>
      <c r="J88" s="88">
        <f t="shared" ca="1" si="3"/>
        <v>82400</v>
      </c>
      <c r="K88" s="89">
        <f t="shared" ca="1" si="4"/>
        <v>100</v>
      </c>
      <c r="L88" s="88">
        <f ca="1">IFERROR(__xludf.DUMMYFUNCTION("IMPORTRANGE(""https://docs.google.com/spreadsheets/d/1MeEWN-I1oV_STSDYn1IFDPWt_1FKiwhDph83XaGc0o0/edit?usp=sharing"",""งบพรบ!DZ88"")"),82400)</f>
        <v>82400</v>
      </c>
      <c r="M88" s="90">
        <f t="shared" ca="1" si="5"/>
        <v>100</v>
      </c>
      <c r="N88" s="90">
        <f t="shared" ca="1" si="6"/>
        <v>100</v>
      </c>
      <c r="O88" s="91">
        <f ca="1">IFERROR(__xludf.DUMMYFUNCTION("IMPORTRANGE(""https://docs.google.com/spreadsheets/d/1MeEWN-I1oV_STSDYn1IFDPWt_1FKiwhDph83XaGc0o0/edit?usp=sharing"",""งบพรบ!EA88"")"),0)</f>
        <v>0</v>
      </c>
      <c r="P88" s="91">
        <f t="shared" ca="1" si="23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IFERROR(__xludf.DUMMYFUNCTION("IMPORTRANGE(""https://docs.google.com/spreadsheets/d/1vO9Sws6kMtrVtyvrAJptINXjK8TFBoX9xLYOVK_C8bQ/edit?usp=sharing"",""สุราษฎร์ธานี!J308"")"),1)</f>
        <v>1</v>
      </c>
      <c r="S88" s="298">
        <f ca="1">IFERROR(__xludf.DUMMYFUNCTION("IMPORTRANGE(""https://docs.google.com/spreadsheets/d/1vO9Sws6kMtrVtyvrAJptINXjK8TFBoX9xLYOVK_C8bQ/edit?usp=sharing"",""สุราษฎร์ธานี!I309"")"),20)</f>
        <v>20</v>
      </c>
      <c r="T88" s="188">
        <f ca="1">IFERROR(__xludf.DUMMYFUNCTION("IMPORTRANGE(""https://docs.google.com/spreadsheets/d/1vO9Sws6kMtrVtyvrAJptINXjK8TFBoX9xLYOVK_C8bQ/edit?usp=sharing"",""สุราษฎร์ธานี!J309"")"),20)</f>
        <v>20</v>
      </c>
      <c r="U88" s="189">
        <f t="shared" ca="1" si="21"/>
        <v>100</v>
      </c>
      <c r="V88" s="188">
        <f ca="1">IFERROR(__xludf.DUMMYFUNCTION("IMPORTRANGE(""https://docs.google.com/spreadsheets/d/1vO9Sws6kMtrVtyvrAJptINXjK8TFBoX9xLYOVK_C8bQ/edit?usp=sharing"",""สุราษฎร์ธานี!J310"")"),20)</f>
        <v>20</v>
      </c>
      <c r="W88" s="189">
        <f t="shared" ca="1" si="11"/>
        <v>100</v>
      </c>
      <c r="X88" s="188">
        <f ca="1">IFERROR(__xludf.DUMMYFUNCTION("IMPORTRANGE(""https://docs.google.com/spreadsheets/d/1vO9Sws6kMtrVtyvrAJptINXjK8TFBoX9xLYOVK_C8bQ/edit?usp=sharing"",""สุราษฎร์ธานี!J311"")"),20)</f>
        <v>20</v>
      </c>
      <c r="Y88" s="189">
        <f t="shared" ca="1" si="12"/>
        <v>100</v>
      </c>
      <c r="Z88" s="298">
        <f ca="1">IFERROR(__xludf.DUMMYFUNCTION("IMPORTRANGE(""https://docs.google.com/spreadsheets/d/1vO9Sws6kMtrVtyvrAJptINXjK8TFBoX9xLYOVK_C8bQ/edit?usp=sharing"",""สุราษฎร์ธานี!I312"")"),4)</f>
        <v>4</v>
      </c>
      <c r="AA88" s="188">
        <f ca="1">IFERROR(__xludf.DUMMYFUNCTION("IMPORTRANGE(""https://docs.google.com/spreadsheets/d/1vO9Sws6kMtrVtyvrAJptINXjK8TFBoX9xLYOVK_C8bQ/edit?usp=sharing"",""สุราษฎร์ธานี!J312"")"),4)</f>
        <v>4</v>
      </c>
      <c r="AB88" s="189">
        <f t="shared" ca="1" si="14"/>
        <v>20</v>
      </c>
    </row>
    <row r="89" spans="1:28" ht="21" hidden="1" customHeight="1" x14ac:dyDescent="0.2">
      <c r="A89" s="369" t="s">
        <v>111</v>
      </c>
      <c r="B89" s="370"/>
      <c r="C89" s="102">
        <f t="shared" ca="1" si="0"/>
        <v>1288900</v>
      </c>
      <c r="D89" s="41">
        <f t="shared" ref="D89:I89" ca="1" si="39">+D90+D91+D92+D93+D94+D95+D96+D97+D98+D99+D100+D101+D102+D103</f>
        <v>1288900</v>
      </c>
      <c r="E89" s="41">
        <f t="shared" ca="1" si="39"/>
        <v>0</v>
      </c>
      <c r="F89" s="41">
        <f t="shared" ca="1" si="39"/>
        <v>1288900</v>
      </c>
      <c r="G89" s="41">
        <f t="shared" ca="1" si="39"/>
        <v>0</v>
      </c>
      <c r="H89" s="41">
        <f t="shared" ca="1" si="39"/>
        <v>1297360</v>
      </c>
      <c r="I89" s="41">
        <f t="shared" ca="1" si="39"/>
        <v>0</v>
      </c>
      <c r="J89" s="41">
        <f t="shared" ca="1" si="3"/>
        <v>1287223.8799999999</v>
      </c>
      <c r="K89" s="43">
        <f t="shared" ca="1" si="4"/>
        <v>99.869957327954054</v>
      </c>
      <c r="L89" s="41">
        <f ca="1">+L90+L91+L92+L93+L94+L95+L96+L97+L98+L99+L100+L101+L102+L103</f>
        <v>1287223.8799999999</v>
      </c>
      <c r="M89" s="44">
        <f t="shared" ca="1" si="5"/>
        <v>99.869957327954054</v>
      </c>
      <c r="N89" s="44">
        <f t="shared" ca="1" si="6"/>
        <v>99.218711845594115</v>
      </c>
      <c r="O89" s="45">
        <f ca="1">+O90+O91+O92+O93+O94+O95+O96+O97+O98+O99+O100+O101+O102+O103</f>
        <v>0</v>
      </c>
      <c r="P89" s="45">
        <f t="shared" ca="1" si="23"/>
        <v>0</v>
      </c>
      <c r="Q89" s="44">
        <f t="shared" ca="1" si="8"/>
        <v>0</v>
      </c>
      <c r="R89" s="41"/>
      <c r="S89" s="295"/>
      <c r="T89" s="191"/>
      <c r="U89" s="342"/>
      <c r="V89" s="191"/>
      <c r="W89" s="342"/>
      <c r="X89" s="191"/>
      <c r="Y89" s="342"/>
      <c r="Z89" s="191"/>
      <c r="AA89" s="191"/>
      <c r="AB89" s="342"/>
    </row>
    <row r="90" spans="1:2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40">+E90+F90</f>
        <v>0</v>
      </c>
      <c r="E90" s="67">
        <f ca="1">IFERROR(__xludf.DUMMYFUNCTION("IMPORTRANGE(""https://docs.google.com/spreadsheets/d/1MeEWN-I1oV_STSDYn1IFDPWt_1FKiwhDph83XaGc0o0/edit?usp=sharing"",""งบพรบ!DT90"")"),0)</f>
        <v>0</v>
      </c>
      <c r="F90" s="67">
        <f ca="1">IFERROR(__xludf.DUMMYFUNCTION("IMPORTRANGE(""https://docs.google.com/spreadsheets/d/1MeEWN-I1oV_STSDYn1IFDPWt_1FKiwhDph83XaGc0o0/edit?usp=sharing"",""งบพรบ!DU90"")"),0)</f>
        <v>0</v>
      </c>
      <c r="G90" s="67">
        <f ca="1">IFERROR(__xludf.DUMMYFUNCTION("IMPORTRANGE(""https://docs.google.com/spreadsheets/d/1MeEWN-I1oV_STSDYn1IFDPWt_1FKiwhDph83XaGc0o0/edit?usp=sharing"",""งบพรบ!DV90"")"),0)</f>
        <v>0</v>
      </c>
      <c r="H90" s="67">
        <f ca="1">IFERROR(__xludf.DUMMYFUNCTION("IMPORTRANGE(""https://docs.google.com/spreadsheets/d/1MeEWN-I1oV_STSDYn1IFDPWt_1FKiwhDph83XaGc0o0/edit?usp=sharing"",""งบพรบ!DX90"")"),0)</f>
        <v>0</v>
      </c>
      <c r="I90" s="67">
        <f ca="1">IFERROR(__xludf.DUMMYFUNCTION("IMPORTRANGE(""https://docs.google.com/spreadsheets/d/1MeEWN-I1oV_STSDYn1IFDPWt_1FKiwhDph83XaGc0o0/edit?usp=sharing"",""งบพรบ!DY90"")"),0)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IFERROR(__xludf.DUMMYFUNCTION("IMPORTRANGE(""https://docs.google.com/spreadsheets/d/1MeEWN-I1oV_STSDYn1IFDPWt_1FKiwhDph83XaGc0o0/edit?usp=sharing"",""งบพรบ!DZ90"")"),0)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IFERROR(__xludf.DUMMYFUNCTION("IMPORTRANGE(""https://docs.google.com/spreadsheets/d/1MeEWN-I1oV_STSDYn1IFDPWt_1FKiwhDph83XaGc0o0/edit?usp=sharing"",""งบพรบ!EA90"")"),0)</f>
        <v>0</v>
      </c>
      <c r="P90" s="71">
        <f t="shared" ca="1" si="23"/>
        <v>0</v>
      </c>
      <c r="Q90" s="70">
        <f t="shared" ca="1" si="8"/>
        <v>0</v>
      </c>
      <c r="R90" s="67"/>
      <c r="S90" s="299"/>
      <c r="T90" s="192"/>
      <c r="U90" s="343"/>
      <c r="V90" s="192"/>
      <c r="W90" s="343"/>
      <c r="X90" s="192"/>
      <c r="Y90" s="343"/>
      <c r="Z90" s="192"/>
      <c r="AA90" s="192"/>
      <c r="AB90" s="343"/>
    </row>
    <row r="91" spans="1:2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40"/>
        <v>0</v>
      </c>
      <c r="E91" s="77">
        <f ca="1">IFERROR(__xludf.DUMMYFUNCTION("IMPORTRANGE(""https://docs.google.com/spreadsheets/d/1MeEWN-I1oV_STSDYn1IFDPWt_1FKiwhDph83XaGc0o0/edit?usp=sharing"",""งบพรบ!DT91"")"),0)</f>
        <v>0</v>
      </c>
      <c r="F91" s="77">
        <f ca="1">IFERROR(__xludf.DUMMYFUNCTION("IMPORTRANGE(""https://docs.google.com/spreadsheets/d/1MeEWN-I1oV_STSDYn1IFDPWt_1FKiwhDph83XaGc0o0/edit?usp=sharing"",""งบพรบ!DU91"")"),0)</f>
        <v>0</v>
      </c>
      <c r="G91" s="77">
        <f ca="1">IFERROR(__xludf.DUMMYFUNCTION("IMPORTRANGE(""https://docs.google.com/spreadsheets/d/1MeEWN-I1oV_STSDYn1IFDPWt_1FKiwhDph83XaGc0o0/edit?usp=sharing"",""งบพรบ!DV91"")"),0)</f>
        <v>0</v>
      </c>
      <c r="H91" s="77">
        <f ca="1">IFERROR(__xludf.DUMMYFUNCTION("IMPORTRANGE(""https://docs.google.com/spreadsheets/d/1MeEWN-I1oV_STSDYn1IFDPWt_1FKiwhDph83XaGc0o0/edit?usp=sharing"",""งบพรบ!DX91"")"),0)</f>
        <v>0</v>
      </c>
      <c r="I91" s="77">
        <f ca="1">IFERROR(__xludf.DUMMYFUNCTION("IMPORTRANGE(""https://docs.google.com/spreadsheets/d/1MeEWN-I1oV_STSDYn1IFDPWt_1FKiwhDph83XaGc0o0/edit?usp=sharing"",""งบพรบ!DY91"")"),0)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IFERROR(__xludf.DUMMYFUNCTION("IMPORTRANGE(""https://docs.google.com/spreadsheets/d/1MeEWN-I1oV_STSDYn1IFDPWt_1FKiwhDph83XaGc0o0/edit?usp=sharing"",""งบพรบ!DZ91"")"),0)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IFERROR(__xludf.DUMMYFUNCTION("IMPORTRANGE(""https://docs.google.com/spreadsheets/d/1MeEWN-I1oV_STSDYn1IFDPWt_1FKiwhDph83XaGc0o0/edit?usp=sharing"",""งบพรบ!EA91"")"),0)</f>
        <v>0</v>
      </c>
      <c r="P91" s="80">
        <f t="shared" ca="1" si="23"/>
        <v>0</v>
      </c>
      <c r="Q91" s="79">
        <f t="shared" ca="1" si="8"/>
        <v>0</v>
      </c>
      <c r="R91" s="77"/>
      <c r="S91" s="299"/>
      <c r="T91" s="192"/>
      <c r="U91" s="343"/>
      <c r="V91" s="192"/>
      <c r="W91" s="343"/>
      <c r="X91" s="192"/>
      <c r="Y91" s="343"/>
      <c r="Z91" s="192"/>
      <c r="AA91" s="192"/>
      <c r="AB91" s="343"/>
    </row>
    <row r="92" spans="1:28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40"/>
        <v>0</v>
      </c>
      <c r="E92" s="77">
        <f ca="1">IFERROR(__xludf.DUMMYFUNCTION("IMPORTRANGE(""https://docs.google.com/spreadsheets/d/1MeEWN-I1oV_STSDYn1IFDPWt_1FKiwhDph83XaGc0o0/edit?usp=sharing"",""งบพรบ!DT92"")"),0)</f>
        <v>0</v>
      </c>
      <c r="F92" s="77">
        <f ca="1">IFERROR(__xludf.DUMMYFUNCTION("IMPORTRANGE(""https://docs.google.com/spreadsheets/d/1MeEWN-I1oV_STSDYn1IFDPWt_1FKiwhDph83XaGc0o0/edit?usp=sharing"",""งบพรบ!DU92"")"),0)</f>
        <v>0</v>
      </c>
      <c r="G92" s="77">
        <f ca="1">IFERROR(__xludf.DUMMYFUNCTION("IMPORTRANGE(""https://docs.google.com/spreadsheets/d/1MeEWN-I1oV_STSDYn1IFDPWt_1FKiwhDph83XaGc0o0/edit?usp=sharing"",""งบพรบ!DV92"")"),0)</f>
        <v>0</v>
      </c>
      <c r="H92" s="77">
        <f ca="1">IFERROR(__xludf.DUMMYFUNCTION("IMPORTRANGE(""https://docs.google.com/spreadsheets/d/1MeEWN-I1oV_STSDYn1IFDPWt_1FKiwhDph83XaGc0o0/edit?usp=sharing"",""งบพรบ!DX92"")"),395900)</f>
        <v>395900</v>
      </c>
      <c r="I92" s="77">
        <f ca="1">IFERROR(__xludf.DUMMYFUNCTION("IMPORTRANGE(""https://docs.google.com/spreadsheets/d/1MeEWN-I1oV_STSDYn1IFDPWt_1FKiwhDph83XaGc0o0/edit?usp=sharing"",""งบพรบ!DY92"")"),0)</f>
        <v>0</v>
      </c>
      <c r="J92" s="77">
        <f t="shared" ca="1" si="3"/>
        <v>427700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IFERROR(__xludf.DUMMYFUNCTION("IMPORTRANGE(""https://docs.google.com/spreadsheets/d/1MeEWN-I1oV_STSDYn1IFDPWt_1FKiwhDph83XaGc0o0/edit?usp=sharing"",""งบพรบ!DZ92"")"),427700)</f>
        <v>427700</v>
      </c>
      <c r="M92" s="79">
        <f t="shared" ca="1" si="5"/>
        <v>0</v>
      </c>
      <c r="N92" s="79">
        <f t="shared" ca="1" si="6"/>
        <v>108.03233139681738</v>
      </c>
      <c r="O92" s="80">
        <f ca="1">IFERROR(__xludf.DUMMYFUNCTION("IMPORTRANGE(""https://docs.google.com/spreadsheets/d/1MeEWN-I1oV_STSDYn1IFDPWt_1FKiwhDph83XaGc0o0/edit?usp=sharing"",""งบพรบ!EA92"")"),0)</f>
        <v>0</v>
      </c>
      <c r="P92" s="80">
        <f t="shared" ca="1" si="23"/>
        <v>0</v>
      </c>
      <c r="Q92" s="79">
        <f t="shared" ca="1" si="8"/>
        <v>0</v>
      </c>
      <c r="R92" s="77"/>
      <c r="S92" s="299"/>
      <c r="T92" s="192"/>
      <c r="U92" s="343"/>
      <c r="V92" s="192"/>
      <c r="W92" s="343"/>
      <c r="X92" s="192"/>
      <c r="Y92" s="343"/>
      <c r="Z92" s="192"/>
      <c r="AA92" s="192"/>
      <c r="AB92" s="343"/>
    </row>
    <row r="93" spans="1:28" ht="24" hidden="1" customHeight="1" x14ac:dyDescent="0.2">
      <c r="A93" s="106">
        <f t="shared" ref="A93:A103" si="41">+A92+1</f>
        <v>4</v>
      </c>
      <c r="B93" s="107" t="s">
        <v>115</v>
      </c>
      <c r="C93" s="75">
        <f t="shared" ca="1" si="0"/>
        <v>0</v>
      </c>
      <c r="D93" s="76">
        <f t="shared" ca="1" si="40"/>
        <v>0</v>
      </c>
      <c r="E93" s="77">
        <f ca="1">IFERROR(__xludf.DUMMYFUNCTION("IMPORTRANGE(""https://docs.google.com/spreadsheets/d/1MeEWN-I1oV_STSDYn1IFDPWt_1FKiwhDph83XaGc0o0/edit?usp=sharing"",""งบพรบ!DT93"")"),0)</f>
        <v>0</v>
      </c>
      <c r="F93" s="77">
        <f ca="1">IFERROR(__xludf.DUMMYFUNCTION("IMPORTRANGE(""https://docs.google.com/spreadsheets/d/1MeEWN-I1oV_STSDYn1IFDPWt_1FKiwhDph83XaGc0o0/edit?usp=sharing"",""งบพรบ!DU93"")"),0)</f>
        <v>0</v>
      </c>
      <c r="G93" s="77">
        <f ca="1">IFERROR(__xludf.DUMMYFUNCTION("IMPORTRANGE(""https://docs.google.com/spreadsheets/d/1MeEWN-I1oV_STSDYn1IFDPWt_1FKiwhDph83XaGc0o0/edit?usp=sharing"",""งบพรบ!DV93"")"),0)</f>
        <v>0</v>
      </c>
      <c r="H93" s="77">
        <f ca="1">IFERROR(__xludf.DUMMYFUNCTION("IMPORTRANGE(""https://docs.google.com/spreadsheets/d/1MeEWN-I1oV_STSDYn1IFDPWt_1FKiwhDph83XaGc0o0/edit?usp=sharing"",""งบพรบ!DX93"")"),0)</f>
        <v>0</v>
      </c>
      <c r="I93" s="77">
        <f ca="1">IFERROR(__xludf.DUMMYFUNCTION("IMPORTRANGE(""https://docs.google.com/spreadsheets/d/1MeEWN-I1oV_STSDYn1IFDPWt_1FKiwhDph83XaGc0o0/edit?usp=sharing"",""งบพรบ!DY93"")"),0)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IFERROR(__xludf.DUMMYFUNCTION("IMPORTRANGE(""https://docs.google.com/spreadsheets/d/1MeEWN-I1oV_STSDYn1IFDPWt_1FKiwhDph83XaGc0o0/edit?usp=sharing"",""งบพรบ!DZ93"")"),0)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IFERROR(__xludf.DUMMYFUNCTION("IMPORTRANGE(""https://docs.google.com/spreadsheets/d/1MeEWN-I1oV_STSDYn1IFDPWt_1FKiwhDph83XaGc0o0/edit?usp=sharing"",""งบพรบ!EA93"")"),0)</f>
        <v>0</v>
      </c>
      <c r="P93" s="80">
        <f t="shared" ca="1" si="23"/>
        <v>0</v>
      </c>
      <c r="Q93" s="79">
        <f t="shared" ca="1" si="8"/>
        <v>0</v>
      </c>
      <c r="R93" s="77"/>
      <c r="S93" s="299"/>
      <c r="T93" s="192"/>
      <c r="U93" s="343"/>
      <c r="V93" s="192"/>
      <c r="W93" s="343"/>
      <c r="X93" s="192"/>
      <c r="Y93" s="343"/>
      <c r="Z93" s="192"/>
      <c r="AA93" s="192"/>
      <c r="AB93" s="343"/>
    </row>
    <row r="94" spans="1:28" ht="24" hidden="1" customHeight="1" x14ac:dyDescent="0.2">
      <c r="A94" s="106">
        <f t="shared" si="41"/>
        <v>5</v>
      </c>
      <c r="B94" s="107" t="s">
        <v>116</v>
      </c>
      <c r="C94" s="75">
        <f t="shared" ca="1" si="0"/>
        <v>0</v>
      </c>
      <c r="D94" s="76">
        <f t="shared" ca="1" si="40"/>
        <v>0</v>
      </c>
      <c r="E94" s="77">
        <f ca="1">IFERROR(__xludf.DUMMYFUNCTION("IMPORTRANGE(""https://docs.google.com/spreadsheets/d/1MeEWN-I1oV_STSDYn1IFDPWt_1FKiwhDph83XaGc0o0/edit?usp=sharing"",""งบพรบ!DT94"")"),0)</f>
        <v>0</v>
      </c>
      <c r="F94" s="77">
        <f ca="1">IFERROR(__xludf.DUMMYFUNCTION("IMPORTRANGE(""https://docs.google.com/spreadsheets/d/1MeEWN-I1oV_STSDYn1IFDPWt_1FKiwhDph83XaGc0o0/edit?usp=sharing"",""งบพรบ!DU94"")"),0)</f>
        <v>0</v>
      </c>
      <c r="G94" s="77">
        <f ca="1">IFERROR(__xludf.DUMMYFUNCTION("IMPORTRANGE(""https://docs.google.com/spreadsheets/d/1MeEWN-I1oV_STSDYn1IFDPWt_1FKiwhDph83XaGc0o0/edit?usp=sharing"",""งบพรบ!DV94"")"),0)</f>
        <v>0</v>
      </c>
      <c r="H94" s="77">
        <f ca="1">IFERROR(__xludf.DUMMYFUNCTION("IMPORTRANGE(""https://docs.google.com/spreadsheets/d/1MeEWN-I1oV_STSDYn1IFDPWt_1FKiwhDph83XaGc0o0/edit?usp=sharing"",""งบพรบ!DX94"")"),0)</f>
        <v>0</v>
      </c>
      <c r="I94" s="77">
        <f ca="1">IFERROR(__xludf.DUMMYFUNCTION("IMPORTRANGE(""https://docs.google.com/spreadsheets/d/1MeEWN-I1oV_STSDYn1IFDPWt_1FKiwhDph83XaGc0o0/edit?usp=sharing"",""งบพรบ!DY94"")"),0)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IFERROR(__xludf.DUMMYFUNCTION("IMPORTRANGE(""https://docs.google.com/spreadsheets/d/1MeEWN-I1oV_STSDYn1IFDPWt_1FKiwhDph83XaGc0o0/edit?usp=sharing"",""งบพรบ!DZ94"")"),0)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IFERROR(__xludf.DUMMYFUNCTION("IMPORTRANGE(""https://docs.google.com/spreadsheets/d/1MeEWN-I1oV_STSDYn1IFDPWt_1FKiwhDph83XaGc0o0/edit?usp=sharing"",""งบพรบ!EA94"")"),0)</f>
        <v>0</v>
      </c>
      <c r="P94" s="80">
        <f t="shared" ca="1" si="23"/>
        <v>0</v>
      </c>
      <c r="Q94" s="79">
        <f t="shared" ca="1" si="8"/>
        <v>0</v>
      </c>
      <c r="R94" s="77"/>
      <c r="S94" s="299"/>
      <c r="T94" s="192"/>
      <c r="U94" s="343"/>
      <c r="V94" s="192"/>
      <c r="W94" s="343"/>
      <c r="X94" s="192"/>
      <c r="Y94" s="343"/>
      <c r="Z94" s="192"/>
      <c r="AA94" s="192"/>
      <c r="AB94" s="343"/>
    </row>
    <row r="95" spans="1:28" ht="24" hidden="1" customHeight="1" x14ac:dyDescent="0.2">
      <c r="A95" s="106">
        <f t="shared" si="41"/>
        <v>6</v>
      </c>
      <c r="B95" s="107" t="s">
        <v>117</v>
      </c>
      <c r="C95" s="75">
        <f t="shared" ca="1" si="0"/>
        <v>0</v>
      </c>
      <c r="D95" s="76">
        <f t="shared" ca="1" si="40"/>
        <v>0</v>
      </c>
      <c r="E95" s="77">
        <f ca="1">IFERROR(__xludf.DUMMYFUNCTION("IMPORTRANGE(""https://docs.google.com/spreadsheets/d/1MeEWN-I1oV_STSDYn1IFDPWt_1FKiwhDph83XaGc0o0/edit?usp=sharing"",""งบพรบ!DT95"")"),0)</f>
        <v>0</v>
      </c>
      <c r="F95" s="77">
        <f ca="1">IFERROR(__xludf.DUMMYFUNCTION("IMPORTRANGE(""https://docs.google.com/spreadsheets/d/1MeEWN-I1oV_STSDYn1IFDPWt_1FKiwhDph83XaGc0o0/edit?usp=sharing"",""งบพรบ!DU95"")"),0)</f>
        <v>0</v>
      </c>
      <c r="G95" s="77">
        <f ca="1">IFERROR(__xludf.DUMMYFUNCTION("IMPORTRANGE(""https://docs.google.com/spreadsheets/d/1MeEWN-I1oV_STSDYn1IFDPWt_1FKiwhDph83XaGc0o0/edit?usp=sharing"",""งบพรบ!DV95"")"),0)</f>
        <v>0</v>
      </c>
      <c r="H95" s="77">
        <f ca="1">IFERROR(__xludf.DUMMYFUNCTION("IMPORTRANGE(""https://docs.google.com/spreadsheets/d/1MeEWN-I1oV_STSDYn1IFDPWt_1FKiwhDph83XaGc0o0/edit?usp=sharing"",""งบพรบ!DX95"")"),0)</f>
        <v>0</v>
      </c>
      <c r="I95" s="77">
        <f ca="1">IFERROR(__xludf.DUMMYFUNCTION("IMPORTRANGE(""https://docs.google.com/spreadsheets/d/1MeEWN-I1oV_STSDYn1IFDPWt_1FKiwhDph83XaGc0o0/edit?usp=sharing"",""งบพรบ!DY95"")"),0)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IFERROR(__xludf.DUMMYFUNCTION("IMPORTRANGE(""https://docs.google.com/spreadsheets/d/1MeEWN-I1oV_STSDYn1IFDPWt_1FKiwhDph83XaGc0o0/edit?usp=sharing"",""งบพรบ!DZ95"")"),0)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IFERROR(__xludf.DUMMYFUNCTION("IMPORTRANGE(""https://docs.google.com/spreadsheets/d/1MeEWN-I1oV_STSDYn1IFDPWt_1FKiwhDph83XaGc0o0/edit?usp=sharing"",""งบพรบ!EA95"")"),0)</f>
        <v>0</v>
      </c>
      <c r="P95" s="80">
        <f t="shared" ca="1" si="23"/>
        <v>0</v>
      </c>
      <c r="Q95" s="79">
        <f t="shared" ca="1" si="8"/>
        <v>0</v>
      </c>
      <c r="R95" s="77"/>
      <c r="S95" s="299"/>
      <c r="T95" s="192"/>
      <c r="U95" s="343"/>
      <c r="V95" s="192"/>
      <c r="W95" s="343"/>
      <c r="X95" s="192"/>
      <c r="Y95" s="343"/>
      <c r="Z95" s="192"/>
      <c r="AA95" s="192"/>
      <c r="AB95" s="343"/>
    </row>
    <row r="96" spans="1:28" ht="24" hidden="1" customHeight="1" x14ac:dyDescent="0.2">
      <c r="A96" s="106">
        <f t="shared" si="41"/>
        <v>7</v>
      </c>
      <c r="B96" s="107" t="s">
        <v>118</v>
      </c>
      <c r="C96" s="75">
        <f t="shared" ca="1" si="0"/>
        <v>1288900</v>
      </c>
      <c r="D96" s="76">
        <f t="shared" ca="1" si="40"/>
        <v>1288900</v>
      </c>
      <c r="E96" s="77">
        <f ca="1">IFERROR(__xludf.DUMMYFUNCTION("IMPORTRANGE(""https://docs.google.com/spreadsheets/d/1MeEWN-I1oV_STSDYn1IFDPWt_1FKiwhDph83XaGc0o0/edit?usp=sharing"",""งบพรบ!DT96"")"),0)</f>
        <v>0</v>
      </c>
      <c r="F96" s="77">
        <f ca="1">IFERROR(__xludf.DUMMYFUNCTION("IMPORTRANGE(""https://docs.google.com/spreadsheets/d/1MeEWN-I1oV_STSDYn1IFDPWt_1FKiwhDph83XaGc0o0/edit?usp=sharing"",""งบพรบ!DU96"")"),1288900)</f>
        <v>1288900</v>
      </c>
      <c r="G96" s="77">
        <f ca="1">IFERROR(__xludf.DUMMYFUNCTION("IMPORTRANGE(""https://docs.google.com/spreadsheets/d/1MeEWN-I1oV_STSDYn1IFDPWt_1FKiwhDph83XaGc0o0/edit?usp=sharing"",""งบพรบ!DV96"")"),0)</f>
        <v>0</v>
      </c>
      <c r="H96" s="77">
        <f ca="1">IFERROR(__xludf.DUMMYFUNCTION("IMPORTRANGE(""https://docs.google.com/spreadsheets/d/1MeEWN-I1oV_STSDYn1IFDPWt_1FKiwhDph83XaGc0o0/edit?usp=sharing"",""งบพรบ!DX96"")"),901460)</f>
        <v>901460</v>
      </c>
      <c r="I96" s="77">
        <f ca="1">IFERROR(__xludf.DUMMYFUNCTION("IMPORTRANGE(""https://docs.google.com/spreadsheets/d/1MeEWN-I1oV_STSDYn1IFDPWt_1FKiwhDph83XaGc0o0/edit?usp=sharing"",""งบพรบ!DY96"")"),0)</f>
        <v>0</v>
      </c>
      <c r="J96" s="77">
        <f t="shared" ca="1" si="3"/>
        <v>859523.88</v>
      </c>
      <c r="K96" s="78">
        <f t="shared" ca="1" si="4"/>
        <v>66.686622701528435</v>
      </c>
      <c r="L96" s="77">
        <f ca="1">IFERROR(__xludf.DUMMYFUNCTION("IMPORTRANGE(""https://docs.google.com/spreadsheets/d/1MeEWN-I1oV_STSDYn1IFDPWt_1FKiwhDph83XaGc0o0/edit?usp=sharing"",""งบพรบ!DZ96"")"),859523.88)</f>
        <v>859523.88</v>
      </c>
      <c r="M96" s="79">
        <f t="shared" ca="1" si="5"/>
        <v>66.686622701528435</v>
      </c>
      <c r="N96" s="79">
        <f t="shared" ca="1" si="6"/>
        <v>95.347977725023853</v>
      </c>
      <c r="O96" s="80">
        <f ca="1">IFERROR(__xludf.DUMMYFUNCTION("IMPORTRANGE(""https://docs.google.com/spreadsheets/d/1MeEWN-I1oV_STSDYn1IFDPWt_1FKiwhDph83XaGc0o0/edit?usp=sharing"",""งบพรบ!EA96"")"),0)</f>
        <v>0</v>
      </c>
      <c r="P96" s="80">
        <f t="shared" ca="1" si="23"/>
        <v>0</v>
      </c>
      <c r="Q96" s="79">
        <f t="shared" ca="1" si="8"/>
        <v>0</v>
      </c>
      <c r="R96" s="77"/>
      <c r="S96" s="299"/>
      <c r="T96" s="192"/>
      <c r="U96" s="343"/>
      <c r="V96" s="192"/>
      <c r="W96" s="343"/>
      <c r="X96" s="192"/>
      <c r="Y96" s="343"/>
      <c r="Z96" s="192"/>
      <c r="AA96" s="192"/>
      <c r="AB96" s="343"/>
    </row>
    <row r="97" spans="1:28" ht="24" hidden="1" customHeight="1" x14ac:dyDescent="0.2">
      <c r="A97" s="106">
        <f t="shared" si="41"/>
        <v>8</v>
      </c>
      <c r="B97" s="107" t="s">
        <v>119</v>
      </c>
      <c r="C97" s="75">
        <f t="shared" ca="1" si="0"/>
        <v>0</v>
      </c>
      <c r="D97" s="76">
        <f t="shared" ca="1" si="40"/>
        <v>0</v>
      </c>
      <c r="E97" s="77">
        <f ca="1">IFERROR(__xludf.DUMMYFUNCTION("IMPORTRANGE(""https://docs.google.com/spreadsheets/d/1MeEWN-I1oV_STSDYn1IFDPWt_1FKiwhDph83XaGc0o0/edit?usp=sharing"",""งบพรบ!DT97"")"),0)</f>
        <v>0</v>
      </c>
      <c r="F97" s="77">
        <f ca="1">IFERROR(__xludf.DUMMYFUNCTION("IMPORTRANGE(""https://docs.google.com/spreadsheets/d/1MeEWN-I1oV_STSDYn1IFDPWt_1FKiwhDph83XaGc0o0/edit?usp=sharing"",""งบพรบ!DU97"")"),0)</f>
        <v>0</v>
      </c>
      <c r="G97" s="77">
        <f ca="1">IFERROR(__xludf.DUMMYFUNCTION("IMPORTRANGE(""https://docs.google.com/spreadsheets/d/1MeEWN-I1oV_STSDYn1IFDPWt_1FKiwhDph83XaGc0o0/edit?usp=sharing"",""งบพรบ!DV97"")"),0)</f>
        <v>0</v>
      </c>
      <c r="H97" s="77">
        <f ca="1">IFERROR(__xludf.DUMMYFUNCTION("IMPORTRANGE(""https://docs.google.com/spreadsheets/d/1MeEWN-I1oV_STSDYn1IFDPWt_1FKiwhDph83XaGc0o0/edit?usp=sharing"",""งบพรบ!DX97"")"),0)</f>
        <v>0</v>
      </c>
      <c r="I97" s="77">
        <f ca="1">IFERROR(__xludf.DUMMYFUNCTION("IMPORTRANGE(""https://docs.google.com/spreadsheets/d/1MeEWN-I1oV_STSDYn1IFDPWt_1FKiwhDph83XaGc0o0/edit?usp=sharing"",""งบพรบ!DY97"")"),0)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IFERROR(__xludf.DUMMYFUNCTION("IMPORTRANGE(""https://docs.google.com/spreadsheets/d/1MeEWN-I1oV_STSDYn1IFDPWt_1FKiwhDph83XaGc0o0/edit?usp=sharing"",""งบพรบ!DZ97"")"),0)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IFERROR(__xludf.DUMMYFUNCTION("IMPORTRANGE(""https://docs.google.com/spreadsheets/d/1MeEWN-I1oV_STSDYn1IFDPWt_1FKiwhDph83XaGc0o0/edit?usp=sharing"",""งบพรบ!EA97"")"),0)</f>
        <v>0</v>
      </c>
      <c r="P97" s="80">
        <f t="shared" ca="1" si="23"/>
        <v>0</v>
      </c>
      <c r="Q97" s="79">
        <f t="shared" ca="1" si="8"/>
        <v>0</v>
      </c>
      <c r="R97" s="77"/>
      <c r="S97" s="299"/>
      <c r="T97" s="192"/>
      <c r="U97" s="343"/>
      <c r="V97" s="192"/>
      <c r="W97" s="343"/>
      <c r="X97" s="192"/>
      <c r="Y97" s="343"/>
      <c r="Z97" s="192"/>
      <c r="AA97" s="192"/>
      <c r="AB97" s="343"/>
    </row>
    <row r="98" spans="1:28" ht="24" hidden="1" customHeight="1" x14ac:dyDescent="0.2">
      <c r="A98" s="106">
        <f t="shared" si="41"/>
        <v>9</v>
      </c>
      <c r="B98" s="107" t="s">
        <v>120</v>
      </c>
      <c r="C98" s="75">
        <f t="shared" ca="1" si="0"/>
        <v>0</v>
      </c>
      <c r="D98" s="76">
        <f t="shared" ca="1" si="40"/>
        <v>0</v>
      </c>
      <c r="E98" s="77">
        <f ca="1">IFERROR(__xludf.DUMMYFUNCTION("IMPORTRANGE(""https://docs.google.com/spreadsheets/d/1MeEWN-I1oV_STSDYn1IFDPWt_1FKiwhDph83XaGc0o0/edit?usp=sharing"",""งบพรบ!DT98"")"),0)</f>
        <v>0</v>
      </c>
      <c r="F98" s="77">
        <f ca="1">IFERROR(__xludf.DUMMYFUNCTION("IMPORTRANGE(""https://docs.google.com/spreadsheets/d/1MeEWN-I1oV_STSDYn1IFDPWt_1FKiwhDph83XaGc0o0/edit?usp=sharing"",""งบพรบ!DU98"")"),0)</f>
        <v>0</v>
      </c>
      <c r="G98" s="77">
        <f ca="1">IFERROR(__xludf.DUMMYFUNCTION("IMPORTRANGE(""https://docs.google.com/spreadsheets/d/1MeEWN-I1oV_STSDYn1IFDPWt_1FKiwhDph83XaGc0o0/edit?usp=sharing"",""งบพรบ!DV98"")"),0)</f>
        <v>0</v>
      </c>
      <c r="H98" s="77">
        <f ca="1">IFERROR(__xludf.DUMMYFUNCTION("IMPORTRANGE(""https://docs.google.com/spreadsheets/d/1MeEWN-I1oV_STSDYn1IFDPWt_1FKiwhDph83XaGc0o0/edit?usp=sharing"",""งบพรบ!DX98"")"),0)</f>
        <v>0</v>
      </c>
      <c r="I98" s="77">
        <f ca="1">IFERROR(__xludf.DUMMYFUNCTION("IMPORTRANGE(""https://docs.google.com/spreadsheets/d/1MeEWN-I1oV_STSDYn1IFDPWt_1FKiwhDph83XaGc0o0/edit?usp=sharing"",""งบพรบ!DY98"")"),0)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IFERROR(__xludf.DUMMYFUNCTION("IMPORTRANGE(""https://docs.google.com/spreadsheets/d/1MeEWN-I1oV_STSDYn1IFDPWt_1FKiwhDph83XaGc0o0/edit?usp=sharing"",""งบพรบ!DZ98"")"),0)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IFERROR(__xludf.DUMMYFUNCTION("IMPORTRANGE(""https://docs.google.com/spreadsheets/d/1MeEWN-I1oV_STSDYn1IFDPWt_1FKiwhDph83XaGc0o0/edit?usp=sharing"",""งบพรบ!EA98"")"),0)</f>
        <v>0</v>
      </c>
      <c r="P98" s="80">
        <f t="shared" ca="1" si="23"/>
        <v>0</v>
      </c>
      <c r="Q98" s="79">
        <f t="shared" ca="1" si="8"/>
        <v>0</v>
      </c>
      <c r="R98" s="77"/>
      <c r="S98" s="299"/>
      <c r="T98" s="192"/>
      <c r="U98" s="343"/>
      <c r="V98" s="192"/>
      <c r="W98" s="343"/>
      <c r="X98" s="192"/>
      <c r="Y98" s="343"/>
      <c r="Z98" s="192"/>
      <c r="AA98" s="192"/>
      <c r="AB98" s="343"/>
    </row>
    <row r="99" spans="1:28" ht="24" hidden="1" customHeight="1" x14ac:dyDescent="0.2">
      <c r="A99" s="106">
        <f t="shared" si="41"/>
        <v>10</v>
      </c>
      <c r="B99" s="107" t="s">
        <v>121</v>
      </c>
      <c r="C99" s="75">
        <f t="shared" ca="1" si="0"/>
        <v>0</v>
      </c>
      <c r="D99" s="76">
        <f t="shared" ca="1" si="40"/>
        <v>0</v>
      </c>
      <c r="E99" s="77">
        <f ca="1">IFERROR(__xludf.DUMMYFUNCTION("IMPORTRANGE(""https://docs.google.com/spreadsheets/d/1MeEWN-I1oV_STSDYn1IFDPWt_1FKiwhDph83XaGc0o0/edit?usp=sharing"",""งบพรบ!DT99"")"),0)</f>
        <v>0</v>
      </c>
      <c r="F99" s="77">
        <f ca="1">IFERROR(__xludf.DUMMYFUNCTION("IMPORTRANGE(""https://docs.google.com/spreadsheets/d/1MeEWN-I1oV_STSDYn1IFDPWt_1FKiwhDph83XaGc0o0/edit?usp=sharing"",""งบพรบ!DU99"")"),0)</f>
        <v>0</v>
      </c>
      <c r="G99" s="77">
        <f ca="1">IFERROR(__xludf.DUMMYFUNCTION("IMPORTRANGE(""https://docs.google.com/spreadsheets/d/1MeEWN-I1oV_STSDYn1IFDPWt_1FKiwhDph83XaGc0o0/edit?usp=sharing"",""งบพรบ!DV99"")"),0)</f>
        <v>0</v>
      </c>
      <c r="H99" s="77">
        <f ca="1">IFERROR(__xludf.DUMMYFUNCTION("IMPORTRANGE(""https://docs.google.com/spreadsheets/d/1MeEWN-I1oV_STSDYn1IFDPWt_1FKiwhDph83XaGc0o0/edit?usp=sharing"",""งบพรบ!DX99"")"),0)</f>
        <v>0</v>
      </c>
      <c r="I99" s="77">
        <f ca="1">IFERROR(__xludf.DUMMYFUNCTION("IMPORTRANGE(""https://docs.google.com/spreadsheets/d/1MeEWN-I1oV_STSDYn1IFDPWt_1FKiwhDph83XaGc0o0/edit?usp=sharing"",""งบพรบ!DY99"")"),0)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IFERROR(__xludf.DUMMYFUNCTION("IMPORTRANGE(""https://docs.google.com/spreadsheets/d/1MeEWN-I1oV_STSDYn1IFDPWt_1FKiwhDph83XaGc0o0/edit?usp=sharing"",""งบพรบ!DZ99"")"),0)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IFERROR(__xludf.DUMMYFUNCTION("IMPORTRANGE(""https://docs.google.com/spreadsheets/d/1MeEWN-I1oV_STSDYn1IFDPWt_1FKiwhDph83XaGc0o0/edit?usp=sharing"",""งบพรบ!EA99"")"),0)</f>
        <v>0</v>
      </c>
      <c r="P99" s="80">
        <f t="shared" ca="1" si="23"/>
        <v>0</v>
      </c>
      <c r="Q99" s="79">
        <f t="shared" ca="1" si="8"/>
        <v>0</v>
      </c>
      <c r="R99" s="77"/>
      <c r="S99" s="299"/>
      <c r="T99" s="192"/>
      <c r="U99" s="343"/>
      <c r="V99" s="192"/>
      <c r="W99" s="343"/>
      <c r="X99" s="192"/>
      <c r="Y99" s="343"/>
      <c r="Z99" s="192"/>
      <c r="AA99" s="192"/>
      <c r="AB99" s="343"/>
    </row>
    <row r="100" spans="1:28" ht="24" hidden="1" customHeight="1" x14ac:dyDescent="0.2">
      <c r="A100" s="106">
        <f t="shared" si="41"/>
        <v>11</v>
      </c>
      <c r="B100" s="107" t="s">
        <v>122</v>
      </c>
      <c r="C100" s="75">
        <f t="shared" ca="1" si="0"/>
        <v>0</v>
      </c>
      <c r="D100" s="76">
        <f t="shared" ca="1" si="40"/>
        <v>0</v>
      </c>
      <c r="E100" s="77">
        <f ca="1">IFERROR(__xludf.DUMMYFUNCTION("IMPORTRANGE(""https://docs.google.com/spreadsheets/d/1MeEWN-I1oV_STSDYn1IFDPWt_1FKiwhDph83XaGc0o0/edit?usp=sharing"",""งบพรบ!DT100"")"),0)</f>
        <v>0</v>
      </c>
      <c r="F100" s="77">
        <f ca="1">IFERROR(__xludf.DUMMYFUNCTION("IMPORTRANGE(""https://docs.google.com/spreadsheets/d/1MeEWN-I1oV_STSDYn1IFDPWt_1FKiwhDph83XaGc0o0/edit?usp=sharing"",""งบพรบ!DU100"")"),0)</f>
        <v>0</v>
      </c>
      <c r="G100" s="77">
        <f ca="1">IFERROR(__xludf.DUMMYFUNCTION("IMPORTRANGE(""https://docs.google.com/spreadsheets/d/1MeEWN-I1oV_STSDYn1IFDPWt_1FKiwhDph83XaGc0o0/edit?usp=sharing"",""งบพรบ!DV100"")"),0)</f>
        <v>0</v>
      </c>
      <c r="H100" s="77">
        <f ca="1">IFERROR(__xludf.DUMMYFUNCTION("IMPORTRANGE(""https://docs.google.com/spreadsheets/d/1MeEWN-I1oV_STSDYn1IFDPWt_1FKiwhDph83XaGc0o0/edit?usp=sharing"",""งบพรบ!DX100"")"),0)</f>
        <v>0</v>
      </c>
      <c r="I100" s="77">
        <f ca="1">IFERROR(__xludf.DUMMYFUNCTION("IMPORTRANGE(""https://docs.google.com/spreadsheets/d/1MeEWN-I1oV_STSDYn1IFDPWt_1FKiwhDph83XaGc0o0/edit?usp=sharing"",""งบพรบ!DY100"")"),0)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IFERROR(__xludf.DUMMYFUNCTION("IMPORTRANGE(""https://docs.google.com/spreadsheets/d/1MeEWN-I1oV_STSDYn1IFDPWt_1FKiwhDph83XaGc0o0/edit?usp=sharing"",""งบพรบ!DZ100"")"),0)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IFERROR(__xludf.DUMMYFUNCTION("IMPORTRANGE(""https://docs.google.com/spreadsheets/d/1MeEWN-I1oV_STSDYn1IFDPWt_1FKiwhDph83XaGc0o0/edit?usp=sharing"",""งบพรบ!EA100"")"),0)</f>
        <v>0</v>
      </c>
      <c r="P100" s="80">
        <f t="shared" ca="1" si="23"/>
        <v>0</v>
      </c>
      <c r="Q100" s="79">
        <f t="shared" ca="1" si="8"/>
        <v>0</v>
      </c>
      <c r="R100" s="77"/>
      <c r="S100" s="299"/>
      <c r="T100" s="192"/>
      <c r="U100" s="343"/>
      <c r="V100" s="192"/>
      <c r="W100" s="343"/>
      <c r="X100" s="192"/>
      <c r="Y100" s="343"/>
      <c r="Z100" s="192"/>
      <c r="AA100" s="192"/>
      <c r="AB100" s="343"/>
    </row>
    <row r="101" spans="1:28" ht="24" hidden="1" customHeight="1" x14ac:dyDescent="0.2">
      <c r="A101" s="106">
        <f t="shared" si="41"/>
        <v>12</v>
      </c>
      <c r="B101" s="107" t="s">
        <v>123</v>
      </c>
      <c r="C101" s="75">
        <f t="shared" ca="1" si="0"/>
        <v>0</v>
      </c>
      <c r="D101" s="76">
        <f t="shared" ca="1" si="40"/>
        <v>0</v>
      </c>
      <c r="E101" s="77">
        <f ca="1">IFERROR(__xludf.DUMMYFUNCTION("IMPORTRANGE(""https://docs.google.com/spreadsheets/d/1MeEWN-I1oV_STSDYn1IFDPWt_1FKiwhDph83XaGc0o0/edit?usp=sharing"",""งบพรบ!DT101"")"),0)</f>
        <v>0</v>
      </c>
      <c r="F101" s="77">
        <f ca="1">IFERROR(__xludf.DUMMYFUNCTION("IMPORTRANGE(""https://docs.google.com/spreadsheets/d/1MeEWN-I1oV_STSDYn1IFDPWt_1FKiwhDph83XaGc0o0/edit?usp=sharing"",""งบพรบ!DU101"")"),0)</f>
        <v>0</v>
      </c>
      <c r="G101" s="77">
        <f ca="1">IFERROR(__xludf.DUMMYFUNCTION("IMPORTRANGE(""https://docs.google.com/spreadsheets/d/1MeEWN-I1oV_STSDYn1IFDPWt_1FKiwhDph83XaGc0o0/edit?usp=sharing"",""งบพรบ!DV101"")"),0)</f>
        <v>0</v>
      </c>
      <c r="H101" s="77">
        <f ca="1">IFERROR(__xludf.DUMMYFUNCTION("IMPORTRANGE(""https://docs.google.com/spreadsheets/d/1MeEWN-I1oV_STSDYn1IFDPWt_1FKiwhDph83XaGc0o0/edit?usp=sharing"",""งบพรบ!DX101"")"),0)</f>
        <v>0</v>
      </c>
      <c r="I101" s="77">
        <f ca="1">IFERROR(__xludf.DUMMYFUNCTION("IMPORTRANGE(""https://docs.google.com/spreadsheets/d/1MeEWN-I1oV_STSDYn1IFDPWt_1FKiwhDph83XaGc0o0/edit?usp=sharing"",""งบพรบ!DY101"")"),0)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IFERROR(__xludf.DUMMYFUNCTION("IMPORTRANGE(""https://docs.google.com/spreadsheets/d/1MeEWN-I1oV_STSDYn1IFDPWt_1FKiwhDph83XaGc0o0/edit?usp=sharing"",""งบพรบ!DZ101"")"),0)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IFERROR(__xludf.DUMMYFUNCTION("IMPORTRANGE(""https://docs.google.com/spreadsheets/d/1MeEWN-I1oV_STSDYn1IFDPWt_1FKiwhDph83XaGc0o0/edit?usp=sharing"",""งบพรบ!EA101"")"),0)</f>
        <v>0</v>
      </c>
      <c r="P101" s="80">
        <f t="shared" ca="1" si="23"/>
        <v>0</v>
      </c>
      <c r="Q101" s="79">
        <f t="shared" ca="1" si="8"/>
        <v>0</v>
      </c>
      <c r="R101" s="77"/>
      <c r="S101" s="299"/>
      <c r="T101" s="192"/>
      <c r="U101" s="343"/>
      <c r="V101" s="192"/>
      <c r="W101" s="343"/>
      <c r="X101" s="192"/>
      <c r="Y101" s="343"/>
      <c r="Z101" s="192"/>
      <c r="AA101" s="192"/>
      <c r="AB101" s="343"/>
    </row>
    <row r="102" spans="1:28" ht="24" hidden="1" customHeight="1" x14ac:dyDescent="0.2">
      <c r="A102" s="106">
        <f t="shared" si="41"/>
        <v>13</v>
      </c>
      <c r="B102" s="107" t="s">
        <v>124</v>
      </c>
      <c r="C102" s="75">
        <f t="shared" ca="1" si="0"/>
        <v>0</v>
      </c>
      <c r="D102" s="76">
        <f t="shared" ca="1" si="40"/>
        <v>0</v>
      </c>
      <c r="E102" s="77">
        <f ca="1">IFERROR(__xludf.DUMMYFUNCTION("IMPORTRANGE(""https://docs.google.com/spreadsheets/d/1MeEWN-I1oV_STSDYn1IFDPWt_1FKiwhDph83XaGc0o0/edit?usp=sharing"",""งบพรบ!DT102"")"),0)</f>
        <v>0</v>
      </c>
      <c r="F102" s="77">
        <f ca="1">IFERROR(__xludf.DUMMYFUNCTION("IMPORTRANGE(""https://docs.google.com/spreadsheets/d/1MeEWN-I1oV_STSDYn1IFDPWt_1FKiwhDph83XaGc0o0/edit?usp=sharing"",""งบพรบ!DU102"")"),0)</f>
        <v>0</v>
      </c>
      <c r="G102" s="77">
        <f ca="1">IFERROR(__xludf.DUMMYFUNCTION("IMPORTRANGE(""https://docs.google.com/spreadsheets/d/1MeEWN-I1oV_STSDYn1IFDPWt_1FKiwhDph83XaGc0o0/edit?usp=sharing"",""งบพรบ!DV102"")"),0)</f>
        <v>0</v>
      </c>
      <c r="H102" s="77">
        <f ca="1">IFERROR(__xludf.DUMMYFUNCTION("IMPORTRANGE(""https://docs.google.com/spreadsheets/d/1MeEWN-I1oV_STSDYn1IFDPWt_1FKiwhDph83XaGc0o0/edit?usp=sharing"",""งบพรบ!DX102"")"),0)</f>
        <v>0</v>
      </c>
      <c r="I102" s="77">
        <f ca="1">IFERROR(__xludf.DUMMYFUNCTION("IMPORTRANGE(""https://docs.google.com/spreadsheets/d/1MeEWN-I1oV_STSDYn1IFDPWt_1FKiwhDph83XaGc0o0/edit?usp=sharing"",""งบพรบ!DY102"")"),0)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IFERROR(__xludf.DUMMYFUNCTION("IMPORTRANGE(""https://docs.google.com/spreadsheets/d/1MeEWN-I1oV_STSDYn1IFDPWt_1FKiwhDph83XaGc0o0/edit?usp=sharing"",""งบพรบ!DZ102"")"),0)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IFERROR(__xludf.DUMMYFUNCTION("IMPORTRANGE(""https://docs.google.com/spreadsheets/d/1MeEWN-I1oV_STSDYn1IFDPWt_1FKiwhDph83XaGc0o0/edit?usp=sharing"",""งบพรบ!EA102"")"),0)</f>
        <v>0</v>
      </c>
      <c r="P102" s="80">
        <f t="shared" ca="1" si="23"/>
        <v>0</v>
      </c>
      <c r="Q102" s="79">
        <f t="shared" ca="1" si="8"/>
        <v>0</v>
      </c>
      <c r="R102" s="77"/>
      <c r="S102" s="299"/>
      <c r="T102" s="192"/>
      <c r="U102" s="343"/>
      <c r="V102" s="192"/>
      <c r="W102" s="343"/>
      <c r="X102" s="192"/>
      <c r="Y102" s="343"/>
      <c r="Z102" s="192"/>
      <c r="AA102" s="192"/>
      <c r="AB102" s="343"/>
    </row>
    <row r="103" spans="1:28" ht="24" hidden="1" customHeight="1" x14ac:dyDescent="0.2">
      <c r="A103" s="108">
        <f t="shared" si="41"/>
        <v>14</v>
      </c>
      <c r="B103" s="109" t="s">
        <v>125</v>
      </c>
      <c r="C103" s="86">
        <f t="shared" ca="1" si="0"/>
        <v>0</v>
      </c>
      <c r="D103" s="87">
        <f t="shared" ca="1" si="40"/>
        <v>0</v>
      </c>
      <c r="E103" s="88">
        <f ca="1">IFERROR(__xludf.DUMMYFUNCTION("IMPORTRANGE(""https://docs.google.com/spreadsheets/d/1MeEWN-I1oV_STSDYn1IFDPWt_1FKiwhDph83XaGc0o0/edit?usp=sharing"",""งบพรบ!DT103"")"),0)</f>
        <v>0</v>
      </c>
      <c r="F103" s="88">
        <f ca="1">IFERROR(__xludf.DUMMYFUNCTION("IMPORTRANGE(""https://docs.google.com/spreadsheets/d/1MeEWN-I1oV_STSDYn1IFDPWt_1FKiwhDph83XaGc0o0/edit?usp=sharing"",""งบพรบ!DU103"")"),0)</f>
        <v>0</v>
      </c>
      <c r="G103" s="88">
        <f ca="1">IFERROR(__xludf.DUMMYFUNCTION("IMPORTRANGE(""https://docs.google.com/spreadsheets/d/1MeEWN-I1oV_STSDYn1IFDPWt_1FKiwhDph83XaGc0o0/edit?usp=sharing"",""งบพรบ!DV103"")"),0)</f>
        <v>0</v>
      </c>
      <c r="H103" s="88">
        <f ca="1">IFERROR(__xludf.DUMMYFUNCTION("IMPORTRANGE(""https://docs.google.com/spreadsheets/d/1MeEWN-I1oV_STSDYn1IFDPWt_1FKiwhDph83XaGc0o0/edit?usp=sharing"",""งบพรบ!DX103"")"),0)</f>
        <v>0</v>
      </c>
      <c r="I103" s="88">
        <f ca="1">IFERROR(__xludf.DUMMYFUNCTION("IMPORTRANGE(""https://docs.google.com/spreadsheets/d/1MeEWN-I1oV_STSDYn1IFDPWt_1FKiwhDph83XaGc0o0/edit?usp=sharing"",""งบพรบ!DY103"")"),0)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IFERROR(__xludf.DUMMYFUNCTION("IMPORTRANGE(""https://docs.google.com/spreadsheets/d/1MeEWN-I1oV_STSDYn1IFDPWt_1FKiwhDph83XaGc0o0/edit?usp=sharing"",""งบพรบ!DZ103"")"),0)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IFERROR(__xludf.DUMMYFUNCTION("IMPORTRANGE(""https://docs.google.com/spreadsheets/d/1MeEWN-I1oV_STSDYn1IFDPWt_1FKiwhDph83XaGc0o0/edit?usp=sharing"",""งบพรบ!EA103"")"),0)</f>
        <v>0</v>
      </c>
      <c r="P103" s="91">
        <f t="shared" ca="1" si="23"/>
        <v>0</v>
      </c>
      <c r="Q103" s="90">
        <f t="shared" ca="1" si="8"/>
        <v>0</v>
      </c>
      <c r="R103" s="88"/>
      <c r="S103" s="300"/>
      <c r="T103" s="193"/>
      <c r="U103" s="344"/>
      <c r="V103" s="193"/>
      <c r="W103" s="344"/>
      <c r="X103" s="193"/>
      <c r="Y103" s="344"/>
      <c r="Z103" s="193"/>
      <c r="AA103" s="193"/>
      <c r="AB103" s="344"/>
    </row>
    <row r="104" spans="1:28" ht="21" hidden="1" customHeight="1" x14ac:dyDescent="0.2">
      <c r="A104" s="369" t="s">
        <v>126</v>
      </c>
      <c r="B104" s="370"/>
      <c r="C104" s="102">
        <f t="shared" ca="1" si="0"/>
        <v>605200</v>
      </c>
      <c r="D104" s="41">
        <f ca="1">SUM(D105:D116)</f>
        <v>605200</v>
      </c>
      <c r="E104" s="41">
        <f ca="1">IFERROR(__xludf.DUMMYFUNCTION("IMPORTRANGE(""https://docs.google.com/spreadsheets/d/1MeEWN-I1oV_STSDYn1IFDPWt_1FKiwhDph83XaGc0o0/edit?usp=sharing"",""งบพรบ!DT104"")"),605200)</f>
        <v>605200</v>
      </c>
      <c r="F104" s="41">
        <f ca="1">IFERROR(__xludf.DUMMYFUNCTION("IMPORTRANGE(""https://docs.google.com/spreadsheets/d/1MeEWN-I1oV_STSDYn1IFDPWt_1FKiwhDph83XaGc0o0/edit?usp=sharing"",""งบพรบ!DU104"")"),0)</f>
        <v>0</v>
      </c>
      <c r="G104" s="41">
        <f ca="1">IFERROR(__xludf.DUMMYFUNCTION("IMPORTRANGE(""https://docs.google.com/spreadsheets/d/1MeEWN-I1oV_STSDYn1IFDPWt_1FKiwhDph83XaGc0o0/edit?usp=sharing"",""งบพรบ!DV104"")"),0)</f>
        <v>0</v>
      </c>
      <c r="H104" s="41">
        <f ca="1">IFERROR(__xludf.DUMMYFUNCTION("IMPORTRANGE(""https://docs.google.com/spreadsheets/d/1MeEWN-I1oV_STSDYn1IFDPWt_1FKiwhDph83XaGc0o0/edit?usp=sharing"",""งบพรบ!DX104"")"),159600)</f>
        <v>159600</v>
      </c>
      <c r="I104" s="41">
        <f ca="1">IFERROR(__xludf.DUMMYFUNCTION("IMPORTRANGE(""https://docs.google.com/spreadsheets/d/1MeEWN-I1oV_STSDYn1IFDPWt_1FKiwhDph83XaGc0o0/edit?usp=sharing"",""งบพรบ!DY104"")"),0)</f>
        <v>0</v>
      </c>
      <c r="J104" s="41">
        <f t="shared" ca="1" si="3"/>
        <v>77800</v>
      </c>
      <c r="K104" s="43">
        <f t="shared" ca="1" si="4"/>
        <v>12.855254461335095</v>
      </c>
      <c r="L104" s="41">
        <f ca="1">IFERROR(__xludf.DUMMYFUNCTION("IMPORTRANGE(""https://docs.google.com/spreadsheets/d/1MeEWN-I1oV_STSDYn1IFDPWt_1FKiwhDph83XaGc0o0/edit?usp=sharing"",""งบพรบ!DZ104"")"),77800)</f>
        <v>77800</v>
      </c>
      <c r="M104" s="43">
        <f t="shared" ca="1" si="5"/>
        <v>12.855254461335095</v>
      </c>
      <c r="N104" s="43">
        <f t="shared" ca="1" si="6"/>
        <v>48.746867167919802</v>
      </c>
      <c r="O104" s="41">
        <f ca="1">IFERROR(__xludf.DUMMYFUNCTION("IMPORTRANGE(""https://docs.google.com/spreadsheets/d/1MeEWN-I1oV_STSDYn1IFDPWt_1FKiwhDph83XaGc0o0/edit?usp=sharing"",""งบพรบ!EA104"")"),0)</f>
        <v>0</v>
      </c>
      <c r="P104" s="41">
        <f t="shared" ca="1" si="23"/>
        <v>0</v>
      </c>
      <c r="Q104" s="41">
        <f t="shared" ca="1" si="8"/>
        <v>0</v>
      </c>
      <c r="R104" s="41"/>
      <c r="S104" s="295"/>
      <c r="T104" s="191"/>
      <c r="U104" s="191"/>
      <c r="V104" s="191"/>
      <c r="W104" s="191"/>
      <c r="X104" s="191"/>
      <c r="Y104" s="191"/>
      <c r="Z104" s="191"/>
      <c r="AA104" s="191"/>
      <c r="AB104" s="191"/>
    </row>
    <row r="105" spans="1:28" ht="24" hidden="1" customHeight="1" x14ac:dyDescent="0.2">
      <c r="A105" s="103">
        <v>1</v>
      </c>
      <c r="B105" s="110" t="s">
        <v>127</v>
      </c>
      <c r="C105" s="111">
        <f t="shared" ca="1" si="0"/>
        <v>355200</v>
      </c>
      <c r="D105" s="66">
        <f t="shared" ref="D105:D116" ca="1" si="42">+E105+F105</f>
        <v>355200</v>
      </c>
      <c r="E105" s="67">
        <f ca="1">IFERROR(__xludf.DUMMYFUNCTION("IMPORTRANGE(""https://docs.google.com/spreadsheets/d/1MeEWN-I1oV_STSDYn1IFDPWt_1FKiwhDph83XaGc0o0/edit?usp=sharing"",""งบพรบ!DT105"")"),355200)</f>
        <v>355200</v>
      </c>
      <c r="F105" s="67">
        <f ca="1">IFERROR(__xludf.DUMMYFUNCTION("IMPORTRANGE(""https://docs.google.com/spreadsheets/d/1MeEWN-I1oV_STSDYn1IFDPWt_1FKiwhDph83XaGc0o0/edit?usp=sharing"",""งบพรบ!DU105"")"),0)</f>
        <v>0</v>
      </c>
      <c r="G105" s="67">
        <f ca="1">IFERROR(__xludf.DUMMYFUNCTION("IMPORTRANGE(""https://docs.google.com/spreadsheets/d/1MeEWN-I1oV_STSDYn1IFDPWt_1FKiwhDph83XaGc0o0/edit?usp=sharing"",""งบพรบ!DV105"")"),0)</f>
        <v>0</v>
      </c>
      <c r="H105" s="67">
        <f ca="1">IFERROR(__xludf.DUMMYFUNCTION("IMPORTRANGE(""https://docs.google.com/spreadsheets/d/1MeEWN-I1oV_STSDYn1IFDPWt_1FKiwhDph83XaGc0o0/edit?usp=sharing"",""งบพรบ!DX105"")"),0)</f>
        <v>0</v>
      </c>
      <c r="I105" s="67">
        <f ca="1">IFERROR(__xludf.DUMMYFUNCTION("IMPORTRANGE(""https://docs.google.com/spreadsheets/d/1MeEWN-I1oV_STSDYn1IFDPWt_1FKiwhDph83XaGc0o0/edit?usp=sharing"",""งบพรบ!DY105"")"),0)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IFERROR(__xludf.DUMMYFUNCTION("IMPORTRANGE(""https://docs.google.com/spreadsheets/d/1MeEWN-I1oV_STSDYn1IFDPWt_1FKiwhDph83XaGc0o0/edit?usp=sharing"",""งบพรบ!DZ105"")"),0)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IFERROR(__xludf.DUMMYFUNCTION("IMPORTRANGE(""https://docs.google.com/spreadsheets/d/1MeEWN-I1oV_STSDYn1IFDPWt_1FKiwhDph83XaGc0o0/edit?usp=sharing"",""งบพรบ!EA105"")"),0)</f>
        <v>0</v>
      </c>
      <c r="P105" s="71">
        <f t="shared" ca="1" si="23"/>
        <v>0</v>
      </c>
      <c r="Q105" s="70">
        <f t="shared" ca="1" si="8"/>
        <v>0</v>
      </c>
      <c r="R105" s="67"/>
      <c r="S105" s="299"/>
      <c r="T105" s="192"/>
      <c r="U105" s="192"/>
      <c r="V105" s="192"/>
      <c r="W105" s="192"/>
      <c r="X105" s="192"/>
      <c r="Y105" s="192"/>
      <c r="Z105" s="192"/>
      <c r="AA105" s="192"/>
      <c r="AB105" s="192"/>
    </row>
    <row r="106" spans="1:28" ht="24" hidden="1" customHeight="1" x14ac:dyDescent="0.2">
      <c r="A106" s="106">
        <v>2</v>
      </c>
      <c r="B106" s="112" t="s">
        <v>128</v>
      </c>
      <c r="C106" s="113">
        <f t="shared" ca="1" si="0"/>
        <v>250000</v>
      </c>
      <c r="D106" s="76">
        <f t="shared" ca="1" si="42"/>
        <v>250000</v>
      </c>
      <c r="E106" s="77">
        <f ca="1">IFERROR(__xludf.DUMMYFUNCTION("IMPORTRANGE(""https://docs.google.com/spreadsheets/d/1MeEWN-I1oV_STSDYn1IFDPWt_1FKiwhDph83XaGc0o0/edit?usp=sharing"",""งบพรบ!DT106"")"),250000)</f>
        <v>250000</v>
      </c>
      <c r="F106" s="77">
        <f ca="1">IFERROR(__xludf.DUMMYFUNCTION("IMPORTRANGE(""https://docs.google.com/spreadsheets/d/1MeEWN-I1oV_STSDYn1IFDPWt_1FKiwhDph83XaGc0o0/edit?usp=sharing"",""งบพรบ!DU106"")"),0)</f>
        <v>0</v>
      </c>
      <c r="G106" s="77">
        <f ca="1">IFERROR(__xludf.DUMMYFUNCTION("IMPORTRANGE(""https://docs.google.com/spreadsheets/d/1MeEWN-I1oV_STSDYn1IFDPWt_1FKiwhDph83XaGc0o0/edit?usp=sharing"",""งบพรบ!DV106"")"),0)</f>
        <v>0</v>
      </c>
      <c r="H106" s="77">
        <f ca="1">IFERROR(__xludf.DUMMYFUNCTION("IMPORTRANGE(""https://docs.google.com/spreadsheets/d/1MeEWN-I1oV_STSDYn1IFDPWt_1FKiwhDph83XaGc0o0/edit?usp=sharing"",""งบพรบ!DX106"")"),125000)</f>
        <v>125000</v>
      </c>
      <c r="I106" s="77">
        <f ca="1">IFERROR(__xludf.DUMMYFUNCTION("IMPORTRANGE(""https://docs.google.com/spreadsheets/d/1MeEWN-I1oV_STSDYn1IFDPWt_1FKiwhDph83XaGc0o0/edit?usp=sharing"",""งบพรบ!DY106"")"),0)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IFERROR(__xludf.DUMMYFUNCTION("IMPORTRANGE(""https://docs.google.com/spreadsheets/d/1MeEWN-I1oV_STSDYn1IFDPWt_1FKiwhDph83XaGc0o0/edit?usp=sharing"",""งบพรบ!DZ106"")"),0)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IFERROR(__xludf.DUMMYFUNCTION("IMPORTRANGE(""https://docs.google.com/spreadsheets/d/1MeEWN-I1oV_STSDYn1IFDPWt_1FKiwhDph83XaGc0o0/edit?usp=sharing"",""งบพรบ!EA106"")"),0)</f>
        <v>0</v>
      </c>
      <c r="P106" s="80">
        <f t="shared" ca="1" si="23"/>
        <v>0</v>
      </c>
      <c r="Q106" s="79">
        <f t="shared" ca="1" si="8"/>
        <v>0</v>
      </c>
      <c r="R106" s="77"/>
      <c r="S106" s="299"/>
      <c r="T106" s="192"/>
      <c r="U106" s="192"/>
      <c r="V106" s="192"/>
      <c r="W106" s="192"/>
      <c r="X106" s="192"/>
      <c r="Y106" s="192"/>
      <c r="Z106" s="192"/>
      <c r="AA106" s="192"/>
      <c r="AB106" s="192"/>
    </row>
    <row r="107" spans="1:2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42"/>
        <v>0</v>
      </c>
      <c r="E107" s="77">
        <f ca="1">IFERROR(__xludf.DUMMYFUNCTION("IMPORTRANGE(""https://docs.google.com/spreadsheets/d/1MeEWN-I1oV_STSDYn1IFDPWt_1FKiwhDph83XaGc0o0/edit?usp=sharing"",""งบพรบ!DT107"")"),0)</f>
        <v>0</v>
      </c>
      <c r="F107" s="77">
        <f ca="1">IFERROR(__xludf.DUMMYFUNCTION("IMPORTRANGE(""https://docs.google.com/spreadsheets/d/1MeEWN-I1oV_STSDYn1IFDPWt_1FKiwhDph83XaGc0o0/edit?usp=sharing"",""งบพรบ!DU107"")"),0)</f>
        <v>0</v>
      </c>
      <c r="G107" s="77">
        <f ca="1">IFERROR(__xludf.DUMMYFUNCTION("IMPORTRANGE(""https://docs.google.com/spreadsheets/d/1MeEWN-I1oV_STSDYn1IFDPWt_1FKiwhDph83XaGc0o0/edit?usp=sharing"",""งบพรบ!DV107"")"),0)</f>
        <v>0</v>
      </c>
      <c r="H107" s="77">
        <f ca="1">IFERROR(__xludf.DUMMYFUNCTION("IMPORTRANGE(""https://docs.google.com/spreadsheets/d/1MeEWN-I1oV_STSDYn1IFDPWt_1FKiwhDph83XaGc0o0/edit?usp=sharing"",""งบพรบ!DX107"")"),0)</f>
        <v>0</v>
      </c>
      <c r="I107" s="77">
        <f ca="1">IFERROR(__xludf.DUMMYFUNCTION("IMPORTRANGE(""https://docs.google.com/spreadsheets/d/1MeEWN-I1oV_STSDYn1IFDPWt_1FKiwhDph83XaGc0o0/edit?usp=sharing"",""งบพรบ!DY107"")"),0)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IFERROR(__xludf.DUMMYFUNCTION("IMPORTRANGE(""https://docs.google.com/spreadsheets/d/1MeEWN-I1oV_STSDYn1IFDPWt_1FKiwhDph83XaGc0o0/edit?usp=sharing"",""งบพรบ!DZ107"")"),0)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IFERROR(__xludf.DUMMYFUNCTION("IMPORTRANGE(""https://docs.google.com/spreadsheets/d/1MeEWN-I1oV_STSDYn1IFDPWt_1FKiwhDph83XaGc0o0/edit?usp=sharing"",""งบพรบ!EA107"")"),0)</f>
        <v>0</v>
      </c>
      <c r="P107" s="80">
        <f t="shared" ca="1" si="23"/>
        <v>0</v>
      </c>
      <c r="Q107" s="79">
        <f t="shared" ca="1" si="8"/>
        <v>0</v>
      </c>
      <c r="R107" s="77"/>
      <c r="S107" s="299"/>
      <c r="T107" s="192"/>
      <c r="U107" s="192"/>
      <c r="V107" s="192"/>
      <c r="W107" s="192"/>
      <c r="X107" s="192"/>
      <c r="Y107" s="192"/>
      <c r="Z107" s="192"/>
      <c r="AA107" s="192"/>
      <c r="AB107" s="192"/>
    </row>
    <row r="108" spans="1:2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42"/>
        <v>0</v>
      </c>
      <c r="E108" s="77">
        <f ca="1">IFERROR(__xludf.DUMMYFUNCTION("IMPORTRANGE(""https://docs.google.com/spreadsheets/d/1MeEWN-I1oV_STSDYn1IFDPWt_1FKiwhDph83XaGc0o0/edit?usp=sharing"",""งบพรบ!DT108"")"),0)</f>
        <v>0</v>
      </c>
      <c r="F108" s="77">
        <f ca="1">IFERROR(__xludf.DUMMYFUNCTION("IMPORTRANGE(""https://docs.google.com/spreadsheets/d/1MeEWN-I1oV_STSDYn1IFDPWt_1FKiwhDph83XaGc0o0/edit?usp=sharing"",""งบพรบ!DU108"")"),0)</f>
        <v>0</v>
      </c>
      <c r="G108" s="77">
        <f ca="1">IFERROR(__xludf.DUMMYFUNCTION("IMPORTRANGE(""https://docs.google.com/spreadsheets/d/1MeEWN-I1oV_STSDYn1IFDPWt_1FKiwhDph83XaGc0o0/edit?usp=sharing"",""งบพรบ!DV108"")"),0)</f>
        <v>0</v>
      </c>
      <c r="H108" s="77">
        <f ca="1">IFERROR(__xludf.DUMMYFUNCTION("IMPORTRANGE(""https://docs.google.com/spreadsheets/d/1MeEWN-I1oV_STSDYn1IFDPWt_1FKiwhDph83XaGc0o0/edit?usp=sharing"",""งบพรบ!DX108"")"),0)</f>
        <v>0</v>
      </c>
      <c r="I108" s="77">
        <f ca="1">IFERROR(__xludf.DUMMYFUNCTION("IMPORTRANGE(""https://docs.google.com/spreadsheets/d/1MeEWN-I1oV_STSDYn1IFDPWt_1FKiwhDph83XaGc0o0/edit?usp=sharing"",""งบพรบ!DY108"")"),0)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IFERROR(__xludf.DUMMYFUNCTION("IMPORTRANGE(""https://docs.google.com/spreadsheets/d/1MeEWN-I1oV_STSDYn1IFDPWt_1FKiwhDph83XaGc0o0/edit?usp=sharing"",""งบพรบ!DZ108"")"),0)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IFERROR(__xludf.DUMMYFUNCTION("IMPORTRANGE(""https://docs.google.com/spreadsheets/d/1MeEWN-I1oV_STSDYn1IFDPWt_1FKiwhDph83XaGc0o0/edit?usp=sharing"",""งบพรบ!EA108"")"),0)</f>
        <v>0</v>
      </c>
      <c r="P108" s="80">
        <f t="shared" ca="1" si="23"/>
        <v>0</v>
      </c>
      <c r="Q108" s="79">
        <f t="shared" ca="1" si="8"/>
        <v>0</v>
      </c>
      <c r="R108" s="77"/>
      <c r="S108" s="299"/>
      <c r="T108" s="192"/>
      <c r="U108" s="192"/>
      <c r="V108" s="192"/>
      <c r="W108" s="192"/>
      <c r="X108" s="192"/>
      <c r="Y108" s="192"/>
      <c r="Z108" s="192"/>
      <c r="AA108" s="192"/>
      <c r="AB108" s="192"/>
    </row>
    <row r="109" spans="1:28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42"/>
        <v>0</v>
      </c>
      <c r="E109" s="77">
        <f ca="1">IFERROR(__xludf.DUMMYFUNCTION("IMPORTRANGE(""https://docs.google.com/spreadsheets/d/1MeEWN-I1oV_STSDYn1IFDPWt_1FKiwhDph83XaGc0o0/edit?usp=sharing"",""งบพรบ!DT109"")"),0)</f>
        <v>0</v>
      </c>
      <c r="F109" s="77">
        <f ca="1">IFERROR(__xludf.DUMMYFUNCTION("IMPORTRANGE(""https://docs.google.com/spreadsheets/d/1MeEWN-I1oV_STSDYn1IFDPWt_1FKiwhDph83XaGc0o0/edit?usp=sharing"",""งบพรบ!DU109"")"),0)</f>
        <v>0</v>
      </c>
      <c r="G109" s="77">
        <f ca="1">IFERROR(__xludf.DUMMYFUNCTION("IMPORTRANGE(""https://docs.google.com/spreadsheets/d/1MeEWN-I1oV_STSDYn1IFDPWt_1FKiwhDph83XaGc0o0/edit?usp=sharing"",""งบพรบ!DV109"")"),0)</f>
        <v>0</v>
      </c>
      <c r="H109" s="77">
        <f ca="1">IFERROR(__xludf.DUMMYFUNCTION("IMPORTRANGE(""https://docs.google.com/spreadsheets/d/1MeEWN-I1oV_STSDYn1IFDPWt_1FKiwhDph83XaGc0o0/edit?usp=sharing"",""งบพรบ!DX109"")"),0)</f>
        <v>0</v>
      </c>
      <c r="I109" s="77">
        <f ca="1">IFERROR(__xludf.DUMMYFUNCTION("IMPORTRANGE(""https://docs.google.com/spreadsheets/d/1MeEWN-I1oV_STSDYn1IFDPWt_1FKiwhDph83XaGc0o0/edit?usp=sharing"",""งบพรบ!DY109"")"),0)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IFERROR(__xludf.DUMMYFUNCTION("IMPORTRANGE(""https://docs.google.com/spreadsheets/d/1MeEWN-I1oV_STSDYn1IFDPWt_1FKiwhDph83XaGc0o0/edit?usp=sharing"",""งบพรบ!DZ109"")"),0)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IFERROR(__xludf.DUMMYFUNCTION("IMPORTRANGE(""https://docs.google.com/spreadsheets/d/1MeEWN-I1oV_STSDYn1IFDPWt_1FKiwhDph83XaGc0o0/edit?usp=sharing"",""งบพรบ!EA109"")"),0)</f>
        <v>0</v>
      </c>
      <c r="P109" s="80">
        <f t="shared" ca="1" si="23"/>
        <v>0</v>
      </c>
      <c r="Q109" s="79">
        <f t="shared" ca="1" si="8"/>
        <v>0</v>
      </c>
      <c r="R109" s="77"/>
      <c r="S109" s="299"/>
      <c r="T109" s="192"/>
      <c r="U109" s="192"/>
      <c r="V109" s="192"/>
      <c r="W109" s="192"/>
      <c r="X109" s="192"/>
      <c r="Y109" s="192"/>
      <c r="Z109" s="192"/>
      <c r="AA109" s="192"/>
      <c r="AB109" s="192"/>
    </row>
    <row r="110" spans="1:2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42"/>
        <v>0</v>
      </c>
      <c r="E110" s="77">
        <f ca="1">IFERROR(__xludf.DUMMYFUNCTION("IMPORTRANGE(""https://docs.google.com/spreadsheets/d/1MeEWN-I1oV_STSDYn1IFDPWt_1FKiwhDph83XaGc0o0/edit?usp=sharing"",""งบพรบ!DT110"")"),0)</f>
        <v>0</v>
      </c>
      <c r="F110" s="77">
        <f ca="1">IFERROR(__xludf.DUMMYFUNCTION("IMPORTRANGE(""https://docs.google.com/spreadsheets/d/1MeEWN-I1oV_STSDYn1IFDPWt_1FKiwhDph83XaGc0o0/edit?usp=sharing"",""งบพรบ!DU110"")"),0)</f>
        <v>0</v>
      </c>
      <c r="G110" s="77">
        <f ca="1">IFERROR(__xludf.DUMMYFUNCTION("IMPORTRANGE(""https://docs.google.com/spreadsheets/d/1MeEWN-I1oV_STSDYn1IFDPWt_1FKiwhDph83XaGc0o0/edit?usp=sharing"",""งบพรบ!DV110"")"),0)</f>
        <v>0</v>
      </c>
      <c r="H110" s="77">
        <f ca="1">IFERROR(__xludf.DUMMYFUNCTION("IMPORTRANGE(""https://docs.google.com/spreadsheets/d/1MeEWN-I1oV_STSDYn1IFDPWt_1FKiwhDph83XaGc0o0/edit?usp=sharing"",""งบพรบ!DX110"")"),0)</f>
        <v>0</v>
      </c>
      <c r="I110" s="77">
        <f ca="1">IFERROR(__xludf.DUMMYFUNCTION("IMPORTRANGE(""https://docs.google.com/spreadsheets/d/1MeEWN-I1oV_STSDYn1IFDPWt_1FKiwhDph83XaGc0o0/edit?usp=sharing"",""งบพรบ!DY110"")"),0)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IFERROR(__xludf.DUMMYFUNCTION("IMPORTRANGE(""https://docs.google.com/spreadsheets/d/1MeEWN-I1oV_STSDYn1IFDPWt_1FKiwhDph83XaGc0o0/edit?usp=sharing"",""งบพรบ!DZ110"")"),0)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IFERROR(__xludf.DUMMYFUNCTION("IMPORTRANGE(""https://docs.google.com/spreadsheets/d/1MeEWN-I1oV_STSDYn1IFDPWt_1FKiwhDph83XaGc0o0/edit?usp=sharing"",""งบพรบ!EA110"")"),0)</f>
        <v>0</v>
      </c>
      <c r="P110" s="80">
        <f t="shared" ca="1" si="23"/>
        <v>0</v>
      </c>
      <c r="Q110" s="79">
        <f t="shared" ca="1" si="8"/>
        <v>0</v>
      </c>
      <c r="R110" s="77"/>
      <c r="S110" s="299"/>
      <c r="T110" s="192"/>
      <c r="U110" s="192"/>
      <c r="V110" s="192"/>
      <c r="W110" s="192"/>
      <c r="X110" s="192"/>
      <c r="Y110" s="192"/>
      <c r="Z110" s="192"/>
      <c r="AA110" s="192"/>
      <c r="AB110" s="192"/>
    </row>
    <row r="111" spans="1:2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42"/>
        <v>0</v>
      </c>
      <c r="E111" s="77">
        <f ca="1">IFERROR(__xludf.DUMMYFUNCTION("IMPORTRANGE(""https://docs.google.com/spreadsheets/d/1MeEWN-I1oV_STSDYn1IFDPWt_1FKiwhDph83XaGc0o0/edit?usp=sharing"",""งบพรบ!DT111"")"),0)</f>
        <v>0</v>
      </c>
      <c r="F111" s="77">
        <f ca="1">IFERROR(__xludf.DUMMYFUNCTION("IMPORTRANGE(""https://docs.google.com/spreadsheets/d/1MeEWN-I1oV_STSDYn1IFDPWt_1FKiwhDph83XaGc0o0/edit?usp=sharing"",""งบพรบ!DU111"")"),0)</f>
        <v>0</v>
      </c>
      <c r="G111" s="77">
        <f ca="1">IFERROR(__xludf.DUMMYFUNCTION("IMPORTRANGE(""https://docs.google.com/spreadsheets/d/1MeEWN-I1oV_STSDYn1IFDPWt_1FKiwhDph83XaGc0o0/edit?usp=sharing"",""งบพรบ!DV111"")"),0)</f>
        <v>0</v>
      </c>
      <c r="H111" s="77">
        <f ca="1">IFERROR(__xludf.DUMMYFUNCTION("IMPORTRANGE(""https://docs.google.com/spreadsheets/d/1MeEWN-I1oV_STSDYn1IFDPWt_1FKiwhDph83XaGc0o0/edit?usp=sharing"",""งบพรบ!DX111"")"),34600)</f>
        <v>34600</v>
      </c>
      <c r="I111" s="77">
        <f ca="1">IFERROR(__xludf.DUMMYFUNCTION("IMPORTRANGE(""https://docs.google.com/spreadsheets/d/1MeEWN-I1oV_STSDYn1IFDPWt_1FKiwhDph83XaGc0o0/edit?usp=sharing"",""งบพรบ!DY111"")"),0)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IFERROR(__xludf.DUMMYFUNCTION("IMPORTRANGE(""https://docs.google.com/spreadsheets/d/1MeEWN-I1oV_STSDYn1IFDPWt_1FKiwhDph83XaGc0o0/edit?usp=sharing"",""งบพรบ!DZ111"")"),0)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IFERROR(__xludf.DUMMYFUNCTION("IMPORTRANGE(""https://docs.google.com/spreadsheets/d/1MeEWN-I1oV_STSDYn1IFDPWt_1FKiwhDph83XaGc0o0/edit?usp=sharing"",""งบพรบ!EA111"")"),0)</f>
        <v>0</v>
      </c>
      <c r="P111" s="80">
        <f t="shared" ca="1" si="23"/>
        <v>0</v>
      </c>
      <c r="Q111" s="79">
        <f t="shared" ca="1" si="8"/>
        <v>0</v>
      </c>
      <c r="R111" s="77"/>
      <c r="S111" s="299"/>
      <c r="T111" s="192"/>
      <c r="U111" s="192"/>
      <c r="V111" s="192"/>
      <c r="W111" s="192"/>
      <c r="X111" s="192"/>
      <c r="Y111" s="192"/>
      <c r="Z111" s="192"/>
      <c r="AA111" s="192"/>
      <c r="AB111" s="192"/>
    </row>
    <row r="112" spans="1:2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42"/>
        <v>0</v>
      </c>
      <c r="E112" s="77">
        <f ca="1">IFERROR(__xludf.DUMMYFUNCTION("IMPORTRANGE(""https://docs.google.com/spreadsheets/d/1MeEWN-I1oV_STSDYn1IFDPWt_1FKiwhDph83XaGc0o0/edit?usp=sharing"",""งบพรบ!DT112"")"),0)</f>
        <v>0</v>
      </c>
      <c r="F112" s="77">
        <f ca="1">IFERROR(__xludf.DUMMYFUNCTION("IMPORTRANGE(""https://docs.google.com/spreadsheets/d/1MeEWN-I1oV_STSDYn1IFDPWt_1FKiwhDph83XaGc0o0/edit?usp=sharing"",""งบพรบ!DU112"")"),0)</f>
        <v>0</v>
      </c>
      <c r="G112" s="77">
        <f ca="1">IFERROR(__xludf.DUMMYFUNCTION("IMPORTRANGE(""https://docs.google.com/spreadsheets/d/1MeEWN-I1oV_STSDYn1IFDPWt_1FKiwhDph83XaGc0o0/edit?usp=sharing"",""งบพรบ!DV112"")"),0)</f>
        <v>0</v>
      </c>
      <c r="H112" s="77">
        <f ca="1">IFERROR(__xludf.DUMMYFUNCTION("IMPORTRANGE(""https://docs.google.com/spreadsheets/d/1MeEWN-I1oV_STSDYn1IFDPWt_1FKiwhDph83XaGc0o0/edit?usp=sharing"",""งบพรบ!DX112"")"),0)</f>
        <v>0</v>
      </c>
      <c r="I112" s="77">
        <f ca="1">IFERROR(__xludf.DUMMYFUNCTION("IMPORTRANGE(""https://docs.google.com/spreadsheets/d/1MeEWN-I1oV_STSDYn1IFDPWt_1FKiwhDph83XaGc0o0/edit?usp=sharing"",""งบพรบ!DY112"")"),0)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IFERROR(__xludf.DUMMYFUNCTION("IMPORTRANGE(""https://docs.google.com/spreadsheets/d/1MeEWN-I1oV_STSDYn1IFDPWt_1FKiwhDph83XaGc0o0/edit?usp=sharing"",""งบพรบ!DZ112"")"),0)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IFERROR(__xludf.DUMMYFUNCTION("IMPORTRANGE(""https://docs.google.com/spreadsheets/d/1MeEWN-I1oV_STSDYn1IFDPWt_1FKiwhDph83XaGc0o0/edit?usp=sharing"",""งบพรบ!EA112"")"),0)</f>
        <v>0</v>
      </c>
      <c r="P112" s="80">
        <f t="shared" ca="1" si="23"/>
        <v>0</v>
      </c>
      <c r="Q112" s="79">
        <f t="shared" ca="1" si="8"/>
        <v>0</v>
      </c>
      <c r="R112" s="77"/>
      <c r="S112" s="299"/>
      <c r="T112" s="192"/>
      <c r="U112" s="192"/>
      <c r="V112" s="192"/>
      <c r="W112" s="192"/>
      <c r="X112" s="192"/>
      <c r="Y112" s="192"/>
      <c r="Z112" s="192"/>
      <c r="AA112" s="192"/>
      <c r="AB112" s="192"/>
    </row>
    <row r="113" spans="1:2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42"/>
        <v>0</v>
      </c>
      <c r="E113" s="77">
        <f ca="1">IFERROR(__xludf.DUMMYFUNCTION("IMPORTRANGE(""https://docs.google.com/spreadsheets/d/1MeEWN-I1oV_STSDYn1IFDPWt_1FKiwhDph83XaGc0o0/edit?usp=sharing"",""งบพรบ!DT113"")"),0)</f>
        <v>0</v>
      </c>
      <c r="F113" s="77">
        <f ca="1">IFERROR(__xludf.DUMMYFUNCTION("IMPORTRANGE(""https://docs.google.com/spreadsheets/d/1MeEWN-I1oV_STSDYn1IFDPWt_1FKiwhDph83XaGc0o0/edit?usp=sharing"",""งบพรบ!DU113"")"),0)</f>
        <v>0</v>
      </c>
      <c r="G113" s="77">
        <f ca="1">IFERROR(__xludf.DUMMYFUNCTION("IMPORTRANGE(""https://docs.google.com/spreadsheets/d/1MeEWN-I1oV_STSDYn1IFDPWt_1FKiwhDph83XaGc0o0/edit?usp=sharing"",""งบพรบ!DV113"")"),0)</f>
        <v>0</v>
      </c>
      <c r="H113" s="77">
        <f ca="1">IFERROR(__xludf.DUMMYFUNCTION("IMPORTRANGE(""https://docs.google.com/spreadsheets/d/1MeEWN-I1oV_STSDYn1IFDPWt_1FKiwhDph83XaGc0o0/edit?usp=sharing"",""งบพรบ!DX113"")"),0)</f>
        <v>0</v>
      </c>
      <c r="I113" s="77">
        <f ca="1">IFERROR(__xludf.DUMMYFUNCTION("IMPORTRANGE(""https://docs.google.com/spreadsheets/d/1MeEWN-I1oV_STSDYn1IFDPWt_1FKiwhDph83XaGc0o0/edit?usp=sharing"",""งบพรบ!DY113"")"),0)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IFERROR(__xludf.DUMMYFUNCTION("IMPORTRANGE(""https://docs.google.com/spreadsheets/d/1MeEWN-I1oV_STSDYn1IFDPWt_1FKiwhDph83XaGc0o0/edit?usp=sharing"",""งบพรบ!DZ113"")"),0)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IFERROR(__xludf.DUMMYFUNCTION("IMPORTRANGE(""https://docs.google.com/spreadsheets/d/1MeEWN-I1oV_STSDYn1IFDPWt_1FKiwhDph83XaGc0o0/edit?usp=sharing"",""งบพรบ!EA113"")"),0)</f>
        <v>0</v>
      </c>
      <c r="P113" s="80">
        <f t="shared" ca="1" si="23"/>
        <v>0</v>
      </c>
      <c r="Q113" s="79">
        <f t="shared" ca="1" si="8"/>
        <v>0</v>
      </c>
      <c r="R113" s="77"/>
      <c r="S113" s="299"/>
      <c r="T113" s="192"/>
      <c r="U113" s="192"/>
      <c r="V113" s="192"/>
      <c r="W113" s="192"/>
      <c r="X113" s="192"/>
      <c r="Y113" s="192"/>
      <c r="Z113" s="192"/>
      <c r="AA113" s="192"/>
      <c r="AB113" s="192"/>
    </row>
    <row r="114" spans="1:2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42"/>
        <v>0</v>
      </c>
      <c r="E114" s="77">
        <f ca="1">IFERROR(__xludf.DUMMYFUNCTION("IMPORTRANGE(""https://docs.google.com/spreadsheets/d/1MeEWN-I1oV_STSDYn1IFDPWt_1FKiwhDph83XaGc0o0/edit?usp=sharing"",""งบพรบ!DT114"")"),0)</f>
        <v>0</v>
      </c>
      <c r="F114" s="77">
        <f ca="1">IFERROR(__xludf.DUMMYFUNCTION("IMPORTRANGE(""https://docs.google.com/spreadsheets/d/1MeEWN-I1oV_STSDYn1IFDPWt_1FKiwhDph83XaGc0o0/edit?usp=sharing"",""งบพรบ!DU114"")"),0)</f>
        <v>0</v>
      </c>
      <c r="G114" s="77">
        <f ca="1">IFERROR(__xludf.DUMMYFUNCTION("IMPORTRANGE(""https://docs.google.com/spreadsheets/d/1MeEWN-I1oV_STSDYn1IFDPWt_1FKiwhDph83XaGc0o0/edit?usp=sharing"",""งบพรบ!DV114"")"),0)</f>
        <v>0</v>
      </c>
      <c r="H114" s="77">
        <f ca="1">IFERROR(__xludf.DUMMYFUNCTION("IMPORTRANGE(""https://docs.google.com/spreadsheets/d/1MeEWN-I1oV_STSDYn1IFDPWt_1FKiwhDph83XaGc0o0/edit?usp=sharing"",""งบพรบ!DX114"")"),0)</f>
        <v>0</v>
      </c>
      <c r="I114" s="77">
        <f ca="1">IFERROR(__xludf.DUMMYFUNCTION("IMPORTRANGE(""https://docs.google.com/spreadsheets/d/1MeEWN-I1oV_STSDYn1IFDPWt_1FKiwhDph83XaGc0o0/edit?usp=sharing"",""งบพรบ!DY114"")"),0)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IFERROR(__xludf.DUMMYFUNCTION("IMPORTRANGE(""https://docs.google.com/spreadsheets/d/1MeEWN-I1oV_STSDYn1IFDPWt_1FKiwhDph83XaGc0o0/edit?usp=sharing"",""งบพรบ!DZ114"")"),0)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IFERROR(__xludf.DUMMYFUNCTION("IMPORTRANGE(""https://docs.google.com/spreadsheets/d/1MeEWN-I1oV_STSDYn1IFDPWt_1FKiwhDph83XaGc0o0/edit?usp=sharing"",""งบพรบ!EA114"")"),0)</f>
        <v>0</v>
      </c>
      <c r="P114" s="80">
        <f t="shared" ca="1" si="23"/>
        <v>0</v>
      </c>
      <c r="Q114" s="79">
        <f t="shared" ca="1" si="8"/>
        <v>0</v>
      </c>
      <c r="R114" s="77"/>
      <c r="S114" s="299"/>
      <c r="T114" s="192"/>
      <c r="U114" s="192"/>
      <c r="V114" s="192"/>
      <c r="W114" s="192"/>
      <c r="X114" s="192"/>
      <c r="Y114" s="192"/>
      <c r="Z114" s="192"/>
      <c r="AA114" s="192"/>
      <c r="AB114" s="192"/>
    </row>
    <row r="115" spans="1:2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42"/>
        <v>0</v>
      </c>
      <c r="E115" s="77">
        <f ca="1">IFERROR(__xludf.DUMMYFUNCTION("IMPORTRANGE(""https://docs.google.com/spreadsheets/d/1MeEWN-I1oV_STSDYn1IFDPWt_1FKiwhDph83XaGc0o0/edit?usp=sharing"",""งบพรบ!DT115"")"),0)</f>
        <v>0</v>
      </c>
      <c r="F115" s="77">
        <f ca="1">IFERROR(__xludf.DUMMYFUNCTION("IMPORTRANGE(""https://docs.google.com/spreadsheets/d/1MeEWN-I1oV_STSDYn1IFDPWt_1FKiwhDph83XaGc0o0/edit?usp=sharing"",""งบพรบ!DU115"")"),0)</f>
        <v>0</v>
      </c>
      <c r="G115" s="77">
        <f ca="1">IFERROR(__xludf.DUMMYFUNCTION("IMPORTRANGE(""https://docs.google.com/spreadsheets/d/1MeEWN-I1oV_STSDYn1IFDPWt_1FKiwhDph83XaGc0o0/edit?usp=sharing"",""งบพรบ!DV115"")"),0)</f>
        <v>0</v>
      </c>
      <c r="H115" s="77">
        <f ca="1">IFERROR(__xludf.DUMMYFUNCTION("IMPORTRANGE(""https://docs.google.com/spreadsheets/d/1MeEWN-I1oV_STSDYn1IFDPWt_1FKiwhDph83XaGc0o0/edit?usp=sharing"",""งบพรบ!DX115"")"),0)</f>
        <v>0</v>
      </c>
      <c r="I115" s="77">
        <f ca="1">IFERROR(__xludf.DUMMYFUNCTION("IMPORTRANGE(""https://docs.google.com/spreadsheets/d/1MeEWN-I1oV_STSDYn1IFDPWt_1FKiwhDph83XaGc0o0/edit?usp=sharing"",""งบพรบ!DY115"")"),0)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IFERROR(__xludf.DUMMYFUNCTION("IMPORTRANGE(""https://docs.google.com/spreadsheets/d/1MeEWN-I1oV_STSDYn1IFDPWt_1FKiwhDph83XaGc0o0/edit?usp=sharing"",""งบพรบ!DZ115"")"),0)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IFERROR(__xludf.DUMMYFUNCTION("IMPORTRANGE(""https://docs.google.com/spreadsheets/d/1MeEWN-I1oV_STSDYn1IFDPWt_1FKiwhDph83XaGc0o0/edit?usp=sharing"",""งบพรบ!EA115"")"),0)</f>
        <v>0</v>
      </c>
      <c r="P115" s="80">
        <f t="shared" ca="1" si="23"/>
        <v>0</v>
      </c>
      <c r="Q115" s="79">
        <f t="shared" ca="1" si="8"/>
        <v>0</v>
      </c>
      <c r="R115" s="77"/>
      <c r="S115" s="299"/>
      <c r="T115" s="192"/>
      <c r="U115" s="192"/>
      <c r="V115" s="192"/>
      <c r="W115" s="192"/>
      <c r="X115" s="192"/>
      <c r="Y115" s="192"/>
      <c r="Z115" s="192"/>
      <c r="AA115" s="192"/>
      <c r="AB115" s="192"/>
    </row>
    <row r="116" spans="1:2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42"/>
        <v>0</v>
      </c>
      <c r="E116" s="77">
        <f ca="1">IFERROR(__xludf.DUMMYFUNCTION("IMPORTRANGE(""https://docs.google.com/spreadsheets/d/1MeEWN-I1oV_STSDYn1IFDPWt_1FKiwhDph83XaGc0o0/edit?usp=sharing"",""งบพรบ!DT116"")"),0)</f>
        <v>0</v>
      </c>
      <c r="F116" s="77">
        <f ca="1">IFERROR(__xludf.DUMMYFUNCTION("IMPORTRANGE(""https://docs.google.com/spreadsheets/d/1MeEWN-I1oV_STSDYn1IFDPWt_1FKiwhDph83XaGc0o0/edit?usp=sharing"",""งบพรบ!DU116"")"),0)</f>
        <v>0</v>
      </c>
      <c r="G116" s="77">
        <f ca="1">IFERROR(__xludf.DUMMYFUNCTION("IMPORTRANGE(""https://docs.google.com/spreadsheets/d/1MeEWN-I1oV_STSDYn1IFDPWt_1FKiwhDph83XaGc0o0/edit?usp=sharing"",""งบพรบ!DV116"")"),0)</f>
        <v>0</v>
      </c>
      <c r="H116" s="77">
        <f ca="1">IFERROR(__xludf.DUMMYFUNCTION("IMPORTRANGE(""https://docs.google.com/spreadsheets/d/1MeEWN-I1oV_STSDYn1IFDPWt_1FKiwhDph83XaGc0o0/edit?usp=sharing"",""งบพรบ!DX116"")"),122000)</f>
        <v>122000</v>
      </c>
      <c r="I116" s="77">
        <f ca="1">IFERROR(__xludf.DUMMYFUNCTION("IMPORTRANGE(""https://docs.google.com/spreadsheets/d/1MeEWN-I1oV_STSDYn1IFDPWt_1FKiwhDph83XaGc0o0/edit?usp=sharing"",""งบพรบ!DY116"")"),0)</f>
        <v>0</v>
      </c>
      <c r="J116" s="77">
        <f t="shared" ca="1" si="3"/>
        <v>122000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IFERROR(__xludf.DUMMYFUNCTION("IMPORTRANGE(""https://docs.google.com/spreadsheets/d/1MeEWN-I1oV_STSDYn1IFDPWt_1FKiwhDph83XaGc0o0/edit?usp=sharing"",""งบพรบ!DZ116"")"),122000)</f>
        <v>122000</v>
      </c>
      <c r="M116" s="79">
        <f t="shared" ca="1" si="5"/>
        <v>0</v>
      </c>
      <c r="N116" s="79">
        <f t="shared" ca="1" si="6"/>
        <v>100</v>
      </c>
      <c r="O116" s="80">
        <f ca="1">IFERROR(__xludf.DUMMYFUNCTION("IMPORTRANGE(""https://docs.google.com/spreadsheets/d/1MeEWN-I1oV_STSDYn1IFDPWt_1FKiwhDph83XaGc0o0/edit?usp=sharing"",""งบพรบ!EA116"")"),0)</f>
        <v>0</v>
      </c>
      <c r="P116" s="80">
        <f t="shared" ca="1" si="23"/>
        <v>0</v>
      </c>
      <c r="Q116" s="79">
        <f t="shared" ca="1" si="8"/>
        <v>0</v>
      </c>
      <c r="R116" s="77"/>
      <c r="S116" s="299"/>
      <c r="T116" s="192"/>
      <c r="U116" s="192"/>
      <c r="V116" s="192"/>
      <c r="W116" s="192"/>
      <c r="X116" s="192"/>
      <c r="Y116" s="192"/>
      <c r="Z116" s="192"/>
      <c r="AA116" s="192"/>
      <c r="AB116" s="192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199"/>
      <c r="T117" s="199"/>
      <c r="U117" s="197"/>
      <c r="V117" s="199"/>
      <c r="W117" s="197"/>
      <c r="X117" s="199"/>
      <c r="Y117" s="197"/>
      <c r="Z117" s="199"/>
      <c r="AA117" s="199"/>
      <c r="AB117" s="197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199"/>
      <c r="T118" s="199"/>
      <c r="U118" s="197"/>
      <c r="V118" s="199"/>
      <c r="W118" s="197"/>
      <c r="X118" s="199"/>
      <c r="Y118" s="197"/>
      <c r="Z118" s="199"/>
      <c r="AA118" s="199"/>
      <c r="AB118" s="197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199"/>
      <c r="T119" s="199"/>
      <c r="U119" s="197"/>
      <c r="V119" s="199"/>
      <c r="W119" s="197"/>
      <c r="X119" s="199"/>
      <c r="Y119" s="197"/>
      <c r="Z119" s="199"/>
      <c r="AA119" s="199"/>
      <c r="AB119" s="197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199"/>
      <c r="T120" s="199"/>
      <c r="U120" s="197"/>
      <c r="V120" s="199"/>
      <c r="W120" s="197"/>
      <c r="X120" s="199"/>
      <c r="Y120" s="197"/>
      <c r="Z120" s="199"/>
      <c r="AA120" s="199"/>
      <c r="AB120" s="197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199"/>
      <c r="T121" s="199"/>
      <c r="U121" s="197"/>
      <c r="V121" s="199"/>
      <c r="W121" s="197"/>
      <c r="X121" s="199"/>
      <c r="Y121" s="197"/>
      <c r="Z121" s="199"/>
      <c r="AA121" s="199"/>
      <c r="AB121" s="197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199"/>
      <c r="T122" s="199"/>
      <c r="U122" s="197"/>
      <c r="V122" s="199"/>
      <c r="W122" s="197"/>
      <c r="X122" s="199"/>
      <c r="Y122" s="197"/>
      <c r="Z122" s="199"/>
      <c r="AA122" s="199"/>
      <c r="AB122" s="197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199"/>
      <c r="T123" s="199"/>
      <c r="U123" s="197"/>
      <c r="V123" s="199"/>
      <c r="W123" s="197"/>
      <c r="X123" s="199"/>
      <c r="Y123" s="197"/>
      <c r="Z123" s="199"/>
      <c r="AA123" s="199"/>
      <c r="AB123" s="197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199"/>
      <c r="T124" s="199"/>
      <c r="U124" s="197"/>
      <c r="V124" s="199"/>
      <c r="W124" s="197"/>
      <c r="X124" s="199"/>
      <c r="Y124" s="197"/>
      <c r="Z124" s="199"/>
      <c r="AA124" s="199"/>
      <c r="AB124" s="197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199"/>
      <c r="T125" s="199"/>
      <c r="U125" s="197"/>
      <c r="V125" s="199"/>
      <c r="W125" s="197"/>
      <c r="X125" s="199"/>
      <c r="Y125" s="197"/>
      <c r="Z125" s="199"/>
      <c r="AA125" s="199"/>
      <c r="AB125" s="197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199"/>
      <c r="T126" s="199"/>
      <c r="U126" s="197"/>
      <c r="V126" s="199"/>
      <c r="W126" s="197"/>
      <c r="X126" s="199"/>
      <c r="Y126" s="197"/>
      <c r="Z126" s="199"/>
      <c r="AA126" s="199"/>
      <c r="AB126" s="197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199"/>
      <c r="T127" s="199"/>
      <c r="U127" s="197"/>
      <c r="V127" s="199"/>
      <c r="W127" s="197"/>
      <c r="X127" s="199"/>
      <c r="Y127" s="197"/>
      <c r="Z127" s="199"/>
      <c r="AA127" s="199"/>
      <c r="AB127" s="197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199"/>
      <c r="T128" s="199"/>
      <c r="U128" s="197"/>
      <c r="V128" s="199"/>
      <c r="W128" s="197"/>
      <c r="X128" s="199"/>
      <c r="Y128" s="197"/>
      <c r="Z128" s="199"/>
      <c r="AA128" s="199"/>
      <c r="AB128" s="197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199"/>
      <c r="T129" s="199"/>
      <c r="U129" s="197"/>
      <c r="V129" s="199"/>
      <c r="W129" s="197"/>
      <c r="X129" s="199"/>
      <c r="Y129" s="197"/>
      <c r="Z129" s="199"/>
      <c r="AA129" s="199"/>
      <c r="AB129" s="197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199"/>
      <c r="T130" s="199"/>
      <c r="U130" s="197"/>
      <c r="V130" s="199"/>
      <c r="W130" s="197"/>
      <c r="X130" s="199"/>
      <c r="Y130" s="197"/>
      <c r="Z130" s="199"/>
      <c r="AA130" s="199"/>
      <c r="AB130" s="197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199"/>
      <c r="T131" s="199"/>
      <c r="U131" s="197"/>
      <c r="V131" s="199"/>
      <c r="W131" s="197"/>
      <c r="X131" s="199"/>
      <c r="Y131" s="197"/>
      <c r="Z131" s="199"/>
      <c r="AA131" s="199"/>
      <c r="AB131" s="197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199"/>
      <c r="T132" s="199"/>
      <c r="U132" s="197"/>
      <c r="V132" s="199"/>
      <c r="W132" s="197"/>
      <c r="X132" s="199"/>
      <c r="Y132" s="197"/>
      <c r="Z132" s="199"/>
      <c r="AA132" s="199"/>
      <c r="AB132" s="197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199"/>
      <c r="T133" s="199"/>
      <c r="U133" s="197"/>
      <c r="V133" s="199"/>
      <c r="W133" s="197"/>
      <c r="X133" s="199"/>
      <c r="Y133" s="197"/>
      <c r="Z133" s="199"/>
      <c r="AA133" s="199"/>
      <c r="AB133" s="197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199"/>
      <c r="T134" s="199"/>
      <c r="U134" s="197"/>
      <c r="V134" s="199"/>
      <c r="W134" s="197"/>
      <c r="X134" s="199"/>
      <c r="Y134" s="197"/>
      <c r="Z134" s="199"/>
      <c r="AA134" s="199"/>
      <c r="AB134" s="197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199"/>
      <c r="T135" s="199"/>
      <c r="U135" s="197"/>
      <c r="V135" s="199"/>
      <c r="W135" s="197"/>
      <c r="X135" s="199"/>
      <c r="Y135" s="197"/>
      <c r="Z135" s="199"/>
      <c r="AA135" s="199"/>
      <c r="AB135" s="197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199"/>
      <c r="T136" s="199"/>
      <c r="U136" s="197"/>
      <c r="V136" s="199"/>
      <c r="W136" s="197"/>
      <c r="X136" s="199"/>
      <c r="Y136" s="197"/>
      <c r="Z136" s="199"/>
      <c r="AA136" s="199"/>
      <c r="AB136" s="197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199"/>
      <c r="T137" s="199"/>
      <c r="U137" s="197"/>
      <c r="V137" s="199"/>
      <c r="W137" s="197"/>
      <c r="X137" s="199"/>
      <c r="Y137" s="197"/>
      <c r="Z137" s="199"/>
      <c r="AA137" s="199"/>
      <c r="AB137" s="197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199"/>
      <c r="T138" s="199"/>
      <c r="U138" s="197"/>
      <c r="V138" s="199"/>
      <c r="W138" s="197"/>
      <c r="X138" s="199"/>
      <c r="Y138" s="197"/>
      <c r="Z138" s="199"/>
      <c r="AA138" s="199"/>
      <c r="AB138" s="197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199"/>
      <c r="T139" s="199"/>
      <c r="U139" s="197"/>
      <c r="V139" s="199"/>
      <c r="W139" s="197"/>
      <c r="X139" s="199"/>
      <c r="Y139" s="197"/>
      <c r="Z139" s="199"/>
      <c r="AA139" s="199"/>
      <c r="AB139" s="197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199"/>
      <c r="T140" s="199"/>
      <c r="U140" s="197"/>
      <c r="V140" s="199"/>
      <c r="W140" s="197"/>
      <c r="X140" s="199"/>
      <c r="Y140" s="197"/>
      <c r="Z140" s="199"/>
      <c r="AA140" s="199"/>
      <c r="AB140" s="197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199"/>
      <c r="T141" s="199"/>
      <c r="U141" s="197"/>
      <c r="V141" s="199"/>
      <c r="W141" s="197"/>
      <c r="X141" s="199"/>
      <c r="Y141" s="197"/>
      <c r="Z141" s="199"/>
      <c r="AA141" s="199"/>
      <c r="AB141" s="197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199"/>
      <c r="T142" s="199"/>
      <c r="U142" s="197"/>
      <c r="V142" s="199"/>
      <c r="W142" s="197"/>
      <c r="X142" s="199"/>
      <c r="Y142" s="197"/>
      <c r="Z142" s="199"/>
      <c r="AA142" s="199"/>
      <c r="AB142" s="197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199"/>
      <c r="T143" s="199"/>
      <c r="U143" s="197"/>
      <c r="V143" s="199"/>
      <c r="W143" s="197"/>
      <c r="X143" s="199"/>
      <c r="Y143" s="197"/>
      <c r="Z143" s="199"/>
      <c r="AA143" s="199"/>
      <c r="AB143" s="197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199"/>
      <c r="T144" s="199"/>
      <c r="U144" s="197"/>
      <c r="V144" s="199"/>
      <c r="W144" s="197"/>
      <c r="X144" s="199"/>
      <c r="Y144" s="197"/>
      <c r="Z144" s="199"/>
      <c r="AA144" s="199"/>
      <c r="AB144" s="197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199"/>
      <c r="T145" s="199"/>
      <c r="U145" s="197"/>
      <c r="V145" s="199"/>
      <c r="W145" s="197"/>
      <c r="X145" s="199"/>
      <c r="Y145" s="197"/>
      <c r="Z145" s="199"/>
      <c r="AA145" s="199"/>
      <c r="AB145" s="197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199"/>
      <c r="T146" s="199"/>
      <c r="U146" s="197"/>
      <c r="V146" s="199"/>
      <c r="W146" s="197"/>
      <c r="X146" s="199"/>
      <c r="Y146" s="197"/>
      <c r="Z146" s="199"/>
      <c r="AA146" s="199"/>
      <c r="AB146" s="197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199"/>
      <c r="T147" s="199"/>
      <c r="U147" s="197"/>
      <c r="V147" s="199"/>
      <c r="W147" s="197"/>
      <c r="X147" s="199"/>
      <c r="Y147" s="197"/>
      <c r="Z147" s="199"/>
      <c r="AA147" s="199"/>
      <c r="AB147" s="197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199"/>
      <c r="T148" s="199"/>
      <c r="U148" s="197"/>
      <c r="V148" s="199"/>
      <c r="W148" s="197"/>
      <c r="X148" s="199"/>
      <c r="Y148" s="197"/>
      <c r="Z148" s="199"/>
      <c r="AA148" s="199"/>
      <c r="AB148" s="197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199"/>
      <c r="T149" s="199"/>
      <c r="U149" s="197"/>
      <c r="V149" s="199"/>
      <c r="W149" s="197"/>
      <c r="X149" s="199"/>
      <c r="Y149" s="197"/>
      <c r="Z149" s="199"/>
      <c r="AA149" s="199"/>
      <c r="AB149" s="197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199"/>
      <c r="T150" s="199"/>
      <c r="U150" s="197"/>
      <c r="V150" s="199"/>
      <c r="W150" s="197"/>
      <c r="X150" s="199"/>
      <c r="Y150" s="197"/>
      <c r="Z150" s="199"/>
      <c r="AA150" s="199"/>
      <c r="AB150" s="197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199"/>
      <c r="T151" s="199"/>
      <c r="U151" s="197"/>
      <c r="V151" s="199"/>
      <c r="W151" s="197"/>
      <c r="X151" s="199"/>
      <c r="Y151" s="197"/>
      <c r="Z151" s="199"/>
      <c r="AA151" s="199"/>
      <c r="AB151" s="197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199"/>
      <c r="T152" s="199"/>
      <c r="U152" s="197"/>
      <c r="V152" s="199"/>
      <c r="W152" s="197"/>
      <c r="X152" s="199"/>
      <c r="Y152" s="197"/>
      <c r="Z152" s="199"/>
      <c r="AA152" s="199"/>
      <c r="AB152" s="197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199"/>
      <c r="T153" s="199"/>
      <c r="U153" s="197"/>
      <c r="V153" s="199"/>
      <c r="W153" s="197"/>
      <c r="X153" s="199"/>
      <c r="Y153" s="197"/>
      <c r="Z153" s="199"/>
      <c r="AA153" s="199"/>
      <c r="AB153" s="197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199"/>
      <c r="T154" s="199"/>
      <c r="U154" s="197"/>
      <c r="V154" s="199"/>
      <c r="W154" s="197"/>
      <c r="X154" s="199"/>
      <c r="Y154" s="197"/>
      <c r="Z154" s="199"/>
      <c r="AA154" s="199"/>
      <c r="AB154" s="197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199"/>
      <c r="T155" s="199"/>
      <c r="U155" s="197"/>
      <c r="V155" s="199"/>
      <c r="W155" s="197"/>
      <c r="X155" s="199"/>
      <c r="Y155" s="197"/>
      <c r="Z155" s="199"/>
      <c r="AA155" s="199"/>
      <c r="AB155" s="197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199"/>
      <c r="T156" s="199"/>
      <c r="U156" s="197"/>
      <c r="V156" s="199"/>
      <c r="W156" s="197"/>
      <c r="X156" s="199"/>
      <c r="Y156" s="197"/>
      <c r="Z156" s="199"/>
      <c r="AA156" s="199"/>
      <c r="AB156" s="197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199"/>
      <c r="T157" s="199"/>
      <c r="U157" s="197"/>
      <c r="V157" s="199"/>
      <c r="W157" s="197"/>
      <c r="X157" s="199"/>
      <c r="Y157" s="197"/>
      <c r="Z157" s="199"/>
      <c r="AA157" s="199"/>
      <c r="AB157" s="197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199"/>
      <c r="T158" s="199"/>
      <c r="U158" s="197"/>
      <c r="V158" s="199"/>
      <c r="W158" s="197"/>
      <c r="X158" s="199"/>
      <c r="Y158" s="197"/>
      <c r="Z158" s="199"/>
      <c r="AA158" s="199"/>
      <c r="AB158" s="197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199"/>
      <c r="T159" s="199"/>
      <c r="U159" s="197"/>
      <c r="V159" s="199"/>
      <c r="W159" s="197"/>
      <c r="X159" s="199"/>
      <c r="Y159" s="197"/>
      <c r="Z159" s="199"/>
      <c r="AA159" s="199"/>
      <c r="AB159" s="197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199"/>
      <c r="T160" s="199"/>
      <c r="U160" s="197"/>
      <c r="V160" s="199"/>
      <c r="W160" s="197"/>
      <c r="X160" s="199"/>
      <c r="Y160" s="197"/>
      <c r="Z160" s="199"/>
      <c r="AA160" s="199"/>
      <c r="AB160" s="197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199"/>
      <c r="T161" s="199"/>
      <c r="U161" s="197"/>
      <c r="V161" s="199"/>
      <c r="W161" s="197"/>
      <c r="X161" s="199"/>
      <c r="Y161" s="197"/>
      <c r="Z161" s="199"/>
      <c r="AA161" s="199"/>
      <c r="AB161" s="197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199"/>
      <c r="T162" s="199"/>
      <c r="U162" s="197"/>
      <c r="V162" s="199"/>
      <c r="W162" s="197"/>
      <c r="X162" s="199"/>
      <c r="Y162" s="197"/>
      <c r="Z162" s="199"/>
      <c r="AA162" s="199"/>
      <c r="AB162" s="197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199"/>
      <c r="T163" s="199"/>
      <c r="U163" s="197"/>
      <c r="V163" s="199"/>
      <c r="W163" s="197"/>
      <c r="X163" s="199"/>
      <c r="Y163" s="197"/>
      <c r="Z163" s="199"/>
      <c r="AA163" s="199"/>
      <c r="AB163" s="197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199"/>
      <c r="T164" s="199"/>
      <c r="U164" s="197"/>
      <c r="V164" s="199"/>
      <c r="W164" s="197"/>
      <c r="X164" s="199"/>
      <c r="Y164" s="197"/>
      <c r="Z164" s="199"/>
      <c r="AA164" s="199"/>
      <c r="AB164" s="197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199"/>
      <c r="T165" s="199"/>
      <c r="U165" s="197"/>
      <c r="V165" s="199"/>
      <c r="W165" s="197"/>
      <c r="X165" s="199"/>
      <c r="Y165" s="197"/>
      <c r="Z165" s="199"/>
      <c r="AA165" s="199"/>
      <c r="AB165" s="197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199"/>
      <c r="T166" s="199"/>
      <c r="U166" s="197"/>
      <c r="V166" s="199"/>
      <c r="W166" s="197"/>
      <c r="X166" s="199"/>
      <c r="Y166" s="197"/>
      <c r="Z166" s="199"/>
      <c r="AA166" s="199"/>
      <c r="AB166" s="197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199"/>
      <c r="T167" s="199"/>
      <c r="U167" s="197"/>
      <c r="V167" s="199"/>
      <c r="W167" s="197"/>
      <c r="X167" s="199"/>
      <c r="Y167" s="197"/>
      <c r="Z167" s="199"/>
      <c r="AA167" s="199"/>
      <c r="AB167" s="197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199"/>
      <c r="T168" s="199"/>
      <c r="U168" s="197"/>
      <c r="V168" s="199"/>
      <c r="W168" s="197"/>
      <c r="X168" s="199"/>
      <c r="Y168" s="197"/>
      <c r="Z168" s="199"/>
      <c r="AA168" s="199"/>
      <c r="AB168" s="197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199"/>
      <c r="T169" s="199"/>
      <c r="U169" s="197"/>
      <c r="V169" s="199"/>
      <c r="W169" s="197"/>
      <c r="X169" s="199"/>
      <c r="Y169" s="197"/>
      <c r="Z169" s="199"/>
      <c r="AA169" s="199"/>
      <c r="AB169" s="197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199"/>
      <c r="T170" s="199"/>
      <c r="U170" s="197"/>
      <c r="V170" s="199"/>
      <c r="W170" s="197"/>
      <c r="X170" s="199"/>
      <c r="Y170" s="197"/>
      <c r="Z170" s="199"/>
      <c r="AA170" s="199"/>
      <c r="AB170" s="197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199"/>
      <c r="T171" s="199"/>
      <c r="U171" s="197"/>
      <c r="V171" s="199"/>
      <c r="W171" s="197"/>
      <c r="X171" s="199"/>
      <c r="Y171" s="197"/>
      <c r="Z171" s="199"/>
      <c r="AA171" s="199"/>
      <c r="AB171" s="197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199"/>
      <c r="T172" s="199"/>
      <c r="U172" s="197"/>
      <c r="V172" s="199"/>
      <c r="W172" s="197"/>
      <c r="X172" s="199"/>
      <c r="Y172" s="197"/>
      <c r="Z172" s="199"/>
      <c r="AA172" s="199"/>
      <c r="AB172" s="197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199"/>
      <c r="T173" s="199"/>
      <c r="U173" s="197"/>
      <c r="V173" s="199"/>
      <c r="W173" s="197"/>
      <c r="X173" s="199"/>
      <c r="Y173" s="197"/>
      <c r="Z173" s="199"/>
      <c r="AA173" s="199"/>
      <c r="AB173" s="197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199"/>
      <c r="T174" s="199"/>
      <c r="U174" s="197"/>
      <c r="V174" s="199"/>
      <c r="W174" s="197"/>
      <c r="X174" s="199"/>
      <c r="Y174" s="197"/>
      <c r="Z174" s="199"/>
      <c r="AA174" s="199"/>
      <c r="AB174" s="197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199"/>
      <c r="T175" s="199"/>
      <c r="U175" s="197"/>
      <c r="V175" s="199"/>
      <c r="W175" s="197"/>
      <c r="X175" s="199"/>
      <c r="Y175" s="197"/>
      <c r="Z175" s="199"/>
      <c r="AA175" s="199"/>
      <c r="AB175" s="197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199"/>
      <c r="T176" s="199"/>
      <c r="U176" s="197"/>
      <c r="V176" s="199"/>
      <c r="W176" s="197"/>
      <c r="X176" s="199"/>
      <c r="Y176" s="197"/>
      <c r="Z176" s="199"/>
      <c r="AA176" s="199"/>
      <c r="AB176" s="197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199"/>
      <c r="T177" s="199"/>
      <c r="U177" s="197"/>
      <c r="V177" s="199"/>
      <c r="W177" s="197"/>
      <c r="X177" s="199"/>
      <c r="Y177" s="197"/>
      <c r="Z177" s="199"/>
      <c r="AA177" s="199"/>
      <c r="AB177" s="197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199"/>
      <c r="T178" s="199"/>
      <c r="U178" s="197"/>
      <c r="V178" s="199"/>
      <c r="W178" s="197"/>
      <c r="X178" s="199"/>
      <c r="Y178" s="197"/>
      <c r="Z178" s="199"/>
      <c r="AA178" s="199"/>
      <c r="AB178" s="197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199"/>
      <c r="T179" s="199"/>
      <c r="U179" s="197"/>
      <c r="V179" s="199"/>
      <c r="W179" s="197"/>
      <c r="X179" s="199"/>
      <c r="Y179" s="197"/>
      <c r="Z179" s="199"/>
      <c r="AA179" s="199"/>
      <c r="AB179" s="197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199"/>
      <c r="T180" s="199"/>
      <c r="U180" s="197"/>
      <c r="V180" s="199"/>
      <c r="W180" s="197"/>
      <c r="X180" s="199"/>
      <c r="Y180" s="197"/>
      <c r="Z180" s="199"/>
      <c r="AA180" s="199"/>
      <c r="AB180" s="197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199"/>
      <c r="T181" s="199"/>
      <c r="U181" s="197"/>
      <c r="V181" s="199"/>
      <c r="W181" s="197"/>
      <c r="X181" s="199"/>
      <c r="Y181" s="197"/>
      <c r="Z181" s="199"/>
      <c r="AA181" s="199"/>
      <c r="AB181" s="197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199"/>
      <c r="T182" s="199"/>
      <c r="U182" s="197"/>
      <c r="V182" s="199"/>
      <c r="W182" s="197"/>
      <c r="X182" s="199"/>
      <c r="Y182" s="197"/>
      <c r="Z182" s="199"/>
      <c r="AA182" s="199"/>
      <c r="AB182" s="197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199"/>
      <c r="T183" s="199"/>
      <c r="U183" s="197"/>
      <c r="V183" s="199"/>
      <c r="W183" s="197"/>
      <c r="X183" s="199"/>
      <c r="Y183" s="197"/>
      <c r="Z183" s="199"/>
      <c r="AA183" s="199"/>
      <c r="AB183" s="197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199"/>
      <c r="T184" s="199"/>
      <c r="U184" s="197"/>
      <c r="V184" s="199"/>
      <c r="W184" s="197"/>
      <c r="X184" s="199"/>
      <c r="Y184" s="197"/>
      <c r="Z184" s="199"/>
      <c r="AA184" s="199"/>
      <c r="AB184" s="197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199"/>
      <c r="T185" s="199"/>
      <c r="U185" s="197"/>
      <c r="V185" s="199"/>
      <c r="W185" s="197"/>
      <c r="X185" s="199"/>
      <c r="Y185" s="197"/>
      <c r="Z185" s="199"/>
      <c r="AA185" s="199"/>
      <c r="AB185" s="197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199"/>
      <c r="T186" s="199"/>
      <c r="U186" s="197"/>
      <c r="V186" s="199"/>
      <c r="W186" s="197"/>
      <c r="X186" s="199"/>
      <c r="Y186" s="197"/>
      <c r="Z186" s="199"/>
      <c r="AA186" s="199"/>
      <c r="AB186" s="197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199"/>
      <c r="T187" s="199"/>
      <c r="U187" s="197"/>
      <c r="V187" s="199"/>
      <c r="W187" s="197"/>
      <c r="X187" s="199"/>
      <c r="Y187" s="197"/>
      <c r="Z187" s="199"/>
      <c r="AA187" s="199"/>
      <c r="AB187" s="197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199"/>
      <c r="T188" s="199"/>
      <c r="U188" s="197"/>
      <c r="V188" s="199"/>
      <c r="W188" s="197"/>
      <c r="X188" s="199"/>
      <c r="Y188" s="197"/>
      <c r="Z188" s="199"/>
      <c r="AA188" s="199"/>
      <c r="AB188" s="197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199"/>
      <c r="T189" s="199"/>
      <c r="U189" s="197"/>
      <c r="V189" s="199"/>
      <c r="W189" s="197"/>
      <c r="X189" s="199"/>
      <c r="Y189" s="197"/>
      <c r="Z189" s="199"/>
      <c r="AA189" s="199"/>
      <c r="AB189" s="197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199"/>
      <c r="T190" s="199"/>
      <c r="U190" s="197"/>
      <c r="V190" s="199"/>
      <c r="W190" s="197"/>
      <c r="X190" s="199"/>
      <c r="Y190" s="197"/>
      <c r="Z190" s="199"/>
      <c r="AA190" s="199"/>
      <c r="AB190" s="197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199"/>
      <c r="T191" s="199"/>
      <c r="U191" s="197"/>
      <c r="V191" s="199"/>
      <c r="W191" s="197"/>
      <c r="X191" s="199"/>
      <c r="Y191" s="197"/>
      <c r="Z191" s="199"/>
      <c r="AA191" s="199"/>
      <c r="AB191" s="197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199"/>
      <c r="T192" s="199"/>
      <c r="U192" s="197"/>
      <c r="V192" s="199"/>
      <c r="W192" s="197"/>
      <c r="X192" s="199"/>
      <c r="Y192" s="197"/>
      <c r="Z192" s="199"/>
      <c r="AA192" s="199"/>
      <c r="AB192" s="197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199"/>
      <c r="T193" s="199"/>
      <c r="U193" s="197"/>
      <c r="V193" s="199"/>
      <c r="W193" s="197"/>
      <c r="X193" s="199"/>
      <c r="Y193" s="197"/>
      <c r="Z193" s="199"/>
      <c r="AA193" s="199"/>
      <c r="AB193" s="197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199"/>
      <c r="T194" s="199"/>
      <c r="U194" s="197"/>
      <c r="V194" s="199"/>
      <c r="W194" s="197"/>
      <c r="X194" s="199"/>
      <c r="Y194" s="197"/>
      <c r="Z194" s="199"/>
      <c r="AA194" s="199"/>
      <c r="AB194" s="197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199"/>
      <c r="T195" s="199"/>
      <c r="U195" s="197"/>
      <c r="V195" s="199"/>
      <c r="W195" s="197"/>
      <c r="X195" s="199"/>
      <c r="Y195" s="197"/>
      <c r="Z195" s="199"/>
      <c r="AA195" s="199"/>
      <c r="AB195" s="197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199"/>
      <c r="T196" s="199"/>
      <c r="U196" s="197"/>
      <c r="V196" s="199"/>
      <c r="W196" s="197"/>
      <c r="X196" s="199"/>
      <c r="Y196" s="197"/>
      <c r="Z196" s="199"/>
      <c r="AA196" s="199"/>
      <c r="AB196" s="197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199"/>
      <c r="T197" s="199"/>
      <c r="U197" s="197"/>
      <c r="V197" s="199"/>
      <c r="W197" s="197"/>
      <c r="X197" s="199"/>
      <c r="Y197" s="197"/>
      <c r="Z197" s="199"/>
      <c r="AA197" s="199"/>
      <c r="AB197" s="197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199"/>
      <c r="T198" s="199"/>
      <c r="U198" s="197"/>
      <c r="V198" s="199"/>
      <c r="W198" s="197"/>
      <c r="X198" s="199"/>
      <c r="Y198" s="197"/>
      <c r="Z198" s="199"/>
      <c r="AA198" s="199"/>
      <c r="AB198" s="197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199"/>
      <c r="T199" s="199"/>
      <c r="U199" s="197"/>
      <c r="V199" s="199"/>
      <c r="W199" s="197"/>
      <c r="X199" s="199"/>
      <c r="Y199" s="197"/>
      <c r="Z199" s="199"/>
      <c r="AA199" s="199"/>
      <c r="AB199" s="197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199"/>
      <c r="T200" s="199"/>
      <c r="U200" s="197"/>
      <c r="V200" s="199"/>
      <c r="W200" s="197"/>
      <c r="X200" s="199"/>
      <c r="Y200" s="197"/>
      <c r="Z200" s="199"/>
      <c r="AA200" s="199"/>
      <c r="AB200" s="197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199"/>
      <c r="T201" s="199"/>
      <c r="U201" s="197"/>
      <c r="V201" s="199"/>
      <c r="W201" s="197"/>
      <c r="X201" s="199"/>
      <c r="Y201" s="197"/>
      <c r="Z201" s="199"/>
      <c r="AA201" s="199"/>
      <c r="AB201" s="197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199"/>
      <c r="T202" s="199"/>
      <c r="U202" s="197"/>
      <c r="V202" s="199"/>
      <c r="W202" s="197"/>
      <c r="X202" s="199"/>
      <c r="Y202" s="197"/>
      <c r="Z202" s="199"/>
      <c r="AA202" s="199"/>
      <c r="AB202" s="197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199"/>
      <c r="T203" s="199"/>
      <c r="U203" s="197"/>
      <c r="V203" s="199"/>
      <c r="W203" s="197"/>
      <c r="X203" s="199"/>
      <c r="Y203" s="197"/>
      <c r="Z203" s="199"/>
      <c r="AA203" s="199"/>
      <c r="AB203" s="197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199"/>
      <c r="T204" s="199"/>
      <c r="U204" s="197"/>
      <c r="V204" s="199"/>
      <c r="W204" s="197"/>
      <c r="X204" s="199"/>
      <c r="Y204" s="197"/>
      <c r="Z204" s="199"/>
      <c r="AA204" s="199"/>
      <c r="AB204" s="197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199"/>
      <c r="T205" s="199"/>
      <c r="U205" s="197"/>
      <c r="V205" s="199"/>
      <c r="W205" s="197"/>
      <c r="X205" s="199"/>
      <c r="Y205" s="197"/>
      <c r="Z205" s="199"/>
      <c r="AA205" s="199"/>
      <c r="AB205" s="197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199"/>
      <c r="T206" s="199"/>
      <c r="U206" s="197"/>
      <c r="V206" s="199"/>
      <c r="W206" s="197"/>
      <c r="X206" s="199"/>
      <c r="Y206" s="197"/>
      <c r="Z206" s="199"/>
      <c r="AA206" s="199"/>
      <c r="AB206" s="197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199"/>
      <c r="T207" s="199"/>
      <c r="U207" s="197"/>
      <c r="V207" s="199"/>
      <c r="W207" s="197"/>
      <c r="X207" s="199"/>
      <c r="Y207" s="197"/>
      <c r="Z207" s="199"/>
      <c r="AA207" s="199"/>
      <c r="AB207" s="197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199"/>
      <c r="T208" s="199"/>
      <c r="U208" s="197"/>
      <c r="V208" s="199"/>
      <c r="W208" s="197"/>
      <c r="X208" s="199"/>
      <c r="Y208" s="197"/>
      <c r="Z208" s="199"/>
      <c r="AA208" s="199"/>
      <c r="AB208" s="197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199"/>
      <c r="T209" s="199"/>
      <c r="U209" s="197"/>
      <c r="V209" s="199"/>
      <c r="W209" s="197"/>
      <c r="X209" s="199"/>
      <c r="Y209" s="197"/>
      <c r="Z209" s="199"/>
      <c r="AA209" s="199"/>
      <c r="AB209" s="197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199"/>
      <c r="T210" s="199"/>
      <c r="U210" s="197"/>
      <c r="V210" s="199"/>
      <c r="W210" s="197"/>
      <c r="X210" s="199"/>
      <c r="Y210" s="197"/>
      <c r="Z210" s="199"/>
      <c r="AA210" s="199"/>
      <c r="AB210" s="197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199"/>
      <c r="T211" s="199"/>
      <c r="U211" s="197"/>
      <c r="V211" s="199"/>
      <c r="W211" s="197"/>
      <c r="X211" s="199"/>
      <c r="Y211" s="197"/>
      <c r="Z211" s="199"/>
      <c r="AA211" s="199"/>
      <c r="AB211" s="197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199"/>
      <c r="T212" s="199"/>
      <c r="U212" s="197"/>
      <c r="V212" s="199"/>
      <c r="W212" s="197"/>
      <c r="X212" s="199"/>
      <c r="Y212" s="197"/>
      <c r="Z212" s="199"/>
      <c r="AA212" s="199"/>
      <c r="AB212" s="197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199"/>
      <c r="T213" s="199"/>
      <c r="U213" s="197"/>
      <c r="V213" s="199"/>
      <c r="W213" s="197"/>
      <c r="X213" s="199"/>
      <c r="Y213" s="197"/>
      <c r="Z213" s="199"/>
      <c r="AA213" s="199"/>
      <c r="AB213" s="197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199"/>
      <c r="T214" s="199"/>
      <c r="U214" s="197"/>
      <c r="V214" s="199"/>
      <c r="W214" s="197"/>
      <c r="X214" s="199"/>
      <c r="Y214" s="197"/>
      <c r="Z214" s="199"/>
      <c r="AA214" s="199"/>
      <c r="AB214" s="197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199"/>
      <c r="T215" s="199"/>
      <c r="U215" s="197"/>
      <c r="V215" s="199"/>
      <c r="W215" s="197"/>
      <c r="X215" s="199"/>
      <c r="Y215" s="197"/>
      <c r="Z215" s="199"/>
      <c r="AA215" s="199"/>
      <c r="AB215" s="197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199"/>
      <c r="T216" s="199"/>
      <c r="U216" s="197"/>
      <c r="V216" s="199"/>
      <c r="W216" s="197"/>
      <c r="X216" s="199"/>
      <c r="Y216" s="197"/>
      <c r="Z216" s="199"/>
      <c r="AA216" s="199"/>
      <c r="AB216" s="197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199"/>
      <c r="T217" s="199"/>
      <c r="U217" s="197"/>
      <c r="V217" s="199"/>
      <c r="W217" s="197"/>
      <c r="X217" s="199"/>
      <c r="Y217" s="197"/>
      <c r="Z217" s="199"/>
      <c r="AA217" s="199"/>
      <c r="AB217" s="197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199"/>
      <c r="T218" s="199"/>
      <c r="U218" s="197"/>
      <c r="V218" s="199"/>
      <c r="W218" s="197"/>
      <c r="X218" s="199"/>
      <c r="Y218" s="197"/>
      <c r="Z218" s="199"/>
      <c r="AA218" s="199"/>
      <c r="AB218" s="197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199"/>
      <c r="T219" s="199"/>
      <c r="U219" s="197"/>
      <c r="V219" s="199"/>
      <c r="W219" s="197"/>
      <c r="X219" s="199"/>
      <c r="Y219" s="197"/>
      <c r="Z219" s="199"/>
      <c r="AA219" s="199"/>
      <c r="AB219" s="197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199"/>
      <c r="T220" s="199"/>
      <c r="U220" s="197"/>
      <c r="V220" s="199"/>
      <c r="W220" s="197"/>
      <c r="X220" s="199"/>
      <c r="Y220" s="197"/>
      <c r="Z220" s="199"/>
      <c r="AA220" s="199"/>
      <c r="AB220" s="197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199"/>
      <c r="T221" s="199"/>
      <c r="U221" s="197"/>
      <c r="V221" s="199"/>
      <c r="W221" s="197"/>
      <c r="X221" s="199"/>
      <c r="Y221" s="197"/>
      <c r="Z221" s="199"/>
      <c r="AA221" s="199"/>
      <c r="AB221" s="197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199"/>
      <c r="T222" s="199"/>
      <c r="U222" s="197"/>
      <c r="V222" s="199"/>
      <c r="W222" s="197"/>
      <c r="X222" s="199"/>
      <c r="Y222" s="197"/>
      <c r="Z222" s="199"/>
      <c r="AA222" s="199"/>
      <c r="AB222" s="197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199"/>
      <c r="T223" s="199"/>
      <c r="U223" s="197"/>
      <c r="V223" s="199"/>
      <c r="W223" s="197"/>
      <c r="X223" s="199"/>
      <c r="Y223" s="197"/>
      <c r="Z223" s="199"/>
      <c r="AA223" s="199"/>
      <c r="AB223" s="197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199"/>
      <c r="T224" s="199"/>
      <c r="U224" s="197"/>
      <c r="V224" s="199"/>
      <c r="W224" s="197"/>
      <c r="X224" s="199"/>
      <c r="Y224" s="197"/>
      <c r="Z224" s="199"/>
      <c r="AA224" s="199"/>
      <c r="AB224" s="197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199"/>
      <c r="T225" s="199"/>
      <c r="U225" s="197"/>
      <c r="V225" s="199"/>
      <c r="W225" s="197"/>
      <c r="X225" s="199"/>
      <c r="Y225" s="197"/>
      <c r="Z225" s="199"/>
      <c r="AA225" s="199"/>
      <c r="AB225" s="197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199"/>
      <c r="T226" s="199"/>
      <c r="U226" s="197"/>
      <c r="V226" s="199"/>
      <c r="W226" s="197"/>
      <c r="X226" s="199"/>
      <c r="Y226" s="197"/>
      <c r="Z226" s="199"/>
      <c r="AA226" s="199"/>
      <c r="AB226" s="197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199"/>
      <c r="T227" s="199"/>
      <c r="U227" s="197"/>
      <c r="V227" s="199"/>
      <c r="W227" s="197"/>
      <c r="X227" s="199"/>
      <c r="Y227" s="197"/>
      <c r="Z227" s="199"/>
      <c r="AA227" s="199"/>
      <c r="AB227" s="197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199"/>
      <c r="T228" s="199"/>
      <c r="U228" s="197"/>
      <c r="V228" s="199"/>
      <c r="W228" s="197"/>
      <c r="X228" s="199"/>
      <c r="Y228" s="197"/>
      <c r="Z228" s="199"/>
      <c r="AA228" s="199"/>
      <c r="AB228" s="197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199"/>
      <c r="T229" s="199"/>
      <c r="U229" s="197"/>
      <c r="V229" s="199"/>
      <c r="W229" s="197"/>
      <c r="X229" s="199"/>
      <c r="Y229" s="197"/>
      <c r="Z229" s="199"/>
      <c r="AA229" s="199"/>
      <c r="AB229" s="197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199"/>
      <c r="T230" s="199"/>
      <c r="U230" s="197"/>
      <c r="V230" s="199"/>
      <c r="W230" s="197"/>
      <c r="X230" s="199"/>
      <c r="Y230" s="197"/>
      <c r="Z230" s="199"/>
      <c r="AA230" s="199"/>
      <c r="AB230" s="197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199"/>
      <c r="T231" s="199"/>
      <c r="U231" s="197"/>
      <c r="V231" s="199"/>
      <c r="W231" s="197"/>
      <c r="X231" s="199"/>
      <c r="Y231" s="197"/>
      <c r="Z231" s="199"/>
      <c r="AA231" s="199"/>
      <c r="AB231" s="197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199"/>
      <c r="T232" s="199"/>
      <c r="U232" s="197"/>
      <c r="V232" s="199"/>
      <c r="W232" s="197"/>
      <c r="X232" s="199"/>
      <c r="Y232" s="197"/>
      <c r="Z232" s="199"/>
      <c r="AA232" s="199"/>
      <c r="AB232" s="197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199"/>
      <c r="T233" s="199"/>
      <c r="U233" s="197"/>
      <c r="V233" s="199"/>
      <c r="W233" s="197"/>
      <c r="X233" s="199"/>
      <c r="Y233" s="197"/>
      <c r="Z233" s="199"/>
      <c r="AA233" s="199"/>
      <c r="AB233" s="197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199"/>
      <c r="T234" s="199"/>
      <c r="U234" s="197"/>
      <c r="V234" s="199"/>
      <c r="W234" s="197"/>
      <c r="X234" s="199"/>
      <c r="Y234" s="197"/>
      <c r="Z234" s="199"/>
      <c r="AA234" s="199"/>
      <c r="AB234" s="197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199"/>
      <c r="T235" s="199"/>
      <c r="U235" s="197"/>
      <c r="V235" s="199"/>
      <c r="W235" s="197"/>
      <c r="X235" s="199"/>
      <c r="Y235" s="197"/>
      <c r="Z235" s="199"/>
      <c r="AA235" s="199"/>
      <c r="AB235" s="197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199"/>
      <c r="T236" s="199"/>
      <c r="U236" s="197"/>
      <c r="V236" s="199"/>
      <c r="W236" s="197"/>
      <c r="X236" s="199"/>
      <c r="Y236" s="197"/>
      <c r="Z236" s="199"/>
      <c r="AA236" s="199"/>
      <c r="AB236" s="197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199"/>
      <c r="T237" s="199"/>
      <c r="U237" s="197"/>
      <c r="V237" s="199"/>
      <c r="W237" s="197"/>
      <c r="X237" s="199"/>
      <c r="Y237" s="197"/>
      <c r="Z237" s="199"/>
      <c r="AA237" s="199"/>
      <c r="AB237" s="197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199"/>
      <c r="T238" s="199"/>
      <c r="U238" s="197"/>
      <c r="V238" s="199"/>
      <c r="W238" s="197"/>
      <c r="X238" s="199"/>
      <c r="Y238" s="197"/>
      <c r="Z238" s="199"/>
      <c r="AA238" s="199"/>
      <c r="AB238" s="197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199"/>
      <c r="T239" s="199"/>
      <c r="U239" s="197"/>
      <c r="V239" s="199"/>
      <c r="W239" s="197"/>
      <c r="X239" s="199"/>
      <c r="Y239" s="197"/>
      <c r="Z239" s="199"/>
      <c r="AA239" s="199"/>
      <c r="AB239" s="197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199"/>
      <c r="T240" s="199"/>
      <c r="U240" s="197"/>
      <c r="V240" s="199"/>
      <c r="W240" s="197"/>
      <c r="X240" s="199"/>
      <c r="Y240" s="197"/>
      <c r="Z240" s="199"/>
      <c r="AA240" s="199"/>
      <c r="AB240" s="197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199"/>
      <c r="T241" s="199"/>
      <c r="U241" s="197"/>
      <c r="V241" s="199"/>
      <c r="W241" s="197"/>
      <c r="X241" s="199"/>
      <c r="Y241" s="197"/>
      <c r="Z241" s="199"/>
      <c r="AA241" s="199"/>
      <c r="AB241" s="197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199"/>
      <c r="T242" s="199"/>
      <c r="U242" s="197"/>
      <c r="V242" s="199"/>
      <c r="W242" s="197"/>
      <c r="X242" s="199"/>
      <c r="Y242" s="197"/>
      <c r="Z242" s="199"/>
      <c r="AA242" s="199"/>
      <c r="AB242" s="197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199"/>
      <c r="T243" s="199"/>
      <c r="U243" s="197"/>
      <c r="V243" s="199"/>
      <c r="W243" s="197"/>
      <c r="X243" s="199"/>
      <c r="Y243" s="197"/>
      <c r="Z243" s="199"/>
      <c r="AA243" s="199"/>
      <c r="AB243" s="197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199"/>
      <c r="T244" s="199"/>
      <c r="U244" s="197"/>
      <c r="V244" s="199"/>
      <c r="W244" s="197"/>
      <c r="X244" s="199"/>
      <c r="Y244" s="197"/>
      <c r="Z244" s="199"/>
      <c r="AA244" s="199"/>
      <c r="AB244" s="197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199"/>
      <c r="T245" s="199"/>
      <c r="U245" s="197"/>
      <c r="V245" s="199"/>
      <c r="W245" s="197"/>
      <c r="X245" s="199"/>
      <c r="Y245" s="197"/>
      <c r="Z245" s="199"/>
      <c r="AA245" s="199"/>
      <c r="AB245" s="197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199"/>
      <c r="T246" s="199"/>
      <c r="U246" s="197"/>
      <c r="V246" s="199"/>
      <c r="W246" s="197"/>
      <c r="X246" s="199"/>
      <c r="Y246" s="197"/>
      <c r="Z246" s="199"/>
      <c r="AA246" s="199"/>
      <c r="AB246" s="197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199"/>
      <c r="T247" s="199"/>
      <c r="U247" s="197"/>
      <c r="V247" s="199"/>
      <c r="W247" s="197"/>
      <c r="X247" s="199"/>
      <c r="Y247" s="197"/>
      <c r="Z247" s="199"/>
      <c r="AA247" s="199"/>
      <c r="AB247" s="197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199"/>
      <c r="T248" s="199"/>
      <c r="U248" s="197"/>
      <c r="V248" s="199"/>
      <c r="W248" s="197"/>
      <c r="X248" s="199"/>
      <c r="Y248" s="197"/>
      <c r="Z248" s="199"/>
      <c r="AA248" s="199"/>
      <c r="AB248" s="197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199"/>
      <c r="T249" s="199"/>
      <c r="U249" s="197"/>
      <c r="V249" s="199"/>
      <c r="W249" s="197"/>
      <c r="X249" s="199"/>
      <c r="Y249" s="197"/>
      <c r="Z249" s="199"/>
      <c r="AA249" s="199"/>
      <c r="AB249" s="197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199"/>
      <c r="T250" s="199"/>
      <c r="U250" s="197"/>
      <c r="V250" s="199"/>
      <c r="W250" s="197"/>
      <c r="X250" s="199"/>
      <c r="Y250" s="197"/>
      <c r="Z250" s="199"/>
      <c r="AA250" s="199"/>
      <c r="AB250" s="197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199"/>
      <c r="T251" s="199"/>
      <c r="U251" s="197"/>
      <c r="V251" s="199"/>
      <c r="W251" s="197"/>
      <c r="X251" s="199"/>
      <c r="Y251" s="197"/>
      <c r="Z251" s="199"/>
      <c r="AA251" s="199"/>
      <c r="AB251" s="197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199"/>
      <c r="T252" s="199"/>
      <c r="U252" s="197"/>
      <c r="V252" s="199"/>
      <c r="W252" s="197"/>
      <c r="X252" s="199"/>
      <c r="Y252" s="197"/>
      <c r="Z252" s="199"/>
      <c r="AA252" s="199"/>
      <c r="AB252" s="197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199"/>
      <c r="T253" s="199"/>
      <c r="U253" s="197"/>
      <c r="V253" s="199"/>
      <c r="W253" s="197"/>
      <c r="X253" s="199"/>
      <c r="Y253" s="197"/>
      <c r="Z253" s="199"/>
      <c r="AA253" s="199"/>
      <c r="AB253" s="197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199"/>
      <c r="T254" s="199"/>
      <c r="U254" s="197"/>
      <c r="V254" s="199"/>
      <c r="W254" s="197"/>
      <c r="X254" s="199"/>
      <c r="Y254" s="197"/>
      <c r="Z254" s="199"/>
      <c r="AA254" s="199"/>
      <c r="AB254" s="197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199"/>
      <c r="T255" s="199"/>
      <c r="U255" s="197"/>
      <c r="V255" s="199"/>
      <c r="W255" s="197"/>
      <c r="X255" s="199"/>
      <c r="Y255" s="197"/>
      <c r="Z255" s="199"/>
      <c r="AA255" s="199"/>
      <c r="AB255" s="197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199"/>
      <c r="T256" s="199"/>
      <c r="U256" s="197"/>
      <c r="V256" s="199"/>
      <c r="W256" s="197"/>
      <c r="X256" s="199"/>
      <c r="Y256" s="197"/>
      <c r="Z256" s="199"/>
      <c r="AA256" s="199"/>
      <c r="AB256" s="197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199"/>
      <c r="T257" s="199"/>
      <c r="U257" s="197"/>
      <c r="V257" s="199"/>
      <c r="W257" s="197"/>
      <c r="X257" s="199"/>
      <c r="Y257" s="197"/>
      <c r="Z257" s="199"/>
      <c r="AA257" s="199"/>
      <c r="AB257" s="197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199"/>
      <c r="T258" s="199"/>
      <c r="U258" s="197"/>
      <c r="V258" s="199"/>
      <c r="W258" s="197"/>
      <c r="X258" s="199"/>
      <c r="Y258" s="197"/>
      <c r="Z258" s="199"/>
      <c r="AA258" s="199"/>
      <c r="AB258" s="197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199"/>
      <c r="T259" s="199"/>
      <c r="U259" s="197"/>
      <c r="V259" s="199"/>
      <c r="W259" s="197"/>
      <c r="X259" s="199"/>
      <c r="Y259" s="197"/>
      <c r="Z259" s="199"/>
      <c r="AA259" s="199"/>
      <c r="AB259" s="197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199"/>
      <c r="T260" s="199"/>
      <c r="U260" s="197"/>
      <c r="V260" s="199"/>
      <c r="W260" s="197"/>
      <c r="X260" s="199"/>
      <c r="Y260" s="197"/>
      <c r="Z260" s="199"/>
      <c r="AA260" s="199"/>
      <c r="AB260" s="197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199"/>
      <c r="T261" s="199"/>
      <c r="U261" s="197"/>
      <c r="V261" s="199"/>
      <c r="W261" s="197"/>
      <c r="X261" s="199"/>
      <c r="Y261" s="197"/>
      <c r="Z261" s="199"/>
      <c r="AA261" s="199"/>
      <c r="AB261" s="197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199"/>
      <c r="T262" s="199"/>
      <c r="U262" s="197"/>
      <c r="V262" s="199"/>
      <c r="W262" s="197"/>
      <c r="X262" s="199"/>
      <c r="Y262" s="197"/>
      <c r="Z262" s="199"/>
      <c r="AA262" s="199"/>
      <c r="AB262" s="197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199"/>
      <c r="T263" s="199"/>
      <c r="U263" s="197"/>
      <c r="V263" s="199"/>
      <c r="W263" s="197"/>
      <c r="X263" s="199"/>
      <c r="Y263" s="197"/>
      <c r="Z263" s="199"/>
      <c r="AA263" s="199"/>
      <c r="AB263" s="197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199"/>
      <c r="T264" s="199"/>
      <c r="U264" s="197"/>
      <c r="V264" s="199"/>
      <c r="W264" s="197"/>
      <c r="X264" s="199"/>
      <c r="Y264" s="197"/>
      <c r="Z264" s="199"/>
      <c r="AA264" s="199"/>
      <c r="AB264" s="197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199"/>
      <c r="T265" s="199"/>
      <c r="U265" s="197"/>
      <c r="V265" s="199"/>
      <c r="W265" s="197"/>
      <c r="X265" s="199"/>
      <c r="Y265" s="197"/>
      <c r="Z265" s="199"/>
      <c r="AA265" s="199"/>
      <c r="AB265" s="197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199"/>
      <c r="T266" s="199"/>
      <c r="U266" s="197"/>
      <c r="V266" s="199"/>
      <c r="W266" s="197"/>
      <c r="X266" s="199"/>
      <c r="Y266" s="197"/>
      <c r="Z266" s="199"/>
      <c r="AA266" s="199"/>
      <c r="AB266" s="197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199"/>
      <c r="T267" s="199"/>
      <c r="U267" s="197"/>
      <c r="V267" s="199"/>
      <c r="W267" s="197"/>
      <c r="X267" s="199"/>
      <c r="Y267" s="197"/>
      <c r="Z267" s="199"/>
      <c r="AA267" s="199"/>
      <c r="AB267" s="197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199"/>
      <c r="T268" s="199"/>
      <c r="U268" s="197"/>
      <c r="V268" s="199"/>
      <c r="W268" s="197"/>
      <c r="X268" s="199"/>
      <c r="Y268" s="197"/>
      <c r="Z268" s="199"/>
      <c r="AA268" s="199"/>
      <c r="AB268" s="197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199"/>
      <c r="T269" s="199"/>
      <c r="U269" s="197"/>
      <c r="V269" s="199"/>
      <c r="W269" s="197"/>
      <c r="X269" s="199"/>
      <c r="Y269" s="197"/>
      <c r="Z269" s="199"/>
      <c r="AA269" s="199"/>
      <c r="AB269" s="197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199"/>
      <c r="T270" s="199"/>
      <c r="U270" s="197"/>
      <c r="V270" s="199"/>
      <c r="W270" s="197"/>
      <c r="X270" s="199"/>
      <c r="Y270" s="197"/>
      <c r="Z270" s="199"/>
      <c r="AA270" s="199"/>
      <c r="AB270" s="197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199"/>
      <c r="T271" s="199"/>
      <c r="U271" s="197"/>
      <c r="V271" s="199"/>
      <c r="W271" s="197"/>
      <c r="X271" s="199"/>
      <c r="Y271" s="197"/>
      <c r="Z271" s="199"/>
      <c r="AA271" s="199"/>
      <c r="AB271" s="197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199"/>
      <c r="T272" s="199"/>
      <c r="U272" s="197"/>
      <c r="V272" s="199"/>
      <c r="W272" s="197"/>
      <c r="X272" s="199"/>
      <c r="Y272" s="197"/>
      <c r="Z272" s="199"/>
      <c r="AA272" s="199"/>
      <c r="AB272" s="197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199"/>
      <c r="T273" s="199"/>
      <c r="U273" s="197"/>
      <c r="V273" s="199"/>
      <c r="W273" s="197"/>
      <c r="X273" s="199"/>
      <c r="Y273" s="197"/>
      <c r="Z273" s="199"/>
      <c r="AA273" s="199"/>
      <c r="AB273" s="197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199"/>
      <c r="T274" s="199"/>
      <c r="U274" s="197"/>
      <c r="V274" s="199"/>
      <c r="W274" s="197"/>
      <c r="X274" s="199"/>
      <c r="Y274" s="197"/>
      <c r="Z274" s="199"/>
      <c r="AA274" s="199"/>
      <c r="AB274" s="197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199"/>
      <c r="T275" s="199"/>
      <c r="U275" s="197"/>
      <c r="V275" s="199"/>
      <c r="W275" s="197"/>
      <c r="X275" s="199"/>
      <c r="Y275" s="197"/>
      <c r="Z275" s="199"/>
      <c r="AA275" s="199"/>
      <c r="AB275" s="197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199"/>
      <c r="T276" s="199"/>
      <c r="U276" s="197"/>
      <c r="V276" s="199"/>
      <c r="W276" s="197"/>
      <c r="X276" s="199"/>
      <c r="Y276" s="197"/>
      <c r="Z276" s="199"/>
      <c r="AA276" s="199"/>
      <c r="AB276" s="197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199"/>
      <c r="T277" s="199"/>
      <c r="U277" s="197"/>
      <c r="V277" s="199"/>
      <c r="W277" s="197"/>
      <c r="X277" s="199"/>
      <c r="Y277" s="197"/>
      <c r="Z277" s="199"/>
      <c r="AA277" s="199"/>
      <c r="AB277" s="197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199"/>
      <c r="T278" s="199"/>
      <c r="U278" s="197"/>
      <c r="V278" s="199"/>
      <c r="W278" s="197"/>
      <c r="X278" s="199"/>
      <c r="Y278" s="197"/>
      <c r="Z278" s="199"/>
      <c r="AA278" s="199"/>
      <c r="AB278" s="197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199"/>
      <c r="T279" s="199"/>
      <c r="U279" s="197"/>
      <c r="V279" s="199"/>
      <c r="W279" s="197"/>
      <c r="X279" s="199"/>
      <c r="Y279" s="197"/>
      <c r="Z279" s="199"/>
      <c r="AA279" s="199"/>
      <c r="AB279" s="197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199"/>
      <c r="T280" s="199"/>
      <c r="U280" s="197"/>
      <c r="V280" s="199"/>
      <c r="W280" s="197"/>
      <c r="X280" s="199"/>
      <c r="Y280" s="197"/>
      <c r="Z280" s="199"/>
      <c r="AA280" s="199"/>
      <c r="AB280" s="197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199"/>
      <c r="T281" s="199"/>
      <c r="U281" s="197"/>
      <c r="V281" s="199"/>
      <c r="W281" s="197"/>
      <c r="X281" s="199"/>
      <c r="Y281" s="197"/>
      <c r="Z281" s="199"/>
      <c r="AA281" s="199"/>
      <c r="AB281" s="197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199"/>
      <c r="T282" s="199"/>
      <c r="U282" s="197"/>
      <c r="V282" s="199"/>
      <c r="W282" s="197"/>
      <c r="X282" s="199"/>
      <c r="Y282" s="197"/>
      <c r="Z282" s="199"/>
      <c r="AA282" s="199"/>
      <c r="AB282" s="197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199"/>
      <c r="T283" s="199"/>
      <c r="U283" s="197"/>
      <c r="V283" s="199"/>
      <c r="W283" s="197"/>
      <c r="X283" s="199"/>
      <c r="Y283" s="197"/>
      <c r="Z283" s="199"/>
      <c r="AA283" s="199"/>
      <c r="AB283" s="197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199"/>
      <c r="T284" s="199"/>
      <c r="U284" s="197"/>
      <c r="V284" s="199"/>
      <c r="W284" s="197"/>
      <c r="X284" s="199"/>
      <c r="Y284" s="197"/>
      <c r="Z284" s="199"/>
      <c r="AA284" s="199"/>
      <c r="AB284" s="197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199"/>
      <c r="T285" s="199"/>
      <c r="U285" s="197"/>
      <c r="V285" s="199"/>
      <c r="W285" s="197"/>
      <c r="X285" s="199"/>
      <c r="Y285" s="197"/>
      <c r="Z285" s="199"/>
      <c r="AA285" s="199"/>
      <c r="AB285" s="197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199"/>
      <c r="T286" s="199"/>
      <c r="U286" s="197"/>
      <c r="V286" s="199"/>
      <c r="W286" s="197"/>
      <c r="X286" s="199"/>
      <c r="Y286" s="197"/>
      <c r="Z286" s="199"/>
      <c r="AA286" s="199"/>
      <c r="AB286" s="197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199"/>
      <c r="T287" s="199"/>
      <c r="U287" s="197"/>
      <c r="V287" s="199"/>
      <c r="W287" s="197"/>
      <c r="X287" s="199"/>
      <c r="Y287" s="197"/>
      <c r="Z287" s="199"/>
      <c r="AA287" s="199"/>
      <c r="AB287" s="197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199"/>
      <c r="T288" s="199"/>
      <c r="U288" s="197"/>
      <c r="V288" s="199"/>
      <c r="W288" s="197"/>
      <c r="X288" s="199"/>
      <c r="Y288" s="197"/>
      <c r="Z288" s="199"/>
      <c r="AA288" s="199"/>
      <c r="AB288" s="197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199"/>
      <c r="T289" s="199"/>
      <c r="U289" s="197"/>
      <c r="V289" s="199"/>
      <c r="W289" s="197"/>
      <c r="X289" s="199"/>
      <c r="Y289" s="197"/>
      <c r="Z289" s="199"/>
      <c r="AA289" s="199"/>
      <c r="AB289" s="197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199"/>
      <c r="T290" s="199"/>
      <c r="U290" s="197"/>
      <c r="V290" s="199"/>
      <c r="W290" s="197"/>
      <c r="X290" s="199"/>
      <c r="Y290" s="197"/>
      <c r="Z290" s="199"/>
      <c r="AA290" s="199"/>
      <c r="AB290" s="197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199"/>
      <c r="T291" s="199"/>
      <c r="U291" s="197"/>
      <c r="V291" s="199"/>
      <c r="W291" s="197"/>
      <c r="X291" s="199"/>
      <c r="Y291" s="197"/>
      <c r="Z291" s="199"/>
      <c r="AA291" s="199"/>
      <c r="AB291" s="197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199"/>
      <c r="T292" s="199"/>
      <c r="U292" s="197"/>
      <c r="V292" s="199"/>
      <c r="W292" s="197"/>
      <c r="X292" s="199"/>
      <c r="Y292" s="197"/>
      <c r="Z292" s="199"/>
      <c r="AA292" s="199"/>
      <c r="AB292" s="197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199"/>
      <c r="T293" s="199"/>
      <c r="U293" s="197"/>
      <c r="V293" s="199"/>
      <c r="W293" s="197"/>
      <c r="X293" s="199"/>
      <c r="Y293" s="197"/>
      <c r="Z293" s="199"/>
      <c r="AA293" s="199"/>
      <c r="AB293" s="197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199"/>
      <c r="T294" s="199"/>
      <c r="U294" s="197"/>
      <c r="V294" s="199"/>
      <c r="W294" s="197"/>
      <c r="X294" s="199"/>
      <c r="Y294" s="197"/>
      <c r="Z294" s="199"/>
      <c r="AA294" s="199"/>
      <c r="AB294" s="197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199"/>
      <c r="T295" s="199"/>
      <c r="U295" s="197"/>
      <c r="V295" s="199"/>
      <c r="W295" s="197"/>
      <c r="X295" s="199"/>
      <c r="Y295" s="197"/>
      <c r="Z295" s="199"/>
      <c r="AA295" s="199"/>
      <c r="AB295" s="197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199"/>
      <c r="T296" s="199"/>
      <c r="U296" s="197"/>
      <c r="V296" s="199"/>
      <c r="W296" s="197"/>
      <c r="X296" s="199"/>
      <c r="Y296" s="197"/>
      <c r="Z296" s="199"/>
      <c r="AA296" s="199"/>
      <c r="AB296" s="197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199"/>
      <c r="T297" s="199"/>
      <c r="U297" s="197"/>
      <c r="V297" s="199"/>
      <c r="W297" s="197"/>
      <c r="X297" s="199"/>
      <c r="Y297" s="197"/>
      <c r="Z297" s="199"/>
      <c r="AA297" s="199"/>
      <c r="AB297" s="197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199"/>
      <c r="T298" s="199"/>
      <c r="U298" s="197"/>
      <c r="V298" s="199"/>
      <c r="W298" s="197"/>
      <c r="X298" s="199"/>
      <c r="Y298" s="197"/>
      <c r="Z298" s="199"/>
      <c r="AA298" s="199"/>
      <c r="AB298" s="197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199"/>
      <c r="T299" s="199"/>
      <c r="U299" s="197"/>
      <c r="V299" s="199"/>
      <c r="W299" s="197"/>
      <c r="X299" s="199"/>
      <c r="Y299" s="197"/>
      <c r="Z299" s="199"/>
      <c r="AA299" s="199"/>
      <c r="AB299" s="197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199"/>
      <c r="T300" s="199"/>
      <c r="U300" s="197"/>
      <c r="V300" s="199"/>
      <c r="W300" s="197"/>
      <c r="X300" s="199"/>
      <c r="Y300" s="197"/>
      <c r="Z300" s="199"/>
      <c r="AA300" s="199"/>
      <c r="AB300" s="197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199"/>
      <c r="T301" s="199"/>
      <c r="U301" s="197"/>
      <c r="V301" s="199"/>
      <c r="W301" s="197"/>
      <c r="X301" s="199"/>
      <c r="Y301" s="197"/>
      <c r="Z301" s="199"/>
      <c r="AA301" s="199"/>
      <c r="AB301" s="197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199"/>
      <c r="T302" s="199"/>
      <c r="U302" s="197"/>
      <c r="V302" s="199"/>
      <c r="W302" s="197"/>
      <c r="X302" s="199"/>
      <c r="Y302" s="197"/>
      <c r="Z302" s="199"/>
      <c r="AA302" s="199"/>
      <c r="AB302" s="197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199"/>
      <c r="T303" s="199"/>
      <c r="U303" s="197"/>
      <c r="V303" s="199"/>
      <c r="W303" s="197"/>
      <c r="X303" s="199"/>
      <c r="Y303" s="197"/>
      <c r="Z303" s="199"/>
      <c r="AA303" s="199"/>
      <c r="AB303" s="197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199"/>
      <c r="T304" s="199"/>
      <c r="U304" s="197"/>
      <c r="V304" s="199"/>
      <c r="W304" s="197"/>
      <c r="X304" s="199"/>
      <c r="Y304" s="197"/>
      <c r="Z304" s="199"/>
      <c r="AA304" s="199"/>
      <c r="AB304" s="197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199"/>
      <c r="T305" s="199"/>
      <c r="U305" s="197"/>
      <c r="V305" s="199"/>
      <c r="W305" s="197"/>
      <c r="X305" s="199"/>
      <c r="Y305" s="197"/>
      <c r="Z305" s="199"/>
      <c r="AA305" s="199"/>
      <c r="AB305" s="197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199"/>
      <c r="T306" s="199"/>
      <c r="U306" s="197"/>
      <c r="V306" s="199"/>
      <c r="W306" s="197"/>
      <c r="X306" s="199"/>
      <c r="Y306" s="197"/>
      <c r="Z306" s="199"/>
      <c r="AA306" s="199"/>
      <c r="AB306" s="197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199"/>
      <c r="T307" s="199"/>
      <c r="U307" s="197"/>
      <c r="V307" s="199"/>
      <c r="W307" s="197"/>
      <c r="X307" s="199"/>
      <c r="Y307" s="197"/>
      <c r="Z307" s="199"/>
      <c r="AA307" s="199"/>
      <c r="AB307" s="197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199"/>
      <c r="T308" s="199"/>
      <c r="U308" s="197"/>
      <c r="V308" s="199"/>
      <c r="W308" s="197"/>
      <c r="X308" s="199"/>
      <c r="Y308" s="197"/>
      <c r="Z308" s="199"/>
      <c r="AA308" s="199"/>
      <c r="AB308" s="197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199"/>
      <c r="T309" s="199"/>
      <c r="U309" s="197"/>
      <c r="V309" s="199"/>
      <c r="W309" s="197"/>
      <c r="X309" s="199"/>
      <c r="Y309" s="197"/>
      <c r="Z309" s="199"/>
      <c r="AA309" s="199"/>
      <c r="AB309" s="197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199"/>
      <c r="T310" s="199"/>
      <c r="U310" s="197"/>
      <c r="V310" s="199"/>
      <c r="W310" s="197"/>
      <c r="X310" s="199"/>
      <c r="Y310" s="197"/>
      <c r="Z310" s="199"/>
      <c r="AA310" s="199"/>
      <c r="AB310" s="197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199"/>
      <c r="T311" s="199"/>
      <c r="U311" s="197"/>
      <c r="V311" s="199"/>
      <c r="W311" s="197"/>
      <c r="X311" s="199"/>
      <c r="Y311" s="197"/>
      <c r="Z311" s="199"/>
      <c r="AA311" s="199"/>
      <c r="AB311" s="197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199"/>
      <c r="T312" s="199"/>
      <c r="U312" s="197"/>
      <c r="V312" s="199"/>
      <c r="W312" s="197"/>
      <c r="X312" s="199"/>
      <c r="Y312" s="197"/>
      <c r="Z312" s="199"/>
      <c r="AA312" s="199"/>
      <c r="AB312" s="197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199"/>
      <c r="T313" s="199"/>
      <c r="U313" s="197"/>
      <c r="V313" s="199"/>
      <c r="W313" s="197"/>
      <c r="X313" s="199"/>
      <c r="Y313" s="197"/>
      <c r="Z313" s="199"/>
      <c r="AA313" s="199"/>
      <c r="AB313" s="197"/>
    </row>
    <row r="314" spans="1:28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99"/>
      <c r="T314" s="199"/>
      <c r="U314" s="197"/>
      <c r="V314" s="199"/>
      <c r="W314" s="197"/>
      <c r="X314" s="199"/>
      <c r="Y314" s="197"/>
      <c r="Z314" s="199"/>
      <c r="AA314" s="199"/>
      <c r="AB314" s="197"/>
    </row>
    <row r="315" spans="1:28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99"/>
      <c r="T315" s="199"/>
      <c r="U315" s="197"/>
      <c r="V315" s="199"/>
      <c r="W315" s="197"/>
      <c r="X315" s="199"/>
      <c r="Y315" s="197"/>
      <c r="Z315" s="199"/>
      <c r="AA315" s="199"/>
      <c r="AB315" s="197"/>
    </row>
    <row r="316" spans="1:28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99"/>
      <c r="T316" s="199"/>
      <c r="U316" s="197"/>
      <c r="V316" s="199"/>
      <c r="W316" s="197"/>
      <c r="X316" s="199"/>
      <c r="Y316" s="197"/>
      <c r="Z316" s="199"/>
      <c r="AA316" s="199"/>
      <c r="AB316" s="197"/>
    </row>
    <row r="317" spans="1:28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99"/>
      <c r="T317" s="199"/>
      <c r="U317" s="197"/>
      <c r="V317" s="199"/>
      <c r="W317" s="197"/>
      <c r="X317" s="199"/>
      <c r="Y317" s="197"/>
      <c r="Z317" s="199"/>
      <c r="AA317" s="199"/>
      <c r="AB317" s="197"/>
    </row>
    <row r="318" spans="1:28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99"/>
      <c r="T318" s="199"/>
      <c r="U318" s="197"/>
      <c r="V318" s="199"/>
      <c r="W318" s="197"/>
      <c r="X318" s="199"/>
      <c r="Y318" s="197"/>
      <c r="Z318" s="199"/>
      <c r="AA318" s="199"/>
      <c r="AB318" s="197"/>
    </row>
    <row r="319" spans="1:28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99"/>
      <c r="T319" s="199"/>
      <c r="U319" s="197"/>
      <c r="V319" s="199"/>
      <c r="W319" s="197"/>
      <c r="X319" s="199"/>
      <c r="Y319" s="197"/>
      <c r="Z319" s="199"/>
      <c r="AA319" s="199"/>
      <c r="AB319" s="197"/>
    </row>
    <row r="320" spans="1:28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99"/>
      <c r="T320" s="199"/>
      <c r="U320" s="197"/>
      <c r="V320" s="199"/>
      <c r="W320" s="197"/>
      <c r="X320" s="199"/>
      <c r="Y320" s="197"/>
      <c r="Z320" s="199"/>
      <c r="AA320" s="199"/>
      <c r="AB320" s="197"/>
    </row>
    <row r="321" spans="1:28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99"/>
      <c r="T321" s="199"/>
      <c r="U321" s="197"/>
      <c r="V321" s="199"/>
      <c r="W321" s="197"/>
      <c r="X321" s="199"/>
      <c r="Y321" s="197"/>
      <c r="Z321" s="199"/>
      <c r="AA321" s="199"/>
      <c r="AB321" s="197"/>
    </row>
    <row r="322" spans="1:28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99"/>
      <c r="T322" s="199"/>
      <c r="U322" s="197"/>
      <c r="V322" s="199"/>
      <c r="W322" s="197"/>
      <c r="X322" s="199"/>
      <c r="Y322" s="197"/>
      <c r="Z322" s="199"/>
      <c r="AA322" s="199"/>
      <c r="AB322" s="197"/>
    </row>
    <row r="323" spans="1:28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99"/>
      <c r="T323" s="199"/>
      <c r="U323" s="197"/>
      <c r="V323" s="199"/>
      <c r="W323" s="197"/>
      <c r="X323" s="199"/>
      <c r="Y323" s="197"/>
      <c r="Z323" s="199"/>
      <c r="AA323" s="199"/>
      <c r="AB323" s="197"/>
    </row>
    <row r="324" spans="1:28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99"/>
      <c r="T324" s="199"/>
      <c r="U324" s="197"/>
      <c r="V324" s="199"/>
      <c r="W324" s="197"/>
      <c r="X324" s="199"/>
      <c r="Y324" s="197"/>
      <c r="Z324" s="199"/>
      <c r="AA324" s="199"/>
      <c r="AB324" s="197"/>
    </row>
    <row r="325" spans="1:28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99"/>
      <c r="T325" s="199"/>
      <c r="U325" s="197"/>
      <c r="V325" s="199"/>
      <c r="W325" s="197"/>
      <c r="X325" s="199"/>
      <c r="Y325" s="197"/>
      <c r="Z325" s="199"/>
      <c r="AA325" s="199"/>
      <c r="AB325" s="197"/>
    </row>
    <row r="326" spans="1:28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99"/>
      <c r="T326" s="199"/>
      <c r="U326" s="197"/>
      <c r="V326" s="199"/>
      <c r="W326" s="197"/>
      <c r="X326" s="199"/>
      <c r="Y326" s="197"/>
      <c r="Z326" s="199"/>
      <c r="AA326" s="199"/>
      <c r="AB326" s="197"/>
    </row>
    <row r="327" spans="1:28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99"/>
      <c r="T327" s="199"/>
      <c r="U327" s="197"/>
      <c r="V327" s="199"/>
      <c r="W327" s="197"/>
      <c r="X327" s="199"/>
      <c r="Y327" s="197"/>
      <c r="Z327" s="199"/>
      <c r="AA327" s="199"/>
      <c r="AB327" s="197"/>
    </row>
    <row r="328" spans="1:28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99"/>
      <c r="T328" s="199"/>
      <c r="U328" s="197"/>
      <c r="V328" s="199"/>
      <c r="W328" s="197"/>
      <c r="X328" s="199"/>
      <c r="Y328" s="197"/>
      <c r="Z328" s="199"/>
      <c r="AA328" s="199"/>
      <c r="AB328" s="197"/>
    </row>
    <row r="329" spans="1:28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99"/>
      <c r="T329" s="199"/>
      <c r="U329" s="197"/>
      <c r="V329" s="199"/>
      <c r="W329" s="197"/>
      <c r="X329" s="199"/>
      <c r="Y329" s="197"/>
      <c r="Z329" s="199"/>
      <c r="AA329" s="199"/>
      <c r="AB329" s="197"/>
    </row>
    <row r="330" spans="1:28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99"/>
      <c r="T330" s="199"/>
      <c r="U330" s="197"/>
      <c r="V330" s="199"/>
      <c r="W330" s="197"/>
      <c r="X330" s="199"/>
      <c r="Y330" s="197"/>
      <c r="Z330" s="199"/>
      <c r="AA330" s="199"/>
      <c r="AB330" s="197"/>
    </row>
    <row r="331" spans="1:28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99"/>
      <c r="T331" s="199"/>
      <c r="U331" s="197"/>
      <c r="V331" s="199"/>
      <c r="W331" s="197"/>
      <c r="X331" s="199"/>
      <c r="Y331" s="197"/>
      <c r="Z331" s="199"/>
      <c r="AA331" s="199"/>
      <c r="AB331" s="197"/>
    </row>
    <row r="332" spans="1:28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99"/>
      <c r="T332" s="199"/>
      <c r="U332" s="197"/>
      <c r="V332" s="199"/>
      <c r="W332" s="197"/>
      <c r="X332" s="199"/>
      <c r="Y332" s="197"/>
      <c r="Z332" s="199"/>
      <c r="AA332" s="199"/>
      <c r="AB332" s="197"/>
    </row>
    <row r="333" spans="1:28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99"/>
      <c r="T333" s="199"/>
      <c r="U333" s="197"/>
      <c r="V333" s="199"/>
      <c r="W333" s="197"/>
      <c r="X333" s="199"/>
      <c r="Y333" s="197"/>
      <c r="Z333" s="199"/>
      <c r="AA333" s="199"/>
      <c r="AB333" s="197"/>
    </row>
    <row r="334" spans="1:28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99"/>
      <c r="T334" s="199"/>
      <c r="U334" s="197"/>
      <c r="V334" s="199"/>
      <c r="W334" s="197"/>
      <c r="X334" s="199"/>
      <c r="Y334" s="197"/>
      <c r="Z334" s="199"/>
      <c r="AA334" s="199"/>
      <c r="AB334" s="197"/>
    </row>
    <row r="335" spans="1:28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99"/>
      <c r="T335" s="199"/>
      <c r="U335" s="197"/>
      <c r="V335" s="199"/>
      <c r="W335" s="197"/>
      <c r="X335" s="199"/>
      <c r="Y335" s="197"/>
      <c r="Z335" s="199"/>
      <c r="AA335" s="199"/>
      <c r="AB335" s="197"/>
    </row>
    <row r="336" spans="1:28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99"/>
      <c r="T336" s="199"/>
      <c r="U336" s="197"/>
      <c r="V336" s="199"/>
      <c r="W336" s="197"/>
      <c r="X336" s="199"/>
      <c r="Y336" s="197"/>
      <c r="Z336" s="199"/>
      <c r="AA336" s="199"/>
      <c r="AB336" s="197"/>
    </row>
    <row r="337" spans="1:28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99"/>
      <c r="T337" s="199"/>
      <c r="U337" s="197"/>
      <c r="V337" s="199"/>
      <c r="W337" s="197"/>
      <c r="X337" s="199"/>
      <c r="Y337" s="197"/>
      <c r="Z337" s="199"/>
      <c r="AA337" s="199"/>
      <c r="AB337" s="197"/>
    </row>
    <row r="338" spans="1:28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99"/>
      <c r="T338" s="199"/>
      <c r="U338" s="197"/>
      <c r="V338" s="199"/>
      <c r="W338" s="197"/>
      <c r="X338" s="199"/>
      <c r="Y338" s="197"/>
      <c r="Z338" s="199"/>
      <c r="AA338" s="199"/>
      <c r="AB338" s="197"/>
    </row>
    <row r="339" spans="1:28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99"/>
      <c r="T339" s="199"/>
      <c r="U339" s="197"/>
      <c r="V339" s="199"/>
      <c r="W339" s="197"/>
      <c r="X339" s="199"/>
      <c r="Y339" s="197"/>
      <c r="Z339" s="199"/>
      <c r="AA339" s="199"/>
      <c r="AB339" s="197"/>
    </row>
    <row r="340" spans="1:28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99"/>
      <c r="T340" s="199"/>
      <c r="U340" s="197"/>
      <c r="V340" s="199"/>
      <c r="W340" s="197"/>
      <c r="X340" s="199"/>
      <c r="Y340" s="197"/>
      <c r="Z340" s="199"/>
      <c r="AA340" s="199"/>
      <c r="AB340" s="197"/>
    </row>
    <row r="341" spans="1:28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99"/>
      <c r="T341" s="199"/>
      <c r="U341" s="197"/>
      <c r="V341" s="199"/>
      <c r="W341" s="197"/>
      <c r="X341" s="199"/>
      <c r="Y341" s="197"/>
      <c r="Z341" s="199"/>
      <c r="AA341" s="199"/>
      <c r="AB341" s="197"/>
    </row>
    <row r="342" spans="1:28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99"/>
      <c r="T342" s="199"/>
      <c r="U342" s="197"/>
      <c r="V342" s="199"/>
      <c r="W342" s="197"/>
      <c r="X342" s="199"/>
      <c r="Y342" s="197"/>
      <c r="Z342" s="199"/>
      <c r="AA342" s="199"/>
      <c r="AB342" s="197"/>
    </row>
    <row r="343" spans="1:28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99"/>
      <c r="T343" s="199"/>
      <c r="U343" s="197"/>
      <c r="V343" s="199"/>
      <c r="W343" s="197"/>
      <c r="X343" s="199"/>
      <c r="Y343" s="197"/>
      <c r="Z343" s="199"/>
      <c r="AA343" s="199"/>
      <c r="AB343" s="197"/>
    </row>
    <row r="344" spans="1:28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99"/>
      <c r="T344" s="199"/>
      <c r="U344" s="197"/>
      <c r="V344" s="199"/>
      <c r="W344" s="197"/>
      <c r="X344" s="199"/>
      <c r="Y344" s="197"/>
      <c r="Z344" s="199"/>
      <c r="AA344" s="199"/>
      <c r="AB344" s="197"/>
    </row>
    <row r="345" spans="1:28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99"/>
      <c r="T345" s="199"/>
      <c r="U345" s="197"/>
      <c r="V345" s="199"/>
      <c r="W345" s="197"/>
      <c r="X345" s="199"/>
      <c r="Y345" s="197"/>
      <c r="Z345" s="199"/>
      <c r="AA345" s="199"/>
      <c r="AB345" s="197"/>
    </row>
    <row r="346" spans="1:28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99"/>
      <c r="T346" s="199"/>
      <c r="U346" s="197"/>
      <c r="V346" s="199"/>
      <c r="W346" s="197"/>
      <c r="X346" s="199"/>
      <c r="Y346" s="197"/>
      <c r="Z346" s="199"/>
      <c r="AA346" s="199"/>
      <c r="AB346" s="197"/>
    </row>
    <row r="347" spans="1:28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99"/>
      <c r="T347" s="199"/>
      <c r="U347" s="197"/>
      <c r="V347" s="199"/>
      <c r="W347" s="197"/>
      <c r="X347" s="199"/>
      <c r="Y347" s="197"/>
      <c r="Z347" s="199"/>
      <c r="AA347" s="199"/>
      <c r="AB347" s="197"/>
    </row>
    <row r="348" spans="1:28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99"/>
      <c r="T348" s="199"/>
      <c r="U348" s="197"/>
      <c r="V348" s="199"/>
      <c r="W348" s="197"/>
      <c r="X348" s="199"/>
      <c r="Y348" s="197"/>
      <c r="Z348" s="199"/>
      <c r="AA348" s="199"/>
      <c r="AB348" s="197"/>
    </row>
    <row r="349" spans="1:28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99"/>
      <c r="T349" s="199"/>
      <c r="U349" s="197"/>
      <c r="V349" s="199"/>
      <c r="W349" s="197"/>
      <c r="X349" s="199"/>
      <c r="Y349" s="197"/>
      <c r="Z349" s="199"/>
      <c r="AA349" s="199"/>
      <c r="AB349" s="197"/>
    </row>
    <row r="350" spans="1:28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99"/>
      <c r="T350" s="199"/>
      <c r="U350" s="197"/>
      <c r="V350" s="199"/>
      <c r="W350" s="197"/>
      <c r="X350" s="199"/>
      <c r="Y350" s="197"/>
      <c r="Z350" s="199"/>
      <c r="AA350" s="199"/>
      <c r="AB350" s="197"/>
    </row>
    <row r="351" spans="1:28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99"/>
      <c r="T351" s="199"/>
      <c r="U351" s="197"/>
      <c r="V351" s="199"/>
      <c r="W351" s="197"/>
      <c r="X351" s="199"/>
      <c r="Y351" s="197"/>
      <c r="Z351" s="199"/>
      <c r="AA351" s="199"/>
      <c r="AB351" s="197"/>
    </row>
    <row r="352" spans="1:28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99"/>
      <c r="T352" s="199"/>
      <c r="U352" s="197"/>
      <c r="V352" s="199"/>
      <c r="W352" s="197"/>
      <c r="X352" s="199"/>
      <c r="Y352" s="197"/>
      <c r="Z352" s="199"/>
      <c r="AA352" s="199"/>
      <c r="AB352" s="197"/>
    </row>
    <row r="353" spans="1:28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99"/>
      <c r="T353" s="199"/>
      <c r="U353" s="197"/>
      <c r="V353" s="199"/>
      <c r="W353" s="197"/>
      <c r="X353" s="199"/>
      <c r="Y353" s="197"/>
      <c r="Z353" s="199"/>
      <c r="AA353" s="199"/>
      <c r="AB353" s="197"/>
    </row>
    <row r="354" spans="1:28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99"/>
      <c r="T354" s="199"/>
      <c r="U354" s="197"/>
      <c r="V354" s="199"/>
      <c r="W354" s="197"/>
      <c r="X354" s="199"/>
      <c r="Y354" s="197"/>
      <c r="Z354" s="199"/>
      <c r="AA354" s="199"/>
      <c r="AB354" s="197"/>
    </row>
    <row r="355" spans="1:28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99"/>
      <c r="T355" s="199"/>
      <c r="U355" s="197"/>
      <c r="V355" s="199"/>
      <c r="W355" s="197"/>
      <c r="X355" s="199"/>
      <c r="Y355" s="197"/>
      <c r="Z355" s="199"/>
      <c r="AA355" s="199"/>
      <c r="AB355" s="197"/>
    </row>
    <row r="356" spans="1:28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99"/>
      <c r="T356" s="199"/>
      <c r="U356" s="197"/>
      <c r="V356" s="199"/>
      <c r="W356" s="197"/>
      <c r="X356" s="199"/>
      <c r="Y356" s="197"/>
      <c r="Z356" s="199"/>
      <c r="AA356" s="199"/>
      <c r="AB356" s="197"/>
    </row>
    <row r="357" spans="1:28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99"/>
      <c r="T357" s="199"/>
      <c r="U357" s="197"/>
      <c r="V357" s="199"/>
      <c r="W357" s="197"/>
      <c r="X357" s="199"/>
      <c r="Y357" s="197"/>
      <c r="Z357" s="199"/>
      <c r="AA357" s="199"/>
      <c r="AB357" s="197"/>
    </row>
    <row r="358" spans="1:28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99"/>
      <c r="T358" s="199"/>
      <c r="U358" s="197"/>
      <c r="V358" s="199"/>
      <c r="W358" s="197"/>
      <c r="X358" s="199"/>
      <c r="Y358" s="197"/>
      <c r="Z358" s="199"/>
      <c r="AA358" s="199"/>
      <c r="AB358" s="197"/>
    </row>
    <row r="359" spans="1:28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99"/>
      <c r="T359" s="199"/>
      <c r="U359" s="197"/>
      <c r="V359" s="199"/>
      <c r="W359" s="197"/>
      <c r="X359" s="199"/>
      <c r="Y359" s="197"/>
      <c r="Z359" s="199"/>
      <c r="AA359" s="199"/>
      <c r="AB359" s="197"/>
    </row>
    <row r="360" spans="1:28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99"/>
      <c r="T360" s="199"/>
      <c r="U360" s="197"/>
      <c r="V360" s="199"/>
      <c r="W360" s="197"/>
      <c r="X360" s="199"/>
      <c r="Y360" s="197"/>
      <c r="Z360" s="199"/>
      <c r="AA360" s="199"/>
      <c r="AB360" s="197"/>
    </row>
    <row r="361" spans="1:28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99"/>
      <c r="T361" s="199"/>
      <c r="U361" s="197"/>
      <c r="V361" s="199"/>
      <c r="W361" s="197"/>
      <c r="X361" s="199"/>
      <c r="Y361" s="197"/>
      <c r="Z361" s="199"/>
      <c r="AA361" s="199"/>
      <c r="AB361" s="197"/>
    </row>
    <row r="362" spans="1:28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99"/>
      <c r="T362" s="199"/>
      <c r="U362" s="197"/>
      <c r="V362" s="199"/>
      <c r="W362" s="197"/>
      <c r="X362" s="199"/>
      <c r="Y362" s="197"/>
      <c r="Z362" s="199"/>
      <c r="AA362" s="199"/>
      <c r="AB362" s="197"/>
    </row>
    <row r="363" spans="1:28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99"/>
      <c r="T363" s="199"/>
      <c r="U363" s="197"/>
      <c r="V363" s="199"/>
      <c r="W363" s="197"/>
      <c r="X363" s="199"/>
      <c r="Y363" s="197"/>
      <c r="Z363" s="199"/>
      <c r="AA363" s="199"/>
      <c r="AB363" s="197"/>
    </row>
    <row r="364" spans="1:28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99"/>
      <c r="T364" s="199"/>
      <c r="U364" s="197"/>
      <c r="V364" s="199"/>
      <c r="W364" s="197"/>
      <c r="X364" s="199"/>
      <c r="Y364" s="197"/>
      <c r="Z364" s="199"/>
      <c r="AA364" s="199"/>
      <c r="AB364" s="197"/>
    </row>
    <row r="365" spans="1:28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99"/>
      <c r="T365" s="199"/>
      <c r="U365" s="197"/>
      <c r="V365" s="199"/>
      <c r="W365" s="197"/>
      <c r="X365" s="199"/>
      <c r="Y365" s="197"/>
      <c r="Z365" s="199"/>
      <c r="AA365" s="199"/>
      <c r="AB365" s="197"/>
    </row>
    <row r="366" spans="1:28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99"/>
      <c r="T366" s="199"/>
      <c r="U366" s="197"/>
      <c r="V366" s="199"/>
      <c r="W366" s="197"/>
      <c r="X366" s="199"/>
      <c r="Y366" s="197"/>
      <c r="Z366" s="199"/>
      <c r="AA366" s="199"/>
      <c r="AB366" s="197"/>
    </row>
    <row r="367" spans="1:28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99"/>
      <c r="T367" s="199"/>
      <c r="U367" s="197"/>
      <c r="V367" s="199"/>
      <c r="W367" s="197"/>
      <c r="X367" s="199"/>
      <c r="Y367" s="197"/>
      <c r="Z367" s="199"/>
      <c r="AA367" s="199"/>
      <c r="AB367" s="197"/>
    </row>
    <row r="368" spans="1:28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99"/>
      <c r="T368" s="199"/>
      <c r="U368" s="197"/>
      <c r="V368" s="199"/>
      <c r="W368" s="197"/>
      <c r="X368" s="199"/>
      <c r="Y368" s="197"/>
      <c r="Z368" s="199"/>
      <c r="AA368" s="199"/>
      <c r="AB368" s="197"/>
    </row>
    <row r="369" spans="1:28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99"/>
      <c r="T369" s="199"/>
      <c r="U369" s="197"/>
      <c r="V369" s="199"/>
      <c r="W369" s="197"/>
      <c r="X369" s="199"/>
      <c r="Y369" s="197"/>
      <c r="Z369" s="199"/>
      <c r="AA369" s="199"/>
      <c r="AB369" s="197"/>
    </row>
    <row r="370" spans="1:28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99"/>
      <c r="T370" s="199"/>
      <c r="U370" s="197"/>
      <c r="V370" s="199"/>
      <c r="W370" s="197"/>
      <c r="X370" s="199"/>
      <c r="Y370" s="197"/>
      <c r="Z370" s="199"/>
      <c r="AA370" s="199"/>
      <c r="AB370" s="197"/>
    </row>
    <row r="371" spans="1:28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99"/>
      <c r="T371" s="199"/>
      <c r="U371" s="197"/>
      <c r="V371" s="199"/>
      <c r="W371" s="197"/>
      <c r="X371" s="199"/>
      <c r="Y371" s="197"/>
      <c r="Z371" s="199"/>
      <c r="AA371" s="199"/>
      <c r="AB371" s="197"/>
    </row>
    <row r="372" spans="1:28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99"/>
      <c r="T372" s="199"/>
      <c r="U372" s="197"/>
      <c r="V372" s="199"/>
      <c r="W372" s="197"/>
      <c r="X372" s="199"/>
      <c r="Y372" s="197"/>
      <c r="Z372" s="199"/>
      <c r="AA372" s="199"/>
      <c r="AB372" s="197"/>
    </row>
    <row r="373" spans="1:28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99"/>
      <c r="T373" s="199"/>
      <c r="U373" s="197"/>
      <c r="V373" s="199"/>
      <c r="W373" s="197"/>
      <c r="X373" s="199"/>
      <c r="Y373" s="197"/>
      <c r="Z373" s="199"/>
      <c r="AA373" s="199"/>
      <c r="AB373" s="197"/>
    </row>
    <row r="374" spans="1:28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99"/>
      <c r="T374" s="199"/>
      <c r="U374" s="197"/>
      <c r="V374" s="199"/>
      <c r="W374" s="197"/>
      <c r="X374" s="199"/>
      <c r="Y374" s="197"/>
      <c r="Z374" s="199"/>
      <c r="AA374" s="199"/>
      <c r="AB374" s="197"/>
    </row>
    <row r="375" spans="1:28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99"/>
      <c r="T375" s="199"/>
      <c r="U375" s="197"/>
      <c r="V375" s="199"/>
      <c r="W375" s="197"/>
      <c r="X375" s="199"/>
      <c r="Y375" s="197"/>
      <c r="Z375" s="199"/>
      <c r="AA375" s="199"/>
      <c r="AB375" s="197"/>
    </row>
    <row r="376" spans="1:28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99"/>
      <c r="T376" s="199"/>
      <c r="U376" s="197"/>
      <c r="V376" s="199"/>
      <c r="W376" s="197"/>
      <c r="X376" s="199"/>
      <c r="Y376" s="197"/>
      <c r="Z376" s="199"/>
      <c r="AA376" s="199"/>
      <c r="AB376" s="197"/>
    </row>
    <row r="377" spans="1:28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99"/>
      <c r="T377" s="199"/>
      <c r="U377" s="197"/>
      <c r="V377" s="199"/>
      <c r="W377" s="197"/>
      <c r="X377" s="199"/>
      <c r="Y377" s="197"/>
      <c r="Z377" s="199"/>
      <c r="AA377" s="199"/>
      <c r="AB377" s="197"/>
    </row>
    <row r="378" spans="1:28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99"/>
      <c r="T378" s="199"/>
      <c r="U378" s="197"/>
      <c r="V378" s="199"/>
      <c r="W378" s="197"/>
      <c r="X378" s="199"/>
      <c r="Y378" s="197"/>
      <c r="Z378" s="199"/>
      <c r="AA378" s="199"/>
      <c r="AB378" s="197"/>
    </row>
    <row r="379" spans="1:28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99"/>
      <c r="T379" s="199"/>
      <c r="U379" s="197"/>
      <c r="V379" s="199"/>
      <c r="W379" s="197"/>
      <c r="X379" s="199"/>
      <c r="Y379" s="197"/>
      <c r="Z379" s="199"/>
      <c r="AA379" s="199"/>
      <c r="AB379" s="197"/>
    </row>
    <row r="380" spans="1:28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99"/>
      <c r="T380" s="199"/>
      <c r="U380" s="197"/>
      <c r="V380" s="199"/>
      <c r="W380" s="197"/>
      <c r="X380" s="199"/>
      <c r="Y380" s="197"/>
      <c r="Z380" s="199"/>
      <c r="AA380" s="199"/>
      <c r="AB380" s="197"/>
    </row>
    <row r="381" spans="1:28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99"/>
      <c r="T381" s="199"/>
      <c r="U381" s="197"/>
      <c r="V381" s="199"/>
      <c r="W381" s="197"/>
      <c r="X381" s="199"/>
      <c r="Y381" s="197"/>
      <c r="Z381" s="199"/>
      <c r="AA381" s="199"/>
      <c r="AB381" s="197"/>
    </row>
    <row r="382" spans="1:28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99"/>
      <c r="T382" s="199"/>
      <c r="U382" s="197"/>
      <c r="V382" s="199"/>
      <c r="W382" s="197"/>
      <c r="X382" s="199"/>
      <c r="Y382" s="197"/>
      <c r="Z382" s="199"/>
      <c r="AA382" s="199"/>
      <c r="AB382" s="197"/>
    </row>
    <row r="383" spans="1:28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99"/>
      <c r="T383" s="199"/>
      <c r="U383" s="197"/>
      <c r="V383" s="199"/>
      <c r="W383" s="197"/>
      <c r="X383" s="199"/>
      <c r="Y383" s="197"/>
      <c r="Z383" s="199"/>
      <c r="AA383" s="199"/>
      <c r="AB383" s="197"/>
    </row>
    <row r="384" spans="1:28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99"/>
      <c r="T384" s="199"/>
      <c r="U384" s="197"/>
      <c r="V384" s="199"/>
      <c r="W384" s="197"/>
      <c r="X384" s="199"/>
      <c r="Y384" s="197"/>
      <c r="Z384" s="199"/>
      <c r="AA384" s="199"/>
      <c r="AB384" s="197"/>
    </row>
    <row r="385" spans="1:28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99"/>
      <c r="T385" s="199"/>
      <c r="U385" s="197"/>
      <c r="V385" s="199"/>
      <c r="W385" s="197"/>
      <c r="X385" s="199"/>
      <c r="Y385" s="197"/>
      <c r="Z385" s="199"/>
      <c r="AA385" s="199"/>
      <c r="AB385" s="197"/>
    </row>
    <row r="386" spans="1:28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99"/>
      <c r="T386" s="199"/>
      <c r="U386" s="197"/>
      <c r="V386" s="199"/>
      <c r="W386" s="197"/>
      <c r="X386" s="199"/>
      <c r="Y386" s="197"/>
      <c r="Z386" s="199"/>
      <c r="AA386" s="199"/>
      <c r="AB386" s="197"/>
    </row>
    <row r="387" spans="1:28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99"/>
      <c r="T387" s="199"/>
      <c r="U387" s="197"/>
      <c r="V387" s="199"/>
      <c r="W387" s="197"/>
      <c r="X387" s="199"/>
      <c r="Y387" s="197"/>
      <c r="Z387" s="199"/>
      <c r="AA387" s="199"/>
      <c r="AB387" s="197"/>
    </row>
    <row r="388" spans="1:28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99"/>
      <c r="T388" s="199"/>
      <c r="U388" s="197"/>
      <c r="V388" s="199"/>
      <c r="W388" s="197"/>
      <c r="X388" s="199"/>
      <c r="Y388" s="197"/>
      <c r="Z388" s="199"/>
      <c r="AA388" s="199"/>
      <c r="AB388" s="197"/>
    </row>
    <row r="389" spans="1:28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99"/>
      <c r="T389" s="199"/>
      <c r="U389" s="197"/>
      <c r="V389" s="199"/>
      <c r="W389" s="197"/>
      <c r="X389" s="199"/>
      <c r="Y389" s="197"/>
      <c r="Z389" s="199"/>
      <c r="AA389" s="199"/>
      <c r="AB389" s="197"/>
    </row>
    <row r="390" spans="1:28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99"/>
      <c r="T390" s="199"/>
      <c r="U390" s="197"/>
      <c r="V390" s="199"/>
      <c r="W390" s="197"/>
      <c r="X390" s="199"/>
      <c r="Y390" s="197"/>
      <c r="Z390" s="199"/>
      <c r="AA390" s="199"/>
      <c r="AB390" s="197"/>
    </row>
    <row r="391" spans="1:28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99"/>
      <c r="T391" s="199"/>
      <c r="U391" s="197"/>
      <c r="V391" s="199"/>
      <c r="W391" s="197"/>
      <c r="X391" s="199"/>
      <c r="Y391" s="197"/>
      <c r="Z391" s="199"/>
      <c r="AA391" s="199"/>
      <c r="AB391" s="197"/>
    </row>
    <row r="392" spans="1:28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99"/>
      <c r="T392" s="199"/>
      <c r="U392" s="197"/>
      <c r="V392" s="199"/>
      <c r="W392" s="197"/>
      <c r="X392" s="199"/>
      <c r="Y392" s="197"/>
      <c r="Z392" s="199"/>
      <c r="AA392" s="199"/>
      <c r="AB392" s="197"/>
    </row>
    <row r="393" spans="1:28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99"/>
      <c r="T393" s="199"/>
      <c r="U393" s="197"/>
      <c r="V393" s="199"/>
      <c r="W393" s="197"/>
      <c r="X393" s="199"/>
      <c r="Y393" s="197"/>
      <c r="Z393" s="199"/>
      <c r="AA393" s="199"/>
      <c r="AB393" s="197"/>
    </row>
    <row r="394" spans="1:28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99"/>
      <c r="T394" s="199"/>
      <c r="U394" s="197"/>
      <c r="V394" s="199"/>
      <c r="W394" s="197"/>
      <c r="X394" s="199"/>
      <c r="Y394" s="197"/>
      <c r="Z394" s="199"/>
      <c r="AA394" s="199"/>
      <c r="AB394" s="197"/>
    </row>
    <row r="395" spans="1:28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99"/>
      <c r="T395" s="199"/>
      <c r="U395" s="197"/>
      <c r="V395" s="199"/>
      <c r="W395" s="197"/>
      <c r="X395" s="199"/>
      <c r="Y395" s="197"/>
      <c r="Z395" s="199"/>
      <c r="AA395" s="199"/>
      <c r="AB395" s="197"/>
    </row>
    <row r="396" spans="1:28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99"/>
      <c r="T396" s="199"/>
      <c r="U396" s="197"/>
      <c r="V396" s="199"/>
      <c r="W396" s="197"/>
      <c r="X396" s="199"/>
      <c r="Y396" s="197"/>
      <c r="Z396" s="199"/>
      <c r="AA396" s="199"/>
      <c r="AB396" s="197"/>
    </row>
    <row r="397" spans="1:28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99"/>
      <c r="T397" s="199"/>
      <c r="U397" s="197"/>
      <c r="V397" s="199"/>
      <c r="W397" s="197"/>
      <c r="X397" s="199"/>
      <c r="Y397" s="197"/>
      <c r="Z397" s="199"/>
      <c r="AA397" s="199"/>
      <c r="AB397" s="197"/>
    </row>
    <row r="398" spans="1:28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99"/>
      <c r="T398" s="199"/>
      <c r="U398" s="197"/>
      <c r="V398" s="199"/>
      <c r="W398" s="197"/>
      <c r="X398" s="199"/>
      <c r="Y398" s="197"/>
      <c r="Z398" s="199"/>
      <c r="AA398" s="199"/>
      <c r="AB398" s="197"/>
    </row>
    <row r="399" spans="1:28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99"/>
      <c r="T399" s="199"/>
      <c r="U399" s="197"/>
      <c r="V399" s="199"/>
      <c r="W399" s="197"/>
      <c r="X399" s="199"/>
      <c r="Y399" s="197"/>
      <c r="Z399" s="199"/>
      <c r="AA399" s="199"/>
      <c r="AB399" s="197"/>
    </row>
    <row r="400" spans="1:28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99"/>
      <c r="T400" s="199"/>
      <c r="U400" s="197"/>
      <c r="V400" s="199"/>
      <c r="W400" s="197"/>
      <c r="X400" s="199"/>
      <c r="Y400" s="197"/>
      <c r="Z400" s="199"/>
      <c r="AA400" s="199"/>
      <c r="AB400" s="197"/>
    </row>
    <row r="401" spans="1:28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99"/>
      <c r="T401" s="199"/>
      <c r="U401" s="197"/>
      <c r="V401" s="199"/>
      <c r="W401" s="197"/>
      <c r="X401" s="199"/>
      <c r="Y401" s="197"/>
      <c r="Z401" s="199"/>
      <c r="AA401" s="199"/>
      <c r="AB401" s="197"/>
    </row>
    <row r="402" spans="1:28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99"/>
      <c r="T402" s="199"/>
      <c r="U402" s="197"/>
      <c r="V402" s="199"/>
      <c r="W402" s="197"/>
      <c r="X402" s="199"/>
      <c r="Y402" s="197"/>
      <c r="Z402" s="199"/>
      <c r="AA402" s="199"/>
      <c r="AB402" s="197"/>
    </row>
    <row r="403" spans="1:28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99"/>
      <c r="T403" s="199"/>
      <c r="U403" s="197"/>
      <c r="V403" s="199"/>
      <c r="W403" s="197"/>
      <c r="X403" s="199"/>
      <c r="Y403" s="197"/>
      <c r="Z403" s="199"/>
      <c r="AA403" s="199"/>
      <c r="AB403" s="197"/>
    </row>
    <row r="404" spans="1:28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99"/>
      <c r="T404" s="199"/>
      <c r="U404" s="197"/>
      <c r="V404" s="199"/>
      <c r="W404" s="197"/>
      <c r="X404" s="199"/>
      <c r="Y404" s="197"/>
      <c r="Z404" s="199"/>
      <c r="AA404" s="199"/>
      <c r="AB404" s="197"/>
    </row>
    <row r="405" spans="1:28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99"/>
      <c r="T405" s="199"/>
      <c r="U405" s="197"/>
      <c r="V405" s="199"/>
      <c r="W405" s="197"/>
      <c r="X405" s="199"/>
      <c r="Y405" s="197"/>
      <c r="Z405" s="199"/>
      <c r="AA405" s="199"/>
      <c r="AB405" s="197"/>
    </row>
    <row r="406" spans="1:28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99"/>
      <c r="T406" s="199"/>
      <c r="U406" s="197"/>
      <c r="V406" s="199"/>
      <c r="W406" s="197"/>
      <c r="X406" s="199"/>
      <c r="Y406" s="197"/>
      <c r="Z406" s="199"/>
      <c r="AA406" s="199"/>
      <c r="AB406" s="197"/>
    </row>
    <row r="407" spans="1:28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99"/>
      <c r="T407" s="199"/>
      <c r="U407" s="197"/>
      <c r="V407" s="199"/>
      <c r="W407" s="197"/>
      <c r="X407" s="199"/>
      <c r="Y407" s="197"/>
      <c r="Z407" s="199"/>
      <c r="AA407" s="199"/>
      <c r="AB407" s="197"/>
    </row>
    <row r="408" spans="1:28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99"/>
      <c r="T408" s="199"/>
      <c r="U408" s="197"/>
      <c r="V408" s="199"/>
      <c r="W408" s="197"/>
      <c r="X408" s="199"/>
      <c r="Y408" s="197"/>
      <c r="Z408" s="199"/>
      <c r="AA408" s="199"/>
      <c r="AB408" s="197"/>
    </row>
    <row r="409" spans="1:28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99"/>
      <c r="T409" s="199"/>
      <c r="U409" s="197"/>
      <c r="V409" s="199"/>
      <c r="W409" s="197"/>
      <c r="X409" s="199"/>
      <c r="Y409" s="197"/>
      <c r="Z409" s="199"/>
      <c r="AA409" s="199"/>
      <c r="AB409" s="197"/>
    </row>
    <row r="410" spans="1:28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99"/>
      <c r="T410" s="199"/>
      <c r="U410" s="197"/>
      <c r="V410" s="199"/>
      <c r="W410" s="197"/>
      <c r="X410" s="199"/>
      <c r="Y410" s="197"/>
      <c r="Z410" s="199"/>
      <c r="AA410" s="199"/>
      <c r="AB410" s="197"/>
    </row>
    <row r="411" spans="1:28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99"/>
      <c r="T411" s="199"/>
      <c r="U411" s="197"/>
      <c r="V411" s="199"/>
      <c r="W411" s="197"/>
      <c r="X411" s="199"/>
      <c r="Y411" s="197"/>
      <c r="Z411" s="199"/>
      <c r="AA411" s="199"/>
      <c r="AB411" s="197"/>
    </row>
    <row r="412" spans="1:28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99"/>
      <c r="T412" s="199"/>
      <c r="U412" s="197"/>
      <c r="V412" s="199"/>
      <c r="W412" s="197"/>
      <c r="X412" s="199"/>
      <c r="Y412" s="197"/>
      <c r="Z412" s="199"/>
      <c r="AA412" s="199"/>
      <c r="AB412" s="197"/>
    </row>
    <row r="413" spans="1:28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99"/>
      <c r="T413" s="199"/>
      <c r="U413" s="197"/>
      <c r="V413" s="199"/>
      <c r="W413" s="197"/>
      <c r="X413" s="199"/>
      <c r="Y413" s="197"/>
      <c r="Z413" s="199"/>
      <c r="AA413" s="199"/>
      <c r="AB413" s="197"/>
    </row>
    <row r="414" spans="1:28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99"/>
      <c r="T414" s="199"/>
      <c r="U414" s="197"/>
      <c r="V414" s="199"/>
      <c r="W414" s="197"/>
      <c r="X414" s="199"/>
      <c r="Y414" s="197"/>
      <c r="Z414" s="199"/>
      <c r="AA414" s="199"/>
      <c r="AB414" s="197"/>
    </row>
    <row r="415" spans="1:28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99"/>
      <c r="T415" s="199"/>
      <c r="U415" s="197"/>
      <c r="V415" s="199"/>
      <c r="W415" s="197"/>
      <c r="X415" s="199"/>
      <c r="Y415" s="197"/>
      <c r="Z415" s="199"/>
      <c r="AA415" s="199"/>
      <c r="AB415" s="197"/>
    </row>
    <row r="416" spans="1:28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99"/>
      <c r="T416" s="199"/>
      <c r="U416" s="197"/>
      <c r="V416" s="199"/>
      <c r="W416" s="197"/>
      <c r="X416" s="199"/>
      <c r="Y416" s="197"/>
      <c r="Z416" s="199"/>
      <c r="AA416" s="199"/>
      <c r="AB416" s="197"/>
    </row>
    <row r="417" spans="1:28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99"/>
      <c r="T417" s="199"/>
      <c r="U417" s="197"/>
      <c r="V417" s="199"/>
      <c r="W417" s="197"/>
      <c r="X417" s="199"/>
      <c r="Y417" s="197"/>
      <c r="Z417" s="199"/>
      <c r="AA417" s="199"/>
      <c r="AB417" s="197"/>
    </row>
    <row r="418" spans="1:28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99"/>
      <c r="T418" s="199"/>
      <c r="U418" s="197"/>
      <c r="V418" s="199"/>
      <c r="W418" s="197"/>
      <c r="X418" s="199"/>
      <c r="Y418" s="197"/>
      <c r="Z418" s="199"/>
      <c r="AA418" s="199"/>
      <c r="AB418" s="197"/>
    </row>
    <row r="419" spans="1:28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99"/>
      <c r="T419" s="199"/>
      <c r="U419" s="197"/>
      <c r="V419" s="199"/>
      <c r="W419" s="197"/>
      <c r="X419" s="199"/>
      <c r="Y419" s="197"/>
      <c r="Z419" s="199"/>
      <c r="AA419" s="199"/>
      <c r="AB419" s="197"/>
    </row>
    <row r="420" spans="1:28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99"/>
      <c r="T420" s="199"/>
      <c r="U420" s="197"/>
      <c r="V420" s="199"/>
      <c r="W420" s="197"/>
      <c r="X420" s="199"/>
      <c r="Y420" s="197"/>
      <c r="Z420" s="199"/>
      <c r="AA420" s="199"/>
      <c r="AB420" s="197"/>
    </row>
    <row r="421" spans="1:28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99"/>
      <c r="T421" s="199"/>
      <c r="U421" s="197"/>
      <c r="V421" s="199"/>
      <c r="W421" s="197"/>
      <c r="X421" s="199"/>
      <c r="Y421" s="197"/>
      <c r="Z421" s="199"/>
      <c r="AA421" s="199"/>
      <c r="AB421" s="197"/>
    </row>
    <row r="422" spans="1:28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99"/>
      <c r="T422" s="199"/>
      <c r="U422" s="197"/>
      <c r="V422" s="199"/>
      <c r="W422" s="197"/>
      <c r="X422" s="199"/>
      <c r="Y422" s="197"/>
      <c r="Z422" s="199"/>
      <c r="AA422" s="199"/>
      <c r="AB422" s="197"/>
    </row>
    <row r="423" spans="1:28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99"/>
      <c r="T423" s="199"/>
      <c r="U423" s="197"/>
      <c r="V423" s="199"/>
      <c r="W423" s="197"/>
      <c r="X423" s="199"/>
      <c r="Y423" s="197"/>
      <c r="Z423" s="199"/>
      <c r="AA423" s="199"/>
      <c r="AB423" s="197"/>
    </row>
    <row r="424" spans="1:28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99"/>
      <c r="T424" s="199"/>
      <c r="U424" s="197"/>
      <c r="V424" s="199"/>
      <c r="W424" s="197"/>
      <c r="X424" s="199"/>
      <c r="Y424" s="197"/>
      <c r="Z424" s="199"/>
      <c r="AA424" s="199"/>
      <c r="AB424" s="197"/>
    </row>
    <row r="425" spans="1:28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99"/>
      <c r="T425" s="199"/>
      <c r="U425" s="197"/>
      <c r="V425" s="199"/>
      <c r="W425" s="197"/>
      <c r="X425" s="199"/>
      <c r="Y425" s="197"/>
      <c r="Z425" s="199"/>
      <c r="AA425" s="199"/>
      <c r="AB425" s="197"/>
    </row>
    <row r="426" spans="1:28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99"/>
      <c r="T426" s="199"/>
      <c r="U426" s="197"/>
      <c r="V426" s="199"/>
      <c r="W426" s="197"/>
      <c r="X426" s="199"/>
      <c r="Y426" s="197"/>
      <c r="Z426" s="199"/>
      <c r="AA426" s="199"/>
      <c r="AB426" s="197"/>
    </row>
    <row r="427" spans="1:28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99"/>
      <c r="T427" s="199"/>
      <c r="U427" s="197"/>
      <c r="V427" s="199"/>
      <c r="W427" s="197"/>
      <c r="X427" s="199"/>
      <c r="Y427" s="197"/>
      <c r="Z427" s="199"/>
      <c r="AA427" s="199"/>
      <c r="AB427" s="197"/>
    </row>
    <row r="428" spans="1:28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99"/>
      <c r="T428" s="199"/>
      <c r="U428" s="197"/>
      <c r="V428" s="199"/>
      <c r="W428" s="197"/>
      <c r="X428" s="199"/>
      <c r="Y428" s="197"/>
      <c r="Z428" s="199"/>
      <c r="AA428" s="199"/>
      <c r="AB428" s="197"/>
    </row>
    <row r="429" spans="1:28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99"/>
      <c r="T429" s="199"/>
      <c r="U429" s="197"/>
      <c r="V429" s="199"/>
      <c r="W429" s="197"/>
      <c r="X429" s="199"/>
      <c r="Y429" s="197"/>
      <c r="Z429" s="199"/>
      <c r="AA429" s="199"/>
      <c r="AB429" s="197"/>
    </row>
    <row r="430" spans="1:28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99"/>
      <c r="T430" s="199"/>
      <c r="U430" s="197"/>
      <c r="V430" s="199"/>
      <c r="W430" s="197"/>
      <c r="X430" s="199"/>
      <c r="Y430" s="197"/>
      <c r="Z430" s="199"/>
      <c r="AA430" s="199"/>
      <c r="AB430" s="197"/>
    </row>
    <row r="431" spans="1:28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99"/>
      <c r="T431" s="199"/>
      <c r="U431" s="197"/>
      <c r="V431" s="199"/>
      <c r="W431" s="197"/>
      <c r="X431" s="199"/>
      <c r="Y431" s="197"/>
      <c r="Z431" s="199"/>
      <c r="AA431" s="199"/>
      <c r="AB431" s="197"/>
    </row>
    <row r="432" spans="1:28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99"/>
      <c r="T432" s="199"/>
      <c r="U432" s="197"/>
      <c r="V432" s="199"/>
      <c r="W432" s="197"/>
      <c r="X432" s="199"/>
      <c r="Y432" s="197"/>
      <c r="Z432" s="199"/>
      <c r="AA432" s="199"/>
      <c r="AB432" s="197"/>
    </row>
    <row r="433" spans="1:28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99"/>
      <c r="T433" s="199"/>
      <c r="U433" s="197"/>
      <c r="V433" s="199"/>
      <c r="W433" s="197"/>
      <c r="X433" s="199"/>
      <c r="Y433" s="197"/>
      <c r="Z433" s="199"/>
      <c r="AA433" s="199"/>
      <c r="AB433" s="197"/>
    </row>
    <row r="434" spans="1:28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99"/>
      <c r="T434" s="199"/>
      <c r="U434" s="197"/>
      <c r="V434" s="199"/>
      <c r="W434" s="197"/>
      <c r="X434" s="199"/>
      <c r="Y434" s="197"/>
      <c r="Z434" s="199"/>
      <c r="AA434" s="199"/>
      <c r="AB434" s="197"/>
    </row>
    <row r="435" spans="1:28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99"/>
      <c r="T435" s="199"/>
      <c r="U435" s="197"/>
      <c r="V435" s="199"/>
      <c r="W435" s="197"/>
      <c r="X435" s="199"/>
      <c r="Y435" s="197"/>
      <c r="Z435" s="199"/>
      <c r="AA435" s="199"/>
      <c r="AB435" s="197"/>
    </row>
    <row r="436" spans="1:28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99"/>
      <c r="T436" s="199"/>
      <c r="U436" s="197"/>
      <c r="V436" s="199"/>
      <c r="W436" s="197"/>
      <c r="X436" s="199"/>
      <c r="Y436" s="197"/>
      <c r="Z436" s="199"/>
      <c r="AA436" s="199"/>
      <c r="AB436" s="197"/>
    </row>
    <row r="437" spans="1:28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99"/>
      <c r="T437" s="199"/>
      <c r="U437" s="197"/>
      <c r="V437" s="199"/>
      <c r="W437" s="197"/>
      <c r="X437" s="199"/>
      <c r="Y437" s="197"/>
      <c r="Z437" s="199"/>
      <c r="AA437" s="199"/>
      <c r="AB437" s="197"/>
    </row>
    <row r="438" spans="1:28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99"/>
      <c r="T438" s="199"/>
      <c r="U438" s="197"/>
      <c r="V438" s="199"/>
      <c r="W438" s="197"/>
      <c r="X438" s="199"/>
      <c r="Y438" s="197"/>
      <c r="Z438" s="199"/>
      <c r="AA438" s="199"/>
      <c r="AB438" s="197"/>
    </row>
    <row r="439" spans="1:28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99"/>
      <c r="T439" s="199"/>
      <c r="U439" s="197"/>
      <c r="V439" s="199"/>
      <c r="W439" s="197"/>
      <c r="X439" s="199"/>
      <c r="Y439" s="197"/>
      <c r="Z439" s="199"/>
      <c r="AA439" s="199"/>
      <c r="AB439" s="197"/>
    </row>
    <row r="440" spans="1:28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99"/>
      <c r="T440" s="199"/>
      <c r="U440" s="197"/>
      <c r="V440" s="199"/>
      <c r="W440" s="197"/>
      <c r="X440" s="199"/>
      <c r="Y440" s="197"/>
      <c r="Z440" s="199"/>
      <c r="AA440" s="199"/>
      <c r="AB440" s="197"/>
    </row>
    <row r="441" spans="1:28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99"/>
      <c r="T441" s="199"/>
      <c r="U441" s="197"/>
      <c r="V441" s="199"/>
      <c r="W441" s="197"/>
      <c r="X441" s="199"/>
      <c r="Y441" s="197"/>
      <c r="Z441" s="199"/>
      <c r="AA441" s="199"/>
      <c r="AB441" s="197"/>
    </row>
    <row r="442" spans="1:28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99"/>
      <c r="T442" s="199"/>
      <c r="U442" s="197"/>
      <c r="V442" s="199"/>
      <c r="W442" s="197"/>
      <c r="X442" s="199"/>
      <c r="Y442" s="197"/>
      <c r="Z442" s="199"/>
      <c r="AA442" s="199"/>
      <c r="AB442" s="197"/>
    </row>
    <row r="443" spans="1:28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99"/>
      <c r="T443" s="199"/>
      <c r="U443" s="197"/>
      <c r="V443" s="199"/>
      <c r="W443" s="197"/>
      <c r="X443" s="199"/>
      <c r="Y443" s="197"/>
      <c r="Z443" s="199"/>
      <c r="AA443" s="199"/>
      <c r="AB443" s="197"/>
    </row>
    <row r="444" spans="1:28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99"/>
      <c r="T444" s="199"/>
      <c r="U444" s="197"/>
      <c r="V444" s="199"/>
      <c r="W444" s="197"/>
      <c r="X444" s="199"/>
      <c r="Y444" s="197"/>
      <c r="Z444" s="199"/>
      <c r="AA444" s="199"/>
      <c r="AB444" s="197"/>
    </row>
    <row r="445" spans="1:28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99"/>
      <c r="T445" s="199"/>
      <c r="U445" s="197"/>
      <c r="V445" s="199"/>
      <c r="W445" s="197"/>
      <c r="X445" s="199"/>
      <c r="Y445" s="197"/>
      <c r="Z445" s="199"/>
      <c r="AA445" s="199"/>
      <c r="AB445" s="197"/>
    </row>
    <row r="446" spans="1:28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99"/>
      <c r="T446" s="199"/>
      <c r="U446" s="197"/>
      <c r="V446" s="199"/>
      <c r="W446" s="197"/>
      <c r="X446" s="199"/>
      <c r="Y446" s="197"/>
      <c r="Z446" s="199"/>
      <c r="AA446" s="199"/>
      <c r="AB446" s="197"/>
    </row>
    <row r="447" spans="1:28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99"/>
      <c r="T447" s="199"/>
      <c r="U447" s="197"/>
      <c r="V447" s="199"/>
      <c r="W447" s="197"/>
      <c r="X447" s="199"/>
      <c r="Y447" s="197"/>
      <c r="Z447" s="199"/>
      <c r="AA447" s="199"/>
      <c r="AB447" s="197"/>
    </row>
    <row r="448" spans="1:28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99"/>
      <c r="T448" s="199"/>
      <c r="U448" s="197"/>
      <c r="V448" s="199"/>
      <c r="W448" s="197"/>
      <c r="X448" s="199"/>
      <c r="Y448" s="197"/>
      <c r="Z448" s="199"/>
      <c r="AA448" s="199"/>
      <c r="AB448" s="197"/>
    </row>
    <row r="449" spans="1:28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99"/>
      <c r="T449" s="199"/>
      <c r="U449" s="197"/>
      <c r="V449" s="199"/>
      <c r="W449" s="197"/>
      <c r="X449" s="199"/>
      <c r="Y449" s="197"/>
      <c r="Z449" s="199"/>
      <c r="AA449" s="199"/>
      <c r="AB449" s="197"/>
    </row>
    <row r="450" spans="1:28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99"/>
      <c r="T450" s="199"/>
      <c r="U450" s="197"/>
      <c r="V450" s="199"/>
      <c r="W450" s="197"/>
      <c r="X450" s="199"/>
      <c r="Y450" s="197"/>
      <c r="Z450" s="199"/>
      <c r="AA450" s="199"/>
      <c r="AB450" s="197"/>
    </row>
    <row r="451" spans="1:28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99"/>
      <c r="T451" s="199"/>
      <c r="U451" s="197"/>
      <c r="V451" s="199"/>
      <c r="W451" s="197"/>
      <c r="X451" s="199"/>
      <c r="Y451" s="197"/>
      <c r="Z451" s="199"/>
      <c r="AA451" s="199"/>
      <c r="AB451" s="197"/>
    </row>
    <row r="452" spans="1:28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99"/>
      <c r="T452" s="199"/>
      <c r="U452" s="197"/>
      <c r="V452" s="199"/>
      <c r="W452" s="197"/>
      <c r="X452" s="199"/>
      <c r="Y452" s="197"/>
      <c r="Z452" s="199"/>
      <c r="AA452" s="199"/>
      <c r="AB452" s="197"/>
    </row>
    <row r="453" spans="1:28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99"/>
      <c r="T453" s="199"/>
      <c r="U453" s="197"/>
      <c r="V453" s="199"/>
      <c r="W453" s="197"/>
      <c r="X453" s="199"/>
      <c r="Y453" s="197"/>
      <c r="Z453" s="199"/>
      <c r="AA453" s="199"/>
      <c r="AB453" s="197"/>
    </row>
    <row r="454" spans="1:28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99"/>
      <c r="T454" s="199"/>
      <c r="U454" s="197"/>
      <c r="V454" s="199"/>
      <c r="W454" s="197"/>
      <c r="X454" s="199"/>
      <c r="Y454" s="197"/>
      <c r="Z454" s="199"/>
      <c r="AA454" s="199"/>
      <c r="AB454" s="197"/>
    </row>
    <row r="455" spans="1:28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99"/>
      <c r="T455" s="199"/>
      <c r="U455" s="197"/>
      <c r="V455" s="199"/>
      <c r="W455" s="197"/>
      <c r="X455" s="199"/>
      <c r="Y455" s="197"/>
      <c r="Z455" s="199"/>
      <c r="AA455" s="199"/>
      <c r="AB455" s="197"/>
    </row>
    <row r="456" spans="1:28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99"/>
      <c r="T456" s="199"/>
      <c r="U456" s="197"/>
      <c r="V456" s="199"/>
      <c r="W456" s="197"/>
      <c r="X456" s="199"/>
      <c r="Y456" s="197"/>
      <c r="Z456" s="199"/>
      <c r="AA456" s="199"/>
      <c r="AB456" s="197"/>
    </row>
    <row r="457" spans="1:28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99"/>
      <c r="T457" s="199"/>
      <c r="U457" s="197"/>
      <c r="V457" s="199"/>
      <c r="W457" s="197"/>
      <c r="X457" s="199"/>
      <c r="Y457" s="197"/>
      <c r="Z457" s="199"/>
      <c r="AA457" s="199"/>
      <c r="AB457" s="197"/>
    </row>
    <row r="458" spans="1:28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99"/>
      <c r="T458" s="199"/>
      <c r="U458" s="197"/>
      <c r="V458" s="199"/>
      <c r="W458" s="197"/>
      <c r="X458" s="199"/>
      <c r="Y458" s="197"/>
      <c r="Z458" s="199"/>
      <c r="AA458" s="199"/>
      <c r="AB458" s="197"/>
    </row>
    <row r="459" spans="1:28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99"/>
      <c r="T459" s="199"/>
      <c r="U459" s="197"/>
      <c r="V459" s="199"/>
      <c r="W459" s="197"/>
      <c r="X459" s="199"/>
      <c r="Y459" s="197"/>
      <c r="Z459" s="199"/>
      <c r="AA459" s="199"/>
      <c r="AB459" s="197"/>
    </row>
    <row r="460" spans="1:28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99"/>
      <c r="T460" s="199"/>
      <c r="U460" s="197"/>
      <c r="V460" s="199"/>
      <c r="W460" s="197"/>
      <c r="X460" s="199"/>
      <c r="Y460" s="197"/>
      <c r="Z460" s="199"/>
      <c r="AA460" s="199"/>
      <c r="AB460" s="197"/>
    </row>
    <row r="461" spans="1:28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99"/>
      <c r="T461" s="199"/>
      <c r="U461" s="197"/>
      <c r="V461" s="199"/>
      <c r="W461" s="197"/>
      <c r="X461" s="199"/>
      <c r="Y461" s="197"/>
      <c r="Z461" s="199"/>
      <c r="AA461" s="199"/>
      <c r="AB461" s="197"/>
    </row>
    <row r="462" spans="1:28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99"/>
      <c r="T462" s="199"/>
      <c r="U462" s="197"/>
      <c r="V462" s="199"/>
      <c r="W462" s="197"/>
      <c r="X462" s="199"/>
      <c r="Y462" s="197"/>
      <c r="Z462" s="199"/>
      <c r="AA462" s="199"/>
      <c r="AB462" s="197"/>
    </row>
    <row r="463" spans="1:28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99"/>
      <c r="T463" s="199"/>
      <c r="U463" s="197"/>
      <c r="V463" s="199"/>
      <c r="W463" s="197"/>
      <c r="X463" s="199"/>
      <c r="Y463" s="197"/>
      <c r="Z463" s="199"/>
      <c r="AA463" s="199"/>
      <c r="AB463" s="197"/>
    </row>
    <row r="464" spans="1:28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99"/>
      <c r="T464" s="199"/>
      <c r="U464" s="197"/>
      <c r="V464" s="199"/>
      <c r="W464" s="197"/>
      <c r="X464" s="199"/>
      <c r="Y464" s="197"/>
      <c r="Z464" s="199"/>
      <c r="AA464" s="199"/>
      <c r="AB464" s="197"/>
    </row>
    <row r="465" spans="1:28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99"/>
      <c r="T465" s="199"/>
      <c r="U465" s="197"/>
      <c r="V465" s="199"/>
      <c r="W465" s="197"/>
      <c r="X465" s="199"/>
      <c r="Y465" s="197"/>
      <c r="Z465" s="199"/>
      <c r="AA465" s="199"/>
      <c r="AB465" s="197"/>
    </row>
    <row r="466" spans="1:28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99"/>
      <c r="T466" s="199"/>
      <c r="U466" s="197"/>
      <c r="V466" s="199"/>
      <c r="W466" s="197"/>
      <c r="X466" s="199"/>
      <c r="Y466" s="197"/>
      <c r="Z466" s="199"/>
      <c r="AA466" s="199"/>
      <c r="AB466" s="197"/>
    </row>
    <row r="467" spans="1:28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99"/>
      <c r="T467" s="199"/>
      <c r="U467" s="197"/>
      <c r="V467" s="199"/>
      <c r="W467" s="197"/>
      <c r="X467" s="199"/>
      <c r="Y467" s="197"/>
      <c r="Z467" s="199"/>
      <c r="AA467" s="199"/>
      <c r="AB467" s="197"/>
    </row>
    <row r="468" spans="1:28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99"/>
      <c r="T468" s="199"/>
      <c r="U468" s="197"/>
      <c r="V468" s="199"/>
      <c r="W468" s="197"/>
      <c r="X468" s="199"/>
      <c r="Y468" s="197"/>
      <c r="Z468" s="199"/>
      <c r="AA468" s="199"/>
      <c r="AB468" s="197"/>
    </row>
    <row r="469" spans="1:28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99"/>
      <c r="T469" s="199"/>
      <c r="U469" s="197"/>
      <c r="V469" s="199"/>
      <c r="W469" s="197"/>
      <c r="X469" s="199"/>
      <c r="Y469" s="197"/>
      <c r="Z469" s="199"/>
      <c r="AA469" s="199"/>
      <c r="AB469" s="197"/>
    </row>
    <row r="470" spans="1:28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99"/>
      <c r="T470" s="199"/>
      <c r="U470" s="197"/>
      <c r="V470" s="199"/>
      <c r="W470" s="197"/>
      <c r="X470" s="199"/>
      <c r="Y470" s="197"/>
      <c r="Z470" s="199"/>
      <c r="AA470" s="199"/>
      <c r="AB470" s="197"/>
    </row>
    <row r="471" spans="1:28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99"/>
      <c r="T471" s="199"/>
      <c r="U471" s="197"/>
      <c r="V471" s="199"/>
      <c r="W471" s="197"/>
      <c r="X471" s="199"/>
      <c r="Y471" s="197"/>
      <c r="Z471" s="199"/>
      <c r="AA471" s="199"/>
      <c r="AB471" s="197"/>
    </row>
    <row r="472" spans="1:28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99"/>
      <c r="T472" s="199"/>
      <c r="U472" s="197"/>
      <c r="V472" s="199"/>
      <c r="W472" s="197"/>
      <c r="X472" s="199"/>
      <c r="Y472" s="197"/>
      <c r="Z472" s="199"/>
      <c r="AA472" s="199"/>
      <c r="AB472" s="197"/>
    </row>
    <row r="473" spans="1:28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99"/>
      <c r="T473" s="199"/>
      <c r="U473" s="197"/>
      <c r="V473" s="199"/>
      <c r="W473" s="197"/>
      <c r="X473" s="199"/>
      <c r="Y473" s="197"/>
      <c r="Z473" s="199"/>
      <c r="AA473" s="199"/>
      <c r="AB473" s="197"/>
    </row>
    <row r="474" spans="1:28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99"/>
      <c r="T474" s="199"/>
      <c r="U474" s="197"/>
      <c r="V474" s="199"/>
      <c r="W474" s="197"/>
      <c r="X474" s="199"/>
      <c r="Y474" s="197"/>
      <c r="Z474" s="199"/>
      <c r="AA474" s="199"/>
      <c r="AB474" s="197"/>
    </row>
    <row r="475" spans="1:28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99"/>
      <c r="T475" s="199"/>
      <c r="U475" s="197"/>
      <c r="V475" s="199"/>
      <c r="W475" s="197"/>
      <c r="X475" s="199"/>
      <c r="Y475" s="197"/>
      <c r="Z475" s="199"/>
      <c r="AA475" s="199"/>
      <c r="AB475" s="197"/>
    </row>
    <row r="476" spans="1:28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99"/>
      <c r="T476" s="199"/>
      <c r="U476" s="197"/>
      <c r="V476" s="199"/>
      <c r="W476" s="197"/>
      <c r="X476" s="199"/>
      <c r="Y476" s="197"/>
      <c r="Z476" s="199"/>
      <c r="AA476" s="199"/>
      <c r="AB476" s="197"/>
    </row>
    <row r="477" spans="1:28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99"/>
      <c r="T477" s="199"/>
      <c r="U477" s="197"/>
      <c r="V477" s="199"/>
      <c r="W477" s="197"/>
      <c r="X477" s="199"/>
      <c r="Y477" s="197"/>
      <c r="Z477" s="199"/>
      <c r="AA477" s="199"/>
      <c r="AB477" s="197"/>
    </row>
    <row r="478" spans="1:28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99"/>
      <c r="T478" s="199"/>
      <c r="U478" s="197"/>
      <c r="V478" s="199"/>
      <c r="W478" s="197"/>
      <c r="X478" s="199"/>
      <c r="Y478" s="197"/>
      <c r="Z478" s="199"/>
      <c r="AA478" s="199"/>
      <c r="AB478" s="197"/>
    </row>
    <row r="479" spans="1:28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99"/>
      <c r="T479" s="199"/>
      <c r="U479" s="197"/>
      <c r="V479" s="199"/>
      <c r="W479" s="197"/>
      <c r="X479" s="199"/>
      <c r="Y479" s="197"/>
      <c r="Z479" s="199"/>
      <c r="AA479" s="199"/>
      <c r="AB479" s="197"/>
    </row>
    <row r="480" spans="1:28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99"/>
      <c r="T480" s="199"/>
      <c r="U480" s="197"/>
      <c r="V480" s="199"/>
      <c r="W480" s="197"/>
      <c r="X480" s="199"/>
      <c r="Y480" s="197"/>
      <c r="Z480" s="199"/>
      <c r="AA480" s="199"/>
      <c r="AB480" s="197"/>
    </row>
    <row r="481" spans="1:28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99"/>
      <c r="T481" s="199"/>
      <c r="U481" s="197"/>
      <c r="V481" s="199"/>
      <c r="W481" s="197"/>
      <c r="X481" s="199"/>
      <c r="Y481" s="197"/>
      <c r="Z481" s="199"/>
      <c r="AA481" s="199"/>
      <c r="AB481" s="197"/>
    </row>
    <row r="482" spans="1:28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99"/>
      <c r="T482" s="199"/>
      <c r="U482" s="197"/>
      <c r="V482" s="199"/>
      <c r="W482" s="197"/>
      <c r="X482" s="199"/>
      <c r="Y482" s="197"/>
      <c r="Z482" s="199"/>
      <c r="AA482" s="199"/>
      <c r="AB482" s="197"/>
    </row>
    <row r="483" spans="1:28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99"/>
      <c r="T483" s="199"/>
      <c r="U483" s="197"/>
      <c r="V483" s="199"/>
      <c r="W483" s="197"/>
      <c r="X483" s="199"/>
      <c r="Y483" s="197"/>
      <c r="Z483" s="199"/>
      <c r="AA483" s="199"/>
      <c r="AB483" s="197"/>
    </row>
    <row r="484" spans="1:28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99"/>
      <c r="T484" s="199"/>
      <c r="U484" s="197"/>
      <c r="V484" s="199"/>
      <c r="W484" s="197"/>
      <c r="X484" s="199"/>
      <c r="Y484" s="197"/>
      <c r="Z484" s="199"/>
      <c r="AA484" s="199"/>
      <c r="AB484" s="197"/>
    </row>
    <row r="485" spans="1:28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99"/>
      <c r="T485" s="199"/>
      <c r="U485" s="197"/>
      <c r="V485" s="199"/>
      <c r="W485" s="197"/>
      <c r="X485" s="199"/>
      <c r="Y485" s="197"/>
      <c r="Z485" s="199"/>
      <c r="AA485" s="199"/>
      <c r="AB485" s="197"/>
    </row>
    <row r="486" spans="1:28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99"/>
      <c r="T486" s="199"/>
      <c r="U486" s="197"/>
      <c r="V486" s="199"/>
      <c r="W486" s="197"/>
      <c r="X486" s="199"/>
      <c r="Y486" s="197"/>
      <c r="Z486" s="199"/>
      <c r="AA486" s="199"/>
      <c r="AB486" s="197"/>
    </row>
    <row r="487" spans="1:28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99"/>
      <c r="T487" s="199"/>
      <c r="U487" s="197"/>
      <c r="V487" s="199"/>
      <c r="W487" s="197"/>
      <c r="X487" s="199"/>
      <c r="Y487" s="197"/>
      <c r="Z487" s="199"/>
      <c r="AA487" s="199"/>
      <c r="AB487" s="197"/>
    </row>
    <row r="488" spans="1:28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99"/>
      <c r="T488" s="199"/>
      <c r="U488" s="197"/>
      <c r="V488" s="199"/>
      <c r="W488" s="197"/>
      <c r="X488" s="199"/>
      <c r="Y488" s="197"/>
      <c r="Z488" s="199"/>
      <c r="AA488" s="199"/>
      <c r="AB488" s="197"/>
    </row>
    <row r="489" spans="1:28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99"/>
      <c r="T489" s="199"/>
      <c r="U489" s="197"/>
      <c r="V489" s="199"/>
      <c r="W489" s="197"/>
      <c r="X489" s="199"/>
      <c r="Y489" s="197"/>
      <c r="Z489" s="199"/>
      <c r="AA489" s="199"/>
      <c r="AB489" s="197"/>
    </row>
    <row r="490" spans="1:28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99"/>
      <c r="T490" s="199"/>
      <c r="U490" s="197"/>
      <c r="V490" s="199"/>
      <c r="W490" s="197"/>
      <c r="X490" s="199"/>
      <c r="Y490" s="197"/>
      <c r="Z490" s="199"/>
      <c r="AA490" s="199"/>
      <c r="AB490" s="197"/>
    </row>
    <row r="491" spans="1:28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99"/>
      <c r="T491" s="199"/>
      <c r="U491" s="197"/>
      <c r="V491" s="199"/>
      <c r="W491" s="197"/>
      <c r="X491" s="199"/>
      <c r="Y491" s="197"/>
      <c r="Z491" s="199"/>
      <c r="AA491" s="199"/>
      <c r="AB491" s="197"/>
    </row>
    <row r="492" spans="1:28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99"/>
      <c r="T492" s="199"/>
      <c r="U492" s="197"/>
      <c r="V492" s="199"/>
      <c r="W492" s="197"/>
      <c r="X492" s="199"/>
      <c r="Y492" s="197"/>
      <c r="Z492" s="199"/>
      <c r="AA492" s="199"/>
      <c r="AB492" s="197"/>
    </row>
    <row r="493" spans="1:28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99"/>
      <c r="T493" s="199"/>
      <c r="U493" s="197"/>
      <c r="V493" s="199"/>
      <c r="W493" s="197"/>
      <c r="X493" s="199"/>
      <c r="Y493" s="197"/>
      <c r="Z493" s="199"/>
      <c r="AA493" s="199"/>
      <c r="AB493" s="197"/>
    </row>
    <row r="494" spans="1:28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99"/>
      <c r="T494" s="199"/>
      <c r="U494" s="197"/>
      <c r="V494" s="199"/>
      <c r="W494" s="197"/>
      <c r="X494" s="199"/>
      <c r="Y494" s="197"/>
      <c r="Z494" s="199"/>
      <c r="AA494" s="199"/>
      <c r="AB494" s="197"/>
    </row>
    <row r="495" spans="1:28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99"/>
      <c r="T495" s="199"/>
      <c r="U495" s="197"/>
      <c r="V495" s="199"/>
      <c r="W495" s="197"/>
      <c r="X495" s="199"/>
      <c r="Y495" s="197"/>
      <c r="Z495" s="199"/>
      <c r="AA495" s="199"/>
      <c r="AB495" s="197"/>
    </row>
    <row r="496" spans="1:28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99"/>
      <c r="T496" s="199"/>
      <c r="U496" s="197"/>
      <c r="V496" s="199"/>
      <c r="W496" s="197"/>
      <c r="X496" s="199"/>
      <c r="Y496" s="197"/>
      <c r="Z496" s="199"/>
      <c r="AA496" s="199"/>
      <c r="AB496" s="197"/>
    </row>
    <row r="497" spans="1:28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99"/>
      <c r="T497" s="199"/>
      <c r="U497" s="197"/>
      <c r="V497" s="199"/>
      <c r="W497" s="197"/>
      <c r="X497" s="199"/>
      <c r="Y497" s="197"/>
      <c r="Z497" s="199"/>
      <c r="AA497" s="199"/>
      <c r="AB497" s="197"/>
    </row>
    <row r="498" spans="1:28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99"/>
      <c r="T498" s="199"/>
      <c r="U498" s="197"/>
      <c r="V498" s="199"/>
      <c r="W498" s="197"/>
      <c r="X498" s="199"/>
      <c r="Y498" s="197"/>
      <c r="Z498" s="199"/>
      <c r="AA498" s="199"/>
      <c r="AB498" s="197"/>
    </row>
    <row r="499" spans="1:28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99"/>
      <c r="T499" s="199"/>
      <c r="U499" s="197"/>
      <c r="V499" s="199"/>
      <c r="W499" s="197"/>
      <c r="X499" s="199"/>
      <c r="Y499" s="197"/>
      <c r="Z499" s="199"/>
      <c r="AA499" s="199"/>
      <c r="AB499" s="197"/>
    </row>
    <row r="500" spans="1:28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99"/>
      <c r="T500" s="199"/>
      <c r="U500" s="197"/>
      <c r="V500" s="199"/>
      <c r="W500" s="197"/>
      <c r="X500" s="199"/>
      <c r="Y500" s="197"/>
      <c r="Z500" s="199"/>
      <c r="AA500" s="199"/>
      <c r="AB500" s="197"/>
    </row>
    <row r="501" spans="1:28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99"/>
      <c r="T501" s="199"/>
      <c r="U501" s="197"/>
      <c r="V501" s="199"/>
      <c r="W501" s="197"/>
      <c r="X501" s="199"/>
      <c r="Y501" s="197"/>
      <c r="Z501" s="199"/>
      <c r="AA501" s="199"/>
      <c r="AB501" s="197"/>
    </row>
    <row r="502" spans="1:28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99"/>
      <c r="T502" s="199"/>
      <c r="U502" s="197"/>
      <c r="V502" s="199"/>
      <c r="W502" s="197"/>
      <c r="X502" s="199"/>
      <c r="Y502" s="197"/>
      <c r="Z502" s="199"/>
      <c r="AA502" s="199"/>
      <c r="AB502" s="197"/>
    </row>
    <row r="503" spans="1:28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99"/>
      <c r="T503" s="199"/>
      <c r="U503" s="197"/>
      <c r="V503" s="199"/>
      <c r="W503" s="197"/>
      <c r="X503" s="199"/>
      <c r="Y503" s="197"/>
      <c r="Z503" s="199"/>
      <c r="AA503" s="199"/>
      <c r="AB503" s="197"/>
    </row>
    <row r="504" spans="1:28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99"/>
      <c r="T504" s="199"/>
      <c r="U504" s="197"/>
      <c r="V504" s="199"/>
      <c r="W504" s="197"/>
      <c r="X504" s="199"/>
      <c r="Y504" s="197"/>
      <c r="Z504" s="199"/>
      <c r="AA504" s="199"/>
      <c r="AB504" s="197"/>
    </row>
    <row r="505" spans="1:28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99"/>
      <c r="T505" s="199"/>
      <c r="U505" s="197"/>
      <c r="V505" s="199"/>
      <c r="W505" s="197"/>
      <c r="X505" s="199"/>
      <c r="Y505" s="197"/>
      <c r="Z505" s="199"/>
      <c r="AA505" s="199"/>
      <c r="AB505" s="197"/>
    </row>
    <row r="506" spans="1:28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99"/>
      <c r="T506" s="199"/>
      <c r="U506" s="197"/>
      <c r="V506" s="199"/>
      <c r="W506" s="197"/>
      <c r="X506" s="199"/>
      <c r="Y506" s="197"/>
      <c r="Z506" s="199"/>
      <c r="AA506" s="199"/>
      <c r="AB506" s="197"/>
    </row>
    <row r="507" spans="1:28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99"/>
      <c r="T507" s="199"/>
      <c r="U507" s="197"/>
      <c r="V507" s="199"/>
      <c r="W507" s="197"/>
      <c r="X507" s="199"/>
      <c r="Y507" s="197"/>
      <c r="Z507" s="199"/>
      <c r="AA507" s="199"/>
      <c r="AB507" s="197"/>
    </row>
    <row r="508" spans="1:28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99"/>
      <c r="T508" s="199"/>
      <c r="U508" s="197"/>
      <c r="V508" s="199"/>
      <c r="W508" s="197"/>
      <c r="X508" s="199"/>
      <c r="Y508" s="197"/>
      <c r="Z508" s="199"/>
      <c r="AA508" s="199"/>
      <c r="AB508" s="197"/>
    </row>
    <row r="509" spans="1:28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99"/>
      <c r="T509" s="199"/>
      <c r="U509" s="197"/>
      <c r="V509" s="199"/>
      <c r="W509" s="197"/>
      <c r="X509" s="199"/>
      <c r="Y509" s="197"/>
      <c r="Z509" s="199"/>
      <c r="AA509" s="199"/>
      <c r="AB509" s="197"/>
    </row>
    <row r="510" spans="1:28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99"/>
      <c r="T510" s="199"/>
      <c r="U510" s="197"/>
      <c r="V510" s="199"/>
      <c r="W510" s="197"/>
      <c r="X510" s="199"/>
      <c r="Y510" s="197"/>
      <c r="Z510" s="199"/>
      <c r="AA510" s="199"/>
      <c r="AB510" s="197"/>
    </row>
    <row r="511" spans="1:28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99"/>
      <c r="T511" s="199"/>
      <c r="U511" s="197"/>
      <c r="V511" s="199"/>
      <c r="W511" s="197"/>
      <c r="X511" s="199"/>
      <c r="Y511" s="197"/>
      <c r="Z511" s="199"/>
      <c r="AA511" s="199"/>
      <c r="AB511" s="197"/>
    </row>
    <row r="512" spans="1:28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99"/>
      <c r="T512" s="199"/>
      <c r="U512" s="197"/>
      <c r="V512" s="199"/>
      <c r="W512" s="197"/>
      <c r="X512" s="199"/>
      <c r="Y512" s="197"/>
      <c r="Z512" s="199"/>
      <c r="AA512" s="199"/>
      <c r="AB512" s="197"/>
    </row>
    <row r="513" spans="1:28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99"/>
      <c r="T513" s="199"/>
      <c r="U513" s="197"/>
      <c r="V513" s="199"/>
      <c r="W513" s="197"/>
      <c r="X513" s="199"/>
      <c r="Y513" s="197"/>
      <c r="Z513" s="199"/>
      <c r="AA513" s="199"/>
      <c r="AB513" s="197"/>
    </row>
    <row r="514" spans="1:28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99"/>
      <c r="T514" s="199"/>
      <c r="U514" s="197"/>
      <c r="V514" s="199"/>
      <c r="W514" s="197"/>
      <c r="X514" s="199"/>
      <c r="Y514" s="197"/>
      <c r="Z514" s="199"/>
      <c r="AA514" s="199"/>
      <c r="AB514" s="197"/>
    </row>
    <row r="515" spans="1:28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99"/>
      <c r="T515" s="199"/>
      <c r="U515" s="197"/>
      <c r="V515" s="199"/>
      <c r="W515" s="197"/>
      <c r="X515" s="199"/>
      <c r="Y515" s="197"/>
      <c r="Z515" s="199"/>
      <c r="AA515" s="199"/>
      <c r="AB515" s="197"/>
    </row>
    <row r="516" spans="1:28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99"/>
      <c r="T516" s="199"/>
      <c r="U516" s="197"/>
      <c r="V516" s="199"/>
      <c r="W516" s="197"/>
      <c r="X516" s="199"/>
      <c r="Y516" s="197"/>
      <c r="Z516" s="199"/>
      <c r="AA516" s="199"/>
      <c r="AB516" s="197"/>
    </row>
    <row r="517" spans="1:28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99"/>
      <c r="T517" s="199"/>
      <c r="U517" s="197"/>
      <c r="V517" s="199"/>
      <c r="W517" s="197"/>
      <c r="X517" s="199"/>
      <c r="Y517" s="197"/>
      <c r="Z517" s="199"/>
      <c r="AA517" s="199"/>
      <c r="AB517" s="197"/>
    </row>
    <row r="518" spans="1:28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99"/>
      <c r="T518" s="199"/>
      <c r="U518" s="197"/>
      <c r="V518" s="199"/>
      <c r="W518" s="197"/>
      <c r="X518" s="199"/>
      <c r="Y518" s="197"/>
      <c r="Z518" s="199"/>
      <c r="AA518" s="199"/>
      <c r="AB518" s="197"/>
    </row>
    <row r="519" spans="1:28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99"/>
      <c r="T519" s="199"/>
      <c r="U519" s="197"/>
      <c r="V519" s="199"/>
      <c r="W519" s="197"/>
      <c r="X519" s="199"/>
      <c r="Y519" s="197"/>
      <c r="Z519" s="199"/>
      <c r="AA519" s="199"/>
      <c r="AB519" s="197"/>
    </row>
    <row r="520" spans="1:28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99"/>
      <c r="T520" s="199"/>
      <c r="U520" s="197"/>
      <c r="V520" s="199"/>
      <c r="W520" s="197"/>
      <c r="X520" s="199"/>
      <c r="Y520" s="197"/>
      <c r="Z520" s="199"/>
      <c r="AA520" s="199"/>
      <c r="AB520" s="197"/>
    </row>
    <row r="521" spans="1:28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99"/>
      <c r="T521" s="199"/>
      <c r="U521" s="197"/>
      <c r="V521" s="199"/>
      <c r="W521" s="197"/>
      <c r="X521" s="199"/>
      <c r="Y521" s="197"/>
      <c r="Z521" s="199"/>
      <c r="AA521" s="199"/>
      <c r="AB521" s="197"/>
    </row>
    <row r="522" spans="1:28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99"/>
      <c r="T522" s="199"/>
      <c r="U522" s="197"/>
      <c r="V522" s="199"/>
      <c r="W522" s="197"/>
      <c r="X522" s="199"/>
      <c r="Y522" s="197"/>
      <c r="Z522" s="199"/>
      <c r="AA522" s="199"/>
      <c r="AB522" s="197"/>
    </row>
    <row r="523" spans="1:28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99"/>
      <c r="T523" s="199"/>
      <c r="U523" s="197"/>
      <c r="V523" s="199"/>
      <c r="W523" s="197"/>
      <c r="X523" s="199"/>
      <c r="Y523" s="197"/>
      <c r="Z523" s="199"/>
      <c r="AA523" s="199"/>
      <c r="AB523" s="197"/>
    </row>
    <row r="524" spans="1:28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99"/>
      <c r="T524" s="199"/>
      <c r="U524" s="197"/>
      <c r="V524" s="199"/>
      <c r="W524" s="197"/>
      <c r="X524" s="199"/>
      <c r="Y524" s="197"/>
      <c r="Z524" s="199"/>
      <c r="AA524" s="199"/>
      <c r="AB524" s="197"/>
    </row>
    <row r="525" spans="1:28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99"/>
      <c r="T525" s="199"/>
      <c r="U525" s="197"/>
      <c r="V525" s="199"/>
      <c r="W525" s="197"/>
      <c r="X525" s="199"/>
      <c r="Y525" s="197"/>
      <c r="Z525" s="199"/>
      <c r="AA525" s="199"/>
      <c r="AB525" s="197"/>
    </row>
    <row r="526" spans="1:28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99"/>
      <c r="T526" s="199"/>
      <c r="U526" s="197"/>
      <c r="V526" s="199"/>
      <c r="W526" s="197"/>
      <c r="X526" s="199"/>
      <c r="Y526" s="197"/>
      <c r="Z526" s="199"/>
      <c r="AA526" s="199"/>
      <c r="AB526" s="197"/>
    </row>
    <row r="527" spans="1:28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99"/>
      <c r="T527" s="199"/>
      <c r="U527" s="197"/>
      <c r="V527" s="199"/>
      <c r="W527" s="197"/>
      <c r="X527" s="199"/>
      <c r="Y527" s="197"/>
      <c r="Z527" s="199"/>
      <c r="AA527" s="199"/>
      <c r="AB527" s="197"/>
    </row>
    <row r="528" spans="1:28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99"/>
      <c r="T528" s="199"/>
      <c r="U528" s="197"/>
      <c r="V528" s="199"/>
      <c r="W528" s="197"/>
      <c r="X528" s="199"/>
      <c r="Y528" s="197"/>
      <c r="Z528" s="199"/>
      <c r="AA528" s="199"/>
      <c r="AB528" s="197"/>
    </row>
    <row r="529" spans="1:28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99"/>
      <c r="T529" s="199"/>
      <c r="U529" s="197"/>
      <c r="V529" s="199"/>
      <c r="W529" s="197"/>
      <c r="X529" s="199"/>
      <c r="Y529" s="197"/>
      <c r="Z529" s="199"/>
      <c r="AA529" s="199"/>
      <c r="AB529" s="197"/>
    </row>
    <row r="530" spans="1:28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99"/>
      <c r="T530" s="199"/>
      <c r="U530" s="197"/>
      <c r="V530" s="199"/>
      <c r="W530" s="197"/>
      <c r="X530" s="199"/>
      <c r="Y530" s="197"/>
      <c r="Z530" s="199"/>
      <c r="AA530" s="199"/>
      <c r="AB530" s="197"/>
    </row>
    <row r="531" spans="1:28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99"/>
      <c r="T531" s="199"/>
      <c r="U531" s="197"/>
      <c r="V531" s="199"/>
      <c r="W531" s="197"/>
      <c r="X531" s="199"/>
      <c r="Y531" s="197"/>
      <c r="Z531" s="199"/>
      <c r="AA531" s="199"/>
      <c r="AB531" s="197"/>
    </row>
    <row r="532" spans="1:28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99"/>
      <c r="T532" s="199"/>
      <c r="U532" s="197"/>
      <c r="V532" s="199"/>
      <c r="W532" s="197"/>
      <c r="X532" s="199"/>
      <c r="Y532" s="197"/>
      <c r="Z532" s="199"/>
      <c r="AA532" s="199"/>
      <c r="AB532" s="197"/>
    </row>
    <row r="533" spans="1:28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99"/>
      <c r="T533" s="199"/>
      <c r="U533" s="197"/>
      <c r="V533" s="199"/>
      <c r="W533" s="197"/>
      <c r="X533" s="199"/>
      <c r="Y533" s="197"/>
      <c r="Z533" s="199"/>
      <c r="AA533" s="199"/>
      <c r="AB533" s="197"/>
    </row>
    <row r="534" spans="1:28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99"/>
      <c r="T534" s="199"/>
      <c r="U534" s="197"/>
      <c r="V534" s="199"/>
      <c r="W534" s="197"/>
      <c r="X534" s="199"/>
      <c r="Y534" s="197"/>
      <c r="Z534" s="199"/>
      <c r="AA534" s="199"/>
      <c r="AB534" s="197"/>
    </row>
    <row r="535" spans="1:28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99"/>
      <c r="T535" s="199"/>
      <c r="U535" s="197"/>
      <c r="V535" s="199"/>
      <c r="W535" s="197"/>
      <c r="X535" s="199"/>
      <c r="Y535" s="197"/>
      <c r="Z535" s="199"/>
      <c r="AA535" s="199"/>
      <c r="AB535" s="197"/>
    </row>
    <row r="536" spans="1:28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99"/>
      <c r="T536" s="199"/>
      <c r="U536" s="197"/>
      <c r="V536" s="199"/>
      <c r="W536" s="197"/>
      <c r="X536" s="199"/>
      <c r="Y536" s="197"/>
      <c r="Z536" s="199"/>
      <c r="AA536" s="199"/>
      <c r="AB536" s="197"/>
    </row>
    <row r="537" spans="1:28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99"/>
      <c r="T537" s="199"/>
      <c r="U537" s="197"/>
      <c r="V537" s="199"/>
      <c r="W537" s="197"/>
      <c r="X537" s="199"/>
      <c r="Y537" s="197"/>
      <c r="Z537" s="199"/>
      <c r="AA537" s="199"/>
      <c r="AB537" s="197"/>
    </row>
    <row r="538" spans="1:28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99"/>
      <c r="T538" s="199"/>
      <c r="U538" s="197"/>
      <c r="V538" s="199"/>
      <c r="W538" s="197"/>
      <c r="X538" s="199"/>
      <c r="Y538" s="197"/>
      <c r="Z538" s="199"/>
      <c r="AA538" s="199"/>
      <c r="AB538" s="197"/>
    </row>
    <row r="539" spans="1:28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99"/>
      <c r="T539" s="199"/>
      <c r="U539" s="197"/>
      <c r="V539" s="199"/>
      <c r="W539" s="197"/>
      <c r="X539" s="199"/>
      <c r="Y539" s="197"/>
      <c r="Z539" s="199"/>
      <c r="AA539" s="199"/>
      <c r="AB539" s="197"/>
    </row>
    <row r="540" spans="1:28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99"/>
      <c r="T540" s="199"/>
      <c r="U540" s="197"/>
      <c r="V540" s="199"/>
      <c r="W540" s="197"/>
      <c r="X540" s="199"/>
      <c r="Y540" s="197"/>
      <c r="Z540" s="199"/>
      <c r="AA540" s="199"/>
      <c r="AB540" s="197"/>
    </row>
    <row r="541" spans="1:28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99"/>
      <c r="T541" s="199"/>
      <c r="U541" s="197"/>
      <c r="V541" s="199"/>
      <c r="W541" s="197"/>
      <c r="X541" s="199"/>
      <c r="Y541" s="197"/>
      <c r="Z541" s="199"/>
      <c r="AA541" s="199"/>
      <c r="AB541" s="197"/>
    </row>
    <row r="542" spans="1:28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99"/>
      <c r="T542" s="199"/>
      <c r="U542" s="197"/>
      <c r="V542" s="199"/>
      <c r="W542" s="197"/>
      <c r="X542" s="199"/>
      <c r="Y542" s="197"/>
      <c r="Z542" s="199"/>
      <c r="AA542" s="199"/>
      <c r="AB542" s="197"/>
    </row>
    <row r="543" spans="1:28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99"/>
      <c r="T543" s="199"/>
      <c r="U543" s="197"/>
      <c r="V543" s="199"/>
      <c r="W543" s="197"/>
      <c r="X543" s="199"/>
      <c r="Y543" s="197"/>
      <c r="Z543" s="199"/>
      <c r="AA543" s="199"/>
      <c r="AB543" s="197"/>
    </row>
    <row r="544" spans="1:28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99"/>
      <c r="T544" s="199"/>
      <c r="U544" s="197"/>
      <c r="V544" s="199"/>
      <c r="W544" s="197"/>
      <c r="X544" s="199"/>
      <c r="Y544" s="197"/>
      <c r="Z544" s="199"/>
      <c r="AA544" s="199"/>
      <c r="AB544" s="197"/>
    </row>
    <row r="545" spans="1:28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99"/>
      <c r="T545" s="199"/>
      <c r="U545" s="197"/>
      <c r="V545" s="199"/>
      <c r="W545" s="197"/>
      <c r="X545" s="199"/>
      <c r="Y545" s="197"/>
      <c r="Z545" s="199"/>
      <c r="AA545" s="199"/>
      <c r="AB545" s="197"/>
    </row>
    <row r="546" spans="1:28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99"/>
      <c r="T546" s="199"/>
      <c r="U546" s="197"/>
      <c r="V546" s="199"/>
      <c r="W546" s="197"/>
      <c r="X546" s="199"/>
      <c r="Y546" s="197"/>
      <c r="Z546" s="199"/>
      <c r="AA546" s="199"/>
      <c r="AB546" s="197"/>
    </row>
    <row r="547" spans="1:28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99"/>
      <c r="T547" s="199"/>
      <c r="U547" s="197"/>
      <c r="V547" s="199"/>
      <c r="W547" s="197"/>
      <c r="X547" s="199"/>
      <c r="Y547" s="197"/>
      <c r="Z547" s="199"/>
      <c r="AA547" s="199"/>
      <c r="AB547" s="197"/>
    </row>
    <row r="548" spans="1:28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99"/>
      <c r="T548" s="199"/>
      <c r="U548" s="197"/>
      <c r="V548" s="199"/>
      <c r="W548" s="197"/>
      <c r="X548" s="199"/>
      <c r="Y548" s="197"/>
      <c r="Z548" s="199"/>
      <c r="AA548" s="199"/>
      <c r="AB548" s="197"/>
    </row>
    <row r="549" spans="1:28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99"/>
      <c r="T549" s="199"/>
      <c r="U549" s="197"/>
      <c r="V549" s="199"/>
      <c r="W549" s="197"/>
      <c r="X549" s="199"/>
      <c r="Y549" s="197"/>
      <c r="Z549" s="199"/>
      <c r="AA549" s="199"/>
      <c r="AB549" s="197"/>
    </row>
    <row r="550" spans="1:28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99"/>
      <c r="T550" s="199"/>
      <c r="U550" s="197"/>
      <c r="V550" s="199"/>
      <c r="W550" s="197"/>
      <c r="X550" s="199"/>
      <c r="Y550" s="197"/>
      <c r="Z550" s="199"/>
      <c r="AA550" s="199"/>
      <c r="AB550" s="197"/>
    </row>
    <row r="551" spans="1:28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99"/>
      <c r="T551" s="199"/>
      <c r="U551" s="197"/>
      <c r="V551" s="199"/>
      <c r="W551" s="197"/>
      <c r="X551" s="199"/>
      <c r="Y551" s="197"/>
      <c r="Z551" s="199"/>
      <c r="AA551" s="199"/>
      <c r="AB551" s="197"/>
    </row>
    <row r="552" spans="1:28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99"/>
      <c r="T552" s="199"/>
      <c r="U552" s="197"/>
      <c r="V552" s="199"/>
      <c r="W552" s="197"/>
      <c r="X552" s="199"/>
      <c r="Y552" s="197"/>
      <c r="Z552" s="199"/>
      <c r="AA552" s="199"/>
      <c r="AB552" s="197"/>
    </row>
    <row r="553" spans="1:28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99"/>
      <c r="T553" s="199"/>
      <c r="U553" s="197"/>
      <c r="V553" s="199"/>
      <c r="W553" s="197"/>
      <c r="X553" s="199"/>
      <c r="Y553" s="197"/>
      <c r="Z553" s="199"/>
      <c r="AA553" s="199"/>
      <c r="AB553" s="197"/>
    </row>
    <row r="554" spans="1:28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99"/>
      <c r="T554" s="199"/>
      <c r="U554" s="197"/>
      <c r="V554" s="199"/>
      <c r="W554" s="197"/>
      <c r="X554" s="199"/>
      <c r="Y554" s="197"/>
      <c r="Z554" s="199"/>
      <c r="AA554" s="199"/>
      <c r="AB554" s="197"/>
    </row>
    <row r="555" spans="1:28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99"/>
      <c r="T555" s="199"/>
      <c r="U555" s="197"/>
      <c r="V555" s="199"/>
      <c r="W555" s="197"/>
      <c r="X555" s="199"/>
      <c r="Y555" s="197"/>
      <c r="Z555" s="199"/>
      <c r="AA555" s="199"/>
      <c r="AB555" s="197"/>
    </row>
    <row r="556" spans="1:28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99"/>
      <c r="T556" s="199"/>
      <c r="U556" s="197"/>
      <c r="V556" s="199"/>
      <c r="W556" s="197"/>
      <c r="X556" s="199"/>
      <c r="Y556" s="197"/>
      <c r="Z556" s="199"/>
      <c r="AA556" s="199"/>
      <c r="AB556" s="197"/>
    </row>
    <row r="557" spans="1:28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99"/>
      <c r="T557" s="199"/>
      <c r="U557" s="197"/>
      <c r="V557" s="199"/>
      <c r="W557" s="197"/>
      <c r="X557" s="199"/>
      <c r="Y557" s="197"/>
      <c r="Z557" s="199"/>
      <c r="AA557" s="199"/>
      <c r="AB557" s="197"/>
    </row>
    <row r="558" spans="1:28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99"/>
      <c r="T558" s="199"/>
      <c r="U558" s="197"/>
      <c r="V558" s="199"/>
      <c r="W558" s="197"/>
      <c r="X558" s="199"/>
      <c r="Y558" s="197"/>
      <c r="Z558" s="199"/>
      <c r="AA558" s="199"/>
      <c r="AB558" s="197"/>
    </row>
    <row r="559" spans="1:28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99"/>
      <c r="T559" s="199"/>
      <c r="U559" s="197"/>
      <c r="V559" s="199"/>
      <c r="W559" s="197"/>
      <c r="X559" s="199"/>
      <c r="Y559" s="197"/>
      <c r="Z559" s="199"/>
      <c r="AA559" s="199"/>
      <c r="AB559" s="197"/>
    </row>
    <row r="560" spans="1:28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99"/>
      <c r="T560" s="199"/>
      <c r="U560" s="197"/>
      <c r="V560" s="199"/>
      <c r="W560" s="197"/>
      <c r="X560" s="199"/>
      <c r="Y560" s="197"/>
      <c r="Z560" s="199"/>
      <c r="AA560" s="199"/>
      <c r="AB560" s="197"/>
    </row>
    <row r="561" spans="1:28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99"/>
      <c r="T561" s="199"/>
      <c r="U561" s="197"/>
      <c r="V561" s="199"/>
      <c r="W561" s="197"/>
      <c r="X561" s="199"/>
      <c r="Y561" s="197"/>
      <c r="Z561" s="199"/>
      <c r="AA561" s="199"/>
      <c r="AB561" s="197"/>
    </row>
    <row r="562" spans="1:28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99"/>
      <c r="T562" s="199"/>
      <c r="U562" s="197"/>
      <c r="V562" s="199"/>
      <c r="W562" s="197"/>
      <c r="X562" s="199"/>
      <c r="Y562" s="197"/>
      <c r="Z562" s="199"/>
      <c r="AA562" s="199"/>
      <c r="AB562" s="197"/>
    </row>
    <row r="563" spans="1:28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99"/>
      <c r="T563" s="199"/>
      <c r="U563" s="197"/>
      <c r="V563" s="199"/>
      <c r="W563" s="197"/>
      <c r="X563" s="199"/>
      <c r="Y563" s="197"/>
      <c r="Z563" s="199"/>
      <c r="AA563" s="199"/>
      <c r="AB563" s="197"/>
    </row>
    <row r="564" spans="1:28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99"/>
      <c r="T564" s="199"/>
      <c r="U564" s="197"/>
      <c r="V564" s="199"/>
      <c r="W564" s="197"/>
      <c r="X564" s="199"/>
      <c r="Y564" s="197"/>
      <c r="Z564" s="199"/>
      <c r="AA564" s="199"/>
      <c r="AB564" s="197"/>
    </row>
    <row r="565" spans="1:28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99"/>
      <c r="T565" s="199"/>
      <c r="U565" s="197"/>
      <c r="V565" s="199"/>
      <c r="W565" s="197"/>
      <c r="X565" s="199"/>
      <c r="Y565" s="197"/>
      <c r="Z565" s="199"/>
      <c r="AA565" s="199"/>
      <c r="AB565" s="197"/>
    </row>
    <row r="566" spans="1:28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99"/>
      <c r="T566" s="199"/>
      <c r="U566" s="197"/>
      <c r="V566" s="199"/>
      <c r="W566" s="197"/>
      <c r="X566" s="199"/>
      <c r="Y566" s="197"/>
      <c r="Z566" s="199"/>
      <c r="AA566" s="199"/>
      <c r="AB566" s="197"/>
    </row>
    <row r="567" spans="1:28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99"/>
      <c r="T567" s="199"/>
      <c r="U567" s="197"/>
      <c r="V567" s="199"/>
      <c r="W567" s="197"/>
      <c r="X567" s="199"/>
      <c r="Y567" s="197"/>
      <c r="Z567" s="199"/>
      <c r="AA567" s="199"/>
      <c r="AB567" s="197"/>
    </row>
    <row r="568" spans="1:28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99"/>
      <c r="T568" s="199"/>
      <c r="U568" s="197"/>
      <c r="V568" s="199"/>
      <c r="W568" s="197"/>
      <c r="X568" s="199"/>
      <c r="Y568" s="197"/>
      <c r="Z568" s="199"/>
      <c r="AA568" s="199"/>
      <c r="AB568" s="197"/>
    </row>
    <row r="569" spans="1:28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99"/>
      <c r="T569" s="199"/>
      <c r="U569" s="197"/>
      <c r="V569" s="199"/>
      <c r="W569" s="197"/>
      <c r="X569" s="199"/>
      <c r="Y569" s="197"/>
      <c r="Z569" s="199"/>
      <c r="AA569" s="199"/>
      <c r="AB569" s="197"/>
    </row>
    <row r="570" spans="1:28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99"/>
      <c r="T570" s="199"/>
      <c r="U570" s="197"/>
      <c r="V570" s="199"/>
      <c r="W570" s="197"/>
      <c r="X570" s="199"/>
      <c r="Y570" s="197"/>
      <c r="Z570" s="199"/>
      <c r="AA570" s="199"/>
      <c r="AB570" s="197"/>
    </row>
    <row r="571" spans="1:28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99"/>
      <c r="T571" s="199"/>
      <c r="U571" s="197"/>
      <c r="V571" s="199"/>
      <c r="W571" s="197"/>
      <c r="X571" s="199"/>
      <c r="Y571" s="197"/>
      <c r="Z571" s="199"/>
      <c r="AA571" s="199"/>
      <c r="AB571" s="197"/>
    </row>
    <row r="572" spans="1:28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99"/>
      <c r="T572" s="199"/>
      <c r="U572" s="197"/>
      <c r="V572" s="199"/>
      <c r="W572" s="197"/>
      <c r="X572" s="199"/>
      <c r="Y572" s="197"/>
      <c r="Z572" s="199"/>
      <c r="AA572" s="199"/>
      <c r="AB572" s="197"/>
    </row>
    <row r="573" spans="1:28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99"/>
      <c r="T573" s="199"/>
      <c r="U573" s="197"/>
      <c r="V573" s="199"/>
      <c r="W573" s="197"/>
      <c r="X573" s="199"/>
      <c r="Y573" s="197"/>
      <c r="Z573" s="199"/>
      <c r="AA573" s="199"/>
      <c r="AB573" s="197"/>
    </row>
    <row r="574" spans="1:28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99"/>
      <c r="T574" s="199"/>
      <c r="U574" s="197"/>
      <c r="V574" s="199"/>
      <c r="W574" s="197"/>
      <c r="X574" s="199"/>
      <c r="Y574" s="197"/>
      <c r="Z574" s="199"/>
      <c r="AA574" s="199"/>
      <c r="AB574" s="197"/>
    </row>
    <row r="575" spans="1:28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99"/>
      <c r="T575" s="199"/>
      <c r="U575" s="197"/>
      <c r="V575" s="199"/>
      <c r="W575" s="197"/>
      <c r="X575" s="199"/>
      <c r="Y575" s="197"/>
      <c r="Z575" s="199"/>
      <c r="AA575" s="199"/>
      <c r="AB575" s="197"/>
    </row>
    <row r="576" spans="1:28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99"/>
      <c r="T576" s="199"/>
      <c r="U576" s="197"/>
      <c r="V576" s="199"/>
      <c r="W576" s="197"/>
      <c r="X576" s="199"/>
      <c r="Y576" s="197"/>
      <c r="Z576" s="199"/>
      <c r="AA576" s="199"/>
      <c r="AB576" s="197"/>
    </row>
    <row r="577" spans="1:28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99"/>
      <c r="T577" s="199"/>
      <c r="U577" s="197"/>
      <c r="V577" s="199"/>
      <c r="W577" s="197"/>
      <c r="X577" s="199"/>
      <c r="Y577" s="197"/>
      <c r="Z577" s="199"/>
      <c r="AA577" s="199"/>
      <c r="AB577" s="197"/>
    </row>
    <row r="578" spans="1:28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99"/>
      <c r="T578" s="199"/>
      <c r="U578" s="197"/>
      <c r="V578" s="199"/>
      <c r="W578" s="197"/>
      <c r="X578" s="199"/>
      <c r="Y578" s="197"/>
      <c r="Z578" s="199"/>
      <c r="AA578" s="199"/>
      <c r="AB578" s="197"/>
    </row>
    <row r="579" spans="1:28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99"/>
      <c r="T579" s="199"/>
      <c r="U579" s="197"/>
      <c r="V579" s="199"/>
      <c r="W579" s="197"/>
      <c r="X579" s="199"/>
      <c r="Y579" s="197"/>
      <c r="Z579" s="199"/>
      <c r="AA579" s="199"/>
      <c r="AB579" s="197"/>
    </row>
    <row r="580" spans="1:28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99"/>
      <c r="T580" s="199"/>
      <c r="U580" s="197"/>
      <c r="V580" s="199"/>
      <c r="W580" s="197"/>
      <c r="X580" s="199"/>
      <c r="Y580" s="197"/>
      <c r="Z580" s="199"/>
      <c r="AA580" s="199"/>
      <c r="AB580" s="197"/>
    </row>
    <row r="581" spans="1:28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99"/>
      <c r="T581" s="199"/>
      <c r="U581" s="197"/>
      <c r="V581" s="199"/>
      <c r="W581" s="197"/>
      <c r="X581" s="199"/>
      <c r="Y581" s="197"/>
      <c r="Z581" s="199"/>
      <c r="AA581" s="199"/>
      <c r="AB581" s="197"/>
    </row>
    <row r="582" spans="1:28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99"/>
      <c r="T582" s="199"/>
      <c r="U582" s="197"/>
      <c r="V582" s="199"/>
      <c r="W582" s="197"/>
      <c r="X582" s="199"/>
      <c r="Y582" s="197"/>
      <c r="Z582" s="199"/>
      <c r="AA582" s="199"/>
      <c r="AB582" s="197"/>
    </row>
    <row r="583" spans="1:28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99"/>
      <c r="T583" s="199"/>
      <c r="U583" s="197"/>
      <c r="V583" s="199"/>
      <c r="W583" s="197"/>
      <c r="X583" s="199"/>
      <c r="Y583" s="197"/>
      <c r="Z583" s="199"/>
      <c r="AA583" s="199"/>
      <c r="AB583" s="197"/>
    </row>
    <row r="584" spans="1:28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99"/>
      <c r="T584" s="199"/>
      <c r="U584" s="197"/>
      <c r="V584" s="199"/>
      <c r="W584" s="197"/>
      <c r="X584" s="199"/>
      <c r="Y584" s="197"/>
      <c r="Z584" s="199"/>
      <c r="AA584" s="199"/>
      <c r="AB584" s="197"/>
    </row>
    <row r="585" spans="1:28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99"/>
      <c r="T585" s="199"/>
      <c r="U585" s="197"/>
      <c r="V585" s="199"/>
      <c r="W585" s="197"/>
      <c r="X585" s="199"/>
      <c r="Y585" s="197"/>
      <c r="Z585" s="199"/>
      <c r="AA585" s="199"/>
      <c r="AB585" s="197"/>
    </row>
    <row r="586" spans="1:28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99"/>
      <c r="T586" s="199"/>
      <c r="U586" s="197"/>
      <c r="V586" s="199"/>
      <c r="W586" s="197"/>
      <c r="X586" s="199"/>
      <c r="Y586" s="197"/>
      <c r="Z586" s="199"/>
      <c r="AA586" s="199"/>
      <c r="AB586" s="197"/>
    </row>
    <row r="587" spans="1:28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99"/>
      <c r="T587" s="199"/>
      <c r="U587" s="197"/>
      <c r="V587" s="199"/>
      <c r="W587" s="197"/>
      <c r="X587" s="199"/>
      <c r="Y587" s="197"/>
      <c r="Z587" s="199"/>
      <c r="AA587" s="199"/>
      <c r="AB587" s="197"/>
    </row>
    <row r="588" spans="1:28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99"/>
      <c r="T588" s="199"/>
      <c r="U588" s="197"/>
      <c r="V588" s="199"/>
      <c r="W588" s="197"/>
      <c r="X588" s="199"/>
      <c r="Y588" s="197"/>
      <c r="Z588" s="199"/>
      <c r="AA588" s="199"/>
      <c r="AB588" s="197"/>
    </row>
    <row r="589" spans="1:28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99"/>
      <c r="T589" s="199"/>
      <c r="U589" s="197"/>
      <c r="V589" s="199"/>
      <c r="W589" s="197"/>
      <c r="X589" s="199"/>
      <c r="Y589" s="197"/>
      <c r="Z589" s="199"/>
      <c r="AA589" s="199"/>
      <c r="AB589" s="197"/>
    </row>
    <row r="590" spans="1:28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99"/>
      <c r="T590" s="199"/>
      <c r="U590" s="197"/>
      <c r="V590" s="199"/>
      <c r="W590" s="197"/>
      <c r="X590" s="199"/>
      <c r="Y590" s="197"/>
      <c r="Z590" s="199"/>
      <c r="AA590" s="199"/>
      <c r="AB590" s="197"/>
    </row>
    <row r="591" spans="1:28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99"/>
      <c r="T591" s="199"/>
      <c r="U591" s="197"/>
      <c r="V591" s="199"/>
      <c r="W591" s="197"/>
      <c r="X591" s="199"/>
      <c r="Y591" s="197"/>
      <c r="Z591" s="199"/>
      <c r="AA591" s="199"/>
      <c r="AB591" s="197"/>
    </row>
    <row r="592" spans="1:28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99"/>
      <c r="T592" s="199"/>
      <c r="U592" s="197"/>
      <c r="V592" s="199"/>
      <c r="W592" s="197"/>
      <c r="X592" s="199"/>
      <c r="Y592" s="197"/>
      <c r="Z592" s="199"/>
      <c r="AA592" s="199"/>
      <c r="AB592" s="197"/>
    </row>
    <row r="593" spans="1:28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99"/>
      <c r="T593" s="199"/>
      <c r="U593" s="197"/>
      <c r="V593" s="199"/>
      <c r="W593" s="197"/>
      <c r="X593" s="199"/>
      <c r="Y593" s="197"/>
      <c r="Z593" s="199"/>
      <c r="AA593" s="199"/>
      <c r="AB593" s="197"/>
    </row>
    <row r="594" spans="1:28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99"/>
      <c r="T594" s="199"/>
      <c r="U594" s="197"/>
      <c r="V594" s="199"/>
      <c r="W594" s="197"/>
      <c r="X594" s="199"/>
      <c r="Y594" s="197"/>
      <c r="Z594" s="199"/>
      <c r="AA594" s="199"/>
      <c r="AB594" s="197"/>
    </row>
    <row r="595" spans="1:28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99"/>
      <c r="T595" s="199"/>
      <c r="U595" s="197"/>
      <c r="V595" s="199"/>
      <c r="W595" s="197"/>
      <c r="X595" s="199"/>
      <c r="Y595" s="197"/>
      <c r="Z595" s="199"/>
      <c r="AA595" s="199"/>
      <c r="AB595" s="197"/>
    </row>
    <row r="596" spans="1:28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99"/>
      <c r="T596" s="199"/>
      <c r="U596" s="197"/>
      <c r="V596" s="199"/>
      <c r="W596" s="197"/>
      <c r="X596" s="199"/>
      <c r="Y596" s="197"/>
      <c r="Z596" s="199"/>
      <c r="AA596" s="199"/>
      <c r="AB596" s="197"/>
    </row>
    <row r="597" spans="1:28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99"/>
      <c r="T597" s="199"/>
      <c r="U597" s="197"/>
      <c r="V597" s="199"/>
      <c r="W597" s="197"/>
      <c r="X597" s="199"/>
      <c r="Y597" s="197"/>
      <c r="Z597" s="199"/>
      <c r="AA597" s="199"/>
      <c r="AB597" s="197"/>
    </row>
    <row r="598" spans="1:28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99"/>
      <c r="T598" s="199"/>
      <c r="U598" s="197"/>
      <c r="V598" s="199"/>
      <c r="W598" s="197"/>
      <c r="X598" s="199"/>
      <c r="Y598" s="197"/>
      <c r="Z598" s="199"/>
      <c r="AA598" s="199"/>
      <c r="AB598" s="197"/>
    </row>
    <row r="599" spans="1:28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99"/>
      <c r="T599" s="199"/>
      <c r="U599" s="197"/>
      <c r="V599" s="199"/>
      <c r="W599" s="197"/>
      <c r="X599" s="199"/>
      <c r="Y599" s="197"/>
      <c r="Z599" s="199"/>
      <c r="AA599" s="199"/>
      <c r="AB599" s="197"/>
    </row>
    <row r="600" spans="1:28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99"/>
      <c r="T600" s="199"/>
      <c r="U600" s="197"/>
      <c r="V600" s="199"/>
      <c r="W600" s="197"/>
      <c r="X600" s="199"/>
      <c r="Y600" s="197"/>
      <c r="Z600" s="199"/>
      <c r="AA600" s="199"/>
      <c r="AB600" s="197"/>
    </row>
    <row r="601" spans="1:28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99"/>
      <c r="T601" s="199"/>
      <c r="U601" s="197"/>
      <c r="V601" s="199"/>
      <c r="W601" s="197"/>
      <c r="X601" s="199"/>
      <c r="Y601" s="197"/>
      <c r="Z601" s="199"/>
      <c r="AA601" s="199"/>
      <c r="AB601" s="197"/>
    </row>
    <row r="602" spans="1:28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99"/>
      <c r="T602" s="199"/>
      <c r="U602" s="197"/>
      <c r="V602" s="199"/>
      <c r="W602" s="197"/>
      <c r="X602" s="199"/>
      <c r="Y602" s="197"/>
      <c r="Z602" s="199"/>
      <c r="AA602" s="199"/>
      <c r="AB602" s="197"/>
    </row>
    <row r="603" spans="1:28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99"/>
      <c r="T603" s="199"/>
      <c r="U603" s="197"/>
      <c r="V603" s="199"/>
      <c r="W603" s="197"/>
      <c r="X603" s="199"/>
      <c r="Y603" s="197"/>
      <c r="Z603" s="199"/>
      <c r="AA603" s="199"/>
      <c r="AB603" s="197"/>
    </row>
    <row r="604" spans="1:28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99"/>
      <c r="T604" s="199"/>
      <c r="U604" s="197"/>
      <c r="V604" s="199"/>
      <c r="W604" s="197"/>
      <c r="X604" s="199"/>
      <c r="Y604" s="197"/>
      <c r="Z604" s="199"/>
      <c r="AA604" s="199"/>
      <c r="AB604" s="197"/>
    </row>
    <row r="605" spans="1:28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99"/>
      <c r="T605" s="199"/>
      <c r="U605" s="197"/>
      <c r="V605" s="199"/>
      <c r="W605" s="197"/>
      <c r="X605" s="199"/>
      <c r="Y605" s="197"/>
      <c r="Z605" s="199"/>
      <c r="AA605" s="199"/>
      <c r="AB605" s="197"/>
    </row>
    <row r="606" spans="1:28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99"/>
      <c r="T606" s="199"/>
      <c r="U606" s="197"/>
      <c r="V606" s="199"/>
      <c r="W606" s="197"/>
      <c r="X606" s="199"/>
      <c r="Y606" s="197"/>
      <c r="Z606" s="199"/>
      <c r="AA606" s="199"/>
      <c r="AB606" s="197"/>
    </row>
    <row r="607" spans="1:28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99"/>
      <c r="T607" s="199"/>
      <c r="U607" s="197"/>
      <c r="V607" s="199"/>
      <c r="W607" s="197"/>
      <c r="X607" s="199"/>
      <c r="Y607" s="197"/>
      <c r="Z607" s="199"/>
      <c r="AA607" s="199"/>
      <c r="AB607" s="197"/>
    </row>
    <row r="608" spans="1:28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99"/>
      <c r="T608" s="199"/>
      <c r="U608" s="197"/>
      <c r="V608" s="199"/>
      <c r="W608" s="197"/>
      <c r="X608" s="199"/>
      <c r="Y608" s="197"/>
      <c r="Z608" s="199"/>
      <c r="AA608" s="199"/>
      <c r="AB608" s="197"/>
    </row>
    <row r="609" spans="1:28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99"/>
      <c r="T609" s="199"/>
      <c r="U609" s="197"/>
      <c r="V609" s="199"/>
      <c r="W609" s="197"/>
      <c r="X609" s="199"/>
      <c r="Y609" s="197"/>
      <c r="Z609" s="199"/>
      <c r="AA609" s="199"/>
      <c r="AB609" s="197"/>
    </row>
    <row r="610" spans="1:28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99"/>
      <c r="T610" s="199"/>
      <c r="U610" s="197"/>
      <c r="V610" s="199"/>
      <c r="W610" s="197"/>
      <c r="X610" s="199"/>
      <c r="Y610" s="197"/>
      <c r="Z610" s="199"/>
      <c r="AA610" s="199"/>
      <c r="AB610" s="197"/>
    </row>
    <row r="611" spans="1:28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99"/>
      <c r="T611" s="199"/>
      <c r="U611" s="197"/>
      <c r="V611" s="199"/>
      <c r="W611" s="197"/>
      <c r="X611" s="199"/>
      <c r="Y611" s="197"/>
      <c r="Z611" s="199"/>
      <c r="AA611" s="199"/>
      <c r="AB611" s="197"/>
    </row>
    <row r="612" spans="1:28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99"/>
      <c r="T612" s="199"/>
      <c r="U612" s="197"/>
      <c r="V612" s="199"/>
      <c r="W612" s="197"/>
      <c r="X612" s="199"/>
      <c r="Y612" s="197"/>
      <c r="Z612" s="199"/>
      <c r="AA612" s="199"/>
      <c r="AB612" s="197"/>
    </row>
    <row r="613" spans="1:28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99"/>
      <c r="T613" s="199"/>
      <c r="U613" s="197"/>
      <c r="V613" s="199"/>
      <c r="W613" s="197"/>
      <c r="X613" s="199"/>
      <c r="Y613" s="197"/>
      <c r="Z613" s="199"/>
      <c r="AA613" s="199"/>
      <c r="AB613" s="197"/>
    </row>
    <row r="614" spans="1:28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99"/>
      <c r="T614" s="199"/>
      <c r="U614" s="197"/>
      <c r="V614" s="199"/>
      <c r="W614" s="197"/>
      <c r="X614" s="199"/>
      <c r="Y614" s="197"/>
      <c r="Z614" s="199"/>
      <c r="AA614" s="199"/>
      <c r="AB614" s="197"/>
    </row>
    <row r="615" spans="1:28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99"/>
      <c r="T615" s="199"/>
      <c r="U615" s="197"/>
      <c r="V615" s="199"/>
      <c r="W615" s="197"/>
      <c r="X615" s="199"/>
      <c r="Y615" s="197"/>
      <c r="Z615" s="199"/>
      <c r="AA615" s="199"/>
      <c r="AB615" s="197"/>
    </row>
    <row r="616" spans="1:28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99"/>
      <c r="T616" s="199"/>
      <c r="U616" s="197"/>
      <c r="V616" s="199"/>
      <c r="W616" s="197"/>
      <c r="X616" s="199"/>
      <c r="Y616" s="197"/>
      <c r="Z616" s="199"/>
      <c r="AA616" s="199"/>
      <c r="AB616" s="197"/>
    </row>
    <row r="617" spans="1:28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99"/>
      <c r="T617" s="199"/>
      <c r="U617" s="197"/>
      <c r="V617" s="199"/>
      <c r="W617" s="197"/>
      <c r="X617" s="199"/>
      <c r="Y617" s="197"/>
      <c r="Z617" s="199"/>
      <c r="AA617" s="199"/>
      <c r="AB617" s="197"/>
    </row>
    <row r="618" spans="1:28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99"/>
      <c r="T618" s="199"/>
      <c r="U618" s="197"/>
      <c r="V618" s="199"/>
      <c r="W618" s="197"/>
      <c r="X618" s="199"/>
      <c r="Y618" s="197"/>
      <c r="Z618" s="199"/>
      <c r="AA618" s="199"/>
      <c r="AB618" s="197"/>
    </row>
    <row r="619" spans="1:28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99"/>
      <c r="T619" s="199"/>
      <c r="U619" s="197"/>
      <c r="V619" s="199"/>
      <c r="W619" s="197"/>
      <c r="X619" s="199"/>
      <c r="Y619" s="197"/>
      <c r="Z619" s="199"/>
      <c r="AA619" s="199"/>
      <c r="AB619" s="197"/>
    </row>
    <row r="620" spans="1:28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99"/>
      <c r="T620" s="199"/>
      <c r="U620" s="197"/>
      <c r="V620" s="199"/>
      <c r="W620" s="197"/>
      <c r="X620" s="199"/>
      <c r="Y620" s="197"/>
      <c r="Z620" s="199"/>
      <c r="AA620" s="199"/>
      <c r="AB620" s="197"/>
    </row>
    <row r="621" spans="1:28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99"/>
      <c r="T621" s="199"/>
      <c r="U621" s="197"/>
      <c r="V621" s="199"/>
      <c r="W621" s="197"/>
      <c r="X621" s="199"/>
      <c r="Y621" s="197"/>
      <c r="Z621" s="199"/>
      <c r="AA621" s="199"/>
      <c r="AB621" s="197"/>
    </row>
    <row r="622" spans="1:28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99"/>
      <c r="T622" s="199"/>
      <c r="U622" s="197"/>
      <c r="V622" s="199"/>
      <c r="W622" s="197"/>
      <c r="X622" s="199"/>
      <c r="Y622" s="197"/>
      <c r="Z622" s="199"/>
      <c r="AA622" s="199"/>
      <c r="AB622" s="197"/>
    </row>
    <row r="623" spans="1:28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99"/>
      <c r="T623" s="199"/>
      <c r="U623" s="197"/>
      <c r="V623" s="199"/>
      <c r="W623" s="197"/>
      <c r="X623" s="199"/>
      <c r="Y623" s="197"/>
      <c r="Z623" s="199"/>
      <c r="AA623" s="199"/>
      <c r="AB623" s="197"/>
    </row>
    <row r="624" spans="1:28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99"/>
      <c r="T624" s="199"/>
      <c r="U624" s="197"/>
      <c r="V624" s="199"/>
      <c r="W624" s="197"/>
      <c r="X624" s="199"/>
      <c r="Y624" s="197"/>
      <c r="Z624" s="199"/>
      <c r="AA624" s="199"/>
      <c r="AB624" s="197"/>
    </row>
    <row r="625" spans="1:28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99"/>
      <c r="T625" s="199"/>
      <c r="U625" s="197"/>
      <c r="V625" s="199"/>
      <c r="W625" s="197"/>
      <c r="X625" s="199"/>
      <c r="Y625" s="197"/>
      <c r="Z625" s="199"/>
      <c r="AA625" s="199"/>
      <c r="AB625" s="197"/>
    </row>
    <row r="626" spans="1:28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99"/>
      <c r="T626" s="199"/>
      <c r="U626" s="197"/>
      <c r="V626" s="199"/>
      <c r="W626" s="197"/>
      <c r="X626" s="199"/>
      <c r="Y626" s="197"/>
      <c r="Z626" s="199"/>
      <c r="AA626" s="199"/>
      <c r="AB626" s="197"/>
    </row>
    <row r="627" spans="1:28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99"/>
      <c r="T627" s="199"/>
      <c r="U627" s="197"/>
      <c r="V627" s="199"/>
      <c r="W627" s="197"/>
      <c r="X627" s="199"/>
      <c r="Y627" s="197"/>
      <c r="Z627" s="199"/>
      <c r="AA627" s="199"/>
      <c r="AB627" s="197"/>
    </row>
    <row r="628" spans="1:28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99"/>
      <c r="T628" s="199"/>
      <c r="U628" s="197"/>
      <c r="V628" s="199"/>
      <c r="W628" s="197"/>
      <c r="X628" s="199"/>
      <c r="Y628" s="197"/>
      <c r="Z628" s="199"/>
      <c r="AA628" s="199"/>
      <c r="AB628" s="197"/>
    </row>
    <row r="629" spans="1:28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99"/>
      <c r="T629" s="199"/>
      <c r="U629" s="197"/>
      <c r="V629" s="199"/>
      <c r="W629" s="197"/>
      <c r="X629" s="199"/>
      <c r="Y629" s="197"/>
      <c r="Z629" s="199"/>
      <c r="AA629" s="199"/>
      <c r="AB629" s="197"/>
    </row>
    <row r="630" spans="1:28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99"/>
      <c r="T630" s="199"/>
      <c r="U630" s="197"/>
      <c r="V630" s="199"/>
      <c r="W630" s="197"/>
      <c r="X630" s="199"/>
      <c r="Y630" s="197"/>
      <c r="Z630" s="199"/>
      <c r="AA630" s="199"/>
      <c r="AB630" s="197"/>
    </row>
    <row r="631" spans="1:28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99"/>
      <c r="T631" s="199"/>
      <c r="U631" s="197"/>
      <c r="V631" s="199"/>
      <c r="W631" s="197"/>
      <c r="X631" s="199"/>
      <c r="Y631" s="197"/>
      <c r="Z631" s="199"/>
      <c r="AA631" s="199"/>
      <c r="AB631" s="197"/>
    </row>
    <row r="632" spans="1:28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99"/>
      <c r="T632" s="199"/>
      <c r="U632" s="197"/>
      <c r="V632" s="199"/>
      <c r="W632" s="197"/>
      <c r="X632" s="199"/>
      <c r="Y632" s="197"/>
      <c r="Z632" s="199"/>
      <c r="AA632" s="199"/>
      <c r="AB632" s="197"/>
    </row>
    <row r="633" spans="1:28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99"/>
      <c r="T633" s="199"/>
      <c r="U633" s="197"/>
      <c r="V633" s="199"/>
      <c r="W633" s="197"/>
      <c r="X633" s="199"/>
      <c r="Y633" s="197"/>
      <c r="Z633" s="199"/>
      <c r="AA633" s="199"/>
      <c r="AB633" s="197"/>
    </row>
    <row r="634" spans="1:28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99"/>
      <c r="T634" s="199"/>
      <c r="U634" s="197"/>
      <c r="V634" s="199"/>
      <c r="W634" s="197"/>
      <c r="X634" s="199"/>
      <c r="Y634" s="197"/>
      <c r="Z634" s="199"/>
      <c r="AA634" s="199"/>
      <c r="AB634" s="197"/>
    </row>
    <row r="635" spans="1:28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99"/>
      <c r="T635" s="199"/>
      <c r="U635" s="197"/>
      <c r="V635" s="199"/>
      <c r="W635" s="197"/>
      <c r="X635" s="199"/>
      <c r="Y635" s="197"/>
      <c r="Z635" s="199"/>
      <c r="AA635" s="199"/>
      <c r="AB635" s="197"/>
    </row>
    <row r="636" spans="1:28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99"/>
      <c r="T636" s="199"/>
      <c r="U636" s="197"/>
      <c r="V636" s="199"/>
      <c r="W636" s="197"/>
      <c r="X636" s="199"/>
      <c r="Y636" s="197"/>
      <c r="Z636" s="199"/>
      <c r="AA636" s="199"/>
      <c r="AB636" s="197"/>
    </row>
    <row r="637" spans="1:28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99"/>
      <c r="T637" s="199"/>
      <c r="U637" s="197"/>
      <c r="V637" s="199"/>
      <c r="W637" s="197"/>
      <c r="X637" s="199"/>
      <c r="Y637" s="197"/>
      <c r="Z637" s="199"/>
      <c r="AA637" s="199"/>
      <c r="AB637" s="197"/>
    </row>
    <row r="638" spans="1:28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99"/>
      <c r="T638" s="199"/>
      <c r="U638" s="197"/>
      <c r="V638" s="199"/>
      <c r="W638" s="197"/>
      <c r="X638" s="199"/>
      <c r="Y638" s="197"/>
      <c r="Z638" s="199"/>
      <c r="AA638" s="199"/>
      <c r="AB638" s="197"/>
    </row>
    <row r="639" spans="1:28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99"/>
      <c r="T639" s="199"/>
      <c r="U639" s="197"/>
      <c r="V639" s="199"/>
      <c r="W639" s="197"/>
      <c r="X639" s="199"/>
      <c r="Y639" s="197"/>
      <c r="Z639" s="199"/>
      <c r="AA639" s="199"/>
      <c r="AB639" s="197"/>
    </row>
    <row r="640" spans="1:28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99"/>
      <c r="T640" s="199"/>
      <c r="U640" s="197"/>
      <c r="V640" s="199"/>
      <c r="W640" s="197"/>
      <c r="X640" s="199"/>
      <c r="Y640" s="197"/>
      <c r="Z640" s="199"/>
      <c r="AA640" s="199"/>
      <c r="AB640" s="197"/>
    </row>
    <row r="641" spans="1:28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99"/>
      <c r="T641" s="199"/>
      <c r="U641" s="197"/>
      <c r="V641" s="199"/>
      <c r="W641" s="197"/>
      <c r="X641" s="199"/>
      <c r="Y641" s="197"/>
      <c r="Z641" s="199"/>
      <c r="AA641" s="199"/>
      <c r="AB641" s="197"/>
    </row>
    <row r="642" spans="1:28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99"/>
      <c r="T642" s="199"/>
      <c r="U642" s="197"/>
      <c r="V642" s="199"/>
      <c r="W642" s="197"/>
      <c r="X642" s="199"/>
      <c r="Y642" s="197"/>
      <c r="Z642" s="199"/>
      <c r="AA642" s="199"/>
      <c r="AB642" s="197"/>
    </row>
    <row r="643" spans="1:28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99"/>
      <c r="T643" s="199"/>
      <c r="U643" s="197"/>
      <c r="V643" s="199"/>
      <c r="W643" s="197"/>
      <c r="X643" s="199"/>
      <c r="Y643" s="197"/>
      <c r="Z643" s="199"/>
      <c r="AA643" s="199"/>
      <c r="AB643" s="197"/>
    </row>
    <row r="644" spans="1:28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99"/>
      <c r="T644" s="199"/>
      <c r="U644" s="197"/>
      <c r="V644" s="199"/>
      <c r="W644" s="197"/>
      <c r="X644" s="199"/>
      <c r="Y644" s="197"/>
      <c r="Z644" s="199"/>
      <c r="AA644" s="199"/>
      <c r="AB644" s="197"/>
    </row>
    <row r="645" spans="1:28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99"/>
      <c r="T645" s="199"/>
      <c r="U645" s="197"/>
      <c r="V645" s="199"/>
      <c r="W645" s="197"/>
      <c r="X645" s="199"/>
      <c r="Y645" s="197"/>
      <c r="Z645" s="199"/>
      <c r="AA645" s="199"/>
      <c r="AB645" s="197"/>
    </row>
    <row r="646" spans="1:28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99"/>
      <c r="T646" s="199"/>
      <c r="U646" s="197"/>
      <c r="V646" s="199"/>
      <c r="W646" s="197"/>
      <c r="X646" s="199"/>
      <c r="Y646" s="197"/>
      <c r="Z646" s="199"/>
      <c r="AA646" s="199"/>
      <c r="AB646" s="197"/>
    </row>
    <row r="647" spans="1:28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99"/>
      <c r="T647" s="199"/>
      <c r="U647" s="197"/>
      <c r="V647" s="199"/>
      <c r="W647" s="197"/>
      <c r="X647" s="199"/>
      <c r="Y647" s="197"/>
      <c r="Z647" s="199"/>
      <c r="AA647" s="199"/>
      <c r="AB647" s="197"/>
    </row>
    <row r="648" spans="1:28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99"/>
      <c r="T648" s="199"/>
      <c r="U648" s="197"/>
      <c r="V648" s="199"/>
      <c r="W648" s="197"/>
      <c r="X648" s="199"/>
      <c r="Y648" s="197"/>
      <c r="Z648" s="199"/>
      <c r="AA648" s="199"/>
      <c r="AB648" s="197"/>
    </row>
    <row r="649" spans="1:28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99"/>
      <c r="T649" s="199"/>
      <c r="U649" s="197"/>
      <c r="V649" s="199"/>
      <c r="W649" s="197"/>
      <c r="X649" s="199"/>
      <c r="Y649" s="197"/>
      <c r="Z649" s="199"/>
      <c r="AA649" s="199"/>
      <c r="AB649" s="197"/>
    </row>
    <row r="650" spans="1:28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99"/>
      <c r="T650" s="199"/>
      <c r="U650" s="197"/>
      <c r="V650" s="199"/>
      <c r="W650" s="197"/>
      <c r="X650" s="199"/>
      <c r="Y650" s="197"/>
      <c r="Z650" s="199"/>
      <c r="AA650" s="199"/>
      <c r="AB650" s="197"/>
    </row>
    <row r="651" spans="1:28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99"/>
      <c r="T651" s="199"/>
      <c r="U651" s="197"/>
      <c r="V651" s="199"/>
      <c r="W651" s="197"/>
      <c r="X651" s="199"/>
      <c r="Y651" s="197"/>
      <c r="Z651" s="199"/>
      <c r="AA651" s="199"/>
      <c r="AB651" s="197"/>
    </row>
    <row r="652" spans="1:28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99"/>
      <c r="T652" s="199"/>
      <c r="U652" s="197"/>
      <c r="V652" s="199"/>
      <c r="W652" s="197"/>
      <c r="X652" s="199"/>
      <c r="Y652" s="197"/>
      <c r="Z652" s="199"/>
      <c r="AA652" s="199"/>
      <c r="AB652" s="197"/>
    </row>
    <row r="653" spans="1:28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99"/>
      <c r="T653" s="199"/>
      <c r="U653" s="197"/>
      <c r="V653" s="199"/>
      <c r="W653" s="197"/>
      <c r="X653" s="199"/>
      <c r="Y653" s="197"/>
      <c r="Z653" s="199"/>
      <c r="AA653" s="199"/>
      <c r="AB653" s="197"/>
    </row>
    <row r="654" spans="1:28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99"/>
      <c r="T654" s="199"/>
      <c r="U654" s="197"/>
      <c r="V654" s="199"/>
      <c r="W654" s="197"/>
      <c r="X654" s="199"/>
      <c r="Y654" s="197"/>
      <c r="Z654" s="199"/>
      <c r="AA654" s="199"/>
      <c r="AB654" s="197"/>
    </row>
    <row r="655" spans="1:28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99"/>
      <c r="T655" s="199"/>
      <c r="U655" s="197"/>
      <c r="V655" s="199"/>
      <c r="W655" s="197"/>
      <c r="X655" s="199"/>
      <c r="Y655" s="197"/>
      <c r="Z655" s="199"/>
      <c r="AA655" s="199"/>
      <c r="AB655" s="197"/>
    </row>
    <row r="656" spans="1:28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99"/>
      <c r="T656" s="199"/>
      <c r="U656" s="197"/>
      <c r="V656" s="199"/>
      <c r="W656" s="197"/>
      <c r="X656" s="199"/>
      <c r="Y656" s="197"/>
      <c r="Z656" s="199"/>
      <c r="AA656" s="199"/>
      <c r="AB656" s="197"/>
    </row>
    <row r="657" spans="1:28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99"/>
      <c r="T657" s="199"/>
      <c r="U657" s="197"/>
      <c r="V657" s="199"/>
      <c r="W657" s="197"/>
      <c r="X657" s="199"/>
      <c r="Y657" s="197"/>
      <c r="Z657" s="199"/>
      <c r="AA657" s="199"/>
      <c r="AB657" s="197"/>
    </row>
    <row r="658" spans="1:28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99"/>
      <c r="T658" s="199"/>
      <c r="U658" s="197"/>
      <c r="V658" s="199"/>
      <c r="W658" s="197"/>
      <c r="X658" s="199"/>
      <c r="Y658" s="197"/>
      <c r="Z658" s="199"/>
      <c r="AA658" s="199"/>
      <c r="AB658" s="197"/>
    </row>
    <row r="659" spans="1:28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99"/>
      <c r="T659" s="199"/>
      <c r="U659" s="197"/>
      <c r="V659" s="199"/>
      <c r="W659" s="197"/>
      <c r="X659" s="199"/>
      <c r="Y659" s="197"/>
      <c r="Z659" s="199"/>
      <c r="AA659" s="199"/>
      <c r="AB659" s="197"/>
    </row>
    <row r="660" spans="1:28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99"/>
      <c r="T660" s="199"/>
      <c r="U660" s="197"/>
      <c r="V660" s="199"/>
      <c r="W660" s="197"/>
      <c r="X660" s="199"/>
      <c r="Y660" s="197"/>
      <c r="Z660" s="199"/>
      <c r="AA660" s="199"/>
      <c r="AB660" s="197"/>
    </row>
    <row r="661" spans="1:28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99"/>
      <c r="T661" s="199"/>
      <c r="U661" s="197"/>
      <c r="V661" s="199"/>
      <c r="W661" s="197"/>
      <c r="X661" s="199"/>
      <c r="Y661" s="197"/>
      <c r="Z661" s="199"/>
      <c r="AA661" s="199"/>
      <c r="AB661" s="197"/>
    </row>
    <row r="662" spans="1:28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99"/>
      <c r="T662" s="199"/>
      <c r="U662" s="197"/>
      <c r="V662" s="199"/>
      <c r="W662" s="197"/>
      <c r="X662" s="199"/>
      <c r="Y662" s="197"/>
      <c r="Z662" s="199"/>
      <c r="AA662" s="199"/>
      <c r="AB662" s="197"/>
    </row>
    <row r="663" spans="1:28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99"/>
      <c r="T663" s="199"/>
      <c r="U663" s="197"/>
      <c r="V663" s="199"/>
      <c r="W663" s="197"/>
      <c r="X663" s="199"/>
      <c r="Y663" s="197"/>
      <c r="Z663" s="199"/>
      <c r="AA663" s="199"/>
      <c r="AB663" s="197"/>
    </row>
    <row r="664" spans="1:28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99"/>
      <c r="T664" s="199"/>
      <c r="U664" s="197"/>
      <c r="V664" s="199"/>
      <c r="W664" s="197"/>
      <c r="X664" s="199"/>
      <c r="Y664" s="197"/>
      <c r="Z664" s="199"/>
      <c r="AA664" s="199"/>
      <c r="AB664" s="197"/>
    </row>
    <row r="665" spans="1:28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99"/>
      <c r="T665" s="199"/>
      <c r="U665" s="197"/>
      <c r="V665" s="199"/>
      <c r="W665" s="197"/>
      <c r="X665" s="199"/>
      <c r="Y665" s="197"/>
      <c r="Z665" s="199"/>
      <c r="AA665" s="199"/>
      <c r="AB665" s="197"/>
    </row>
    <row r="666" spans="1:28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99"/>
      <c r="T666" s="199"/>
      <c r="U666" s="197"/>
      <c r="V666" s="199"/>
      <c r="W666" s="197"/>
      <c r="X666" s="199"/>
      <c r="Y666" s="197"/>
      <c r="Z666" s="199"/>
      <c r="AA666" s="199"/>
      <c r="AB666" s="197"/>
    </row>
    <row r="667" spans="1:28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99"/>
      <c r="T667" s="199"/>
      <c r="U667" s="197"/>
      <c r="V667" s="199"/>
      <c r="W667" s="197"/>
      <c r="X667" s="199"/>
      <c r="Y667" s="197"/>
      <c r="Z667" s="199"/>
      <c r="AA667" s="199"/>
      <c r="AB667" s="197"/>
    </row>
    <row r="668" spans="1:28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99"/>
      <c r="T668" s="199"/>
      <c r="U668" s="197"/>
      <c r="V668" s="199"/>
      <c r="W668" s="197"/>
      <c r="X668" s="199"/>
      <c r="Y668" s="197"/>
      <c r="Z668" s="199"/>
      <c r="AA668" s="199"/>
      <c r="AB668" s="197"/>
    </row>
    <row r="669" spans="1:28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99"/>
      <c r="T669" s="199"/>
      <c r="U669" s="197"/>
      <c r="V669" s="199"/>
      <c r="W669" s="197"/>
      <c r="X669" s="199"/>
      <c r="Y669" s="197"/>
      <c r="Z669" s="199"/>
      <c r="AA669" s="199"/>
      <c r="AB669" s="197"/>
    </row>
    <row r="670" spans="1:28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99"/>
      <c r="T670" s="199"/>
      <c r="U670" s="197"/>
      <c r="V670" s="199"/>
      <c r="W670" s="197"/>
      <c r="X670" s="199"/>
      <c r="Y670" s="197"/>
      <c r="Z670" s="199"/>
      <c r="AA670" s="199"/>
      <c r="AB670" s="197"/>
    </row>
    <row r="671" spans="1:28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99"/>
      <c r="T671" s="199"/>
      <c r="U671" s="197"/>
      <c r="V671" s="199"/>
      <c r="W671" s="197"/>
      <c r="X671" s="199"/>
      <c r="Y671" s="197"/>
      <c r="Z671" s="199"/>
      <c r="AA671" s="199"/>
      <c r="AB671" s="197"/>
    </row>
    <row r="672" spans="1:28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99"/>
      <c r="T672" s="199"/>
      <c r="U672" s="197"/>
      <c r="V672" s="199"/>
      <c r="W672" s="197"/>
      <c r="X672" s="199"/>
      <c r="Y672" s="197"/>
      <c r="Z672" s="199"/>
      <c r="AA672" s="199"/>
      <c r="AB672" s="197"/>
    </row>
    <row r="673" spans="1:28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99"/>
      <c r="T673" s="199"/>
      <c r="U673" s="197"/>
      <c r="V673" s="199"/>
      <c r="W673" s="197"/>
      <c r="X673" s="199"/>
      <c r="Y673" s="197"/>
      <c r="Z673" s="199"/>
      <c r="AA673" s="199"/>
      <c r="AB673" s="197"/>
    </row>
    <row r="674" spans="1:28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99"/>
      <c r="T674" s="199"/>
      <c r="U674" s="197"/>
      <c r="V674" s="199"/>
      <c r="W674" s="197"/>
      <c r="X674" s="199"/>
      <c r="Y674" s="197"/>
      <c r="Z674" s="199"/>
      <c r="AA674" s="199"/>
      <c r="AB674" s="197"/>
    </row>
    <row r="675" spans="1:28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99"/>
      <c r="T675" s="199"/>
      <c r="U675" s="197"/>
      <c r="V675" s="199"/>
      <c r="W675" s="197"/>
      <c r="X675" s="199"/>
      <c r="Y675" s="197"/>
      <c r="Z675" s="199"/>
      <c r="AA675" s="199"/>
      <c r="AB675" s="197"/>
    </row>
    <row r="676" spans="1:28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99"/>
      <c r="T676" s="199"/>
      <c r="U676" s="197"/>
      <c r="V676" s="199"/>
      <c r="W676" s="197"/>
      <c r="X676" s="199"/>
      <c r="Y676" s="197"/>
      <c r="Z676" s="199"/>
      <c r="AA676" s="199"/>
      <c r="AB676" s="197"/>
    </row>
    <row r="677" spans="1:28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99"/>
      <c r="T677" s="199"/>
      <c r="U677" s="197"/>
      <c r="V677" s="199"/>
      <c r="W677" s="197"/>
      <c r="X677" s="199"/>
      <c r="Y677" s="197"/>
      <c r="Z677" s="199"/>
      <c r="AA677" s="199"/>
      <c r="AB677" s="197"/>
    </row>
    <row r="678" spans="1:28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99"/>
      <c r="T678" s="199"/>
      <c r="U678" s="197"/>
      <c r="V678" s="199"/>
      <c r="W678" s="197"/>
      <c r="X678" s="199"/>
      <c r="Y678" s="197"/>
      <c r="Z678" s="199"/>
      <c r="AA678" s="199"/>
      <c r="AB678" s="197"/>
    </row>
    <row r="679" spans="1:28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99"/>
      <c r="T679" s="199"/>
      <c r="U679" s="197"/>
      <c r="V679" s="199"/>
      <c r="W679" s="197"/>
      <c r="X679" s="199"/>
      <c r="Y679" s="197"/>
      <c r="Z679" s="199"/>
      <c r="AA679" s="199"/>
      <c r="AB679" s="197"/>
    </row>
    <row r="680" spans="1:28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99"/>
      <c r="T680" s="199"/>
      <c r="U680" s="197"/>
      <c r="V680" s="199"/>
      <c r="W680" s="197"/>
      <c r="X680" s="199"/>
      <c r="Y680" s="197"/>
      <c r="Z680" s="199"/>
      <c r="AA680" s="199"/>
      <c r="AB680" s="197"/>
    </row>
    <row r="681" spans="1:28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99"/>
      <c r="T681" s="199"/>
      <c r="U681" s="197"/>
      <c r="V681" s="199"/>
      <c r="W681" s="197"/>
      <c r="X681" s="199"/>
      <c r="Y681" s="197"/>
      <c r="Z681" s="199"/>
      <c r="AA681" s="199"/>
      <c r="AB681" s="197"/>
    </row>
    <row r="682" spans="1:28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99"/>
      <c r="T682" s="199"/>
      <c r="U682" s="197"/>
      <c r="V682" s="199"/>
      <c r="W682" s="197"/>
      <c r="X682" s="199"/>
      <c r="Y682" s="197"/>
      <c r="Z682" s="199"/>
      <c r="AA682" s="199"/>
      <c r="AB682" s="197"/>
    </row>
    <row r="683" spans="1:28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99"/>
      <c r="T683" s="199"/>
      <c r="U683" s="197"/>
      <c r="V683" s="199"/>
      <c r="W683" s="197"/>
      <c r="X683" s="199"/>
      <c r="Y683" s="197"/>
      <c r="Z683" s="199"/>
      <c r="AA683" s="199"/>
      <c r="AB683" s="197"/>
    </row>
    <row r="684" spans="1:28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99"/>
      <c r="T684" s="199"/>
      <c r="U684" s="197"/>
      <c r="V684" s="199"/>
      <c r="W684" s="197"/>
      <c r="X684" s="199"/>
      <c r="Y684" s="197"/>
      <c r="Z684" s="199"/>
      <c r="AA684" s="199"/>
      <c r="AB684" s="197"/>
    </row>
    <row r="685" spans="1:28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99"/>
      <c r="T685" s="199"/>
      <c r="U685" s="197"/>
      <c r="V685" s="199"/>
      <c r="W685" s="197"/>
      <c r="X685" s="199"/>
      <c r="Y685" s="197"/>
      <c r="Z685" s="199"/>
      <c r="AA685" s="199"/>
      <c r="AB685" s="197"/>
    </row>
    <row r="686" spans="1:28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99"/>
      <c r="T686" s="199"/>
      <c r="U686" s="197"/>
      <c r="V686" s="199"/>
      <c r="W686" s="197"/>
      <c r="X686" s="199"/>
      <c r="Y686" s="197"/>
      <c r="Z686" s="199"/>
      <c r="AA686" s="199"/>
      <c r="AB686" s="197"/>
    </row>
    <row r="687" spans="1:28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99"/>
      <c r="T687" s="199"/>
      <c r="U687" s="197"/>
      <c r="V687" s="199"/>
      <c r="W687" s="197"/>
      <c r="X687" s="199"/>
      <c r="Y687" s="197"/>
      <c r="Z687" s="199"/>
      <c r="AA687" s="199"/>
      <c r="AB687" s="197"/>
    </row>
    <row r="688" spans="1:28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99"/>
      <c r="T688" s="199"/>
      <c r="U688" s="197"/>
      <c r="V688" s="199"/>
      <c r="W688" s="197"/>
      <c r="X688" s="199"/>
      <c r="Y688" s="197"/>
      <c r="Z688" s="199"/>
      <c r="AA688" s="199"/>
      <c r="AB688" s="197"/>
    </row>
    <row r="689" spans="1:28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99"/>
      <c r="T689" s="199"/>
      <c r="U689" s="197"/>
      <c r="V689" s="199"/>
      <c r="W689" s="197"/>
      <c r="X689" s="199"/>
      <c r="Y689" s="197"/>
      <c r="Z689" s="199"/>
      <c r="AA689" s="199"/>
      <c r="AB689" s="197"/>
    </row>
    <row r="690" spans="1:28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99"/>
      <c r="T690" s="199"/>
      <c r="U690" s="197"/>
      <c r="V690" s="199"/>
      <c r="W690" s="197"/>
      <c r="X690" s="199"/>
      <c r="Y690" s="197"/>
      <c r="Z690" s="199"/>
      <c r="AA690" s="199"/>
      <c r="AB690" s="197"/>
    </row>
    <row r="691" spans="1:28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99"/>
      <c r="T691" s="199"/>
      <c r="U691" s="197"/>
      <c r="V691" s="199"/>
      <c r="W691" s="197"/>
      <c r="X691" s="199"/>
      <c r="Y691" s="197"/>
      <c r="Z691" s="199"/>
      <c r="AA691" s="199"/>
      <c r="AB691" s="197"/>
    </row>
    <row r="692" spans="1:28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99"/>
      <c r="T692" s="199"/>
      <c r="U692" s="197"/>
      <c r="V692" s="199"/>
      <c r="W692" s="197"/>
      <c r="X692" s="199"/>
      <c r="Y692" s="197"/>
      <c r="Z692" s="199"/>
      <c r="AA692" s="199"/>
      <c r="AB692" s="197"/>
    </row>
    <row r="693" spans="1:28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99"/>
      <c r="T693" s="199"/>
      <c r="U693" s="197"/>
      <c r="V693" s="199"/>
      <c r="W693" s="197"/>
      <c r="X693" s="199"/>
      <c r="Y693" s="197"/>
      <c r="Z693" s="199"/>
      <c r="AA693" s="199"/>
      <c r="AB693" s="197"/>
    </row>
    <row r="694" spans="1:28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99"/>
      <c r="T694" s="199"/>
      <c r="U694" s="197"/>
      <c r="V694" s="199"/>
      <c r="W694" s="197"/>
      <c r="X694" s="199"/>
      <c r="Y694" s="197"/>
      <c r="Z694" s="199"/>
      <c r="AA694" s="199"/>
      <c r="AB694" s="197"/>
    </row>
    <row r="695" spans="1:28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99"/>
      <c r="T695" s="199"/>
      <c r="U695" s="197"/>
      <c r="V695" s="199"/>
      <c r="W695" s="197"/>
      <c r="X695" s="199"/>
      <c r="Y695" s="197"/>
      <c r="Z695" s="199"/>
      <c r="AA695" s="199"/>
      <c r="AB695" s="197"/>
    </row>
    <row r="696" spans="1:28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99"/>
      <c r="T696" s="199"/>
      <c r="U696" s="197"/>
      <c r="V696" s="199"/>
      <c r="W696" s="197"/>
      <c r="X696" s="199"/>
      <c r="Y696" s="197"/>
      <c r="Z696" s="199"/>
      <c r="AA696" s="199"/>
      <c r="AB696" s="197"/>
    </row>
    <row r="697" spans="1:28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99"/>
      <c r="T697" s="199"/>
      <c r="U697" s="197"/>
      <c r="V697" s="199"/>
      <c r="W697" s="197"/>
      <c r="X697" s="199"/>
      <c r="Y697" s="197"/>
      <c r="Z697" s="199"/>
      <c r="AA697" s="199"/>
      <c r="AB697" s="197"/>
    </row>
    <row r="698" spans="1:28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99"/>
      <c r="T698" s="199"/>
      <c r="U698" s="197"/>
      <c r="V698" s="199"/>
      <c r="W698" s="197"/>
      <c r="X698" s="199"/>
      <c r="Y698" s="197"/>
      <c r="Z698" s="199"/>
      <c r="AA698" s="199"/>
      <c r="AB698" s="197"/>
    </row>
    <row r="699" spans="1:28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99"/>
      <c r="T699" s="199"/>
      <c r="U699" s="197"/>
      <c r="V699" s="199"/>
      <c r="W699" s="197"/>
      <c r="X699" s="199"/>
      <c r="Y699" s="197"/>
      <c r="Z699" s="199"/>
      <c r="AA699" s="199"/>
      <c r="AB699" s="197"/>
    </row>
    <row r="700" spans="1:28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99"/>
      <c r="T700" s="199"/>
      <c r="U700" s="197"/>
      <c r="V700" s="199"/>
      <c r="W700" s="197"/>
      <c r="X700" s="199"/>
      <c r="Y700" s="197"/>
      <c r="Z700" s="199"/>
      <c r="AA700" s="199"/>
      <c r="AB700" s="197"/>
    </row>
    <row r="701" spans="1:28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99"/>
      <c r="T701" s="199"/>
      <c r="U701" s="197"/>
      <c r="V701" s="199"/>
      <c r="W701" s="197"/>
      <c r="X701" s="199"/>
      <c r="Y701" s="197"/>
      <c r="Z701" s="199"/>
      <c r="AA701" s="199"/>
      <c r="AB701" s="197"/>
    </row>
    <row r="702" spans="1:28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99"/>
      <c r="T702" s="199"/>
      <c r="U702" s="197"/>
      <c r="V702" s="199"/>
      <c r="W702" s="197"/>
      <c r="X702" s="199"/>
      <c r="Y702" s="197"/>
      <c r="Z702" s="199"/>
      <c r="AA702" s="199"/>
      <c r="AB702" s="197"/>
    </row>
    <row r="703" spans="1:28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99"/>
      <c r="T703" s="199"/>
      <c r="U703" s="197"/>
      <c r="V703" s="199"/>
      <c r="W703" s="197"/>
      <c r="X703" s="199"/>
      <c r="Y703" s="197"/>
      <c r="Z703" s="199"/>
      <c r="AA703" s="199"/>
      <c r="AB703" s="197"/>
    </row>
    <row r="704" spans="1:28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99"/>
      <c r="T704" s="199"/>
      <c r="U704" s="197"/>
      <c r="V704" s="199"/>
      <c r="W704" s="197"/>
      <c r="X704" s="199"/>
      <c r="Y704" s="197"/>
      <c r="Z704" s="199"/>
      <c r="AA704" s="199"/>
      <c r="AB704" s="197"/>
    </row>
    <row r="705" spans="1:28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99"/>
      <c r="T705" s="199"/>
      <c r="U705" s="197"/>
      <c r="V705" s="199"/>
      <c r="W705" s="197"/>
      <c r="X705" s="199"/>
      <c r="Y705" s="197"/>
      <c r="Z705" s="199"/>
      <c r="AA705" s="199"/>
      <c r="AB705" s="197"/>
    </row>
    <row r="706" spans="1:28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99"/>
      <c r="T706" s="199"/>
      <c r="U706" s="197"/>
      <c r="V706" s="199"/>
      <c r="W706" s="197"/>
      <c r="X706" s="199"/>
      <c r="Y706" s="197"/>
      <c r="Z706" s="199"/>
      <c r="AA706" s="199"/>
      <c r="AB706" s="197"/>
    </row>
    <row r="707" spans="1:28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99"/>
      <c r="T707" s="199"/>
      <c r="U707" s="197"/>
      <c r="V707" s="199"/>
      <c r="W707" s="197"/>
      <c r="X707" s="199"/>
      <c r="Y707" s="197"/>
      <c r="Z707" s="199"/>
      <c r="AA707" s="199"/>
      <c r="AB707" s="197"/>
    </row>
    <row r="708" spans="1:28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99"/>
      <c r="T708" s="199"/>
      <c r="U708" s="197"/>
      <c r="V708" s="199"/>
      <c r="W708" s="197"/>
      <c r="X708" s="199"/>
      <c r="Y708" s="197"/>
      <c r="Z708" s="199"/>
      <c r="AA708" s="199"/>
      <c r="AB708" s="197"/>
    </row>
    <row r="709" spans="1:28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99"/>
      <c r="T709" s="199"/>
      <c r="U709" s="197"/>
      <c r="V709" s="199"/>
      <c r="W709" s="197"/>
      <c r="X709" s="199"/>
      <c r="Y709" s="197"/>
      <c r="Z709" s="199"/>
      <c r="AA709" s="199"/>
      <c r="AB709" s="197"/>
    </row>
    <row r="710" spans="1:28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99"/>
      <c r="T710" s="199"/>
      <c r="U710" s="197"/>
      <c r="V710" s="199"/>
      <c r="W710" s="197"/>
      <c r="X710" s="199"/>
      <c r="Y710" s="197"/>
      <c r="Z710" s="199"/>
      <c r="AA710" s="199"/>
      <c r="AB710" s="197"/>
    </row>
    <row r="711" spans="1:28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99"/>
      <c r="T711" s="199"/>
      <c r="U711" s="197"/>
      <c r="V711" s="199"/>
      <c r="W711" s="197"/>
      <c r="X711" s="199"/>
      <c r="Y711" s="197"/>
      <c r="Z711" s="199"/>
      <c r="AA711" s="199"/>
      <c r="AB711" s="197"/>
    </row>
    <row r="712" spans="1:28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99"/>
      <c r="T712" s="199"/>
      <c r="U712" s="197"/>
      <c r="V712" s="199"/>
      <c r="W712" s="197"/>
      <c r="X712" s="199"/>
      <c r="Y712" s="197"/>
      <c r="Z712" s="199"/>
      <c r="AA712" s="199"/>
      <c r="AB712" s="197"/>
    </row>
    <row r="713" spans="1:28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99"/>
      <c r="T713" s="199"/>
      <c r="U713" s="197"/>
      <c r="V713" s="199"/>
      <c r="W713" s="197"/>
      <c r="X713" s="199"/>
      <c r="Y713" s="197"/>
      <c r="Z713" s="199"/>
      <c r="AA713" s="199"/>
      <c r="AB713" s="197"/>
    </row>
    <row r="714" spans="1:28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99"/>
      <c r="T714" s="199"/>
      <c r="U714" s="197"/>
      <c r="V714" s="199"/>
      <c r="W714" s="197"/>
      <c r="X714" s="199"/>
      <c r="Y714" s="197"/>
      <c r="Z714" s="199"/>
      <c r="AA714" s="199"/>
      <c r="AB714" s="197"/>
    </row>
    <row r="715" spans="1:28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99"/>
      <c r="T715" s="199"/>
      <c r="U715" s="197"/>
      <c r="V715" s="199"/>
      <c r="W715" s="197"/>
      <c r="X715" s="199"/>
      <c r="Y715" s="197"/>
      <c r="Z715" s="199"/>
      <c r="AA715" s="199"/>
      <c r="AB715" s="197"/>
    </row>
    <row r="716" spans="1:28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99"/>
      <c r="T716" s="199"/>
      <c r="U716" s="197"/>
      <c r="V716" s="199"/>
      <c r="W716" s="197"/>
      <c r="X716" s="199"/>
      <c r="Y716" s="197"/>
      <c r="Z716" s="199"/>
      <c r="AA716" s="199"/>
      <c r="AB716" s="197"/>
    </row>
    <row r="717" spans="1:28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99"/>
      <c r="T717" s="199"/>
      <c r="U717" s="197"/>
      <c r="V717" s="199"/>
      <c r="W717" s="197"/>
      <c r="X717" s="199"/>
      <c r="Y717" s="197"/>
      <c r="Z717" s="199"/>
      <c r="AA717" s="199"/>
      <c r="AB717" s="197"/>
    </row>
    <row r="718" spans="1:28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99"/>
      <c r="T718" s="199"/>
      <c r="U718" s="197"/>
      <c r="V718" s="199"/>
      <c r="W718" s="197"/>
      <c r="X718" s="199"/>
      <c r="Y718" s="197"/>
      <c r="Z718" s="199"/>
      <c r="AA718" s="199"/>
      <c r="AB718" s="197"/>
    </row>
    <row r="719" spans="1:28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99"/>
      <c r="T719" s="199"/>
      <c r="U719" s="197"/>
      <c r="V719" s="199"/>
      <c r="W719" s="197"/>
      <c r="X719" s="199"/>
      <c r="Y719" s="197"/>
      <c r="Z719" s="199"/>
      <c r="AA719" s="199"/>
      <c r="AB719" s="197"/>
    </row>
    <row r="720" spans="1:28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99"/>
      <c r="T720" s="199"/>
      <c r="U720" s="197"/>
      <c r="V720" s="199"/>
      <c r="W720" s="197"/>
      <c r="X720" s="199"/>
      <c r="Y720" s="197"/>
      <c r="Z720" s="199"/>
      <c r="AA720" s="199"/>
      <c r="AB720" s="197"/>
    </row>
    <row r="721" spans="1:28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99"/>
      <c r="T721" s="199"/>
      <c r="U721" s="197"/>
      <c r="V721" s="199"/>
      <c r="W721" s="197"/>
      <c r="X721" s="199"/>
      <c r="Y721" s="197"/>
      <c r="Z721" s="199"/>
      <c r="AA721" s="199"/>
      <c r="AB721" s="197"/>
    </row>
    <row r="722" spans="1:28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99"/>
      <c r="T722" s="199"/>
      <c r="U722" s="197"/>
      <c r="V722" s="199"/>
      <c r="W722" s="197"/>
      <c r="X722" s="199"/>
      <c r="Y722" s="197"/>
      <c r="Z722" s="199"/>
      <c r="AA722" s="199"/>
      <c r="AB722" s="197"/>
    </row>
    <row r="723" spans="1:28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99"/>
      <c r="T723" s="199"/>
      <c r="U723" s="197"/>
      <c r="V723" s="199"/>
      <c r="W723" s="197"/>
      <c r="X723" s="199"/>
      <c r="Y723" s="197"/>
      <c r="Z723" s="199"/>
      <c r="AA723" s="199"/>
      <c r="AB723" s="197"/>
    </row>
    <row r="724" spans="1:28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99"/>
      <c r="T724" s="199"/>
      <c r="U724" s="197"/>
      <c r="V724" s="199"/>
      <c r="W724" s="197"/>
      <c r="X724" s="199"/>
      <c r="Y724" s="197"/>
      <c r="Z724" s="199"/>
      <c r="AA724" s="199"/>
      <c r="AB724" s="197"/>
    </row>
    <row r="725" spans="1:28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99"/>
      <c r="T725" s="199"/>
      <c r="U725" s="197"/>
      <c r="V725" s="199"/>
      <c r="W725" s="197"/>
      <c r="X725" s="199"/>
      <c r="Y725" s="197"/>
      <c r="Z725" s="199"/>
      <c r="AA725" s="199"/>
      <c r="AB725" s="197"/>
    </row>
    <row r="726" spans="1:28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99"/>
      <c r="T726" s="199"/>
      <c r="U726" s="197"/>
      <c r="V726" s="199"/>
      <c r="W726" s="197"/>
      <c r="X726" s="199"/>
      <c r="Y726" s="197"/>
      <c r="Z726" s="199"/>
      <c r="AA726" s="199"/>
      <c r="AB726" s="197"/>
    </row>
    <row r="727" spans="1:28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99"/>
      <c r="T727" s="199"/>
      <c r="U727" s="197"/>
      <c r="V727" s="199"/>
      <c r="W727" s="197"/>
      <c r="X727" s="199"/>
      <c r="Y727" s="197"/>
      <c r="Z727" s="199"/>
      <c r="AA727" s="199"/>
      <c r="AB727" s="197"/>
    </row>
    <row r="728" spans="1:28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99"/>
      <c r="T728" s="199"/>
      <c r="U728" s="197"/>
      <c r="V728" s="199"/>
      <c r="W728" s="197"/>
      <c r="X728" s="199"/>
      <c r="Y728" s="197"/>
      <c r="Z728" s="199"/>
      <c r="AA728" s="199"/>
      <c r="AB728" s="197"/>
    </row>
    <row r="729" spans="1:28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99"/>
      <c r="T729" s="199"/>
      <c r="U729" s="197"/>
      <c r="V729" s="199"/>
      <c r="W729" s="197"/>
      <c r="X729" s="199"/>
      <c r="Y729" s="197"/>
      <c r="Z729" s="199"/>
      <c r="AA729" s="199"/>
      <c r="AB729" s="197"/>
    </row>
    <row r="730" spans="1:28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99"/>
      <c r="T730" s="199"/>
      <c r="U730" s="197"/>
      <c r="V730" s="199"/>
      <c r="W730" s="197"/>
      <c r="X730" s="199"/>
      <c r="Y730" s="197"/>
      <c r="Z730" s="199"/>
      <c r="AA730" s="199"/>
      <c r="AB730" s="197"/>
    </row>
    <row r="731" spans="1:28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99"/>
      <c r="T731" s="199"/>
      <c r="U731" s="197"/>
      <c r="V731" s="199"/>
      <c r="W731" s="197"/>
      <c r="X731" s="199"/>
      <c r="Y731" s="197"/>
      <c r="Z731" s="199"/>
      <c r="AA731" s="199"/>
      <c r="AB731" s="197"/>
    </row>
    <row r="732" spans="1:28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99"/>
      <c r="T732" s="199"/>
      <c r="U732" s="197"/>
      <c r="V732" s="199"/>
      <c r="W732" s="197"/>
      <c r="X732" s="199"/>
      <c r="Y732" s="197"/>
      <c r="Z732" s="199"/>
      <c r="AA732" s="199"/>
      <c r="AB732" s="197"/>
    </row>
    <row r="733" spans="1:28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99"/>
      <c r="T733" s="199"/>
      <c r="U733" s="197"/>
      <c r="V733" s="199"/>
      <c r="W733" s="197"/>
      <c r="X733" s="199"/>
      <c r="Y733" s="197"/>
      <c r="Z733" s="199"/>
      <c r="AA733" s="199"/>
      <c r="AB733" s="197"/>
    </row>
    <row r="734" spans="1:28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99"/>
      <c r="T734" s="199"/>
      <c r="U734" s="197"/>
      <c r="V734" s="199"/>
      <c r="W734" s="197"/>
      <c r="X734" s="199"/>
      <c r="Y734" s="197"/>
      <c r="Z734" s="199"/>
      <c r="AA734" s="199"/>
      <c r="AB734" s="197"/>
    </row>
    <row r="735" spans="1:28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99"/>
      <c r="T735" s="199"/>
      <c r="U735" s="197"/>
      <c r="V735" s="199"/>
      <c r="W735" s="197"/>
      <c r="X735" s="199"/>
      <c r="Y735" s="197"/>
      <c r="Z735" s="199"/>
      <c r="AA735" s="199"/>
      <c r="AB735" s="197"/>
    </row>
    <row r="736" spans="1:28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99"/>
      <c r="T736" s="199"/>
      <c r="U736" s="197"/>
      <c r="V736" s="199"/>
      <c r="W736" s="197"/>
      <c r="X736" s="199"/>
      <c r="Y736" s="197"/>
      <c r="Z736" s="199"/>
      <c r="AA736" s="199"/>
      <c r="AB736" s="197"/>
    </row>
    <row r="737" spans="1:28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99"/>
      <c r="T737" s="199"/>
      <c r="U737" s="197"/>
      <c r="V737" s="199"/>
      <c r="W737" s="197"/>
      <c r="X737" s="199"/>
      <c r="Y737" s="197"/>
      <c r="Z737" s="199"/>
      <c r="AA737" s="199"/>
      <c r="AB737" s="197"/>
    </row>
    <row r="738" spans="1:28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99"/>
      <c r="T738" s="199"/>
      <c r="U738" s="197"/>
      <c r="V738" s="199"/>
      <c r="W738" s="197"/>
      <c r="X738" s="199"/>
      <c r="Y738" s="197"/>
      <c r="Z738" s="199"/>
      <c r="AA738" s="199"/>
      <c r="AB738" s="197"/>
    </row>
    <row r="739" spans="1:28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99"/>
      <c r="T739" s="199"/>
      <c r="U739" s="197"/>
      <c r="V739" s="199"/>
      <c r="W739" s="197"/>
      <c r="X739" s="199"/>
      <c r="Y739" s="197"/>
      <c r="Z739" s="199"/>
      <c r="AA739" s="199"/>
      <c r="AB739" s="197"/>
    </row>
    <row r="740" spans="1:28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99"/>
      <c r="T740" s="199"/>
      <c r="U740" s="197"/>
      <c r="V740" s="199"/>
      <c r="W740" s="197"/>
      <c r="X740" s="199"/>
      <c r="Y740" s="197"/>
      <c r="Z740" s="199"/>
      <c r="AA740" s="199"/>
      <c r="AB740" s="197"/>
    </row>
    <row r="741" spans="1:28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99"/>
      <c r="T741" s="199"/>
      <c r="U741" s="197"/>
      <c r="V741" s="199"/>
      <c r="W741" s="197"/>
      <c r="X741" s="199"/>
      <c r="Y741" s="197"/>
      <c r="Z741" s="199"/>
      <c r="AA741" s="199"/>
      <c r="AB741" s="197"/>
    </row>
    <row r="742" spans="1:28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99"/>
      <c r="T742" s="199"/>
      <c r="U742" s="197"/>
      <c r="V742" s="199"/>
      <c r="W742" s="197"/>
      <c r="X742" s="199"/>
      <c r="Y742" s="197"/>
      <c r="Z742" s="199"/>
      <c r="AA742" s="199"/>
      <c r="AB742" s="197"/>
    </row>
    <row r="743" spans="1:28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99"/>
      <c r="T743" s="199"/>
      <c r="U743" s="197"/>
      <c r="V743" s="199"/>
      <c r="W743" s="197"/>
      <c r="X743" s="199"/>
      <c r="Y743" s="197"/>
      <c r="Z743" s="199"/>
      <c r="AA743" s="199"/>
      <c r="AB743" s="197"/>
    </row>
    <row r="744" spans="1:28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99"/>
      <c r="T744" s="199"/>
      <c r="U744" s="197"/>
      <c r="V744" s="199"/>
      <c r="W744" s="197"/>
      <c r="X744" s="199"/>
      <c r="Y744" s="197"/>
      <c r="Z744" s="199"/>
      <c r="AA744" s="199"/>
      <c r="AB744" s="197"/>
    </row>
    <row r="745" spans="1:28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99"/>
      <c r="T745" s="199"/>
      <c r="U745" s="197"/>
      <c r="V745" s="199"/>
      <c r="W745" s="197"/>
      <c r="X745" s="199"/>
      <c r="Y745" s="197"/>
      <c r="Z745" s="199"/>
      <c r="AA745" s="199"/>
      <c r="AB745" s="197"/>
    </row>
    <row r="746" spans="1:28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99"/>
      <c r="T746" s="199"/>
      <c r="U746" s="197"/>
      <c r="V746" s="199"/>
      <c r="W746" s="197"/>
      <c r="X746" s="199"/>
      <c r="Y746" s="197"/>
      <c r="Z746" s="199"/>
      <c r="AA746" s="199"/>
      <c r="AB746" s="197"/>
    </row>
    <row r="747" spans="1:28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99"/>
      <c r="T747" s="199"/>
      <c r="U747" s="197"/>
      <c r="V747" s="199"/>
      <c r="W747" s="197"/>
      <c r="X747" s="199"/>
      <c r="Y747" s="197"/>
      <c r="Z747" s="199"/>
      <c r="AA747" s="199"/>
      <c r="AB747" s="197"/>
    </row>
    <row r="748" spans="1:28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99"/>
      <c r="T748" s="199"/>
      <c r="U748" s="197"/>
      <c r="V748" s="199"/>
      <c r="W748" s="197"/>
      <c r="X748" s="199"/>
      <c r="Y748" s="197"/>
      <c r="Z748" s="199"/>
      <c r="AA748" s="199"/>
      <c r="AB748" s="197"/>
    </row>
    <row r="749" spans="1:28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99"/>
      <c r="T749" s="199"/>
      <c r="U749" s="197"/>
      <c r="V749" s="199"/>
      <c r="W749" s="197"/>
      <c r="X749" s="199"/>
      <c r="Y749" s="197"/>
      <c r="Z749" s="199"/>
      <c r="AA749" s="199"/>
      <c r="AB749" s="197"/>
    </row>
    <row r="750" spans="1:28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99"/>
      <c r="T750" s="199"/>
      <c r="U750" s="197"/>
      <c r="V750" s="199"/>
      <c r="W750" s="197"/>
      <c r="X750" s="199"/>
      <c r="Y750" s="197"/>
      <c r="Z750" s="199"/>
      <c r="AA750" s="199"/>
      <c r="AB750" s="197"/>
    </row>
    <row r="751" spans="1:28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99"/>
      <c r="T751" s="199"/>
      <c r="U751" s="197"/>
      <c r="V751" s="199"/>
      <c r="W751" s="197"/>
      <c r="X751" s="199"/>
      <c r="Y751" s="197"/>
      <c r="Z751" s="199"/>
      <c r="AA751" s="199"/>
      <c r="AB751" s="197"/>
    </row>
    <row r="752" spans="1:28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99"/>
      <c r="T752" s="199"/>
      <c r="U752" s="197"/>
      <c r="V752" s="199"/>
      <c r="W752" s="197"/>
      <c r="X752" s="199"/>
      <c r="Y752" s="197"/>
      <c r="Z752" s="199"/>
      <c r="AA752" s="199"/>
      <c r="AB752" s="197"/>
    </row>
    <row r="753" spans="1:28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99"/>
      <c r="T753" s="199"/>
      <c r="U753" s="197"/>
      <c r="V753" s="199"/>
      <c r="W753" s="197"/>
      <c r="X753" s="199"/>
      <c r="Y753" s="197"/>
      <c r="Z753" s="199"/>
      <c r="AA753" s="199"/>
      <c r="AB753" s="197"/>
    </row>
    <row r="754" spans="1:28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99"/>
      <c r="T754" s="199"/>
      <c r="U754" s="197"/>
      <c r="V754" s="199"/>
      <c r="W754" s="197"/>
      <c r="X754" s="199"/>
      <c r="Y754" s="197"/>
      <c r="Z754" s="199"/>
      <c r="AA754" s="199"/>
      <c r="AB754" s="197"/>
    </row>
    <row r="755" spans="1:28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99"/>
      <c r="T755" s="199"/>
      <c r="U755" s="197"/>
      <c r="V755" s="199"/>
      <c r="W755" s="197"/>
      <c r="X755" s="199"/>
      <c r="Y755" s="197"/>
      <c r="Z755" s="199"/>
      <c r="AA755" s="199"/>
      <c r="AB755" s="197"/>
    </row>
    <row r="756" spans="1:28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99"/>
      <c r="T756" s="199"/>
      <c r="U756" s="197"/>
      <c r="V756" s="199"/>
      <c r="W756" s="197"/>
      <c r="X756" s="199"/>
      <c r="Y756" s="197"/>
      <c r="Z756" s="199"/>
      <c r="AA756" s="199"/>
      <c r="AB756" s="197"/>
    </row>
    <row r="757" spans="1:28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99"/>
      <c r="T757" s="199"/>
      <c r="U757" s="197"/>
      <c r="V757" s="199"/>
      <c r="W757" s="197"/>
      <c r="X757" s="199"/>
      <c r="Y757" s="197"/>
      <c r="Z757" s="199"/>
      <c r="AA757" s="199"/>
      <c r="AB757" s="197"/>
    </row>
    <row r="758" spans="1:28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99"/>
      <c r="T758" s="199"/>
      <c r="U758" s="197"/>
      <c r="V758" s="199"/>
      <c r="W758" s="197"/>
      <c r="X758" s="199"/>
      <c r="Y758" s="197"/>
      <c r="Z758" s="199"/>
      <c r="AA758" s="199"/>
      <c r="AB758" s="197"/>
    </row>
    <row r="759" spans="1:28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99"/>
      <c r="T759" s="199"/>
      <c r="U759" s="197"/>
      <c r="V759" s="199"/>
      <c r="W759" s="197"/>
      <c r="X759" s="199"/>
      <c r="Y759" s="197"/>
      <c r="Z759" s="199"/>
      <c r="AA759" s="199"/>
      <c r="AB759" s="197"/>
    </row>
    <row r="760" spans="1:28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99"/>
      <c r="T760" s="199"/>
      <c r="U760" s="197"/>
      <c r="V760" s="199"/>
      <c r="W760" s="197"/>
      <c r="X760" s="199"/>
      <c r="Y760" s="197"/>
      <c r="Z760" s="199"/>
      <c r="AA760" s="199"/>
      <c r="AB760" s="197"/>
    </row>
    <row r="761" spans="1:28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99"/>
      <c r="T761" s="199"/>
      <c r="U761" s="197"/>
      <c r="V761" s="199"/>
      <c r="W761" s="197"/>
      <c r="X761" s="199"/>
      <c r="Y761" s="197"/>
      <c r="Z761" s="199"/>
      <c r="AA761" s="199"/>
      <c r="AB761" s="197"/>
    </row>
    <row r="762" spans="1:28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99"/>
      <c r="T762" s="199"/>
      <c r="U762" s="197"/>
      <c r="V762" s="199"/>
      <c r="W762" s="197"/>
      <c r="X762" s="199"/>
      <c r="Y762" s="197"/>
      <c r="Z762" s="199"/>
      <c r="AA762" s="199"/>
      <c r="AB762" s="197"/>
    </row>
    <row r="763" spans="1:28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99"/>
      <c r="T763" s="199"/>
      <c r="U763" s="197"/>
      <c r="V763" s="199"/>
      <c r="W763" s="197"/>
      <c r="X763" s="199"/>
      <c r="Y763" s="197"/>
      <c r="Z763" s="199"/>
      <c r="AA763" s="199"/>
      <c r="AB763" s="197"/>
    </row>
    <row r="764" spans="1:28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99"/>
      <c r="T764" s="199"/>
      <c r="U764" s="197"/>
      <c r="V764" s="199"/>
      <c r="W764" s="197"/>
      <c r="X764" s="199"/>
      <c r="Y764" s="197"/>
      <c r="Z764" s="199"/>
      <c r="AA764" s="199"/>
      <c r="AB764" s="197"/>
    </row>
    <row r="765" spans="1:28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99"/>
      <c r="T765" s="199"/>
      <c r="U765" s="197"/>
      <c r="V765" s="199"/>
      <c r="W765" s="197"/>
      <c r="X765" s="199"/>
      <c r="Y765" s="197"/>
      <c r="Z765" s="199"/>
      <c r="AA765" s="199"/>
      <c r="AB765" s="197"/>
    </row>
    <row r="766" spans="1:28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99"/>
      <c r="T766" s="199"/>
      <c r="U766" s="197"/>
      <c r="V766" s="199"/>
      <c r="W766" s="197"/>
      <c r="X766" s="199"/>
      <c r="Y766" s="197"/>
      <c r="Z766" s="199"/>
      <c r="AA766" s="199"/>
      <c r="AB766" s="197"/>
    </row>
    <row r="767" spans="1:28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99"/>
      <c r="T767" s="199"/>
      <c r="U767" s="197"/>
      <c r="V767" s="199"/>
      <c r="W767" s="197"/>
      <c r="X767" s="199"/>
      <c r="Y767" s="197"/>
      <c r="Z767" s="199"/>
      <c r="AA767" s="199"/>
      <c r="AB767" s="197"/>
    </row>
    <row r="768" spans="1:28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99"/>
      <c r="T768" s="199"/>
      <c r="U768" s="197"/>
      <c r="V768" s="199"/>
      <c r="W768" s="197"/>
      <c r="X768" s="199"/>
      <c r="Y768" s="197"/>
      <c r="Z768" s="199"/>
      <c r="AA768" s="199"/>
      <c r="AB768" s="197"/>
    </row>
    <row r="769" spans="1:28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99"/>
      <c r="T769" s="199"/>
      <c r="U769" s="197"/>
      <c r="V769" s="199"/>
      <c r="W769" s="197"/>
      <c r="X769" s="199"/>
      <c r="Y769" s="197"/>
      <c r="Z769" s="199"/>
      <c r="AA769" s="199"/>
      <c r="AB769" s="197"/>
    </row>
    <row r="770" spans="1:28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99"/>
      <c r="T770" s="199"/>
      <c r="U770" s="197"/>
      <c r="V770" s="199"/>
      <c r="W770" s="197"/>
      <c r="X770" s="199"/>
      <c r="Y770" s="197"/>
      <c r="Z770" s="199"/>
      <c r="AA770" s="199"/>
      <c r="AB770" s="197"/>
    </row>
    <row r="771" spans="1:28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99"/>
      <c r="T771" s="199"/>
      <c r="U771" s="197"/>
      <c r="V771" s="199"/>
      <c r="W771" s="197"/>
      <c r="X771" s="199"/>
      <c r="Y771" s="197"/>
      <c r="Z771" s="199"/>
      <c r="AA771" s="199"/>
      <c r="AB771" s="197"/>
    </row>
    <row r="772" spans="1:28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99"/>
      <c r="T772" s="199"/>
      <c r="U772" s="197"/>
      <c r="V772" s="199"/>
      <c r="W772" s="197"/>
      <c r="X772" s="199"/>
      <c r="Y772" s="197"/>
      <c r="Z772" s="199"/>
      <c r="AA772" s="199"/>
      <c r="AB772" s="197"/>
    </row>
    <row r="773" spans="1:28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99"/>
      <c r="T773" s="199"/>
      <c r="U773" s="197"/>
      <c r="V773" s="199"/>
      <c r="W773" s="197"/>
      <c r="X773" s="199"/>
      <c r="Y773" s="197"/>
      <c r="Z773" s="199"/>
      <c r="AA773" s="199"/>
      <c r="AB773" s="197"/>
    </row>
    <row r="774" spans="1:28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99"/>
      <c r="T774" s="199"/>
      <c r="U774" s="197"/>
      <c r="V774" s="199"/>
      <c r="W774" s="197"/>
      <c r="X774" s="199"/>
      <c r="Y774" s="197"/>
      <c r="Z774" s="199"/>
      <c r="AA774" s="199"/>
      <c r="AB774" s="197"/>
    </row>
    <row r="775" spans="1:28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99"/>
      <c r="T775" s="199"/>
      <c r="U775" s="197"/>
      <c r="V775" s="199"/>
      <c r="W775" s="197"/>
      <c r="X775" s="199"/>
      <c r="Y775" s="197"/>
      <c r="Z775" s="199"/>
      <c r="AA775" s="199"/>
      <c r="AB775" s="197"/>
    </row>
    <row r="776" spans="1:28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99"/>
      <c r="T776" s="199"/>
      <c r="U776" s="197"/>
      <c r="V776" s="199"/>
      <c r="W776" s="197"/>
      <c r="X776" s="199"/>
      <c r="Y776" s="197"/>
      <c r="Z776" s="199"/>
      <c r="AA776" s="199"/>
      <c r="AB776" s="197"/>
    </row>
    <row r="777" spans="1:28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99"/>
      <c r="T777" s="199"/>
      <c r="U777" s="197"/>
      <c r="V777" s="199"/>
      <c r="W777" s="197"/>
      <c r="X777" s="199"/>
      <c r="Y777" s="197"/>
      <c r="Z777" s="199"/>
      <c r="AA777" s="199"/>
      <c r="AB777" s="197"/>
    </row>
    <row r="778" spans="1:28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99"/>
      <c r="T778" s="199"/>
      <c r="U778" s="197"/>
      <c r="V778" s="199"/>
      <c r="W778" s="197"/>
      <c r="X778" s="199"/>
      <c r="Y778" s="197"/>
      <c r="Z778" s="199"/>
      <c r="AA778" s="199"/>
      <c r="AB778" s="197"/>
    </row>
    <row r="779" spans="1:28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99"/>
      <c r="T779" s="199"/>
      <c r="U779" s="197"/>
      <c r="V779" s="199"/>
      <c r="W779" s="197"/>
      <c r="X779" s="199"/>
      <c r="Y779" s="197"/>
      <c r="Z779" s="199"/>
      <c r="AA779" s="199"/>
      <c r="AB779" s="197"/>
    </row>
    <row r="780" spans="1:28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99"/>
      <c r="T780" s="199"/>
      <c r="U780" s="197"/>
      <c r="V780" s="199"/>
      <c r="W780" s="197"/>
      <c r="X780" s="199"/>
      <c r="Y780" s="197"/>
      <c r="Z780" s="199"/>
      <c r="AA780" s="199"/>
      <c r="AB780" s="197"/>
    </row>
    <row r="781" spans="1:28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99"/>
      <c r="T781" s="199"/>
      <c r="U781" s="197"/>
      <c r="V781" s="199"/>
      <c r="W781" s="197"/>
      <c r="X781" s="199"/>
      <c r="Y781" s="197"/>
      <c r="Z781" s="199"/>
      <c r="AA781" s="199"/>
      <c r="AB781" s="197"/>
    </row>
    <row r="782" spans="1:28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99"/>
      <c r="T782" s="199"/>
      <c r="U782" s="197"/>
      <c r="V782" s="199"/>
      <c r="W782" s="197"/>
      <c r="X782" s="199"/>
      <c r="Y782" s="197"/>
      <c r="Z782" s="199"/>
      <c r="AA782" s="199"/>
      <c r="AB782" s="197"/>
    </row>
    <row r="783" spans="1:28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99"/>
      <c r="T783" s="199"/>
      <c r="U783" s="197"/>
      <c r="V783" s="199"/>
      <c r="W783" s="197"/>
      <c r="X783" s="199"/>
      <c r="Y783" s="197"/>
      <c r="Z783" s="199"/>
      <c r="AA783" s="199"/>
      <c r="AB783" s="197"/>
    </row>
    <row r="784" spans="1:28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99"/>
      <c r="T784" s="199"/>
      <c r="U784" s="197"/>
      <c r="V784" s="199"/>
      <c r="W784" s="197"/>
      <c r="X784" s="199"/>
      <c r="Y784" s="197"/>
      <c r="Z784" s="199"/>
      <c r="AA784" s="199"/>
      <c r="AB784" s="197"/>
    </row>
    <row r="785" spans="1:28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99"/>
      <c r="T785" s="199"/>
      <c r="U785" s="197"/>
      <c r="V785" s="199"/>
      <c r="W785" s="197"/>
      <c r="X785" s="199"/>
      <c r="Y785" s="197"/>
      <c r="Z785" s="199"/>
      <c r="AA785" s="199"/>
      <c r="AB785" s="197"/>
    </row>
    <row r="786" spans="1:28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99"/>
      <c r="T786" s="199"/>
      <c r="U786" s="197"/>
      <c r="V786" s="199"/>
      <c r="W786" s="197"/>
      <c r="X786" s="199"/>
      <c r="Y786" s="197"/>
      <c r="Z786" s="199"/>
      <c r="AA786" s="199"/>
      <c r="AB786" s="197"/>
    </row>
    <row r="787" spans="1:28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99"/>
      <c r="T787" s="199"/>
      <c r="U787" s="197"/>
      <c r="V787" s="199"/>
      <c r="W787" s="197"/>
      <c r="X787" s="199"/>
      <c r="Y787" s="197"/>
      <c r="Z787" s="199"/>
      <c r="AA787" s="199"/>
      <c r="AB787" s="197"/>
    </row>
    <row r="788" spans="1:28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99"/>
      <c r="T788" s="199"/>
      <c r="U788" s="197"/>
      <c r="V788" s="199"/>
      <c r="W788" s="197"/>
      <c r="X788" s="199"/>
      <c r="Y788" s="197"/>
      <c r="Z788" s="199"/>
      <c r="AA788" s="199"/>
      <c r="AB788" s="197"/>
    </row>
    <row r="789" spans="1:28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99"/>
      <c r="T789" s="199"/>
      <c r="U789" s="197"/>
      <c r="V789" s="199"/>
      <c r="W789" s="197"/>
      <c r="X789" s="199"/>
      <c r="Y789" s="197"/>
      <c r="Z789" s="199"/>
      <c r="AA789" s="199"/>
      <c r="AB789" s="197"/>
    </row>
    <row r="790" spans="1:28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99"/>
      <c r="T790" s="199"/>
      <c r="U790" s="197"/>
      <c r="V790" s="199"/>
      <c r="W790" s="197"/>
      <c r="X790" s="199"/>
      <c r="Y790" s="197"/>
      <c r="Z790" s="199"/>
      <c r="AA790" s="199"/>
      <c r="AB790" s="197"/>
    </row>
    <row r="791" spans="1:28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99"/>
      <c r="T791" s="199"/>
      <c r="U791" s="197"/>
      <c r="V791" s="199"/>
      <c r="W791" s="197"/>
      <c r="X791" s="199"/>
      <c r="Y791" s="197"/>
      <c r="Z791" s="199"/>
      <c r="AA791" s="199"/>
      <c r="AB791" s="197"/>
    </row>
    <row r="792" spans="1:28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99"/>
      <c r="T792" s="199"/>
      <c r="U792" s="197"/>
      <c r="V792" s="199"/>
      <c r="W792" s="197"/>
      <c r="X792" s="199"/>
      <c r="Y792" s="197"/>
      <c r="Z792" s="199"/>
      <c r="AA792" s="199"/>
      <c r="AB792" s="197"/>
    </row>
    <row r="793" spans="1:28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99"/>
      <c r="T793" s="199"/>
      <c r="U793" s="197"/>
      <c r="V793" s="199"/>
      <c r="W793" s="197"/>
      <c r="X793" s="199"/>
      <c r="Y793" s="197"/>
      <c r="Z793" s="199"/>
      <c r="AA793" s="199"/>
      <c r="AB793" s="197"/>
    </row>
    <row r="794" spans="1:28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99"/>
      <c r="T794" s="199"/>
      <c r="U794" s="197"/>
      <c r="V794" s="199"/>
      <c r="W794" s="197"/>
      <c r="X794" s="199"/>
      <c r="Y794" s="197"/>
      <c r="Z794" s="199"/>
      <c r="AA794" s="199"/>
      <c r="AB794" s="197"/>
    </row>
    <row r="795" spans="1:28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99"/>
      <c r="T795" s="199"/>
      <c r="U795" s="197"/>
      <c r="V795" s="199"/>
      <c r="W795" s="197"/>
      <c r="X795" s="199"/>
      <c r="Y795" s="197"/>
      <c r="Z795" s="199"/>
      <c r="AA795" s="199"/>
      <c r="AB795" s="197"/>
    </row>
    <row r="796" spans="1:28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99"/>
      <c r="T796" s="199"/>
      <c r="U796" s="197"/>
      <c r="V796" s="199"/>
      <c r="W796" s="197"/>
      <c r="X796" s="199"/>
      <c r="Y796" s="197"/>
      <c r="Z796" s="199"/>
      <c r="AA796" s="199"/>
      <c r="AB796" s="197"/>
    </row>
    <row r="797" spans="1:28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99"/>
      <c r="T797" s="199"/>
      <c r="U797" s="197"/>
      <c r="V797" s="199"/>
      <c r="W797" s="197"/>
      <c r="X797" s="199"/>
      <c r="Y797" s="197"/>
      <c r="Z797" s="199"/>
      <c r="AA797" s="199"/>
      <c r="AB797" s="197"/>
    </row>
    <row r="798" spans="1:28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99"/>
      <c r="T798" s="199"/>
      <c r="U798" s="197"/>
      <c r="V798" s="199"/>
      <c r="W798" s="197"/>
      <c r="X798" s="199"/>
      <c r="Y798" s="197"/>
      <c r="Z798" s="199"/>
      <c r="AA798" s="199"/>
      <c r="AB798" s="197"/>
    </row>
    <row r="799" spans="1:28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99"/>
      <c r="T799" s="199"/>
      <c r="U799" s="197"/>
      <c r="V799" s="199"/>
      <c r="W799" s="197"/>
      <c r="X799" s="199"/>
      <c r="Y799" s="197"/>
      <c r="Z799" s="199"/>
      <c r="AA799" s="199"/>
      <c r="AB799" s="197"/>
    </row>
    <row r="800" spans="1:28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99"/>
      <c r="T800" s="199"/>
      <c r="U800" s="197"/>
      <c r="V800" s="199"/>
      <c r="W800" s="197"/>
      <c r="X800" s="199"/>
      <c r="Y800" s="197"/>
      <c r="Z800" s="199"/>
      <c r="AA800" s="199"/>
      <c r="AB800" s="197"/>
    </row>
    <row r="801" spans="1:28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99"/>
      <c r="T801" s="199"/>
      <c r="U801" s="197"/>
      <c r="V801" s="199"/>
      <c r="W801" s="197"/>
      <c r="X801" s="199"/>
      <c r="Y801" s="197"/>
      <c r="Z801" s="199"/>
      <c r="AA801" s="199"/>
      <c r="AB801" s="197"/>
    </row>
    <row r="802" spans="1:28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99"/>
      <c r="T802" s="199"/>
      <c r="U802" s="197"/>
      <c r="V802" s="199"/>
      <c r="W802" s="197"/>
      <c r="X802" s="199"/>
      <c r="Y802" s="197"/>
      <c r="Z802" s="199"/>
      <c r="AA802" s="199"/>
      <c r="AB802" s="197"/>
    </row>
    <row r="803" spans="1:28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99"/>
      <c r="T803" s="199"/>
      <c r="U803" s="197"/>
      <c r="V803" s="199"/>
      <c r="W803" s="197"/>
      <c r="X803" s="199"/>
      <c r="Y803" s="197"/>
      <c r="Z803" s="199"/>
      <c r="AA803" s="199"/>
      <c r="AB803" s="197"/>
    </row>
    <row r="804" spans="1:28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99"/>
      <c r="T804" s="199"/>
      <c r="U804" s="197"/>
      <c r="V804" s="199"/>
      <c r="W804" s="197"/>
      <c r="X804" s="199"/>
      <c r="Y804" s="197"/>
      <c r="Z804" s="199"/>
      <c r="AA804" s="199"/>
      <c r="AB804" s="197"/>
    </row>
    <row r="805" spans="1:28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99"/>
      <c r="T805" s="199"/>
      <c r="U805" s="197"/>
      <c r="V805" s="199"/>
      <c r="W805" s="197"/>
      <c r="X805" s="199"/>
      <c r="Y805" s="197"/>
      <c r="Z805" s="199"/>
      <c r="AA805" s="199"/>
      <c r="AB805" s="197"/>
    </row>
    <row r="806" spans="1:28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99"/>
      <c r="T806" s="199"/>
      <c r="U806" s="197"/>
      <c r="V806" s="199"/>
      <c r="W806" s="197"/>
      <c r="X806" s="199"/>
      <c r="Y806" s="197"/>
      <c r="Z806" s="199"/>
      <c r="AA806" s="199"/>
      <c r="AB806" s="197"/>
    </row>
    <row r="807" spans="1:28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99"/>
      <c r="T807" s="199"/>
      <c r="U807" s="197"/>
      <c r="V807" s="199"/>
      <c r="W807" s="197"/>
      <c r="X807" s="199"/>
      <c r="Y807" s="197"/>
      <c r="Z807" s="199"/>
      <c r="AA807" s="199"/>
      <c r="AB807" s="197"/>
    </row>
    <row r="808" spans="1:28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99"/>
      <c r="T808" s="199"/>
      <c r="U808" s="197"/>
      <c r="V808" s="199"/>
      <c r="W808" s="197"/>
      <c r="X808" s="199"/>
      <c r="Y808" s="197"/>
      <c r="Z808" s="199"/>
      <c r="AA808" s="199"/>
      <c r="AB808" s="197"/>
    </row>
    <row r="809" spans="1:28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99"/>
      <c r="T809" s="199"/>
      <c r="U809" s="197"/>
      <c r="V809" s="199"/>
      <c r="W809" s="197"/>
      <c r="X809" s="199"/>
      <c r="Y809" s="197"/>
      <c r="Z809" s="199"/>
      <c r="AA809" s="199"/>
      <c r="AB809" s="197"/>
    </row>
    <row r="810" spans="1:28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99"/>
      <c r="T810" s="199"/>
      <c r="U810" s="197"/>
      <c r="V810" s="199"/>
      <c r="W810" s="197"/>
      <c r="X810" s="199"/>
      <c r="Y810" s="197"/>
      <c r="Z810" s="199"/>
      <c r="AA810" s="199"/>
      <c r="AB810" s="197"/>
    </row>
    <row r="811" spans="1:28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99"/>
      <c r="T811" s="199"/>
      <c r="U811" s="197"/>
      <c r="V811" s="199"/>
      <c r="W811" s="197"/>
      <c r="X811" s="199"/>
      <c r="Y811" s="197"/>
      <c r="Z811" s="199"/>
      <c r="AA811" s="199"/>
      <c r="AB811" s="197"/>
    </row>
    <row r="812" spans="1:28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99"/>
      <c r="T812" s="199"/>
      <c r="U812" s="197"/>
      <c r="V812" s="199"/>
      <c r="W812" s="197"/>
      <c r="X812" s="199"/>
      <c r="Y812" s="197"/>
      <c r="Z812" s="199"/>
      <c r="AA812" s="199"/>
      <c r="AB812" s="197"/>
    </row>
    <row r="813" spans="1:28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99"/>
      <c r="T813" s="199"/>
      <c r="U813" s="197"/>
      <c r="V813" s="199"/>
      <c r="W813" s="197"/>
      <c r="X813" s="199"/>
      <c r="Y813" s="197"/>
      <c r="Z813" s="199"/>
      <c r="AA813" s="199"/>
      <c r="AB813" s="197"/>
    </row>
    <row r="814" spans="1:28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99"/>
      <c r="T814" s="199"/>
      <c r="U814" s="197"/>
      <c r="V814" s="199"/>
      <c r="W814" s="197"/>
      <c r="X814" s="199"/>
      <c r="Y814" s="197"/>
      <c r="Z814" s="199"/>
      <c r="AA814" s="199"/>
      <c r="AB814" s="197"/>
    </row>
    <row r="815" spans="1:28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99"/>
      <c r="T815" s="199"/>
      <c r="U815" s="197"/>
      <c r="V815" s="199"/>
      <c r="W815" s="197"/>
      <c r="X815" s="199"/>
      <c r="Y815" s="197"/>
      <c r="Z815" s="199"/>
      <c r="AA815" s="199"/>
      <c r="AB815" s="197"/>
    </row>
    <row r="816" spans="1:28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99"/>
      <c r="T816" s="199"/>
      <c r="U816" s="197"/>
      <c r="V816" s="199"/>
      <c r="W816" s="197"/>
      <c r="X816" s="199"/>
      <c r="Y816" s="197"/>
      <c r="Z816" s="199"/>
      <c r="AA816" s="199"/>
      <c r="AB816" s="197"/>
    </row>
    <row r="817" spans="1:28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99"/>
      <c r="T817" s="199"/>
      <c r="U817" s="197"/>
      <c r="V817" s="199"/>
      <c r="W817" s="197"/>
      <c r="X817" s="199"/>
      <c r="Y817" s="197"/>
      <c r="Z817" s="199"/>
      <c r="AA817" s="199"/>
      <c r="AB817" s="197"/>
    </row>
    <row r="818" spans="1:28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99"/>
      <c r="T818" s="199"/>
      <c r="U818" s="197"/>
      <c r="V818" s="199"/>
      <c r="W818" s="197"/>
      <c r="X818" s="199"/>
      <c r="Y818" s="197"/>
      <c r="Z818" s="199"/>
      <c r="AA818" s="199"/>
      <c r="AB818" s="197"/>
    </row>
    <row r="819" spans="1:28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99"/>
      <c r="T819" s="199"/>
      <c r="U819" s="197"/>
      <c r="V819" s="199"/>
      <c r="W819" s="197"/>
      <c r="X819" s="199"/>
      <c r="Y819" s="197"/>
      <c r="Z819" s="199"/>
      <c r="AA819" s="199"/>
      <c r="AB819" s="197"/>
    </row>
    <row r="820" spans="1:28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99"/>
      <c r="T820" s="199"/>
      <c r="U820" s="197"/>
      <c r="V820" s="199"/>
      <c r="W820" s="197"/>
      <c r="X820" s="199"/>
      <c r="Y820" s="197"/>
      <c r="Z820" s="199"/>
      <c r="AA820" s="199"/>
      <c r="AB820" s="197"/>
    </row>
    <row r="821" spans="1:28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99"/>
      <c r="T821" s="199"/>
      <c r="U821" s="197"/>
      <c r="V821" s="199"/>
      <c r="W821" s="197"/>
      <c r="X821" s="199"/>
      <c r="Y821" s="197"/>
      <c r="Z821" s="199"/>
      <c r="AA821" s="199"/>
      <c r="AB821" s="197"/>
    </row>
    <row r="822" spans="1:28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99"/>
      <c r="T822" s="199"/>
      <c r="U822" s="197"/>
      <c r="V822" s="199"/>
      <c r="W822" s="197"/>
      <c r="X822" s="199"/>
      <c r="Y822" s="197"/>
      <c r="Z822" s="199"/>
      <c r="AA822" s="199"/>
      <c r="AB822" s="197"/>
    </row>
    <row r="823" spans="1:28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99"/>
      <c r="T823" s="199"/>
      <c r="U823" s="197"/>
      <c r="V823" s="199"/>
      <c r="W823" s="197"/>
      <c r="X823" s="199"/>
      <c r="Y823" s="197"/>
      <c r="Z823" s="199"/>
      <c r="AA823" s="199"/>
      <c r="AB823" s="197"/>
    </row>
    <row r="824" spans="1:28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99"/>
      <c r="T824" s="199"/>
      <c r="U824" s="197"/>
      <c r="V824" s="199"/>
      <c r="W824" s="197"/>
      <c r="X824" s="199"/>
      <c r="Y824" s="197"/>
      <c r="Z824" s="199"/>
      <c r="AA824" s="199"/>
      <c r="AB824" s="197"/>
    </row>
    <row r="825" spans="1:28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99"/>
      <c r="T825" s="199"/>
      <c r="U825" s="197"/>
      <c r="V825" s="199"/>
      <c r="W825" s="197"/>
      <c r="X825" s="199"/>
      <c r="Y825" s="197"/>
      <c r="Z825" s="199"/>
      <c r="AA825" s="199"/>
      <c r="AB825" s="197"/>
    </row>
    <row r="826" spans="1:28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99"/>
      <c r="T826" s="199"/>
      <c r="U826" s="197"/>
      <c r="V826" s="199"/>
      <c r="W826" s="197"/>
      <c r="X826" s="199"/>
      <c r="Y826" s="197"/>
      <c r="Z826" s="199"/>
      <c r="AA826" s="199"/>
      <c r="AB826" s="197"/>
    </row>
    <row r="827" spans="1:28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99"/>
      <c r="T827" s="199"/>
      <c r="U827" s="197"/>
      <c r="V827" s="199"/>
      <c r="W827" s="197"/>
      <c r="X827" s="199"/>
      <c r="Y827" s="197"/>
      <c r="Z827" s="199"/>
      <c r="AA827" s="199"/>
      <c r="AB827" s="197"/>
    </row>
    <row r="828" spans="1:28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99"/>
      <c r="T828" s="199"/>
      <c r="U828" s="197"/>
      <c r="V828" s="199"/>
      <c r="W828" s="197"/>
      <c r="X828" s="199"/>
      <c r="Y828" s="197"/>
      <c r="Z828" s="199"/>
      <c r="AA828" s="199"/>
      <c r="AB828" s="197"/>
    </row>
    <row r="829" spans="1:28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99"/>
      <c r="T829" s="199"/>
      <c r="U829" s="197"/>
      <c r="V829" s="199"/>
      <c r="W829" s="197"/>
      <c r="X829" s="199"/>
      <c r="Y829" s="197"/>
      <c r="Z829" s="199"/>
      <c r="AA829" s="199"/>
      <c r="AB829" s="197"/>
    </row>
    <row r="830" spans="1:28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99"/>
      <c r="T830" s="199"/>
      <c r="U830" s="197"/>
      <c r="V830" s="199"/>
      <c r="W830" s="197"/>
      <c r="X830" s="199"/>
      <c r="Y830" s="197"/>
      <c r="Z830" s="199"/>
      <c r="AA830" s="199"/>
      <c r="AB830" s="197"/>
    </row>
    <row r="831" spans="1:28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99"/>
      <c r="T831" s="199"/>
      <c r="U831" s="197"/>
      <c r="V831" s="199"/>
      <c r="W831" s="197"/>
      <c r="X831" s="199"/>
      <c r="Y831" s="197"/>
      <c r="Z831" s="199"/>
      <c r="AA831" s="199"/>
      <c r="AB831" s="197"/>
    </row>
    <row r="832" spans="1:28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99"/>
      <c r="T832" s="199"/>
      <c r="U832" s="197"/>
      <c r="V832" s="199"/>
      <c r="W832" s="197"/>
      <c r="X832" s="199"/>
      <c r="Y832" s="197"/>
      <c r="Z832" s="199"/>
      <c r="AA832" s="199"/>
      <c r="AB832" s="197"/>
    </row>
    <row r="833" spans="1:28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99"/>
      <c r="T833" s="199"/>
      <c r="U833" s="197"/>
      <c r="V833" s="199"/>
      <c r="W833" s="197"/>
      <c r="X833" s="199"/>
      <c r="Y833" s="197"/>
      <c r="Z833" s="199"/>
      <c r="AA833" s="199"/>
      <c r="AB833" s="197"/>
    </row>
    <row r="834" spans="1:28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99"/>
      <c r="T834" s="199"/>
      <c r="U834" s="197"/>
      <c r="V834" s="199"/>
      <c r="W834" s="197"/>
      <c r="X834" s="199"/>
      <c r="Y834" s="197"/>
      <c r="Z834" s="199"/>
      <c r="AA834" s="199"/>
      <c r="AB834" s="197"/>
    </row>
    <row r="835" spans="1:28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99"/>
      <c r="T835" s="199"/>
      <c r="U835" s="197"/>
      <c r="V835" s="199"/>
      <c r="W835" s="197"/>
      <c r="X835" s="199"/>
      <c r="Y835" s="197"/>
      <c r="Z835" s="199"/>
      <c r="AA835" s="199"/>
      <c r="AB835" s="197"/>
    </row>
    <row r="836" spans="1:28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99"/>
      <c r="T836" s="199"/>
      <c r="U836" s="197"/>
      <c r="V836" s="199"/>
      <c r="W836" s="197"/>
      <c r="X836" s="199"/>
      <c r="Y836" s="197"/>
      <c r="Z836" s="199"/>
      <c r="AA836" s="199"/>
      <c r="AB836" s="197"/>
    </row>
    <row r="837" spans="1:28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99"/>
      <c r="T837" s="199"/>
      <c r="U837" s="197"/>
      <c r="V837" s="199"/>
      <c r="W837" s="197"/>
      <c r="X837" s="199"/>
      <c r="Y837" s="197"/>
      <c r="Z837" s="199"/>
      <c r="AA837" s="199"/>
      <c r="AB837" s="197"/>
    </row>
    <row r="838" spans="1:28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99"/>
      <c r="T838" s="199"/>
      <c r="U838" s="197"/>
      <c r="V838" s="199"/>
      <c r="W838" s="197"/>
      <c r="X838" s="199"/>
      <c r="Y838" s="197"/>
      <c r="Z838" s="199"/>
      <c r="AA838" s="199"/>
      <c r="AB838" s="197"/>
    </row>
    <row r="839" spans="1:28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99"/>
      <c r="T839" s="199"/>
      <c r="U839" s="197"/>
      <c r="V839" s="199"/>
      <c r="W839" s="197"/>
      <c r="X839" s="199"/>
      <c r="Y839" s="197"/>
      <c r="Z839" s="199"/>
      <c r="AA839" s="199"/>
      <c r="AB839" s="197"/>
    </row>
    <row r="840" spans="1:28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99"/>
      <c r="T840" s="199"/>
      <c r="U840" s="197"/>
      <c r="V840" s="199"/>
      <c r="W840" s="197"/>
      <c r="X840" s="199"/>
      <c r="Y840" s="197"/>
      <c r="Z840" s="199"/>
      <c r="AA840" s="199"/>
      <c r="AB840" s="197"/>
    </row>
    <row r="841" spans="1:28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99"/>
      <c r="T841" s="199"/>
      <c r="U841" s="197"/>
      <c r="V841" s="199"/>
      <c r="W841" s="197"/>
      <c r="X841" s="199"/>
      <c r="Y841" s="197"/>
      <c r="Z841" s="199"/>
      <c r="AA841" s="199"/>
      <c r="AB841" s="197"/>
    </row>
    <row r="842" spans="1:28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99"/>
      <c r="T842" s="199"/>
      <c r="U842" s="197"/>
      <c r="V842" s="199"/>
      <c r="W842" s="197"/>
      <c r="X842" s="199"/>
      <c r="Y842" s="197"/>
      <c r="Z842" s="199"/>
      <c r="AA842" s="199"/>
      <c r="AB842" s="197"/>
    </row>
    <row r="843" spans="1:28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99"/>
      <c r="T843" s="199"/>
      <c r="U843" s="197"/>
      <c r="V843" s="199"/>
      <c r="W843" s="197"/>
      <c r="X843" s="199"/>
      <c r="Y843" s="197"/>
      <c r="Z843" s="199"/>
      <c r="AA843" s="199"/>
      <c r="AB843" s="197"/>
    </row>
    <row r="844" spans="1:28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99"/>
      <c r="T844" s="199"/>
      <c r="U844" s="197"/>
      <c r="V844" s="199"/>
      <c r="W844" s="197"/>
      <c r="X844" s="199"/>
      <c r="Y844" s="197"/>
      <c r="Z844" s="199"/>
      <c r="AA844" s="199"/>
      <c r="AB844" s="197"/>
    </row>
    <row r="845" spans="1:28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99"/>
      <c r="T845" s="199"/>
      <c r="U845" s="197"/>
      <c r="V845" s="199"/>
      <c r="W845" s="197"/>
      <c r="X845" s="199"/>
      <c r="Y845" s="197"/>
      <c r="Z845" s="199"/>
      <c r="AA845" s="199"/>
      <c r="AB845" s="197"/>
    </row>
    <row r="846" spans="1:28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99"/>
      <c r="T846" s="199"/>
      <c r="U846" s="197"/>
      <c r="V846" s="199"/>
      <c r="W846" s="197"/>
      <c r="X846" s="199"/>
      <c r="Y846" s="197"/>
      <c r="Z846" s="199"/>
      <c r="AA846" s="199"/>
      <c r="AB846" s="197"/>
    </row>
    <row r="847" spans="1:28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99"/>
      <c r="T847" s="199"/>
      <c r="U847" s="197"/>
      <c r="V847" s="199"/>
      <c r="W847" s="197"/>
      <c r="X847" s="199"/>
      <c r="Y847" s="197"/>
      <c r="Z847" s="199"/>
      <c r="AA847" s="199"/>
      <c r="AB847" s="197"/>
    </row>
    <row r="848" spans="1:28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99"/>
      <c r="T848" s="199"/>
      <c r="U848" s="197"/>
      <c r="V848" s="199"/>
      <c r="W848" s="197"/>
      <c r="X848" s="199"/>
      <c r="Y848" s="197"/>
      <c r="Z848" s="199"/>
      <c r="AA848" s="199"/>
      <c r="AB848" s="197"/>
    </row>
    <row r="849" spans="1:28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99"/>
      <c r="T849" s="199"/>
      <c r="U849" s="197"/>
      <c r="V849" s="199"/>
      <c r="W849" s="197"/>
      <c r="X849" s="199"/>
      <c r="Y849" s="197"/>
      <c r="Z849" s="199"/>
      <c r="AA849" s="199"/>
      <c r="AB849" s="197"/>
    </row>
    <row r="850" spans="1:28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99"/>
      <c r="T850" s="199"/>
      <c r="U850" s="197"/>
      <c r="V850" s="199"/>
      <c r="W850" s="197"/>
      <c r="X850" s="199"/>
      <c r="Y850" s="197"/>
      <c r="Z850" s="199"/>
      <c r="AA850" s="199"/>
      <c r="AB850" s="197"/>
    </row>
    <row r="851" spans="1:28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99"/>
      <c r="T851" s="199"/>
      <c r="U851" s="197"/>
      <c r="V851" s="199"/>
      <c r="W851" s="197"/>
      <c r="X851" s="199"/>
      <c r="Y851" s="197"/>
      <c r="Z851" s="199"/>
      <c r="AA851" s="199"/>
      <c r="AB851" s="197"/>
    </row>
    <row r="852" spans="1:28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99"/>
      <c r="T852" s="199"/>
      <c r="U852" s="197"/>
      <c r="V852" s="199"/>
      <c r="W852" s="197"/>
      <c r="X852" s="199"/>
      <c r="Y852" s="197"/>
      <c r="Z852" s="199"/>
      <c r="AA852" s="199"/>
      <c r="AB852" s="197"/>
    </row>
    <row r="853" spans="1:28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99"/>
      <c r="T853" s="199"/>
      <c r="U853" s="197"/>
      <c r="V853" s="199"/>
      <c r="W853" s="197"/>
      <c r="X853" s="199"/>
      <c r="Y853" s="197"/>
      <c r="Z853" s="199"/>
      <c r="AA853" s="199"/>
      <c r="AB853" s="197"/>
    </row>
    <row r="854" spans="1:28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99"/>
      <c r="T854" s="199"/>
      <c r="U854" s="197"/>
      <c r="V854" s="199"/>
      <c r="W854" s="197"/>
      <c r="X854" s="199"/>
      <c r="Y854" s="197"/>
      <c r="Z854" s="199"/>
      <c r="AA854" s="199"/>
      <c r="AB854" s="197"/>
    </row>
    <row r="855" spans="1:28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99"/>
      <c r="T855" s="199"/>
      <c r="U855" s="197"/>
      <c r="V855" s="199"/>
      <c r="W855" s="197"/>
      <c r="X855" s="199"/>
      <c r="Y855" s="197"/>
      <c r="Z855" s="199"/>
      <c r="AA855" s="199"/>
      <c r="AB855" s="197"/>
    </row>
    <row r="856" spans="1:28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99"/>
      <c r="T856" s="199"/>
      <c r="U856" s="197"/>
      <c r="V856" s="199"/>
      <c r="W856" s="197"/>
      <c r="X856" s="199"/>
      <c r="Y856" s="197"/>
      <c r="Z856" s="199"/>
      <c r="AA856" s="199"/>
      <c r="AB856" s="197"/>
    </row>
    <row r="857" spans="1:28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99"/>
      <c r="T857" s="199"/>
      <c r="U857" s="197"/>
      <c r="V857" s="199"/>
      <c r="W857" s="197"/>
      <c r="X857" s="199"/>
      <c r="Y857" s="197"/>
      <c r="Z857" s="199"/>
      <c r="AA857" s="199"/>
      <c r="AB857" s="197"/>
    </row>
    <row r="858" spans="1:28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99"/>
      <c r="T858" s="199"/>
      <c r="U858" s="197"/>
      <c r="V858" s="199"/>
      <c r="W858" s="197"/>
      <c r="X858" s="199"/>
      <c r="Y858" s="197"/>
      <c r="Z858" s="199"/>
      <c r="AA858" s="199"/>
      <c r="AB858" s="197"/>
    </row>
    <row r="859" spans="1:28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99"/>
      <c r="T859" s="199"/>
      <c r="U859" s="197"/>
      <c r="V859" s="199"/>
      <c r="W859" s="197"/>
      <c r="X859" s="199"/>
      <c r="Y859" s="197"/>
      <c r="Z859" s="199"/>
      <c r="AA859" s="199"/>
      <c r="AB859" s="197"/>
    </row>
    <row r="860" spans="1:28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99"/>
      <c r="T860" s="199"/>
      <c r="U860" s="197"/>
      <c r="V860" s="199"/>
      <c r="W860" s="197"/>
      <c r="X860" s="199"/>
      <c r="Y860" s="197"/>
      <c r="Z860" s="199"/>
      <c r="AA860" s="199"/>
      <c r="AB860" s="197"/>
    </row>
    <row r="861" spans="1:28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99"/>
      <c r="T861" s="199"/>
      <c r="U861" s="197"/>
      <c r="V861" s="199"/>
      <c r="W861" s="197"/>
      <c r="X861" s="199"/>
      <c r="Y861" s="197"/>
      <c r="Z861" s="199"/>
      <c r="AA861" s="199"/>
      <c r="AB861" s="197"/>
    </row>
    <row r="862" spans="1:28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99"/>
      <c r="T862" s="199"/>
      <c r="U862" s="197"/>
      <c r="V862" s="199"/>
      <c r="W862" s="197"/>
      <c r="X862" s="199"/>
      <c r="Y862" s="197"/>
      <c r="Z862" s="199"/>
      <c r="AA862" s="199"/>
      <c r="AB862" s="197"/>
    </row>
    <row r="863" spans="1:28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99"/>
      <c r="T863" s="199"/>
      <c r="U863" s="197"/>
      <c r="V863" s="199"/>
      <c r="W863" s="197"/>
      <c r="X863" s="199"/>
      <c r="Y863" s="197"/>
      <c r="Z863" s="199"/>
      <c r="AA863" s="199"/>
      <c r="AB863" s="197"/>
    </row>
    <row r="864" spans="1:28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99"/>
      <c r="T864" s="199"/>
      <c r="U864" s="197"/>
      <c r="V864" s="199"/>
      <c r="W864" s="197"/>
      <c r="X864" s="199"/>
      <c r="Y864" s="197"/>
      <c r="Z864" s="199"/>
      <c r="AA864" s="199"/>
      <c r="AB864" s="197"/>
    </row>
    <row r="865" spans="1:28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99"/>
      <c r="T865" s="199"/>
      <c r="U865" s="197"/>
      <c r="V865" s="199"/>
      <c r="W865" s="197"/>
      <c r="X865" s="199"/>
      <c r="Y865" s="197"/>
      <c r="Z865" s="199"/>
      <c r="AA865" s="199"/>
      <c r="AB865" s="197"/>
    </row>
    <row r="866" spans="1:28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99"/>
      <c r="T866" s="199"/>
      <c r="U866" s="197"/>
      <c r="V866" s="199"/>
      <c r="W866" s="197"/>
      <c r="X866" s="199"/>
      <c r="Y866" s="197"/>
      <c r="Z866" s="199"/>
      <c r="AA866" s="199"/>
      <c r="AB866" s="197"/>
    </row>
    <row r="867" spans="1:28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99"/>
      <c r="T867" s="199"/>
      <c r="U867" s="197"/>
      <c r="V867" s="199"/>
      <c r="W867" s="197"/>
      <c r="X867" s="199"/>
      <c r="Y867" s="197"/>
      <c r="Z867" s="199"/>
      <c r="AA867" s="199"/>
      <c r="AB867" s="197"/>
    </row>
    <row r="868" spans="1:28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99"/>
      <c r="T868" s="199"/>
      <c r="U868" s="197"/>
      <c r="V868" s="199"/>
      <c r="W868" s="197"/>
      <c r="X868" s="199"/>
      <c r="Y868" s="197"/>
      <c r="Z868" s="199"/>
      <c r="AA868" s="199"/>
      <c r="AB868" s="197"/>
    </row>
    <row r="869" spans="1:28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99"/>
      <c r="T869" s="199"/>
      <c r="U869" s="197"/>
      <c r="V869" s="199"/>
      <c r="W869" s="197"/>
      <c r="X869" s="199"/>
      <c r="Y869" s="197"/>
      <c r="Z869" s="199"/>
      <c r="AA869" s="199"/>
      <c r="AB869" s="197"/>
    </row>
    <row r="870" spans="1:28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99"/>
      <c r="T870" s="199"/>
      <c r="U870" s="197"/>
      <c r="V870" s="199"/>
      <c r="W870" s="197"/>
      <c r="X870" s="199"/>
      <c r="Y870" s="197"/>
      <c r="Z870" s="199"/>
      <c r="AA870" s="199"/>
      <c r="AB870" s="197"/>
    </row>
    <row r="871" spans="1:28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99"/>
      <c r="T871" s="199"/>
      <c r="U871" s="197"/>
      <c r="V871" s="199"/>
      <c r="W871" s="197"/>
      <c r="X871" s="199"/>
      <c r="Y871" s="197"/>
      <c r="Z871" s="199"/>
      <c r="AA871" s="199"/>
      <c r="AB871" s="197"/>
    </row>
    <row r="872" spans="1:28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99"/>
      <c r="T872" s="199"/>
      <c r="U872" s="197"/>
      <c r="V872" s="199"/>
      <c r="W872" s="197"/>
      <c r="X872" s="199"/>
      <c r="Y872" s="197"/>
      <c r="Z872" s="199"/>
      <c r="AA872" s="199"/>
      <c r="AB872" s="197"/>
    </row>
    <row r="873" spans="1:28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99"/>
      <c r="T873" s="199"/>
      <c r="U873" s="197"/>
      <c r="V873" s="199"/>
      <c r="W873" s="197"/>
      <c r="X873" s="199"/>
      <c r="Y873" s="197"/>
      <c r="Z873" s="199"/>
      <c r="AA873" s="199"/>
      <c r="AB873" s="197"/>
    </row>
    <row r="874" spans="1:28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99"/>
      <c r="T874" s="199"/>
      <c r="U874" s="197"/>
      <c r="V874" s="199"/>
      <c r="W874" s="197"/>
      <c r="X874" s="199"/>
      <c r="Y874" s="197"/>
      <c r="Z874" s="199"/>
      <c r="AA874" s="199"/>
      <c r="AB874" s="197"/>
    </row>
    <row r="875" spans="1:28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99"/>
      <c r="T875" s="199"/>
      <c r="U875" s="197"/>
      <c r="V875" s="199"/>
      <c r="W875" s="197"/>
      <c r="X875" s="199"/>
      <c r="Y875" s="197"/>
      <c r="Z875" s="199"/>
      <c r="AA875" s="199"/>
      <c r="AB875" s="197"/>
    </row>
    <row r="876" spans="1:28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99"/>
      <c r="T876" s="199"/>
      <c r="U876" s="197"/>
      <c r="V876" s="199"/>
      <c r="W876" s="197"/>
      <c r="X876" s="199"/>
      <c r="Y876" s="197"/>
      <c r="Z876" s="199"/>
      <c r="AA876" s="199"/>
      <c r="AB876" s="197"/>
    </row>
    <row r="877" spans="1:28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99"/>
      <c r="T877" s="199"/>
      <c r="U877" s="197"/>
      <c r="V877" s="199"/>
      <c r="W877" s="197"/>
      <c r="X877" s="199"/>
      <c r="Y877" s="197"/>
      <c r="Z877" s="199"/>
      <c r="AA877" s="199"/>
      <c r="AB877" s="197"/>
    </row>
    <row r="878" spans="1:28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99"/>
      <c r="T878" s="199"/>
      <c r="U878" s="197"/>
      <c r="V878" s="199"/>
      <c r="W878" s="197"/>
      <c r="X878" s="199"/>
      <c r="Y878" s="197"/>
      <c r="Z878" s="199"/>
      <c r="AA878" s="199"/>
      <c r="AB878" s="197"/>
    </row>
    <row r="879" spans="1:28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99"/>
      <c r="T879" s="199"/>
      <c r="U879" s="197"/>
      <c r="V879" s="199"/>
      <c r="W879" s="197"/>
      <c r="X879" s="199"/>
      <c r="Y879" s="197"/>
      <c r="Z879" s="199"/>
      <c r="AA879" s="199"/>
      <c r="AB879" s="197"/>
    </row>
    <row r="880" spans="1:28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99"/>
      <c r="T880" s="199"/>
      <c r="U880" s="197"/>
      <c r="V880" s="199"/>
      <c r="W880" s="197"/>
      <c r="X880" s="199"/>
      <c r="Y880" s="197"/>
      <c r="Z880" s="199"/>
      <c r="AA880" s="199"/>
      <c r="AB880" s="197"/>
    </row>
    <row r="881" spans="1:28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99"/>
      <c r="T881" s="199"/>
      <c r="U881" s="197"/>
      <c r="V881" s="199"/>
      <c r="W881" s="197"/>
      <c r="X881" s="199"/>
      <c r="Y881" s="197"/>
      <c r="Z881" s="199"/>
      <c r="AA881" s="199"/>
      <c r="AB881" s="197"/>
    </row>
    <row r="882" spans="1:28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99"/>
      <c r="T882" s="199"/>
      <c r="U882" s="197"/>
      <c r="V882" s="199"/>
      <c r="W882" s="197"/>
      <c r="X882" s="199"/>
      <c r="Y882" s="197"/>
      <c r="Z882" s="199"/>
      <c r="AA882" s="199"/>
      <c r="AB882" s="197"/>
    </row>
    <row r="883" spans="1:28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99"/>
      <c r="T883" s="199"/>
      <c r="U883" s="197"/>
      <c r="V883" s="199"/>
      <c r="W883" s="197"/>
      <c r="X883" s="199"/>
      <c r="Y883" s="197"/>
      <c r="Z883" s="199"/>
      <c r="AA883" s="199"/>
      <c r="AB883" s="197"/>
    </row>
    <row r="884" spans="1:28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99"/>
      <c r="T884" s="199"/>
      <c r="U884" s="197"/>
      <c r="V884" s="199"/>
      <c r="W884" s="197"/>
      <c r="X884" s="199"/>
      <c r="Y884" s="197"/>
      <c r="Z884" s="199"/>
      <c r="AA884" s="199"/>
      <c r="AB884" s="197"/>
    </row>
    <row r="885" spans="1:28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99"/>
      <c r="T885" s="199"/>
      <c r="U885" s="197"/>
      <c r="V885" s="199"/>
      <c r="W885" s="197"/>
      <c r="X885" s="199"/>
      <c r="Y885" s="197"/>
      <c r="Z885" s="199"/>
      <c r="AA885" s="199"/>
      <c r="AB885" s="197"/>
    </row>
    <row r="886" spans="1:28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99"/>
      <c r="T886" s="199"/>
      <c r="U886" s="197"/>
      <c r="V886" s="199"/>
      <c r="W886" s="197"/>
      <c r="X886" s="199"/>
      <c r="Y886" s="197"/>
      <c r="Z886" s="199"/>
      <c r="AA886" s="199"/>
      <c r="AB886" s="197"/>
    </row>
    <row r="887" spans="1:28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99"/>
      <c r="T887" s="199"/>
      <c r="U887" s="197"/>
      <c r="V887" s="199"/>
      <c r="W887" s="197"/>
      <c r="X887" s="199"/>
      <c r="Y887" s="197"/>
      <c r="Z887" s="199"/>
      <c r="AA887" s="199"/>
      <c r="AB887" s="197"/>
    </row>
    <row r="888" spans="1:28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99"/>
      <c r="T888" s="199"/>
      <c r="U888" s="197"/>
      <c r="V888" s="199"/>
      <c r="W888" s="197"/>
      <c r="X888" s="199"/>
      <c r="Y888" s="197"/>
      <c r="Z888" s="199"/>
      <c r="AA888" s="199"/>
      <c r="AB888" s="197"/>
    </row>
    <row r="889" spans="1:28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99"/>
      <c r="T889" s="199"/>
      <c r="U889" s="197"/>
      <c r="V889" s="199"/>
      <c r="W889" s="197"/>
      <c r="X889" s="199"/>
      <c r="Y889" s="197"/>
      <c r="Z889" s="199"/>
      <c r="AA889" s="199"/>
      <c r="AB889" s="197"/>
    </row>
    <row r="890" spans="1:28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99"/>
      <c r="T890" s="199"/>
      <c r="U890" s="197"/>
      <c r="V890" s="199"/>
      <c r="W890" s="197"/>
      <c r="X890" s="199"/>
      <c r="Y890" s="197"/>
      <c r="Z890" s="199"/>
      <c r="AA890" s="199"/>
      <c r="AB890" s="197"/>
    </row>
    <row r="891" spans="1:28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99"/>
      <c r="T891" s="199"/>
      <c r="U891" s="197"/>
      <c r="V891" s="199"/>
      <c r="W891" s="197"/>
      <c r="X891" s="199"/>
      <c r="Y891" s="197"/>
      <c r="Z891" s="199"/>
      <c r="AA891" s="199"/>
      <c r="AB891" s="197"/>
    </row>
    <row r="892" spans="1:28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99"/>
      <c r="T892" s="199"/>
      <c r="U892" s="197"/>
      <c r="V892" s="199"/>
      <c r="W892" s="197"/>
      <c r="X892" s="199"/>
      <c r="Y892" s="197"/>
      <c r="Z892" s="199"/>
      <c r="AA892" s="199"/>
      <c r="AB892" s="197"/>
    </row>
    <row r="893" spans="1:28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99"/>
      <c r="T893" s="199"/>
      <c r="U893" s="197"/>
      <c r="V893" s="199"/>
      <c r="W893" s="197"/>
      <c r="X893" s="199"/>
      <c r="Y893" s="197"/>
      <c r="Z893" s="199"/>
      <c r="AA893" s="199"/>
      <c r="AB893" s="197"/>
    </row>
    <row r="894" spans="1:28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99"/>
      <c r="T894" s="199"/>
      <c r="U894" s="197"/>
      <c r="V894" s="199"/>
      <c r="W894" s="197"/>
      <c r="X894" s="199"/>
      <c r="Y894" s="197"/>
      <c r="Z894" s="199"/>
      <c r="AA894" s="199"/>
      <c r="AB894" s="197"/>
    </row>
    <row r="895" spans="1:28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99"/>
      <c r="T895" s="199"/>
      <c r="U895" s="197"/>
      <c r="V895" s="199"/>
      <c r="W895" s="197"/>
      <c r="X895" s="199"/>
      <c r="Y895" s="197"/>
      <c r="Z895" s="199"/>
      <c r="AA895" s="199"/>
      <c r="AB895" s="197"/>
    </row>
    <row r="896" spans="1:28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99"/>
      <c r="T896" s="199"/>
      <c r="U896" s="197"/>
      <c r="V896" s="199"/>
      <c r="W896" s="197"/>
      <c r="X896" s="199"/>
      <c r="Y896" s="197"/>
      <c r="Z896" s="199"/>
      <c r="AA896" s="199"/>
      <c r="AB896" s="197"/>
    </row>
    <row r="897" spans="1:28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99"/>
      <c r="T897" s="199"/>
      <c r="U897" s="197"/>
      <c r="V897" s="199"/>
      <c r="W897" s="197"/>
      <c r="X897" s="199"/>
      <c r="Y897" s="197"/>
      <c r="Z897" s="199"/>
      <c r="AA897" s="199"/>
      <c r="AB897" s="197"/>
    </row>
    <row r="898" spans="1:28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99"/>
      <c r="T898" s="199"/>
      <c r="U898" s="197"/>
      <c r="V898" s="199"/>
      <c r="W898" s="197"/>
      <c r="X898" s="199"/>
      <c r="Y898" s="197"/>
      <c r="Z898" s="199"/>
      <c r="AA898" s="199"/>
      <c r="AB898" s="197"/>
    </row>
    <row r="899" spans="1:28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99"/>
      <c r="T899" s="199"/>
      <c r="U899" s="197"/>
      <c r="V899" s="199"/>
      <c r="W899" s="197"/>
      <c r="X899" s="199"/>
      <c r="Y899" s="197"/>
      <c r="Z899" s="199"/>
      <c r="AA899" s="199"/>
      <c r="AB899" s="197"/>
    </row>
    <row r="900" spans="1:28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99"/>
      <c r="T900" s="199"/>
      <c r="U900" s="197"/>
      <c r="V900" s="199"/>
      <c r="W900" s="197"/>
      <c r="X900" s="199"/>
      <c r="Y900" s="197"/>
      <c r="Z900" s="199"/>
      <c r="AA900" s="199"/>
      <c r="AB900" s="197"/>
    </row>
    <row r="901" spans="1:28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99"/>
      <c r="T901" s="199"/>
      <c r="U901" s="197"/>
      <c r="V901" s="199"/>
      <c r="W901" s="197"/>
      <c r="X901" s="199"/>
      <c r="Y901" s="197"/>
      <c r="Z901" s="199"/>
      <c r="AA901" s="199"/>
      <c r="AB901" s="197"/>
    </row>
    <row r="902" spans="1:28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99"/>
      <c r="T902" s="199"/>
      <c r="U902" s="197"/>
      <c r="V902" s="199"/>
      <c r="W902" s="197"/>
      <c r="X902" s="199"/>
      <c r="Y902" s="197"/>
      <c r="Z902" s="199"/>
      <c r="AA902" s="199"/>
      <c r="AB902" s="197"/>
    </row>
    <row r="903" spans="1:28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99"/>
      <c r="T903" s="199"/>
      <c r="U903" s="197"/>
      <c r="V903" s="199"/>
      <c r="W903" s="197"/>
      <c r="X903" s="199"/>
      <c r="Y903" s="197"/>
      <c r="Z903" s="199"/>
      <c r="AA903" s="199"/>
      <c r="AB903" s="197"/>
    </row>
    <row r="904" spans="1:28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99"/>
      <c r="T904" s="199"/>
      <c r="U904" s="197"/>
      <c r="V904" s="199"/>
      <c r="W904" s="197"/>
      <c r="X904" s="199"/>
      <c r="Y904" s="197"/>
      <c r="Z904" s="199"/>
      <c r="AA904" s="199"/>
      <c r="AB904" s="197"/>
    </row>
    <row r="905" spans="1:28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99"/>
      <c r="T905" s="199"/>
      <c r="U905" s="197"/>
      <c r="V905" s="199"/>
      <c r="W905" s="197"/>
      <c r="X905" s="199"/>
      <c r="Y905" s="197"/>
      <c r="Z905" s="199"/>
      <c r="AA905" s="199"/>
      <c r="AB905" s="197"/>
    </row>
    <row r="906" spans="1:28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99"/>
      <c r="T906" s="199"/>
      <c r="U906" s="197"/>
      <c r="V906" s="199"/>
      <c r="W906" s="197"/>
      <c r="X906" s="199"/>
      <c r="Y906" s="197"/>
      <c r="Z906" s="199"/>
      <c r="AA906" s="199"/>
      <c r="AB906" s="197"/>
    </row>
    <row r="907" spans="1:28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99"/>
      <c r="T907" s="199"/>
      <c r="U907" s="197"/>
      <c r="V907" s="199"/>
      <c r="W907" s="197"/>
      <c r="X907" s="199"/>
      <c r="Y907" s="197"/>
      <c r="Z907" s="199"/>
      <c r="AA907" s="199"/>
      <c r="AB907" s="197"/>
    </row>
    <row r="908" spans="1:28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99"/>
      <c r="T908" s="199"/>
      <c r="U908" s="197"/>
      <c r="V908" s="199"/>
      <c r="W908" s="197"/>
      <c r="X908" s="199"/>
      <c r="Y908" s="197"/>
      <c r="Z908" s="199"/>
      <c r="AA908" s="199"/>
      <c r="AB908" s="197"/>
    </row>
    <row r="909" spans="1:28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99"/>
      <c r="T909" s="199"/>
      <c r="U909" s="197"/>
      <c r="V909" s="199"/>
      <c r="W909" s="197"/>
      <c r="X909" s="199"/>
      <c r="Y909" s="197"/>
      <c r="Z909" s="199"/>
      <c r="AA909" s="199"/>
      <c r="AB909" s="197"/>
    </row>
    <row r="910" spans="1:28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99"/>
      <c r="T910" s="199"/>
      <c r="U910" s="197"/>
      <c r="V910" s="199"/>
      <c r="W910" s="197"/>
      <c r="X910" s="199"/>
      <c r="Y910" s="197"/>
      <c r="Z910" s="199"/>
      <c r="AA910" s="199"/>
      <c r="AB910" s="197"/>
    </row>
    <row r="911" spans="1:28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99"/>
      <c r="T911" s="199"/>
      <c r="U911" s="197"/>
      <c r="V911" s="199"/>
      <c r="W911" s="197"/>
      <c r="X911" s="199"/>
      <c r="Y911" s="197"/>
      <c r="Z911" s="199"/>
      <c r="AA911" s="199"/>
      <c r="AB911" s="197"/>
    </row>
    <row r="912" spans="1:28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99"/>
      <c r="T912" s="199"/>
      <c r="U912" s="197"/>
      <c r="V912" s="199"/>
      <c r="W912" s="197"/>
      <c r="X912" s="199"/>
      <c r="Y912" s="197"/>
      <c r="Z912" s="199"/>
      <c r="AA912" s="199"/>
      <c r="AB912" s="197"/>
    </row>
    <row r="913" spans="1:28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99"/>
      <c r="T913" s="199"/>
      <c r="U913" s="197"/>
      <c r="V913" s="199"/>
      <c r="W913" s="197"/>
      <c r="X913" s="199"/>
      <c r="Y913" s="197"/>
      <c r="Z913" s="199"/>
      <c r="AA913" s="199"/>
      <c r="AB913" s="197"/>
    </row>
    <row r="914" spans="1:28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99"/>
      <c r="T914" s="199"/>
      <c r="U914" s="197"/>
      <c r="V914" s="199"/>
      <c r="W914" s="197"/>
      <c r="X914" s="199"/>
      <c r="Y914" s="197"/>
      <c r="Z914" s="199"/>
      <c r="AA914" s="199"/>
      <c r="AB914" s="197"/>
    </row>
    <row r="915" spans="1:28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99"/>
      <c r="T915" s="199"/>
      <c r="U915" s="197"/>
      <c r="V915" s="199"/>
      <c r="W915" s="197"/>
      <c r="X915" s="199"/>
      <c r="Y915" s="197"/>
      <c r="Z915" s="199"/>
      <c r="AA915" s="199"/>
      <c r="AB915" s="197"/>
    </row>
    <row r="916" spans="1:28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99"/>
      <c r="T916" s="199"/>
      <c r="U916" s="197"/>
      <c r="V916" s="199"/>
      <c r="W916" s="197"/>
      <c r="X916" s="199"/>
      <c r="Y916" s="197"/>
      <c r="Z916" s="199"/>
      <c r="AA916" s="199"/>
      <c r="AB916" s="197"/>
    </row>
    <row r="917" spans="1:28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99"/>
      <c r="T917" s="199"/>
      <c r="U917" s="197"/>
      <c r="V917" s="199"/>
      <c r="W917" s="197"/>
      <c r="X917" s="199"/>
      <c r="Y917" s="197"/>
      <c r="Z917" s="199"/>
      <c r="AA917" s="199"/>
      <c r="AB917" s="197"/>
    </row>
    <row r="918" spans="1:28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99"/>
      <c r="T918" s="199"/>
      <c r="U918" s="197"/>
      <c r="V918" s="199"/>
      <c r="W918" s="197"/>
      <c r="X918" s="199"/>
      <c r="Y918" s="197"/>
      <c r="Z918" s="199"/>
      <c r="AA918" s="199"/>
      <c r="AB918" s="197"/>
    </row>
    <row r="919" spans="1:28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99"/>
      <c r="T919" s="199"/>
      <c r="U919" s="197"/>
      <c r="V919" s="199"/>
      <c r="W919" s="197"/>
      <c r="X919" s="199"/>
      <c r="Y919" s="197"/>
      <c r="Z919" s="199"/>
      <c r="AA919" s="199"/>
      <c r="AB919" s="197"/>
    </row>
    <row r="920" spans="1:28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99"/>
      <c r="T920" s="199"/>
      <c r="U920" s="197"/>
      <c r="V920" s="199"/>
      <c r="W920" s="197"/>
      <c r="X920" s="199"/>
      <c r="Y920" s="197"/>
      <c r="Z920" s="199"/>
      <c r="AA920" s="199"/>
      <c r="AB920" s="197"/>
    </row>
    <row r="921" spans="1:28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99"/>
      <c r="T921" s="199"/>
      <c r="U921" s="197"/>
      <c r="V921" s="199"/>
      <c r="W921" s="197"/>
      <c r="X921" s="199"/>
      <c r="Y921" s="197"/>
      <c r="Z921" s="199"/>
      <c r="AA921" s="199"/>
      <c r="AB921" s="197"/>
    </row>
    <row r="922" spans="1:28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99"/>
      <c r="T922" s="199"/>
      <c r="U922" s="197"/>
      <c r="V922" s="199"/>
      <c r="W922" s="197"/>
      <c r="X922" s="199"/>
      <c r="Y922" s="197"/>
      <c r="Z922" s="199"/>
      <c r="AA922" s="199"/>
      <c r="AB922" s="197"/>
    </row>
    <row r="923" spans="1:28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99"/>
      <c r="T923" s="199"/>
      <c r="U923" s="197"/>
      <c r="V923" s="199"/>
      <c r="W923" s="197"/>
      <c r="X923" s="199"/>
      <c r="Y923" s="197"/>
      <c r="Z923" s="199"/>
      <c r="AA923" s="199"/>
      <c r="AB923" s="197"/>
    </row>
    <row r="924" spans="1:28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99"/>
      <c r="T924" s="199"/>
      <c r="U924" s="197"/>
      <c r="V924" s="199"/>
      <c r="W924" s="197"/>
      <c r="X924" s="199"/>
      <c r="Y924" s="197"/>
      <c r="Z924" s="199"/>
      <c r="AA924" s="199"/>
      <c r="AB924" s="197"/>
    </row>
    <row r="925" spans="1:28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99"/>
      <c r="T925" s="199"/>
      <c r="U925" s="197"/>
      <c r="V925" s="199"/>
      <c r="W925" s="197"/>
      <c r="X925" s="199"/>
      <c r="Y925" s="197"/>
      <c r="Z925" s="199"/>
      <c r="AA925" s="199"/>
      <c r="AB925" s="197"/>
    </row>
    <row r="926" spans="1:28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99"/>
      <c r="T926" s="199"/>
      <c r="U926" s="197"/>
      <c r="V926" s="199"/>
      <c r="W926" s="197"/>
      <c r="X926" s="199"/>
      <c r="Y926" s="197"/>
      <c r="Z926" s="199"/>
      <c r="AA926" s="199"/>
      <c r="AB926" s="197"/>
    </row>
    <row r="927" spans="1:28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99"/>
      <c r="T927" s="199"/>
      <c r="U927" s="197"/>
      <c r="V927" s="199"/>
      <c r="W927" s="197"/>
      <c r="X927" s="199"/>
      <c r="Y927" s="197"/>
      <c r="Z927" s="199"/>
      <c r="AA927" s="199"/>
      <c r="AB927" s="197"/>
    </row>
    <row r="928" spans="1:28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99"/>
      <c r="T928" s="199"/>
      <c r="U928" s="197"/>
      <c r="V928" s="199"/>
      <c r="W928" s="197"/>
      <c r="X928" s="199"/>
      <c r="Y928" s="197"/>
      <c r="Z928" s="199"/>
      <c r="AA928" s="199"/>
      <c r="AB928" s="197"/>
    </row>
    <row r="929" spans="1:28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99"/>
      <c r="T929" s="199"/>
      <c r="U929" s="197"/>
      <c r="V929" s="199"/>
      <c r="W929" s="197"/>
      <c r="X929" s="199"/>
      <c r="Y929" s="197"/>
      <c r="Z929" s="199"/>
      <c r="AA929" s="199"/>
      <c r="AB929" s="197"/>
    </row>
    <row r="930" spans="1:28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99"/>
      <c r="T930" s="199"/>
      <c r="U930" s="197"/>
      <c r="V930" s="199"/>
      <c r="W930" s="197"/>
      <c r="X930" s="199"/>
      <c r="Y930" s="197"/>
      <c r="Z930" s="199"/>
      <c r="AA930" s="199"/>
      <c r="AB930" s="197"/>
    </row>
    <row r="931" spans="1:28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99"/>
      <c r="T931" s="199"/>
      <c r="U931" s="197"/>
      <c r="V931" s="199"/>
      <c r="W931" s="197"/>
      <c r="X931" s="199"/>
      <c r="Y931" s="197"/>
      <c r="Z931" s="199"/>
      <c r="AA931" s="199"/>
      <c r="AB931" s="197"/>
    </row>
    <row r="932" spans="1:28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99"/>
      <c r="T932" s="199"/>
      <c r="U932" s="197"/>
      <c r="V932" s="199"/>
      <c r="W932" s="197"/>
      <c r="X932" s="199"/>
      <c r="Y932" s="197"/>
      <c r="Z932" s="199"/>
      <c r="AA932" s="199"/>
      <c r="AB932" s="197"/>
    </row>
    <row r="933" spans="1:28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99"/>
      <c r="T933" s="199"/>
      <c r="U933" s="197"/>
      <c r="V933" s="199"/>
      <c r="W933" s="197"/>
      <c r="X933" s="199"/>
      <c r="Y933" s="197"/>
      <c r="Z933" s="199"/>
      <c r="AA933" s="199"/>
      <c r="AB933" s="197"/>
    </row>
    <row r="934" spans="1:28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99"/>
      <c r="T934" s="199"/>
      <c r="U934" s="197"/>
      <c r="V934" s="199"/>
      <c r="W934" s="197"/>
      <c r="X934" s="199"/>
      <c r="Y934" s="197"/>
      <c r="Z934" s="199"/>
      <c r="AA934" s="199"/>
      <c r="AB934" s="197"/>
    </row>
    <row r="935" spans="1:28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99"/>
      <c r="T935" s="199"/>
      <c r="U935" s="197"/>
      <c r="V935" s="199"/>
      <c r="W935" s="197"/>
      <c r="X935" s="199"/>
      <c r="Y935" s="197"/>
      <c r="Z935" s="199"/>
      <c r="AA935" s="199"/>
      <c r="AB935" s="197"/>
    </row>
    <row r="936" spans="1:28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99"/>
      <c r="T936" s="199"/>
      <c r="U936" s="197"/>
      <c r="V936" s="199"/>
      <c r="W936" s="197"/>
      <c r="X936" s="199"/>
      <c r="Y936" s="197"/>
      <c r="Z936" s="199"/>
      <c r="AA936" s="199"/>
      <c r="AB936" s="197"/>
    </row>
    <row r="937" spans="1:28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99"/>
      <c r="T937" s="199"/>
      <c r="U937" s="197"/>
      <c r="V937" s="199"/>
      <c r="W937" s="197"/>
      <c r="X937" s="199"/>
      <c r="Y937" s="197"/>
      <c r="Z937" s="199"/>
      <c r="AA937" s="199"/>
      <c r="AB937" s="197"/>
    </row>
    <row r="938" spans="1:28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99"/>
      <c r="T938" s="199"/>
      <c r="U938" s="197"/>
      <c r="V938" s="199"/>
      <c r="W938" s="197"/>
      <c r="X938" s="199"/>
      <c r="Y938" s="197"/>
      <c r="Z938" s="199"/>
      <c r="AA938" s="199"/>
      <c r="AB938" s="197"/>
    </row>
    <row r="939" spans="1:28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99"/>
      <c r="T939" s="199"/>
      <c r="U939" s="197"/>
      <c r="V939" s="199"/>
      <c r="W939" s="197"/>
      <c r="X939" s="199"/>
      <c r="Y939" s="197"/>
      <c r="Z939" s="199"/>
      <c r="AA939" s="199"/>
      <c r="AB939" s="197"/>
    </row>
    <row r="940" spans="1:28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99"/>
      <c r="T940" s="199"/>
      <c r="U940" s="197"/>
      <c r="V940" s="199"/>
      <c r="W940" s="197"/>
      <c r="X940" s="199"/>
      <c r="Y940" s="197"/>
      <c r="Z940" s="199"/>
      <c r="AA940" s="199"/>
      <c r="AB940" s="197"/>
    </row>
    <row r="941" spans="1:28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99"/>
      <c r="T941" s="199"/>
      <c r="U941" s="197"/>
      <c r="V941" s="199"/>
      <c r="W941" s="197"/>
      <c r="X941" s="199"/>
      <c r="Y941" s="197"/>
      <c r="Z941" s="199"/>
      <c r="AA941" s="199"/>
      <c r="AB941" s="197"/>
    </row>
    <row r="942" spans="1:28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99"/>
      <c r="T942" s="199"/>
      <c r="U942" s="197"/>
      <c r="V942" s="199"/>
      <c r="W942" s="197"/>
      <c r="X942" s="199"/>
      <c r="Y942" s="197"/>
      <c r="Z942" s="199"/>
      <c r="AA942" s="199"/>
      <c r="AB942" s="197"/>
    </row>
    <row r="943" spans="1:28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99"/>
      <c r="T943" s="199"/>
      <c r="U943" s="197"/>
      <c r="V943" s="199"/>
      <c r="W943" s="197"/>
      <c r="X943" s="199"/>
      <c r="Y943" s="197"/>
      <c r="Z943" s="199"/>
      <c r="AA943" s="199"/>
      <c r="AB943" s="197"/>
    </row>
    <row r="944" spans="1:28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99"/>
      <c r="T944" s="199"/>
      <c r="U944" s="197"/>
      <c r="V944" s="199"/>
      <c r="W944" s="197"/>
      <c r="X944" s="199"/>
      <c r="Y944" s="197"/>
      <c r="Z944" s="199"/>
      <c r="AA944" s="199"/>
      <c r="AB944" s="197"/>
    </row>
    <row r="945" spans="1:28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99"/>
      <c r="T945" s="199"/>
      <c r="U945" s="197"/>
      <c r="V945" s="199"/>
      <c r="W945" s="197"/>
      <c r="X945" s="199"/>
      <c r="Y945" s="197"/>
      <c r="Z945" s="199"/>
      <c r="AA945" s="199"/>
      <c r="AB945" s="197"/>
    </row>
    <row r="946" spans="1:28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99"/>
      <c r="T946" s="199"/>
      <c r="U946" s="197"/>
      <c r="V946" s="199"/>
      <c r="W946" s="197"/>
      <c r="X946" s="199"/>
      <c r="Y946" s="197"/>
      <c r="Z946" s="199"/>
      <c r="AA946" s="199"/>
      <c r="AB946" s="197"/>
    </row>
    <row r="947" spans="1:28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99"/>
      <c r="T947" s="199"/>
      <c r="U947" s="197"/>
      <c r="V947" s="199"/>
      <c r="W947" s="197"/>
      <c r="X947" s="199"/>
      <c r="Y947" s="197"/>
      <c r="Z947" s="199"/>
      <c r="AA947" s="199"/>
      <c r="AB947" s="197"/>
    </row>
    <row r="948" spans="1:28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99"/>
      <c r="T948" s="199"/>
      <c r="U948" s="197"/>
      <c r="V948" s="199"/>
      <c r="W948" s="197"/>
      <c r="X948" s="199"/>
      <c r="Y948" s="197"/>
      <c r="Z948" s="199"/>
      <c r="AA948" s="199"/>
      <c r="AB948" s="197"/>
    </row>
    <row r="949" spans="1:28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99"/>
      <c r="T949" s="199"/>
      <c r="U949" s="197"/>
      <c r="V949" s="199"/>
      <c r="W949" s="197"/>
      <c r="X949" s="199"/>
      <c r="Y949" s="197"/>
      <c r="Z949" s="199"/>
      <c r="AA949" s="199"/>
      <c r="AB949" s="197"/>
    </row>
    <row r="950" spans="1:28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99"/>
      <c r="T950" s="199"/>
      <c r="U950" s="197"/>
      <c r="V950" s="199"/>
      <c r="W950" s="197"/>
      <c r="X950" s="199"/>
      <c r="Y950" s="197"/>
      <c r="Z950" s="199"/>
      <c r="AA950" s="199"/>
      <c r="AB950" s="197"/>
    </row>
    <row r="951" spans="1:28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99"/>
      <c r="T951" s="199"/>
      <c r="U951" s="197"/>
      <c r="V951" s="199"/>
      <c r="W951" s="197"/>
      <c r="X951" s="199"/>
      <c r="Y951" s="197"/>
      <c r="Z951" s="199"/>
      <c r="AA951" s="199"/>
      <c r="AB951" s="197"/>
    </row>
    <row r="952" spans="1:28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99"/>
      <c r="T952" s="199"/>
      <c r="U952" s="197"/>
      <c r="V952" s="199"/>
      <c r="W952" s="197"/>
      <c r="X952" s="199"/>
      <c r="Y952" s="197"/>
      <c r="Z952" s="199"/>
      <c r="AA952" s="199"/>
      <c r="AB952" s="197"/>
    </row>
    <row r="953" spans="1:28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99"/>
      <c r="T953" s="199"/>
      <c r="U953" s="197"/>
      <c r="V953" s="199"/>
      <c r="W953" s="197"/>
      <c r="X953" s="199"/>
      <c r="Y953" s="197"/>
      <c r="Z953" s="199"/>
      <c r="AA953" s="199"/>
      <c r="AB953" s="197"/>
    </row>
    <row r="954" spans="1:28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99"/>
      <c r="T954" s="199"/>
      <c r="U954" s="197"/>
      <c r="V954" s="199"/>
      <c r="W954" s="197"/>
      <c r="X954" s="199"/>
      <c r="Y954" s="197"/>
      <c r="Z954" s="199"/>
      <c r="AA954" s="199"/>
      <c r="AB954" s="197"/>
    </row>
    <row r="955" spans="1:28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99"/>
      <c r="T955" s="199"/>
      <c r="U955" s="197"/>
      <c r="V955" s="199"/>
      <c r="W955" s="197"/>
      <c r="X955" s="199"/>
      <c r="Y955" s="197"/>
      <c r="Z955" s="199"/>
      <c r="AA955" s="199"/>
      <c r="AB955" s="197"/>
    </row>
    <row r="956" spans="1:28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99"/>
      <c r="T956" s="199"/>
      <c r="U956" s="197"/>
      <c r="V956" s="199"/>
      <c r="W956" s="197"/>
      <c r="X956" s="199"/>
      <c r="Y956" s="197"/>
      <c r="Z956" s="199"/>
      <c r="AA956" s="199"/>
      <c r="AB956" s="197"/>
    </row>
    <row r="957" spans="1:28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99"/>
      <c r="T957" s="199"/>
      <c r="U957" s="197"/>
      <c r="V957" s="199"/>
      <c r="W957" s="197"/>
      <c r="X957" s="199"/>
      <c r="Y957" s="197"/>
      <c r="Z957" s="199"/>
      <c r="AA957" s="199"/>
      <c r="AB957" s="197"/>
    </row>
    <row r="958" spans="1:28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99"/>
      <c r="T958" s="199"/>
      <c r="U958" s="197"/>
      <c r="V958" s="199"/>
      <c r="W958" s="197"/>
      <c r="X958" s="199"/>
      <c r="Y958" s="197"/>
      <c r="Z958" s="199"/>
      <c r="AA958" s="199"/>
      <c r="AB958" s="197"/>
    </row>
    <row r="959" spans="1:28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99"/>
      <c r="T959" s="199"/>
      <c r="U959" s="197"/>
      <c r="V959" s="199"/>
      <c r="W959" s="197"/>
      <c r="X959" s="199"/>
      <c r="Y959" s="197"/>
      <c r="Z959" s="199"/>
      <c r="AA959" s="199"/>
      <c r="AB959" s="197"/>
    </row>
    <row r="960" spans="1:28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99"/>
      <c r="T960" s="199"/>
      <c r="U960" s="197"/>
      <c r="V960" s="199"/>
      <c r="W960" s="197"/>
      <c r="X960" s="199"/>
      <c r="Y960" s="197"/>
      <c r="Z960" s="199"/>
      <c r="AA960" s="199"/>
      <c r="AB960" s="197"/>
    </row>
    <row r="961" spans="1:28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99"/>
      <c r="T961" s="199"/>
      <c r="U961" s="197"/>
      <c r="V961" s="199"/>
      <c r="W961" s="197"/>
      <c r="X961" s="199"/>
      <c r="Y961" s="197"/>
      <c r="Z961" s="199"/>
      <c r="AA961" s="199"/>
      <c r="AB961" s="197"/>
    </row>
    <row r="962" spans="1:28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99"/>
      <c r="T962" s="199"/>
      <c r="U962" s="197"/>
      <c r="V962" s="199"/>
      <c r="W962" s="197"/>
      <c r="X962" s="199"/>
      <c r="Y962" s="197"/>
      <c r="Z962" s="199"/>
      <c r="AA962" s="199"/>
      <c r="AB962" s="197"/>
    </row>
    <row r="963" spans="1:28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99"/>
      <c r="T963" s="199"/>
      <c r="U963" s="197"/>
      <c r="V963" s="199"/>
      <c r="W963" s="197"/>
      <c r="X963" s="199"/>
      <c r="Y963" s="197"/>
      <c r="Z963" s="199"/>
      <c r="AA963" s="199"/>
      <c r="AB963" s="197"/>
    </row>
    <row r="964" spans="1:28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99"/>
      <c r="T964" s="199"/>
      <c r="U964" s="197"/>
      <c r="V964" s="199"/>
      <c r="W964" s="197"/>
      <c r="X964" s="199"/>
      <c r="Y964" s="197"/>
      <c r="Z964" s="199"/>
      <c r="AA964" s="199"/>
      <c r="AB964" s="197"/>
    </row>
    <row r="965" spans="1:28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99"/>
      <c r="T965" s="199"/>
      <c r="U965" s="197"/>
      <c r="V965" s="199"/>
      <c r="W965" s="197"/>
      <c r="X965" s="199"/>
      <c r="Y965" s="197"/>
      <c r="Z965" s="199"/>
      <c r="AA965" s="199"/>
      <c r="AB965" s="197"/>
    </row>
    <row r="966" spans="1:28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99"/>
      <c r="T966" s="199"/>
      <c r="U966" s="197"/>
      <c r="V966" s="199"/>
      <c r="W966" s="197"/>
      <c r="X966" s="199"/>
      <c r="Y966" s="197"/>
      <c r="Z966" s="199"/>
      <c r="AA966" s="199"/>
      <c r="AB966" s="197"/>
    </row>
    <row r="967" spans="1:28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99"/>
      <c r="T967" s="199"/>
      <c r="U967" s="197"/>
      <c r="V967" s="199"/>
      <c r="W967" s="197"/>
      <c r="X967" s="199"/>
      <c r="Y967" s="197"/>
      <c r="Z967" s="199"/>
      <c r="AA967" s="199"/>
      <c r="AB967" s="197"/>
    </row>
    <row r="968" spans="1:28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99"/>
      <c r="T968" s="199"/>
      <c r="U968" s="197"/>
      <c r="V968" s="199"/>
      <c r="W968" s="197"/>
      <c r="X968" s="199"/>
      <c r="Y968" s="197"/>
      <c r="Z968" s="199"/>
      <c r="AA968" s="199"/>
      <c r="AB968" s="197"/>
    </row>
    <row r="969" spans="1:28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99"/>
      <c r="T969" s="199"/>
      <c r="U969" s="197"/>
      <c r="V969" s="199"/>
      <c r="W969" s="197"/>
      <c r="X969" s="199"/>
      <c r="Y969" s="197"/>
      <c r="Z969" s="199"/>
      <c r="AA969" s="199"/>
      <c r="AB969" s="197"/>
    </row>
    <row r="970" spans="1:28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99"/>
      <c r="T970" s="199"/>
      <c r="U970" s="197"/>
      <c r="V970" s="199"/>
      <c r="W970" s="197"/>
      <c r="X970" s="199"/>
      <c r="Y970" s="197"/>
      <c r="Z970" s="199"/>
      <c r="AA970" s="199"/>
      <c r="AB970" s="197"/>
    </row>
    <row r="971" spans="1:28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99"/>
      <c r="T971" s="199"/>
      <c r="U971" s="197"/>
      <c r="V971" s="199"/>
      <c r="W971" s="197"/>
      <c r="X971" s="199"/>
      <c r="Y971" s="197"/>
      <c r="Z971" s="199"/>
      <c r="AA971" s="199"/>
      <c r="AB971" s="197"/>
    </row>
    <row r="972" spans="1:28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99"/>
      <c r="T972" s="199"/>
      <c r="U972" s="197"/>
      <c r="V972" s="199"/>
      <c r="W972" s="197"/>
      <c r="X972" s="199"/>
      <c r="Y972" s="197"/>
      <c r="Z972" s="199"/>
      <c r="AA972" s="199"/>
      <c r="AB972" s="197"/>
    </row>
    <row r="973" spans="1:28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99"/>
      <c r="T973" s="199"/>
      <c r="U973" s="197"/>
      <c r="V973" s="199"/>
      <c r="W973" s="197"/>
      <c r="X973" s="199"/>
      <c r="Y973" s="197"/>
      <c r="Z973" s="199"/>
      <c r="AA973" s="199"/>
      <c r="AB973" s="197"/>
    </row>
    <row r="974" spans="1:28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99"/>
      <c r="T974" s="199"/>
      <c r="U974" s="197"/>
      <c r="V974" s="199"/>
      <c r="W974" s="197"/>
      <c r="X974" s="199"/>
      <c r="Y974" s="197"/>
      <c r="Z974" s="199"/>
      <c r="AA974" s="199"/>
      <c r="AB974" s="197"/>
    </row>
    <row r="975" spans="1:28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99"/>
      <c r="T975" s="199"/>
      <c r="U975" s="197"/>
      <c r="V975" s="199"/>
      <c r="W975" s="197"/>
      <c r="X975" s="199"/>
      <c r="Y975" s="197"/>
      <c r="Z975" s="199"/>
      <c r="AA975" s="199"/>
      <c r="AB975" s="197"/>
    </row>
    <row r="976" spans="1:28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99"/>
      <c r="T976" s="199"/>
      <c r="U976" s="197"/>
      <c r="V976" s="199"/>
      <c r="W976" s="197"/>
      <c r="X976" s="199"/>
      <c r="Y976" s="197"/>
      <c r="Z976" s="199"/>
      <c r="AA976" s="199"/>
      <c r="AB976" s="197"/>
    </row>
    <row r="977" spans="1:28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99"/>
      <c r="T977" s="199"/>
      <c r="U977" s="197"/>
      <c r="V977" s="199"/>
      <c r="W977" s="197"/>
      <c r="X977" s="199"/>
      <c r="Y977" s="197"/>
      <c r="Z977" s="199"/>
      <c r="AA977" s="199"/>
      <c r="AB977" s="197"/>
    </row>
    <row r="978" spans="1:28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99"/>
      <c r="T978" s="199"/>
      <c r="U978" s="197"/>
      <c r="V978" s="199"/>
      <c r="W978" s="197"/>
      <c r="X978" s="199"/>
      <c r="Y978" s="197"/>
      <c r="Z978" s="199"/>
      <c r="AA978" s="199"/>
      <c r="AB978" s="197"/>
    </row>
    <row r="979" spans="1:28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99"/>
      <c r="T979" s="199"/>
      <c r="U979" s="197"/>
      <c r="V979" s="199"/>
      <c r="W979" s="197"/>
      <c r="X979" s="199"/>
      <c r="Y979" s="197"/>
      <c r="Z979" s="199"/>
      <c r="AA979" s="199"/>
      <c r="AB979" s="197"/>
    </row>
    <row r="980" spans="1:28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99"/>
      <c r="T980" s="199"/>
      <c r="U980" s="197"/>
      <c r="V980" s="199"/>
      <c r="W980" s="197"/>
      <c r="X980" s="199"/>
      <c r="Y980" s="197"/>
      <c r="Z980" s="199"/>
      <c r="AA980" s="199"/>
      <c r="AB980" s="197"/>
    </row>
    <row r="981" spans="1:28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99"/>
      <c r="T981" s="199"/>
      <c r="U981" s="197"/>
      <c r="V981" s="199"/>
      <c r="W981" s="197"/>
      <c r="X981" s="199"/>
      <c r="Y981" s="197"/>
      <c r="Z981" s="199"/>
      <c r="AA981" s="199"/>
      <c r="AB981" s="197"/>
    </row>
    <row r="982" spans="1:28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99"/>
      <c r="T982" s="199"/>
      <c r="U982" s="197"/>
      <c r="V982" s="199"/>
      <c r="W982" s="197"/>
      <c r="X982" s="199"/>
      <c r="Y982" s="197"/>
      <c r="Z982" s="199"/>
      <c r="AA982" s="199"/>
      <c r="AB982" s="197"/>
    </row>
    <row r="983" spans="1:28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99"/>
      <c r="T983" s="199"/>
      <c r="U983" s="197"/>
      <c r="V983" s="199"/>
      <c r="W983" s="197"/>
      <c r="X983" s="199"/>
      <c r="Y983" s="197"/>
      <c r="Z983" s="199"/>
      <c r="AA983" s="199"/>
      <c r="AB983" s="197"/>
    </row>
    <row r="984" spans="1:28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99"/>
      <c r="T984" s="199"/>
      <c r="U984" s="197"/>
      <c r="V984" s="199"/>
      <c r="W984" s="197"/>
      <c r="X984" s="199"/>
      <c r="Y984" s="197"/>
      <c r="Z984" s="199"/>
      <c r="AA984" s="199"/>
      <c r="AB984" s="197"/>
    </row>
    <row r="985" spans="1:28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99"/>
      <c r="T985" s="199"/>
      <c r="U985" s="197"/>
      <c r="V985" s="199"/>
      <c r="W985" s="197"/>
      <c r="X985" s="199"/>
      <c r="Y985" s="197"/>
      <c r="Z985" s="199"/>
      <c r="AA985" s="199"/>
      <c r="AB985" s="197"/>
    </row>
    <row r="986" spans="1:28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99"/>
      <c r="T986" s="199"/>
      <c r="U986" s="197"/>
      <c r="V986" s="199"/>
      <c r="W986" s="197"/>
      <c r="X986" s="199"/>
      <c r="Y986" s="197"/>
      <c r="Z986" s="199"/>
      <c r="AA986" s="199"/>
      <c r="AB986" s="197"/>
    </row>
    <row r="987" spans="1:28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99"/>
      <c r="T987" s="199"/>
      <c r="U987" s="197"/>
      <c r="V987" s="199"/>
      <c r="W987" s="197"/>
      <c r="X987" s="199"/>
      <c r="Y987" s="197"/>
      <c r="Z987" s="199"/>
      <c r="AA987" s="199"/>
      <c r="AB987" s="197"/>
    </row>
    <row r="988" spans="1:28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99"/>
      <c r="T988" s="199"/>
      <c r="U988" s="197"/>
      <c r="V988" s="199"/>
      <c r="W988" s="197"/>
      <c r="X988" s="199"/>
      <c r="Y988" s="197"/>
      <c r="Z988" s="199"/>
      <c r="AA988" s="199"/>
      <c r="AB988" s="197"/>
    </row>
    <row r="989" spans="1:28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99"/>
      <c r="T989" s="199"/>
      <c r="U989" s="197"/>
      <c r="V989" s="199"/>
      <c r="W989" s="197"/>
      <c r="X989" s="199"/>
      <c r="Y989" s="197"/>
      <c r="Z989" s="199"/>
      <c r="AA989" s="199"/>
      <c r="AB989" s="197"/>
    </row>
    <row r="990" spans="1:28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99"/>
      <c r="T990" s="199"/>
      <c r="U990" s="197"/>
      <c r="V990" s="199"/>
      <c r="W990" s="197"/>
      <c r="X990" s="199"/>
      <c r="Y990" s="197"/>
      <c r="Z990" s="199"/>
      <c r="AA990" s="199"/>
      <c r="AB990" s="197"/>
    </row>
    <row r="991" spans="1:28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99"/>
      <c r="T991" s="199"/>
      <c r="U991" s="197"/>
      <c r="V991" s="199"/>
      <c r="W991" s="197"/>
      <c r="X991" s="199"/>
      <c r="Y991" s="197"/>
      <c r="Z991" s="199"/>
      <c r="AA991" s="199"/>
      <c r="AB991" s="197"/>
    </row>
    <row r="992" spans="1:28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99"/>
      <c r="T992" s="199"/>
      <c r="U992" s="197"/>
      <c r="V992" s="199"/>
      <c r="W992" s="197"/>
      <c r="X992" s="199"/>
      <c r="Y992" s="197"/>
      <c r="Z992" s="199"/>
      <c r="AA992" s="199"/>
      <c r="AB992" s="197"/>
    </row>
    <row r="993" spans="1:28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99"/>
      <c r="T993" s="199"/>
      <c r="U993" s="197"/>
      <c r="V993" s="199"/>
      <c r="W993" s="197"/>
      <c r="X993" s="199"/>
      <c r="Y993" s="197"/>
      <c r="Z993" s="199"/>
      <c r="AA993" s="199"/>
      <c r="AB993" s="197"/>
    </row>
    <row r="994" spans="1:28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99"/>
      <c r="T994" s="199"/>
      <c r="U994" s="197"/>
      <c r="V994" s="199"/>
      <c r="W994" s="197"/>
      <c r="X994" s="199"/>
      <c r="Y994" s="197"/>
      <c r="Z994" s="199"/>
      <c r="AA994" s="199"/>
      <c r="AB994" s="197"/>
    </row>
    <row r="995" spans="1:28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99"/>
      <c r="T995" s="199"/>
      <c r="U995" s="197"/>
      <c r="V995" s="199"/>
      <c r="W995" s="197"/>
      <c r="X995" s="199"/>
      <c r="Y995" s="197"/>
      <c r="Z995" s="199"/>
      <c r="AA995" s="199"/>
      <c r="AB995" s="197"/>
    </row>
    <row r="996" spans="1:28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99"/>
      <c r="T996" s="199"/>
      <c r="U996" s="197"/>
      <c r="V996" s="199"/>
      <c r="W996" s="197"/>
      <c r="X996" s="199"/>
      <c r="Y996" s="197"/>
      <c r="Z996" s="199"/>
      <c r="AA996" s="199"/>
      <c r="AB996" s="197"/>
    </row>
    <row r="997" spans="1:28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99"/>
      <c r="T997" s="199"/>
      <c r="U997" s="197"/>
      <c r="V997" s="199"/>
      <c r="W997" s="197"/>
      <c r="X997" s="199"/>
      <c r="Y997" s="197"/>
      <c r="Z997" s="199"/>
      <c r="AA997" s="199"/>
      <c r="AB997" s="197"/>
    </row>
    <row r="998" spans="1:28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99"/>
      <c r="T998" s="199"/>
      <c r="U998" s="197"/>
      <c r="V998" s="199"/>
      <c r="W998" s="197"/>
      <c r="X998" s="199"/>
      <c r="Y998" s="197"/>
      <c r="Z998" s="199"/>
      <c r="AA998" s="199"/>
      <c r="AB998" s="197"/>
    </row>
    <row r="999" spans="1:28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99"/>
      <c r="T999" s="199"/>
      <c r="U999" s="197"/>
      <c r="V999" s="199"/>
      <c r="W999" s="197"/>
      <c r="X999" s="199"/>
      <c r="Y999" s="197"/>
      <c r="Z999" s="199"/>
      <c r="AA999" s="199"/>
      <c r="AB999" s="197"/>
    </row>
    <row r="1000" spans="1:28" ht="12.75" x14ac:dyDescent="0.2"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</row>
  </sheetData>
  <mergeCells count="30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F5:F6"/>
    <mergeCell ref="G5:G6"/>
    <mergeCell ref="J5:K5"/>
    <mergeCell ref="L5:N5"/>
    <mergeCell ref="O5:Q5"/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71" t="s">
        <v>1</v>
      </c>
      <c r="B2" s="372"/>
      <c r="C2" s="400" t="s">
        <v>216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2"/>
    </row>
    <row r="3" spans="1:20" ht="30" customHeight="1" x14ac:dyDescent="0.2">
      <c r="A3" s="373"/>
      <c r="B3" s="374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450" t="s">
        <v>217</v>
      </c>
      <c r="S3" s="406"/>
      <c r="T3" s="407"/>
    </row>
    <row r="4" spans="1:20" ht="30" customHeight="1" x14ac:dyDescent="0.2">
      <c r="A4" s="373"/>
      <c r="B4" s="374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417"/>
      <c r="S4" s="395"/>
      <c r="T4" s="396"/>
    </row>
    <row r="5" spans="1:20" ht="24" customHeight="1" x14ac:dyDescent="0.3">
      <c r="A5" s="373"/>
      <c r="B5" s="374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281" t="s">
        <v>21</v>
      </c>
      <c r="S5" s="399" t="s">
        <v>22</v>
      </c>
      <c r="T5" s="382"/>
    </row>
    <row r="6" spans="1:20" ht="41.25" customHeight="1" x14ac:dyDescent="0.2">
      <c r="A6" s="375"/>
      <c r="B6" s="37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13" t="s">
        <v>218</v>
      </c>
      <c r="S6" s="282" t="s">
        <v>218</v>
      </c>
      <c r="T6" s="11" t="s">
        <v>24</v>
      </c>
    </row>
    <row r="7" spans="1:20" ht="24" customHeight="1" x14ac:dyDescent="0.2">
      <c r="A7" s="367" t="s">
        <v>239</v>
      </c>
      <c r="B7" s="368"/>
      <c r="C7" s="283">
        <f t="shared" ref="C7:C116" ca="1" si="0">D7+G7</f>
        <v>7751500</v>
      </c>
      <c r="D7" s="284">
        <f t="shared" ref="D7:E7" ca="1" si="1">D8+D9+D12</f>
        <v>4151500</v>
      </c>
      <c r="E7" s="18">
        <f t="shared" ca="1" si="1"/>
        <v>2601500</v>
      </c>
      <c r="F7" s="19">
        <f ca="1">F8+F9</f>
        <v>1550000</v>
      </c>
      <c r="G7" s="20">
        <f t="shared" ref="G7:I7" ca="1" si="2">G8+G9+G12</f>
        <v>3600000</v>
      </c>
      <c r="H7" s="21">
        <f t="shared" ca="1" si="2"/>
        <v>4151500</v>
      </c>
      <c r="I7" s="21">
        <f t="shared" ca="1" si="2"/>
        <v>3600000</v>
      </c>
      <c r="J7" s="22">
        <f t="shared" ref="J7:J116" ca="1" si="3">L7+O7</f>
        <v>7168833.0700000003</v>
      </c>
      <c r="K7" s="23">
        <f t="shared" ref="K7:K116" ca="1" si="4">IF(C7&gt;0,J7*100/C7,0)</f>
        <v>92.483171902212476</v>
      </c>
      <c r="L7" s="22">
        <f ca="1">L8+L9+L12</f>
        <v>3603200.94</v>
      </c>
      <c r="M7" s="24">
        <f t="shared" ref="M7:M116" ca="1" si="5">IF(D7&gt;0,L7*100/D7,0)</f>
        <v>86.792748163314471</v>
      </c>
      <c r="N7" s="24">
        <f t="shared" ref="N7:N116" ca="1" si="6">IF(H7&gt;0,L7*100/H7,0)</f>
        <v>86.792748163314471</v>
      </c>
      <c r="O7" s="25">
        <f ca="1">O8+O9+O12</f>
        <v>3565632.13</v>
      </c>
      <c r="P7" s="25">
        <f t="shared" ref="P7:P11" ca="1" si="7">IF(G7&gt;0,O7*100/G7,0)</f>
        <v>99.045336944444443</v>
      </c>
      <c r="Q7" s="24">
        <f t="shared" ref="Q7:Q116" ca="1" si="8">IF(I7&gt;0,O7*100/I7,0)</f>
        <v>99.045336944444443</v>
      </c>
      <c r="R7" s="26">
        <f t="shared" ref="R7:S7" ca="1" si="9">R8</f>
        <v>16</v>
      </c>
      <c r="S7" s="27">
        <f t="shared" ca="1" si="9"/>
        <v>16</v>
      </c>
      <c r="T7" s="28">
        <f t="shared" ref="T7:T8" ca="1" si="10">IF(R7&gt;0,S7*100/R7,0)</f>
        <v>100</v>
      </c>
    </row>
    <row r="8" spans="1:20" ht="28.5" customHeight="1" x14ac:dyDescent="0.2">
      <c r="A8" s="29" t="s">
        <v>31</v>
      </c>
      <c r="B8" s="30"/>
      <c r="C8" s="31">
        <f t="shared" ca="1" si="0"/>
        <v>6437000</v>
      </c>
      <c r="D8" s="32">
        <f t="shared" ref="D8:I8" ca="1" si="11">+D13+D31+D52+D74</f>
        <v>2837000</v>
      </c>
      <c r="E8" s="33">
        <f t="shared" ca="1" si="11"/>
        <v>1287000</v>
      </c>
      <c r="F8" s="33">
        <f t="shared" ca="1" si="11"/>
        <v>1550000</v>
      </c>
      <c r="G8" s="33">
        <f t="shared" ca="1" si="11"/>
        <v>3600000</v>
      </c>
      <c r="H8" s="33">
        <f t="shared" ca="1" si="11"/>
        <v>2934900</v>
      </c>
      <c r="I8" s="33">
        <f t="shared" ca="1" si="11"/>
        <v>3587081.19</v>
      </c>
      <c r="J8" s="33">
        <f t="shared" ca="1" si="3"/>
        <v>6164213.1600000001</v>
      </c>
      <c r="K8" s="34">
        <f t="shared" ca="1" si="4"/>
        <v>95.762205375174773</v>
      </c>
      <c r="L8" s="33">
        <f ca="1">+L13+L31+L52+L74</f>
        <v>2598581.0299999998</v>
      </c>
      <c r="M8" s="35">
        <f t="shared" ca="1" si="5"/>
        <v>91.596088473739854</v>
      </c>
      <c r="N8" s="35">
        <f t="shared" ca="1" si="6"/>
        <v>88.540700875668662</v>
      </c>
      <c r="O8" s="36">
        <f ca="1">+O13+O31+O52+O74</f>
        <v>3565632.13</v>
      </c>
      <c r="P8" s="36">
        <f t="shared" ca="1" si="7"/>
        <v>99.045336944444443</v>
      </c>
      <c r="Q8" s="35">
        <f t="shared" ca="1" si="8"/>
        <v>99.40204698851548</v>
      </c>
      <c r="R8" s="33">
        <f t="shared" ref="R8:S8" ca="1" si="12">+R13+R31+R52+R74</f>
        <v>16</v>
      </c>
      <c r="S8" s="33">
        <f t="shared" ca="1" si="12"/>
        <v>16</v>
      </c>
      <c r="T8" s="35">
        <f t="shared" ca="1" si="10"/>
        <v>100</v>
      </c>
    </row>
    <row r="9" spans="1:20" ht="28.5" customHeight="1" x14ac:dyDescent="0.2">
      <c r="A9" s="39" t="s">
        <v>240</v>
      </c>
      <c r="B9" s="40"/>
      <c r="C9" s="41">
        <f t="shared" ca="1" si="0"/>
        <v>1314500</v>
      </c>
      <c r="D9" s="42">
        <f t="shared" ref="D9:I9" ca="1" si="13">+D10+D11</f>
        <v>1314500</v>
      </c>
      <c r="E9" s="41">
        <f t="shared" ca="1" si="13"/>
        <v>1314500</v>
      </c>
      <c r="F9" s="41">
        <f t="shared" ca="1" si="13"/>
        <v>0</v>
      </c>
      <c r="G9" s="41">
        <f t="shared" ca="1" si="13"/>
        <v>0</v>
      </c>
      <c r="H9" s="41">
        <f t="shared" ca="1" si="13"/>
        <v>1216600</v>
      </c>
      <c r="I9" s="41">
        <f t="shared" ca="1" si="13"/>
        <v>12918.81</v>
      </c>
      <c r="J9" s="41">
        <f t="shared" ca="1" si="3"/>
        <v>1004619.91</v>
      </c>
      <c r="K9" s="43">
        <f t="shared" ca="1" si="4"/>
        <v>76.426010650437433</v>
      </c>
      <c r="L9" s="41">
        <f ca="1">+L10+L11</f>
        <v>1004619.91</v>
      </c>
      <c r="M9" s="44">
        <f t="shared" ca="1" si="5"/>
        <v>76.426010650437433</v>
      </c>
      <c r="N9" s="44">
        <f t="shared" ca="1" si="6"/>
        <v>82.576024165707707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860000</v>
      </c>
      <c r="D10" s="42">
        <f t="shared" ref="D10:I10" ca="1" si="14">+D89</f>
        <v>860000</v>
      </c>
      <c r="E10" s="41">
        <f t="shared" ca="1" si="14"/>
        <v>860000</v>
      </c>
      <c r="F10" s="41">
        <f t="shared" ca="1" si="14"/>
        <v>0</v>
      </c>
      <c r="G10" s="41">
        <f t="shared" ca="1" si="14"/>
        <v>0</v>
      </c>
      <c r="H10" s="41">
        <f t="shared" ca="1" si="14"/>
        <v>1216600</v>
      </c>
      <c r="I10" s="41">
        <f t="shared" ca="1" si="14"/>
        <v>0</v>
      </c>
      <c r="J10" s="41">
        <f t="shared" ca="1" si="3"/>
        <v>1004619.91</v>
      </c>
      <c r="K10" s="43">
        <f t="shared" ca="1" si="4"/>
        <v>116.81626860465116</v>
      </c>
      <c r="L10" s="41">
        <f ca="1">+L89</f>
        <v>1004619.91</v>
      </c>
      <c r="M10" s="44">
        <f t="shared" ca="1" si="5"/>
        <v>116.81626860465116</v>
      </c>
      <c r="N10" s="44">
        <f t="shared" ca="1" si="6"/>
        <v>82.576024165707707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454500</v>
      </c>
      <c r="D11" s="42">
        <f t="shared" ref="D11:I11" ca="1" si="15">+D104</f>
        <v>454500</v>
      </c>
      <c r="E11" s="41">
        <f t="shared" ca="1" si="15"/>
        <v>454500</v>
      </c>
      <c r="F11" s="41">
        <f t="shared" ca="1" si="15"/>
        <v>0</v>
      </c>
      <c r="G11" s="41">
        <f t="shared" ca="1" si="15"/>
        <v>0</v>
      </c>
      <c r="H11" s="41">
        <f t="shared" ca="1" si="15"/>
        <v>0</v>
      </c>
      <c r="I11" s="41">
        <f t="shared" ca="1" si="15"/>
        <v>12918.81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81" t="s">
        <v>35</v>
      </c>
      <c r="B13" s="382"/>
      <c r="C13" s="57">
        <f t="shared" ca="1" si="0"/>
        <v>459000</v>
      </c>
      <c r="D13" s="58">
        <f t="shared" ref="D13:I13" ca="1" si="17">SUM(D14:D30)</f>
        <v>459000</v>
      </c>
      <c r="E13" s="59">
        <f t="shared" ca="1" si="17"/>
        <v>286000</v>
      </c>
      <c r="F13" s="59">
        <f t="shared" ca="1" si="17"/>
        <v>173000</v>
      </c>
      <c r="G13" s="59">
        <f t="shared" ca="1" si="17"/>
        <v>0</v>
      </c>
      <c r="H13" s="59">
        <f t="shared" ca="1" si="17"/>
        <v>459000</v>
      </c>
      <c r="I13" s="59">
        <f t="shared" ca="1" si="17"/>
        <v>0</v>
      </c>
      <c r="J13" s="59">
        <f t="shared" ca="1" si="3"/>
        <v>367191.2</v>
      </c>
      <c r="K13" s="60">
        <f t="shared" ca="1" si="4"/>
        <v>79.998082788671027</v>
      </c>
      <c r="L13" s="59">
        <f ca="1">SUM(L14:L30)</f>
        <v>367191.2</v>
      </c>
      <c r="M13" s="61">
        <f t="shared" ca="1" si="5"/>
        <v>79.998082788671027</v>
      </c>
      <c r="N13" s="61">
        <f t="shared" ca="1" si="6"/>
        <v>79.998082788671027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3</v>
      </c>
      <c r="S13" s="59">
        <f t="shared" ca="1" si="19"/>
        <v>3</v>
      </c>
      <c r="T13" s="61">
        <f t="shared" ca="1" si="16"/>
        <v>100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296000</v>
      </c>
      <c r="D14" s="66">
        <f t="shared" ref="D14:D30" ca="1" si="20">+E14+F14</f>
        <v>296000</v>
      </c>
      <c r="E14" s="67">
        <f ca="1">IFERROR(__xludf.DUMMYFUNCTION("IMPORTRANGE(""https://docs.google.com/spreadsheets/d/1MeEWN-I1oV_STSDYn1IFDPWt_1FKiwhDph83XaGc0o0/edit?usp=sharing"",""งบพรบ!ED14"")"),286000)</f>
        <v>286000</v>
      </c>
      <c r="F14" s="67">
        <f ca="1">IFERROR(__xludf.DUMMYFUNCTION("IMPORTRANGE(""https://docs.google.com/spreadsheets/d/1MeEWN-I1oV_STSDYn1IFDPWt_1FKiwhDph83XaGc0o0/edit?usp=sharing"",""งบพรบ!EE14"")"),10000)</f>
        <v>10000</v>
      </c>
      <c r="G14" s="68">
        <f ca="1">IFERROR(__xludf.DUMMYFUNCTION("IMPORTRANGE(""https://docs.google.com/spreadsheets/d/1MeEWN-I1oV_STSDYn1IFDPWt_1FKiwhDph83XaGc0o0/edit?usp=sharing"",""งบพรบ!EF14"")"),0)</f>
        <v>0</v>
      </c>
      <c r="H14" s="68">
        <f ca="1">IFERROR(__xludf.DUMMYFUNCTION("IMPORTRANGE(""https://docs.google.com/spreadsheets/d/1MeEWN-I1oV_STSDYn1IFDPWt_1FKiwhDph83XaGc0o0/edit?usp=sharing"",""งบพรบ!EH14"")"),296000)</f>
        <v>296000</v>
      </c>
      <c r="I14" s="68">
        <f ca="1">IFERROR(__xludf.DUMMYFUNCTION("IMPORTRANGE(""https://docs.google.com/spreadsheets/d/1MeEWN-I1oV_STSDYn1IFDPWt_1FKiwhDph83XaGc0o0/edit?usp=sharing"",""งบพรบ!EI14"")"),0)</f>
        <v>0</v>
      </c>
      <c r="J14" s="68">
        <f t="shared" ca="1" si="3"/>
        <v>218520</v>
      </c>
      <c r="K14" s="69">
        <f t="shared" ca="1" si="4"/>
        <v>73.824324324324323</v>
      </c>
      <c r="L14" s="68">
        <f ca="1">IFERROR(__xludf.DUMMYFUNCTION("IMPORTRANGE(""https://docs.google.com/spreadsheets/d/1MeEWN-I1oV_STSDYn1IFDPWt_1FKiwhDph83XaGc0o0/edit?usp=sharing"",""งบพรบ!EJ14"")"),218520)</f>
        <v>218520</v>
      </c>
      <c r="M14" s="70">
        <f t="shared" ca="1" si="5"/>
        <v>73.824324324324323</v>
      </c>
      <c r="N14" s="70">
        <f t="shared" ca="1" si="6"/>
        <v>73.824324324324323</v>
      </c>
      <c r="O14" s="71">
        <f ca="1">IFERROR(__xludf.DUMMYFUNCTION("IMPORTRANGE(""https://docs.google.com/spreadsheets/d/1MeEWN-I1oV_STSDYn1IFDPWt_1FKiwhDph83XaGc0o0/edit?usp=sharing"",""งบพรบ!EK14"")"),0)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IFERROR(__xludf.DUMMYFUNCTION("IMPORTRANGE(""https://docs.google.com/spreadsheets/d/1KxicF4apzSqm0-jIpmueT4kyZtE-Cwn5zskl7GD4loQ/edit?usp=sharing"",""กำแพงเพชร!I325"")"),1)</f>
        <v>1</v>
      </c>
      <c r="S14" s="68">
        <f ca="1">IFERROR(__xludf.DUMMYFUNCTION("IMPORTRANGE(""https://docs.google.com/spreadsheets/d/1KxicF4apzSqm0-jIpmueT4kyZtE-Cwn5zskl7GD4loQ/edit?usp=sharing"",""กำแพงเพชร!J325"")"),1)</f>
        <v>1</v>
      </c>
      <c r="T14" s="72">
        <f t="shared" ca="1" si="16"/>
        <v>100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0</v>
      </c>
      <c r="D15" s="76">
        <f t="shared" ca="1" si="20"/>
        <v>0</v>
      </c>
      <c r="E15" s="77">
        <f ca="1">IFERROR(__xludf.DUMMYFUNCTION("IMPORTRANGE(""https://docs.google.com/spreadsheets/d/1MeEWN-I1oV_STSDYn1IFDPWt_1FKiwhDph83XaGc0o0/edit?usp=sharing"",""งบพรบ!ED15"")"),0)</f>
        <v>0</v>
      </c>
      <c r="F15" s="77">
        <f ca="1">IFERROR(__xludf.DUMMYFUNCTION("IMPORTRANGE(""https://docs.google.com/spreadsheets/d/1MeEWN-I1oV_STSDYn1IFDPWt_1FKiwhDph83XaGc0o0/edit?usp=sharing"",""งบพรบ!EE15"")"),0)</f>
        <v>0</v>
      </c>
      <c r="G15" s="77">
        <f ca="1">IFERROR(__xludf.DUMMYFUNCTION("IMPORTRANGE(""https://docs.google.com/spreadsheets/d/1MeEWN-I1oV_STSDYn1IFDPWt_1FKiwhDph83XaGc0o0/edit?usp=sharing"",""งบพรบ!EF15"")"),0)</f>
        <v>0</v>
      </c>
      <c r="H15" s="77">
        <f ca="1">IFERROR(__xludf.DUMMYFUNCTION("IMPORTRANGE(""https://docs.google.com/spreadsheets/d/1MeEWN-I1oV_STSDYn1IFDPWt_1FKiwhDph83XaGc0o0/edit?usp=sharing"",""งบพรบ!EH15"")"),0)</f>
        <v>0</v>
      </c>
      <c r="I15" s="77">
        <f ca="1">IFERROR(__xludf.DUMMYFUNCTION("IMPORTRANGE(""https://docs.google.com/spreadsheets/d/1MeEWN-I1oV_STSDYn1IFDPWt_1FKiwhDph83XaGc0o0/edit?usp=sharing"",""งบพรบ!EI15"")"),0)</f>
        <v>0</v>
      </c>
      <c r="J15" s="77">
        <f t="shared" ca="1" si="3"/>
        <v>0</v>
      </c>
      <c r="K15" s="78">
        <f t="shared" ca="1" si="4"/>
        <v>0</v>
      </c>
      <c r="L15" s="77">
        <f ca="1">IFERROR(__xludf.DUMMYFUNCTION("IMPORTRANGE(""https://docs.google.com/spreadsheets/d/1MeEWN-I1oV_STSDYn1IFDPWt_1FKiwhDph83XaGc0o0/edit?usp=sharing"",""งบพรบ!EJ15"")"),0)</f>
        <v>0</v>
      </c>
      <c r="M15" s="79">
        <f t="shared" ca="1" si="5"/>
        <v>0</v>
      </c>
      <c r="N15" s="79">
        <f t="shared" ca="1" si="6"/>
        <v>0</v>
      </c>
      <c r="O15" s="80">
        <f ca="1">IFERROR(__xludf.DUMMYFUNCTION("IMPORTRANGE(""https://docs.google.com/spreadsheets/d/1MeEWN-I1oV_STSDYn1IFDPWt_1FKiwhDph83XaGc0o0/edit?usp=sharing"",""งบพรบ!EK15"")"),0)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IFERROR(__xludf.DUMMYFUNCTION("IMPORTRANGE(""https://docs.google.com/spreadsheets/d/1ZNYWeiFoFA1K1U4xKWqRX29MBvEyRHXORjo734Gnq_c/edit?usp=sharing"",""เชียงราย!I325"")"),0)</f>
        <v>0</v>
      </c>
      <c r="S15" s="81">
        <f ca="1">IFERROR(__xludf.DUMMYFUNCTION("IMPORTRANGE(""https://docs.google.com/spreadsheets/d/1ZNYWeiFoFA1K1U4xKWqRX29MBvEyRHXORjo734Gnq_c/edit?usp=sharing"",""เชียงราย!J325"")"),0)</f>
        <v>0</v>
      </c>
      <c r="T15" s="82">
        <f t="shared" ca="1" si="16"/>
        <v>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10000</v>
      </c>
      <c r="D16" s="76">
        <f t="shared" ca="1" si="20"/>
        <v>10000</v>
      </c>
      <c r="E16" s="77">
        <f ca="1">IFERROR(__xludf.DUMMYFUNCTION("IMPORTRANGE(""https://docs.google.com/spreadsheets/d/1MeEWN-I1oV_STSDYn1IFDPWt_1FKiwhDph83XaGc0o0/edit?usp=sharing"",""งบพรบ!ED16"")"),0)</f>
        <v>0</v>
      </c>
      <c r="F16" s="77">
        <f ca="1">IFERROR(__xludf.DUMMYFUNCTION("IMPORTRANGE(""https://docs.google.com/spreadsheets/d/1MeEWN-I1oV_STSDYn1IFDPWt_1FKiwhDph83XaGc0o0/edit?usp=sharing"",""งบพรบ!EE16"")"),10000)</f>
        <v>10000</v>
      </c>
      <c r="G16" s="77">
        <f ca="1">IFERROR(__xludf.DUMMYFUNCTION("IMPORTRANGE(""https://docs.google.com/spreadsheets/d/1MeEWN-I1oV_STSDYn1IFDPWt_1FKiwhDph83XaGc0o0/edit?usp=sharing"",""งบพรบ!EF16"")"),0)</f>
        <v>0</v>
      </c>
      <c r="H16" s="77">
        <f ca="1">IFERROR(__xludf.DUMMYFUNCTION("IMPORTRANGE(""https://docs.google.com/spreadsheets/d/1MeEWN-I1oV_STSDYn1IFDPWt_1FKiwhDph83XaGc0o0/edit?usp=sharing"",""งบพรบ!EH16"")"),10000)</f>
        <v>10000</v>
      </c>
      <c r="I16" s="77">
        <f ca="1">IFERROR(__xludf.DUMMYFUNCTION("IMPORTRANGE(""https://docs.google.com/spreadsheets/d/1MeEWN-I1oV_STSDYn1IFDPWt_1FKiwhDph83XaGc0o0/edit?usp=sharing"",""งบพรบ!EI16"")"),0)</f>
        <v>0</v>
      </c>
      <c r="J16" s="77">
        <f t="shared" ca="1" si="3"/>
        <v>10000</v>
      </c>
      <c r="K16" s="78">
        <f t="shared" ca="1" si="4"/>
        <v>100</v>
      </c>
      <c r="L16" s="77">
        <f ca="1">IFERROR(__xludf.DUMMYFUNCTION("IMPORTRANGE(""https://docs.google.com/spreadsheets/d/1MeEWN-I1oV_STSDYn1IFDPWt_1FKiwhDph83XaGc0o0/edit?usp=sharing"",""งบพรบ!EJ16"")"),10000)</f>
        <v>10000</v>
      </c>
      <c r="M16" s="79">
        <f t="shared" ca="1" si="5"/>
        <v>100</v>
      </c>
      <c r="N16" s="79">
        <f t="shared" ca="1" si="6"/>
        <v>100</v>
      </c>
      <c r="O16" s="80">
        <f ca="1">IFERROR(__xludf.DUMMYFUNCTION("IMPORTRANGE(""https://docs.google.com/spreadsheets/d/1MeEWN-I1oV_STSDYn1IFDPWt_1FKiwhDph83XaGc0o0/edit?usp=sharing"",""งบพรบ!EK16"")"),0)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IFERROR(__xludf.DUMMYFUNCTION("IMPORTRANGE(""https://docs.google.com/spreadsheets/d/1Jgv0Y7YlHDtsiDawwp-uvifEJ8HVaSn0k2aGHG8-hwM/edit?usp=sharing"",""เชียงใหม่!I325"")"),1)</f>
        <v>1</v>
      </c>
      <c r="S16" s="81">
        <f ca="1">IFERROR(__xludf.DUMMYFUNCTION("IMPORTRANGE(""https://docs.google.com/spreadsheets/d/1Jgv0Y7YlHDtsiDawwp-uvifEJ8HVaSn0k2aGHG8-hwM/edit?usp=sharing"",""เชียงใหม่!J325"")"),1)</f>
        <v>1</v>
      </c>
      <c r="T16" s="82">
        <f t="shared" ca="1" si="16"/>
        <v>100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0</v>
      </c>
      <c r="D17" s="76">
        <f t="shared" ca="1" si="20"/>
        <v>0</v>
      </c>
      <c r="E17" s="77">
        <f ca="1">IFERROR(__xludf.DUMMYFUNCTION("IMPORTRANGE(""https://docs.google.com/spreadsheets/d/1MeEWN-I1oV_STSDYn1IFDPWt_1FKiwhDph83XaGc0o0/edit?usp=sharing"",""งบพรบ!ED17"")"),0)</f>
        <v>0</v>
      </c>
      <c r="F17" s="77">
        <f ca="1">IFERROR(__xludf.DUMMYFUNCTION("IMPORTRANGE(""https://docs.google.com/spreadsheets/d/1MeEWN-I1oV_STSDYn1IFDPWt_1FKiwhDph83XaGc0o0/edit?usp=sharing"",""งบพรบ!EE17"")"),0)</f>
        <v>0</v>
      </c>
      <c r="G17" s="77">
        <f ca="1">IFERROR(__xludf.DUMMYFUNCTION("IMPORTRANGE(""https://docs.google.com/spreadsheets/d/1MeEWN-I1oV_STSDYn1IFDPWt_1FKiwhDph83XaGc0o0/edit?usp=sharing"",""งบพรบ!EF17"")"),0)</f>
        <v>0</v>
      </c>
      <c r="H17" s="77">
        <f ca="1">IFERROR(__xludf.DUMMYFUNCTION("IMPORTRANGE(""https://docs.google.com/spreadsheets/d/1MeEWN-I1oV_STSDYn1IFDPWt_1FKiwhDph83XaGc0o0/edit?usp=sharing"",""งบพรบ!EH17"")"),0)</f>
        <v>0</v>
      </c>
      <c r="I17" s="77">
        <f ca="1">IFERROR(__xludf.DUMMYFUNCTION("IMPORTRANGE(""https://docs.google.com/spreadsheets/d/1MeEWN-I1oV_STSDYn1IFDPWt_1FKiwhDph83XaGc0o0/edit?usp=sharing"",""งบพรบ!EI17"")"),0)</f>
        <v>0</v>
      </c>
      <c r="J17" s="77">
        <f t="shared" ca="1" si="3"/>
        <v>0</v>
      </c>
      <c r="K17" s="78">
        <f t="shared" ca="1" si="4"/>
        <v>0</v>
      </c>
      <c r="L17" s="77">
        <f ca="1">IFERROR(__xludf.DUMMYFUNCTION("IMPORTRANGE(""https://docs.google.com/spreadsheets/d/1MeEWN-I1oV_STSDYn1IFDPWt_1FKiwhDph83XaGc0o0/edit?usp=sharing"",""งบพรบ!EJ17"")"),0)</f>
        <v>0</v>
      </c>
      <c r="M17" s="79">
        <f t="shared" ca="1" si="5"/>
        <v>0</v>
      </c>
      <c r="N17" s="79">
        <f t="shared" ca="1" si="6"/>
        <v>0</v>
      </c>
      <c r="O17" s="80">
        <f ca="1">IFERROR(__xludf.DUMMYFUNCTION("IMPORTRANGE(""https://docs.google.com/spreadsheets/d/1MeEWN-I1oV_STSDYn1IFDPWt_1FKiwhDph83XaGc0o0/edit?usp=sharing"",""งบพรบ!EK17"")"),0)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IFERROR(__xludf.DUMMYFUNCTION("IMPORTRANGE(""https://docs.google.com/spreadsheets/d/1JWG2rZePOz9pe-f-ObA-yDr0VoOX2kSb0qIix2mTUo8/edit?usp=sharing"",""ตาก!I325"")"),0)</f>
        <v>0</v>
      </c>
      <c r="S17" s="81">
        <f ca="1">IFERROR(__xludf.DUMMYFUNCTION("IMPORTRANGE(""https://docs.google.com/spreadsheets/d/1JWG2rZePOz9pe-f-ObA-yDr0VoOX2kSb0qIix2mTUo8/edit?usp=sharing"",""ตาก!J325"")"),0)</f>
        <v>0</v>
      </c>
      <c r="T17" s="82">
        <f t="shared" ca="1" si="16"/>
        <v>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0</v>
      </c>
      <c r="D18" s="76">
        <f t="shared" ca="1" si="20"/>
        <v>0</v>
      </c>
      <c r="E18" s="77">
        <f ca="1">IFERROR(__xludf.DUMMYFUNCTION("IMPORTRANGE(""https://docs.google.com/spreadsheets/d/1MeEWN-I1oV_STSDYn1IFDPWt_1FKiwhDph83XaGc0o0/edit?usp=sharing"",""งบพรบ!ED18"")"),0)</f>
        <v>0</v>
      </c>
      <c r="F18" s="77">
        <f ca="1">IFERROR(__xludf.DUMMYFUNCTION("IMPORTRANGE(""https://docs.google.com/spreadsheets/d/1MeEWN-I1oV_STSDYn1IFDPWt_1FKiwhDph83XaGc0o0/edit?usp=sharing"",""งบพรบ!EE18"")"),0)</f>
        <v>0</v>
      </c>
      <c r="G18" s="77">
        <f ca="1">IFERROR(__xludf.DUMMYFUNCTION("IMPORTRANGE(""https://docs.google.com/spreadsheets/d/1MeEWN-I1oV_STSDYn1IFDPWt_1FKiwhDph83XaGc0o0/edit?usp=sharing"",""งบพรบ!EF18"")"),0)</f>
        <v>0</v>
      </c>
      <c r="H18" s="77">
        <f ca="1">IFERROR(__xludf.DUMMYFUNCTION("IMPORTRANGE(""https://docs.google.com/spreadsheets/d/1MeEWN-I1oV_STSDYn1IFDPWt_1FKiwhDph83XaGc0o0/edit?usp=sharing"",""งบพรบ!EH18"")"),0)</f>
        <v>0</v>
      </c>
      <c r="I18" s="77">
        <f ca="1">IFERROR(__xludf.DUMMYFUNCTION("IMPORTRANGE(""https://docs.google.com/spreadsheets/d/1MeEWN-I1oV_STSDYn1IFDPWt_1FKiwhDph83XaGc0o0/edit?usp=sharing"",""งบพรบ!EI18"")"),0)</f>
        <v>0</v>
      </c>
      <c r="J18" s="77">
        <f t="shared" ca="1" si="3"/>
        <v>0</v>
      </c>
      <c r="K18" s="78">
        <f t="shared" ca="1" si="4"/>
        <v>0</v>
      </c>
      <c r="L18" s="77">
        <f ca="1">IFERROR(__xludf.DUMMYFUNCTION("IMPORTRANGE(""https://docs.google.com/spreadsheets/d/1MeEWN-I1oV_STSDYn1IFDPWt_1FKiwhDph83XaGc0o0/edit?usp=sharing"",""งบพรบ!EJ18"")"),0)</f>
        <v>0</v>
      </c>
      <c r="M18" s="79">
        <f t="shared" ca="1" si="5"/>
        <v>0</v>
      </c>
      <c r="N18" s="79">
        <f t="shared" ca="1" si="6"/>
        <v>0</v>
      </c>
      <c r="O18" s="80">
        <f ca="1">IFERROR(__xludf.DUMMYFUNCTION("IMPORTRANGE(""https://docs.google.com/spreadsheets/d/1MeEWN-I1oV_STSDYn1IFDPWt_1FKiwhDph83XaGc0o0/edit?usp=sharing"",""งบพรบ!EK18"")"),0)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IFERROR(__xludf.DUMMYFUNCTION("IMPORTRANGE(""https://docs.google.com/spreadsheets/d/10nSRjK08hx8Y6HgSOQKNw81lyY46Zc7U_Cj72hBMp9U/edit?usp=sharing"",""นครสวรรค์!I325"")"),0)</f>
        <v>0</v>
      </c>
      <c r="S18" s="81">
        <f ca="1">IFERROR(__xludf.DUMMYFUNCTION("IMPORTRANGE(""https://docs.google.com/spreadsheets/d/10nSRjK08hx8Y6HgSOQKNw81lyY46Zc7U_Cj72hBMp9U/edit?usp=sharing"",""นครสวรรค์!J325"")"),0)</f>
        <v>0</v>
      </c>
      <c r="T18" s="82">
        <f t="shared" ca="1" si="16"/>
        <v>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0</v>
      </c>
      <c r="D19" s="76">
        <f t="shared" ca="1" si="20"/>
        <v>0</v>
      </c>
      <c r="E19" s="77">
        <f ca="1">IFERROR(__xludf.DUMMYFUNCTION("IMPORTRANGE(""https://docs.google.com/spreadsheets/d/1MeEWN-I1oV_STSDYn1IFDPWt_1FKiwhDph83XaGc0o0/edit?usp=sharing"",""งบพรบ!ED19"")"),0)</f>
        <v>0</v>
      </c>
      <c r="F19" s="77">
        <f ca="1">IFERROR(__xludf.DUMMYFUNCTION("IMPORTRANGE(""https://docs.google.com/spreadsheets/d/1MeEWN-I1oV_STSDYn1IFDPWt_1FKiwhDph83XaGc0o0/edit?usp=sharing"",""งบพรบ!EE19"")"),0)</f>
        <v>0</v>
      </c>
      <c r="G19" s="77">
        <f ca="1">IFERROR(__xludf.DUMMYFUNCTION("IMPORTRANGE(""https://docs.google.com/spreadsheets/d/1MeEWN-I1oV_STSDYn1IFDPWt_1FKiwhDph83XaGc0o0/edit?usp=sharing"",""งบพรบ!EF19"")"),0)</f>
        <v>0</v>
      </c>
      <c r="H19" s="77">
        <f ca="1">IFERROR(__xludf.DUMMYFUNCTION("IMPORTRANGE(""https://docs.google.com/spreadsheets/d/1MeEWN-I1oV_STSDYn1IFDPWt_1FKiwhDph83XaGc0o0/edit?usp=sharing"",""งบพรบ!EH19"")"),0)</f>
        <v>0</v>
      </c>
      <c r="I19" s="77">
        <f ca="1">IFERROR(__xludf.DUMMYFUNCTION("IMPORTRANGE(""https://docs.google.com/spreadsheets/d/1MeEWN-I1oV_STSDYn1IFDPWt_1FKiwhDph83XaGc0o0/edit?usp=sharing"",""งบพรบ!EI19"")"),0)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IFERROR(__xludf.DUMMYFUNCTION("IMPORTRANGE(""https://docs.google.com/spreadsheets/d/1MeEWN-I1oV_STSDYn1IFDPWt_1FKiwhDph83XaGc0o0/edit?usp=sharing"",""งบพรบ!EJ19"")"),0)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IFERROR(__xludf.DUMMYFUNCTION("IMPORTRANGE(""https://docs.google.com/spreadsheets/d/1MeEWN-I1oV_STSDYn1IFDPWt_1FKiwhDph83XaGc0o0/edit?usp=sharing"",""งบพรบ!EK19"")"),0)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IFERROR(__xludf.DUMMYFUNCTION("IMPORTRANGE(""https://docs.google.com/spreadsheets/d/1gFVb7qd7amutrIxAAoM7lcy35hllxznovot8lyOfvDo/edit?usp=sharing"",""น่าน!I325"")"),0)</f>
        <v>0</v>
      </c>
      <c r="S19" s="81">
        <f ca="1">IFERROR(__xludf.DUMMYFUNCTION("IMPORTRANGE(""https://docs.google.com/spreadsheets/d/1gFVb7qd7amutrIxAAoM7lcy35hllxznovot8lyOfvDo/edit?usp=sharing"",""น่าน!J325"")"),0)</f>
        <v>0</v>
      </c>
      <c r="T19" s="82">
        <f t="shared" ca="1" si="16"/>
        <v>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0</v>
      </c>
      <c r="D20" s="76">
        <f t="shared" ca="1" si="20"/>
        <v>0</v>
      </c>
      <c r="E20" s="77">
        <f ca="1">IFERROR(__xludf.DUMMYFUNCTION("IMPORTRANGE(""https://docs.google.com/spreadsheets/d/1MeEWN-I1oV_STSDYn1IFDPWt_1FKiwhDph83XaGc0o0/edit?usp=sharing"",""งบพรบ!ED20"")"),0)</f>
        <v>0</v>
      </c>
      <c r="F20" s="77">
        <f ca="1">IFERROR(__xludf.DUMMYFUNCTION("IMPORTRANGE(""https://docs.google.com/spreadsheets/d/1MeEWN-I1oV_STSDYn1IFDPWt_1FKiwhDph83XaGc0o0/edit?usp=sharing"",""งบพรบ!EE20"")"),0)</f>
        <v>0</v>
      </c>
      <c r="G20" s="77">
        <f ca="1">IFERROR(__xludf.DUMMYFUNCTION("IMPORTRANGE(""https://docs.google.com/spreadsheets/d/1MeEWN-I1oV_STSDYn1IFDPWt_1FKiwhDph83XaGc0o0/edit?usp=sharing"",""งบพรบ!EF20"")"),0)</f>
        <v>0</v>
      </c>
      <c r="H20" s="77">
        <f ca="1">IFERROR(__xludf.DUMMYFUNCTION("IMPORTRANGE(""https://docs.google.com/spreadsheets/d/1MeEWN-I1oV_STSDYn1IFDPWt_1FKiwhDph83XaGc0o0/edit?usp=sharing"",""งบพรบ!EH20"")"),0)</f>
        <v>0</v>
      </c>
      <c r="I20" s="77">
        <f ca="1">IFERROR(__xludf.DUMMYFUNCTION("IMPORTRANGE(""https://docs.google.com/spreadsheets/d/1MeEWN-I1oV_STSDYn1IFDPWt_1FKiwhDph83XaGc0o0/edit?usp=sharing"",""งบพรบ!EI20"")"),0)</f>
        <v>0</v>
      </c>
      <c r="J20" s="77">
        <f t="shared" ca="1" si="3"/>
        <v>0</v>
      </c>
      <c r="K20" s="78">
        <f t="shared" ca="1" si="4"/>
        <v>0</v>
      </c>
      <c r="L20" s="77">
        <f ca="1">IFERROR(__xludf.DUMMYFUNCTION("IMPORTRANGE(""https://docs.google.com/spreadsheets/d/1MeEWN-I1oV_STSDYn1IFDPWt_1FKiwhDph83XaGc0o0/edit?usp=sharing"",""งบพรบ!EJ20"")"),0)</f>
        <v>0</v>
      </c>
      <c r="M20" s="79">
        <f t="shared" ca="1" si="5"/>
        <v>0</v>
      </c>
      <c r="N20" s="79">
        <f t="shared" ca="1" si="6"/>
        <v>0</v>
      </c>
      <c r="O20" s="80">
        <f ca="1">IFERROR(__xludf.DUMMYFUNCTION("IMPORTRANGE(""https://docs.google.com/spreadsheets/d/1MeEWN-I1oV_STSDYn1IFDPWt_1FKiwhDph83XaGc0o0/edit?usp=sharing"",""งบพรบ!EK20"")"),0)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IFERROR(__xludf.DUMMYFUNCTION("IMPORTRANGE(""https://docs.google.com/spreadsheets/d/1K0Aa9s-6EuHE5M0FG1F9aHLXRCOV917xvycTdLdct0w/edit?usp=sharing"",""พะเยา!I325"")"),0)</f>
        <v>0</v>
      </c>
      <c r="S20" s="81">
        <f ca="1">IFERROR(__xludf.DUMMYFUNCTION("IMPORTRANGE(""https://docs.google.com/spreadsheets/d/1K0Aa9s-6EuHE5M0FG1F9aHLXRCOV917xvycTdLdct0w/edit?usp=sharing"",""พะเยา!J325"")"),0)</f>
        <v>0</v>
      </c>
      <c r="T20" s="82">
        <f t="shared" ca="1" si="16"/>
        <v>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20"/>
        <v>0</v>
      </c>
      <c r="E21" s="77">
        <f ca="1">IFERROR(__xludf.DUMMYFUNCTION("IMPORTRANGE(""https://docs.google.com/spreadsheets/d/1MeEWN-I1oV_STSDYn1IFDPWt_1FKiwhDph83XaGc0o0/edit?usp=sharing"",""งบพรบ!ED21"")"),0)</f>
        <v>0</v>
      </c>
      <c r="F21" s="77">
        <f ca="1">IFERROR(__xludf.DUMMYFUNCTION("IMPORTRANGE(""https://docs.google.com/spreadsheets/d/1MeEWN-I1oV_STSDYn1IFDPWt_1FKiwhDph83XaGc0o0/edit?usp=sharing"",""งบพรบ!EE21"")"),0)</f>
        <v>0</v>
      </c>
      <c r="G21" s="77">
        <f ca="1">IFERROR(__xludf.DUMMYFUNCTION("IMPORTRANGE(""https://docs.google.com/spreadsheets/d/1MeEWN-I1oV_STSDYn1IFDPWt_1FKiwhDph83XaGc0o0/edit?usp=sharing"",""งบพรบ!EF21"")"),0)</f>
        <v>0</v>
      </c>
      <c r="H21" s="77">
        <f ca="1">IFERROR(__xludf.DUMMYFUNCTION("IMPORTRANGE(""https://docs.google.com/spreadsheets/d/1MeEWN-I1oV_STSDYn1IFDPWt_1FKiwhDph83XaGc0o0/edit?usp=sharing"",""งบพรบ!EH21"")"),0)</f>
        <v>0</v>
      </c>
      <c r="I21" s="77">
        <f ca="1">IFERROR(__xludf.DUMMYFUNCTION("IMPORTRANGE(""https://docs.google.com/spreadsheets/d/1MeEWN-I1oV_STSDYn1IFDPWt_1FKiwhDph83XaGc0o0/edit?usp=sharing"",""งบพรบ!EI21"")"),0)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IFERROR(__xludf.DUMMYFUNCTION("IMPORTRANGE(""https://docs.google.com/spreadsheets/d/1MeEWN-I1oV_STSDYn1IFDPWt_1FKiwhDph83XaGc0o0/edit?usp=sharing"",""งบพรบ!EJ21"")"),0)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IFERROR(__xludf.DUMMYFUNCTION("IMPORTRANGE(""https://docs.google.com/spreadsheets/d/1MeEWN-I1oV_STSDYn1IFDPWt_1FKiwhDph83XaGc0o0/edit?usp=sharing"",""งบพรบ!EK21"")"),0)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IFERROR(__xludf.DUMMYFUNCTION("IMPORTRANGE(""https://docs.google.com/spreadsheets/d/1Y9LPKx95PyL5OKy09d-KbKJSuuEZCFdkhYjwC0XQjBA/edit?usp=sharing"",""พิจิตร!I325"")"),0)</f>
        <v>0</v>
      </c>
      <c r="S21" s="81">
        <f ca="1">IFERROR(__xludf.DUMMYFUNCTION("IMPORTRANGE(""https://docs.google.com/spreadsheets/d/1Y9LPKx95PyL5OKy09d-KbKJSuuEZCFdkhYjwC0XQjBA/edit?usp=sharing"",""พิจิตร!J325"")"),0)</f>
        <v>0</v>
      </c>
      <c r="T21" s="82">
        <f t="shared" ca="1" si="16"/>
        <v>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20"/>
        <v>0</v>
      </c>
      <c r="E22" s="77">
        <f ca="1">IFERROR(__xludf.DUMMYFUNCTION("IMPORTRANGE(""https://docs.google.com/spreadsheets/d/1MeEWN-I1oV_STSDYn1IFDPWt_1FKiwhDph83XaGc0o0/edit?usp=sharing"",""งบพรบ!ED22"")"),0)</f>
        <v>0</v>
      </c>
      <c r="F22" s="77">
        <f ca="1">IFERROR(__xludf.DUMMYFUNCTION("IMPORTRANGE(""https://docs.google.com/spreadsheets/d/1MeEWN-I1oV_STSDYn1IFDPWt_1FKiwhDph83XaGc0o0/edit?usp=sharing"",""งบพรบ!EE22"")"),0)</f>
        <v>0</v>
      </c>
      <c r="G22" s="77">
        <f ca="1">IFERROR(__xludf.DUMMYFUNCTION("IMPORTRANGE(""https://docs.google.com/spreadsheets/d/1MeEWN-I1oV_STSDYn1IFDPWt_1FKiwhDph83XaGc0o0/edit?usp=sharing"",""งบพรบ!EF22"")"),0)</f>
        <v>0</v>
      </c>
      <c r="H22" s="77">
        <f ca="1">IFERROR(__xludf.DUMMYFUNCTION("IMPORTRANGE(""https://docs.google.com/spreadsheets/d/1MeEWN-I1oV_STSDYn1IFDPWt_1FKiwhDph83XaGc0o0/edit?usp=sharing"",""งบพรบ!EH22"")"),0)</f>
        <v>0</v>
      </c>
      <c r="I22" s="77">
        <f ca="1">IFERROR(__xludf.DUMMYFUNCTION("IMPORTRANGE(""https://docs.google.com/spreadsheets/d/1MeEWN-I1oV_STSDYn1IFDPWt_1FKiwhDph83XaGc0o0/edit?usp=sharing"",""งบพรบ!EI22"")"),0)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IFERROR(__xludf.DUMMYFUNCTION("IMPORTRANGE(""https://docs.google.com/spreadsheets/d/1MeEWN-I1oV_STSDYn1IFDPWt_1FKiwhDph83XaGc0o0/edit?usp=sharing"",""งบพรบ!EJ22"")"),0)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IFERROR(__xludf.DUMMYFUNCTION("IMPORTRANGE(""https://docs.google.com/spreadsheets/d/1MeEWN-I1oV_STSDYn1IFDPWt_1FKiwhDph83XaGc0o0/edit?usp=sharing"",""งบพรบ!EK22"")"),0)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IFERROR(__xludf.DUMMYFUNCTION("IMPORTRANGE(""https://docs.google.com/spreadsheets/d/16OMuOwy2eVqZcYWOouQtTpa8X1L23h4660uVHc0C8os/edit?usp=sharing"",""พิษณุโลก!I325"")"),0)</f>
        <v>0</v>
      </c>
      <c r="S22" s="81">
        <f ca="1">IFERROR(__xludf.DUMMYFUNCTION("IMPORTRANGE(""https://docs.google.com/spreadsheets/d/16OMuOwy2eVqZcYWOouQtTpa8X1L23h4660uVHc0C8os/edit?usp=sharing"",""พิษณุโลก!J325"")"),0)</f>
        <v>0</v>
      </c>
      <c r="T22" s="82">
        <f t="shared" ca="1" si="16"/>
        <v>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0</v>
      </c>
      <c r="D23" s="76">
        <f t="shared" ca="1" si="20"/>
        <v>0</v>
      </c>
      <c r="E23" s="77">
        <f ca="1">IFERROR(__xludf.DUMMYFUNCTION("IMPORTRANGE(""https://docs.google.com/spreadsheets/d/1MeEWN-I1oV_STSDYn1IFDPWt_1FKiwhDph83XaGc0o0/edit?usp=sharing"",""งบพรบ!ED23"")"),0)</f>
        <v>0</v>
      </c>
      <c r="F23" s="77">
        <f ca="1">IFERROR(__xludf.DUMMYFUNCTION("IMPORTRANGE(""https://docs.google.com/spreadsheets/d/1MeEWN-I1oV_STSDYn1IFDPWt_1FKiwhDph83XaGc0o0/edit?usp=sharing"",""งบพรบ!EE23"")"),0)</f>
        <v>0</v>
      </c>
      <c r="G23" s="77">
        <f ca="1">IFERROR(__xludf.DUMMYFUNCTION("IMPORTRANGE(""https://docs.google.com/spreadsheets/d/1MeEWN-I1oV_STSDYn1IFDPWt_1FKiwhDph83XaGc0o0/edit?usp=sharing"",""งบพรบ!EF23"")"),0)</f>
        <v>0</v>
      </c>
      <c r="H23" s="77">
        <f ca="1">IFERROR(__xludf.DUMMYFUNCTION("IMPORTRANGE(""https://docs.google.com/spreadsheets/d/1MeEWN-I1oV_STSDYn1IFDPWt_1FKiwhDph83XaGc0o0/edit?usp=sharing"",""งบพรบ!EH23"")"),0)</f>
        <v>0</v>
      </c>
      <c r="I23" s="77">
        <f ca="1">IFERROR(__xludf.DUMMYFUNCTION("IMPORTRANGE(""https://docs.google.com/spreadsheets/d/1MeEWN-I1oV_STSDYn1IFDPWt_1FKiwhDph83XaGc0o0/edit?usp=sharing"",""งบพรบ!EI23"")"),0)</f>
        <v>0</v>
      </c>
      <c r="J23" s="77">
        <f t="shared" ca="1" si="3"/>
        <v>0</v>
      </c>
      <c r="K23" s="78">
        <f t="shared" ca="1" si="4"/>
        <v>0</v>
      </c>
      <c r="L23" s="77">
        <f ca="1">IFERROR(__xludf.DUMMYFUNCTION("IMPORTRANGE(""https://docs.google.com/spreadsheets/d/1MeEWN-I1oV_STSDYn1IFDPWt_1FKiwhDph83XaGc0o0/edit?usp=sharing"",""งบพรบ!EJ23"")"),0)</f>
        <v>0</v>
      </c>
      <c r="M23" s="79">
        <f t="shared" ca="1" si="5"/>
        <v>0</v>
      </c>
      <c r="N23" s="79">
        <f t="shared" ca="1" si="6"/>
        <v>0</v>
      </c>
      <c r="O23" s="80">
        <f ca="1">IFERROR(__xludf.DUMMYFUNCTION("IMPORTRANGE(""https://docs.google.com/spreadsheets/d/1MeEWN-I1oV_STSDYn1IFDPWt_1FKiwhDph83XaGc0o0/edit?usp=sharing"",""งบพรบ!EK23"")"),0)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IFERROR(__xludf.DUMMYFUNCTION("IMPORTRANGE(""https://docs.google.com/spreadsheets/d/1GfgTldLG6k77HXaMQzaafODklYuucJZQNs_GAPEfZyY/edit?usp=sharing"",""เพชรบูรณ์!I325"")"),0)</f>
        <v>0</v>
      </c>
      <c r="S23" s="81">
        <f ca="1">IFERROR(__xludf.DUMMYFUNCTION("IMPORTRANGE(""https://docs.google.com/spreadsheets/d/1GfgTldLG6k77HXaMQzaafODklYuucJZQNs_GAPEfZyY/edit?usp=sharing"",""เพชรบูรณ์!J325"")"),0)</f>
        <v>0</v>
      </c>
      <c r="T23" s="82">
        <f t="shared" ca="1" si="16"/>
        <v>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20"/>
        <v>0</v>
      </c>
      <c r="E24" s="77">
        <f ca="1">IFERROR(__xludf.DUMMYFUNCTION("IMPORTRANGE(""https://docs.google.com/spreadsheets/d/1MeEWN-I1oV_STSDYn1IFDPWt_1FKiwhDph83XaGc0o0/edit?usp=sharing"",""งบพรบ!ED24"")"),0)</f>
        <v>0</v>
      </c>
      <c r="F24" s="77">
        <f ca="1">IFERROR(__xludf.DUMMYFUNCTION("IMPORTRANGE(""https://docs.google.com/spreadsheets/d/1MeEWN-I1oV_STSDYn1IFDPWt_1FKiwhDph83XaGc0o0/edit?usp=sharing"",""งบพรบ!EE24"")"),0)</f>
        <v>0</v>
      </c>
      <c r="G24" s="77">
        <f ca="1">IFERROR(__xludf.DUMMYFUNCTION("IMPORTRANGE(""https://docs.google.com/spreadsheets/d/1MeEWN-I1oV_STSDYn1IFDPWt_1FKiwhDph83XaGc0o0/edit?usp=sharing"",""งบพรบ!EF24"")"),0)</f>
        <v>0</v>
      </c>
      <c r="H24" s="77">
        <f ca="1">IFERROR(__xludf.DUMMYFUNCTION("IMPORTRANGE(""https://docs.google.com/spreadsheets/d/1MeEWN-I1oV_STSDYn1IFDPWt_1FKiwhDph83XaGc0o0/edit?usp=sharing"",""งบพรบ!EH24"")"),0)</f>
        <v>0</v>
      </c>
      <c r="I24" s="77">
        <f ca="1">IFERROR(__xludf.DUMMYFUNCTION("IMPORTRANGE(""https://docs.google.com/spreadsheets/d/1MeEWN-I1oV_STSDYn1IFDPWt_1FKiwhDph83XaGc0o0/edit?usp=sharing"",""งบพรบ!EI24"")"),0)</f>
        <v>0</v>
      </c>
      <c r="J24" s="77">
        <f t="shared" ca="1" si="3"/>
        <v>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IFERROR(__xludf.DUMMYFUNCTION("IMPORTRANGE(""https://docs.google.com/spreadsheets/d/1MeEWN-I1oV_STSDYn1IFDPWt_1FKiwhDph83XaGc0o0/edit?usp=sharing"",""งบพรบ!EJ24"")"),0)</f>
        <v>0</v>
      </c>
      <c r="M24" s="79">
        <f t="shared" ca="1" si="5"/>
        <v>0</v>
      </c>
      <c r="N24" s="79">
        <f t="shared" ca="1" si="6"/>
        <v>0</v>
      </c>
      <c r="O24" s="80">
        <f ca="1">IFERROR(__xludf.DUMMYFUNCTION("IMPORTRANGE(""https://docs.google.com/spreadsheets/d/1MeEWN-I1oV_STSDYn1IFDPWt_1FKiwhDph83XaGc0o0/edit?usp=sharing"",""งบพรบ!EK24"")"),0)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IFERROR(__xludf.DUMMYFUNCTION("IMPORTRANGE(""https://docs.google.com/spreadsheets/d/1gvTMYAnm7v1yG1BKWFtr0DnaTsq59oW9dwWvFgq6hs0/edit?usp=sharing"",""แพร่!I325"")"),0)</f>
        <v>0</v>
      </c>
      <c r="S24" s="81">
        <f ca="1">IFERROR(__xludf.DUMMYFUNCTION("IMPORTRANGE(""https://docs.google.com/spreadsheets/d/1gvTMYAnm7v1yG1BKWFtr0DnaTsq59oW9dwWvFgq6hs0/edit?usp=sharing"",""แพร่!J325"")"),0)</f>
        <v>0</v>
      </c>
      <c r="T24" s="82">
        <f t="shared" ca="1" si="16"/>
        <v>0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20"/>
        <v>0</v>
      </c>
      <c r="E25" s="77">
        <f ca="1">IFERROR(__xludf.DUMMYFUNCTION("IMPORTRANGE(""https://docs.google.com/spreadsheets/d/1MeEWN-I1oV_STSDYn1IFDPWt_1FKiwhDph83XaGc0o0/edit?usp=sharing"",""งบพรบ!ED25"")"),0)</f>
        <v>0</v>
      </c>
      <c r="F25" s="77">
        <f ca="1">IFERROR(__xludf.DUMMYFUNCTION("IMPORTRANGE(""https://docs.google.com/spreadsheets/d/1MeEWN-I1oV_STSDYn1IFDPWt_1FKiwhDph83XaGc0o0/edit?usp=sharing"",""งบพรบ!EE25"")"),0)</f>
        <v>0</v>
      </c>
      <c r="G25" s="77">
        <f ca="1">IFERROR(__xludf.DUMMYFUNCTION("IMPORTRANGE(""https://docs.google.com/spreadsheets/d/1MeEWN-I1oV_STSDYn1IFDPWt_1FKiwhDph83XaGc0o0/edit?usp=sharing"",""งบพรบ!EF25"")"),0)</f>
        <v>0</v>
      </c>
      <c r="H25" s="77">
        <f ca="1">IFERROR(__xludf.DUMMYFUNCTION("IMPORTRANGE(""https://docs.google.com/spreadsheets/d/1MeEWN-I1oV_STSDYn1IFDPWt_1FKiwhDph83XaGc0o0/edit?usp=sharing"",""งบพรบ!EH25"")"),0)</f>
        <v>0</v>
      </c>
      <c r="I25" s="77">
        <f ca="1">IFERROR(__xludf.DUMMYFUNCTION("IMPORTRANGE(""https://docs.google.com/spreadsheets/d/1MeEWN-I1oV_STSDYn1IFDPWt_1FKiwhDph83XaGc0o0/edit?usp=sharing"",""งบพรบ!EI25"")"),0)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IFERROR(__xludf.DUMMYFUNCTION("IMPORTRANGE(""https://docs.google.com/spreadsheets/d/1MeEWN-I1oV_STSDYn1IFDPWt_1FKiwhDph83XaGc0o0/edit?usp=sharing"",""งบพรบ!EJ25"")"),0)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IFERROR(__xludf.DUMMYFUNCTION("IMPORTRANGE(""https://docs.google.com/spreadsheets/d/1MeEWN-I1oV_STSDYn1IFDPWt_1FKiwhDph83XaGc0o0/edit?usp=sharing"",""งบพรบ!EK25"")"),0)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IFERROR(__xludf.DUMMYFUNCTION("IMPORTRANGE(""https://docs.google.com/spreadsheets/d/1Wbcosgy-Xa1xXUArJSOenub6EfZHUSzc_bpJFWwQUf0/edit?usp=sharing"",""แม่ฮ่องสอน!I325"")"),0)</f>
        <v>0</v>
      </c>
      <c r="S25" s="81">
        <f ca="1">IFERROR(__xludf.DUMMYFUNCTION("IMPORTRANGE(""https://docs.google.com/spreadsheets/d/1Wbcosgy-Xa1xXUArJSOenub6EfZHUSzc_bpJFWwQUf0/edit?usp=sharing"",""แม่ฮ่องสอน!J325"")"),0)</f>
        <v>0</v>
      </c>
      <c r="T25" s="82">
        <f t="shared" ca="1" si="16"/>
        <v>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20"/>
        <v>0</v>
      </c>
      <c r="E26" s="77">
        <f ca="1">IFERROR(__xludf.DUMMYFUNCTION("IMPORTRANGE(""https://docs.google.com/spreadsheets/d/1MeEWN-I1oV_STSDYn1IFDPWt_1FKiwhDph83XaGc0o0/edit?usp=sharing"",""งบพรบ!ED26"")"),0)</f>
        <v>0</v>
      </c>
      <c r="F26" s="77">
        <f ca="1">IFERROR(__xludf.DUMMYFUNCTION("IMPORTRANGE(""https://docs.google.com/spreadsheets/d/1MeEWN-I1oV_STSDYn1IFDPWt_1FKiwhDph83XaGc0o0/edit?usp=sharing"",""งบพรบ!EE26"")"),0)</f>
        <v>0</v>
      </c>
      <c r="G26" s="77">
        <f ca="1">IFERROR(__xludf.DUMMYFUNCTION("IMPORTRANGE(""https://docs.google.com/spreadsheets/d/1MeEWN-I1oV_STSDYn1IFDPWt_1FKiwhDph83XaGc0o0/edit?usp=sharing"",""งบพรบ!EF26"")"),0)</f>
        <v>0</v>
      </c>
      <c r="H26" s="77">
        <f ca="1">IFERROR(__xludf.DUMMYFUNCTION("IMPORTRANGE(""https://docs.google.com/spreadsheets/d/1MeEWN-I1oV_STSDYn1IFDPWt_1FKiwhDph83XaGc0o0/edit?usp=sharing"",""งบพรบ!EH26"")"),0)</f>
        <v>0</v>
      </c>
      <c r="I26" s="77">
        <f ca="1">IFERROR(__xludf.DUMMYFUNCTION("IMPORTRANGE(""https://docs.google.com/spreadsheets/d/1MeEWN-I1oV_STSDYn1IFDPWt_1FKiwhDph83XaGc0o0/edit?usp=sharing"",""งบพรบ!EI26"")"),0)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IFERROR(__xludf.DUMMYFUNCTION("IMPORTRANGE(""https://docs.google.com/spreadsheets/d/1MeEWN-I1oV_STSDYn1IFDPWt_1FKiwhDph83XaGc0o0/edit?usp=sharing"",""งบพรบ!EJ26"")"),0)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IFERROR(__xludf.DUMMYFUNCTION("IMPORTRANGE(""https://docs.google.com/spreadsheets/d/1MeEWN-I1oV_STSDYn1IFDPWt_1FKiwhDph83XaGc0o0/edit?usp=sharing"",""งบพรบ!EK26"")"),0)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IFERROR(__xludf.DUMMYFUNCTION("IMPORTRANGE(""https://docs.google.com/spreadsheets/d/1p7ERhsr0qZeSn-KSOdeHS9r0heI-lHtkcn2OH7hP0jQ/edit?usp=sharing"",""ลำปาง!I325"")"),0)</f>
        <v>0</v>
      </c>
      <c r="S26" s="81">
        <f ca="1">IFERROR(__xludf.DUMMYFUNCTION("IMPORTRANGE(""https://docs.google.com/spreadsheets/d/1p7ERhsr0qZeSn-KSOdeHS9r0heI-lHtkcn2OH7hP0jQ/edit?usp=sharing"",""ลำปาง!J325"")"),0)</f>
        <v>0</v>
      </c>
      <c r="T26" s="82">
        <f t="shared" ca="1" si="16"/>
        <v>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20"/>
        <v>0</v>
      </c>
      <c r="E27" s="77">
        <f ca="1">IFERROR(__xludf.DUMMYFUNCTION("IMPORTRANGE(""https://docs.google.com/spreadsheets/d/1MeEWN-I1oV_STSDYn1IFDPWt_1FKiwhDph83XaGc0o0/edit?usp=sharing"",""งบพรบ!ED27"")"),0)</f>
        <v>0</v>
      </c>
      <c r="F27" s="77">
        <f ca="1">IFERROR(__xludf.DUMMYFUNCTION("IMPORTRANGE(""https://docs.google.com/spreadsheets/d/1MeEWN-I1oV_STSDYn1IFDPWt_1FKiwhDph83XaGc0o0/edit?usp=sharing"",""งบพรบ!EE27"")"),0)</f>
        <v>0</v>
      </c>
      <c r="G27" s="77">
        <f ca="1">IFERROR(__xludf.DUMMYFUNCTION("IMPORTRANGE(""https://docs.google.com/spreadsheets/d/1MeEWN-I1oV_STSDYn1IFDPWt_1FKiwhDph83XaGc0o0/edit?usp=sharing"",""งบพรบ!EF27"")"),0)</f>
        <v>0</v>
      </c>
      <c r="H27" s="77">
        <f ca="1">IFERROR(__xludf.DUMMYFUNCTION("IMPORTRANGE(""https://docs.google.com/spreadsheets/d/1MeEWN-I1oV_STSDYn1IFDPWt_1FKiwhDph83XaGc0o0/edit?usp=sharing"",""งบพรบ!EH27"")"),0)</f>
        <v>0</v>
      </c>
      <c r="I27" s="77">
        <f ca="1">IFERROR(__xludf.DUMMYFUNCTION("IMPORTRANGE(""https://docs.google.com/spreadsheets/d/1MeEWN-I1oV_STSDYn1IFDPWt_1FKiwhDph83XaGc0o0/edit?usp=sharing"",""งบพรบ!EI27"")"),0)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IFERROR(__xludf.DUMMYFUNCTION("IMPORTRANGE(""https://docs.google.com/spreadsheets/d/1MeEWN-I1oV_STSDYn1IFDPWt_1FKiwhDph83XaGc0o0/edit?usp=sharing"",""งบพรบ!EJ27"")"),0)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IFERROR(__xludf.DUMMYFUNCTION("IMPORTRANGE(""https://docs.google.com/spreadsheets/d/1MeEWN-I1oV_STSDYn1IFDPWt_1FKiwhDph83XaGc0o0/edit?usp=sharing"",""งบพรบ!EK27"")"),0)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IFERROR(__xludf.DUMMYFUNCTION("IMPORTRANGE(""https://docs.google.com/spreadsheets/d/1-uUXvimVhiU2U0bMN-xi2te0tS4X7DI2GLPnMjzl8cA/edit?usp=sharing"",""ลำพูน!I325"")"),0)</f>
        <v>0</v>
      </c>
      <c r="S27" s="81">
        <f ca="1">IFERROR(__xludf.DUMMYFUNCTION("IMPORTRANGE(""https://docs.google.com/spreadsheets/d/1-uUXvimVhiU2U0bMN-xi2te0tS4X7DI2GLPnMjzl8cA/edit?usp=sharing"",""ลำพูน!J325"")"),0)</f>
        <v>0</v>
      </c>
      <c r="T27" s="82">
        <f t="shared" ca="1" si="16"/>
        <v>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0</v>
      </c>
      <c r="D28" s="76">
        <f t="shared" ca="1" si="20"/>
        <v>0</v>
      </c>
      <c r="E28" s="77">
        <f ca="1">IFERROR(__xludf.DUMMYFUNCTION("IMPORTRANGE(""https://docs.google.com/spreadsheets/d/1MeEWN-I1oV_STSDYn1IFDPWt_1FKiwhDph83XaGc0o0/edit?usp=sharing"",""งบพรบ!ED28"")"),0)</f>
        <v>0</v>
      </c>
      <c r="F28" s="77">
        <f ca="1">IFERROR(__xludf.DUMMYFUNCTION("IMPORTRANGE(""https://docs.google.com/spreadsheets/d/1MeEWN-I1oV_STSDYn1IFDPWt_1FKiwhDph83XaGc0o0/edit?usp=sharing"",""งบพรบ!EE28"")"),0)</f>
        <v>0</v>
      </c>
      <c r="G28" s="77">
        <f ca="1">IFERROR(__xludf.DUMMYFUNCTION("IMPORTRANGE(""https://docs.google.com/spreadsheets/d/1MeEWN-I1oV_STSDYn1IFDPWt_1FKiwhDph83XaGc0o0/edit?usp=sharing"",""งบพรบ!EF28"")"),0)</f>
        <v>0</v>
      </c>
      <c r="H28" s="77">
        <f ca="1">IFERROR(__xludf.DUMMYFUNCTION("IMPORTRANGE(""https://docs.google.com/spreadsheets/d/1MeEWN-I1oV_STSDYn1IFDPWt_1FKiwhDph83XaGc0o0/edit?usp=sharing"",""งบพรบ!EH28"")"),0)</f>
        <v>0</v>
      </c>
      <c r="I28" s="77">
        <f ca="1">IFERROR(__xludf.DUMMYFUNCTION("IMPORTRANGE(""https://docs.google.com/spreadsheets/d/1MeEWN-I1oV_STSDYn1IFDPWt_1FKiwhDph83XaGc0o0/edit?usp=sharing"",""งบพรบ!EI28"")"),0)</f>
        <v>0</v>
      </c>
      <c r="J28" s="77">
        <f t="shared" ca="1" si="3"/>
        <v>0</v>
      </c>
      <c r="K28" s="78">
        <f t="shared" ca="1" si="4"/>
        <v>0</v>
      </c>
      <c r="L28" s="77">
        <f ca="1">IFERROR(__xludf.DUMMYFUNCTION("IMPORTRANGE(""https://docs.google.com/spreadsheets/d/1MeEWN-I1oV_STSDYn1IFDPWt_1FKiwhDph83XaGc0o0/edit?usp=sharing"",""งบพรบ!EJ28"")"),0)</f>
        <v>0</v>
      </c>
      <c r="M28" s="79">
        <f t="shared" ca="1" si="5"/>
        <v>0</v>
      </c>
      <c r="N28" s="79">
        <f t="shared" ca="1" si="6"/>
        <v>0</v>
      </c>
      <c r="O28" s="80">
        <f ca="1">IFERROR(__xludf.DUMMYFUNCTION("IMPORTRANGE(""https://docs.google.com/spreadsheets/d/1MeEWN-I1oV_STSDYn1IFDPWt_1FKiwhDph83XaGc0o0/edit?usp=sharing"",""งบพรบ!EK28"")"),0)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IFERROR(__xludf.DUMMYFUNCTION("IMPORTRANGE(""https://docs.google.com/spreadsheets/d/17HrOaa5pBUI1onckFfumXB8xlg35qb2uBAFfF1D-Myo/edit?usp=sharing"",""สุโขทัย!I325"")"),0)</f>
        <v>0</v>
      </c>
      <c r="S28" s="81">
        <f ca="1">IFERROR(__xludf.DUMMYFUNCTION("IMPORTRANGE(""https://docs.google.com/spreadsheets/d/17HrOaa5pBUI1onckFfumXB8xlg35qb2uBAFfF1D-Myo/edit?usp=sharing"",""สุโขทัย!J325"")"),0)</f>
        <v>0</v>
      </c>
      <c r="T28" s="82">
        <f t="shared" ca="1" si="16"/>
        <v>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20"/>
        <v>0</v>
      </c>
      <c r="E29" s="77">
        <f ca="1">IFERROR(__xludf.DUMMYFUNCTION("IMPORTRANGE(""https://docs.google.com/spreadsheets/d/1MeEWN-I1oV_STSDYn1IFDPWt_1FKiwhDph83XaGc0o0/edit?usp=sharing"",""งบพรบ!ED29"")"),0)</f>
        <v>0</v>
      </c>
      <c r="F29" s="77">
        <f ca="1">IFERROR(__xludf.DUMMYFUNCTION("IMPORTRANGE(""https://docs.google.com/spreadsheets/d/1MeEWN-I1oV_STSDYn1IFDPWt_1FKiwhDph83XaGc0o0/edit?usp=sharing"",""งบพรบ!EE29"")"),0)</f>
        <v>0</v>
      </c>
      <c r="G29" s="77">
        <f ca="1">IFERROR(__xludf.DUMMYFUNCTION("IMPORTRANGE(""https://docs.google.com/spreadsheets/d/1MeEWN-I1oV_STSDYn1IFDPWt_1FKiwhDph83XaGc0o0/edit?usp=sharing"",""งบพรบ!EF29"")"),0)</f>
        <v>0</v>
      </c>
      <c r="H29" s="77">
        <f ca="1">IFERROR(__xludf.DUMMYFUNCTION("IMPORTRANGE(""https://docs.google.com/spreadsheets/d/1MeEWN-I1oV_STSDYn1IFDPWt_1FKiwhDph83XaGc0o0/edit?usp=sharing"",""งบพรบ!EH29"")"),0)</f>
        <v>0</v>
      </c>
      <c r="I29" s="77">
        <f ca="1">IFERROR(__xludf.DUMMYFUNCTION("IMPORTRANGE(""https://docs.google.com/spreadsheets/d/1MeEWN-I1oV_STSDYn1IFDPWt_1FKiwhDph83XaGc0o0/edit?usp=sharing"",""งบพรบ!EI29"")"),0)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IFERROR(__xludf.DUMMYFUNCTION("IMPORTRANGE(""https://docs.google.com/spreadsheets/d/1MeEWN-I1oV_STSDYn1IFDPWt_1FKiwhDph83XaGc0o0/edit?usp=sharing"",""งบพรบ!EJ29"")"),0)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IFERROR(__xludf.DUMMYFUNCTION("IMPORTRANGE(""https://docs.google.com/spreadsheets/d/1MeEWN-I1oV_STSDYn1IFDPWt_1FKiwhDph83XaGc0o0/edit?usp=sharing"",""งบพรบ!EK29"")"),0)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IFERROR(__xludf.DUMMYFUNCTION("IMPORTRANGE(""https://docs.google.com/spreadsheets/d/1ubs5cl16eYL9gHbdHTJtmtYb9MGzHBs7CAphn8kNCgM/edit?usp=sharing"",""อุตรดิตถ์!I325"")"),0)</f>
        <v>0</v>
      </c>
      <c r="S29" s="81">
        <f ca="1">IFERROR(__xludf.DUMMYFUNCTION("IMPORTRANGE(""https://docs.google.com/spreadsheets/d/1ubs5cl16eYL9gHbdHTJtmtYb9MGzHBs7CAphn8kNCgM/edit?usp=sharing"",""อุตรดิตถ์!J325"")"),0)</f>
        <v>0</v>
      </c>
      <c r="T29" s="82">
        <f t="shared" ca="1" si="16"/>
        <v>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153000</v>
      </c>
      <c r="D30" s="87">
        <f t="shared" ca="1" si="20"/>
        <v>153000</v>
      </c>
      <c r="E30" s="88">
        <f ca="1">IFERROR(__xludf.DUMMYFUNCTION("IMPORTRANGE(""https://docs.google.com/spreadsheets/d/1MeEWN-I1oV_STSDYn1IFDPWt_1FKiwhDph83XaGc0o0/edit?usp=sharing"",""งบพรบ!ED30"")"),0)</f>
        <v>0</v>
      </c>
      <c r="F30" s="88">
        <f ca="1">IFERROR(__xludf.DUMMYFUNCTION("IMPORTRANGE(""https://docs.google.com/spreadsheets/d/1MeEWN-I1oV_STSDYn1IFDPWt_1FKiwhDph83XaGc0o0/edit?usp=sharing"",""งบพรบ!EE30"")"),153000)</f>
        <v>153000</v>
      </c>
      <c r="G30" s="88">
        <f ca="1">IFERROR(__xludf.DUMMYFUNCTION("IMPORTRANGE(""https://docs.google.com/spreadsheets/d/1MeEWN-I1oV_STSDYn1IFDPWt_1FKiwhDph83XaGc0o0/edit?usp=sharing"",""งบพรบ!EF30"")"),0)</f>
        <v>0</v>
      </c>
      <c r="H30" s="88">
        <f ca="1">IFERROR(__xludf.DUMMYFUNCTION("IMPORTRANGE(""https://docs.google.com/spreadsheets/d/1MeEWN-I1oV_STSDYn1IFDPWt_1FKiwhDph83XaGc0o0/edit?usp=sharing"",""งบพรบ!EH30"")"),153000)</f>
        <v>153000</v>
      </c>
      <c r="I30" s="88">
        <f ca="1">IFERROR(__xludf.DUMMYFUNCTION("IMPORTRANGE(""https://docs.google.com/spreadsheets/d/1MeEWN-I1oV_STSDYn1IFDPWt_1FKiwhDph83XaGc0o0/edit?usp=sharing"",""งบพรบ!EI30"")"),0)</f>
        <v>0</v>
      </c>
      <c r="J30" s="88">
        <f t="shared" ca="1" si="3"/>
        <v>138671.20000000001</v>
      </c>
      <c r="K30" s="89">
        <f t="shared" ca="1" si="4"/>
        <v>90.63477124183008</v>
      </c>
      <c r="L30" s="88">
        <f ca="1">IFERROR(__xludf.DUMMYFUNCTION("IMPORTRANGE(""https://docs.google.com/spreadsheets/d/1MeEWN-I1oV_STSDYn1IFDPWt_1FKiwhDph83XaGc0o0/edit?usp=sharing"",""งบพรบ!EJ30"")"),138671.2)</f>
        <v>138671.20000000001</v>
      </c>
      <c r="M30" s="90">
        <f t="shared" ca="1" si="5"/>
        <v>90.63477124183008</v>
      </c>
      <c r="N30" s="90">
        <f t="shared" ca="1" si="6"/>
        <v>90.63477124183008</v>
      </c>
      <c r="O30" s="91">
        <f ca="1">IFERROR(__xludf.DUMMYFUNCTION("IMPORTRANGE(""https://docs.google.com/spreadsheets/d/1MeEWN-I1oV_STSDYn1IFDPWt_1FKiwhDph83XaGc0o0/edit?usp=sharing"",""งบพรบ!EK30"")"),0)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IFERROR(__xludf.DUMMYFUNCTION("IMPORTRANGE(""https://docs.google.com/spreadsheets/d/1kII0BjS6CtVrBvI8IrytgPdxDrlyQDyigzMsohRtDMs/edit?usp=sharing"",""อุทัยธานี!I325"")"),1)</f>
        <v>1</v>
      </c>
      <c r="S30" s="92">
        <f ca="1">IFERROR(__xludf.DUMMYFUNCTION("IMPORTRANGE(""https://docs.google.com/spreadsheets/d/1kII0BjS6CtVrBvI8IrytgPdxDrlyQDyigzMsohRtDMs/edit?usp=sharing"",""อุทัยธานี!J325"")"),1)</f>
        <v>1</v>
      </c>
      <c r="T30" s="93">
        <f t="shared" ca="1" si="16"/>
        <v>100</v>
      </c>
    </row>
    <row r="31" spans="1:20" ht="21" customHeight="1" x14ac:dyDescent="0.2">
      <c r="A31" s="383" t="s">
        <v>53</v>
      </c>
      <c r="B31" s="384"/>
      <c r="C31" s="94">
        <f t="shared" ca="1" si="0"/>
        <v>878000</v>
      </c>
      <c r="D31" s="57">
        <f t="shared" ref="D31:I31" ca="1" si="21">SUM(D32:D51)</f>
        <v>878000</v>
      </c>
      <c r="E31" s="57">
        <f t="shared" ca="1" si="21"/>
        <v>572000</v>
      </c>
      <c r="F31" s="57">
        <f t="shared" ca="1" si="21"/>
        <v>306000</v>
      </c>
      <c r="G31" s="57">
        <f t="shared" ca="1" si="21"/>
        <v>0</v>
      </c>
      <c r="H31" s="57">
        <f t="shared" ca="1" si="21"/>
        <v>878000</v>
      </c>
      <c r="I31" s="57">
        <f t="shared" ca="1" si="21"/>
        <v>0</v>
      </c>
      <c r="J31" s="57">
        <f t="shared" ca="1" si="3"/>
        <v>787138.71</v>
      </c>
      <c r="K31" s="95">
        <f t="shared" ca="1" si="4"/>
        <v>89.651333712984055</v>
      </c>
      <c r="L31" s="57">
        <f ca="1">SUM(L32:L51)</f>
        <v>787138.71</v>
      </c>
      <c r="M31" s="96">
        <f t="shared" ca="1" si="5"/>
        <v>89.651333712984055</v>
      </c>
      <c r="N31" s="96">
        <f t="shared" ca="1" si="6"/>
        <v>89.651333712984055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3</v>
      </c>
      <c r="S31" s="57">
        <f t="shared" ca="1" si="22"/>
        <v>3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439000</v>
      </c>
      <c r="D32" s="66">
        <f t="shared" ref="D32:D51" ca="1" si="23">+E32+F32</f>
        <v>439000</v>
      </c>
      <c r="E32" s="67">
        <f ca="1">IFERROR(__xludf.DUMMYFUNCTION("IMPORTRANGE(""https://docs.google.com/spreadsheets/d/1MeEWN-I1oV_STSDYn1IFDPWt_1FKiwhDph83XaGc0o0/edit?usp=sharing"",""งบพรบ!ED32"")"),286000)</f>
        <v>286000</v>
      </c>
      <c r="F32" s="67">
        <f ca="1">IFERROR(__xludf.DUMMYFUNCTION("IMPORTRANGE(""https://docs.google.com/spreadsheets/d/1MeEWN-I1oV_STSDYn1IFDPWt_1FKiwhDph83XaGc0o0/edit?usp=sharing"",""งบพรบ!EE32"")"),153000)</f>
        <v>153000</v>
      </c>
      <c r="G32" s="68">
        <f ca="1">IFERROR(__xludf.DUMMYFUNCTION("IMPORTRANGE(""https://docs.google.com/spreadsheets/d/1MeEWN-I1oV_STSDYn1IFDPWt_1FKiwhDph83XaGc0o0/edit?usp=sharing"",""งบพรบ!EF32"")"),0)</f>
        <v>0</v>
      </c>
      <c r="H32" s="68">
        <f ca="1">IFERROR(__xludf.DUMMYFUNCTION("IMPORTRANGE(""https://docs.google.com/spreadsheets/d/1MeEWN-I1oV_STSDYn1IFDPWt_1FKiwhDph83XaGc0o0/edit?usp=sharing"",""งบพรบ!EH32"")"),439000)</f>
        <v>439000</v>
      </c>
      <c r="I32" s="68">
        <f ca="1">IFERROR(__xludf.DUMMYFUNCTION("IMPORTRANGE(""https://docs.google.com/spreadsheets/d/1MeEWN-I1oV_STSDYn1IFDPWt_1FKiwhDph83XaGc0o0/edit?usp=sharing"",""งบพรบ!EI32"")"),0)</f>
        <v>0</v>
      </c>
      <c r="J32" s="68">
        <f t="shared" ca="1" si="3"/>
        <v>405999.07</v>
      </c>
      <c r="K32" s="69">
        <f t="shared" ca="1" si="4"/>
        <v>92.482703872437355</v>
      </c>
      <c r="L32" s="68">
        <f ca="1">IFERROR(__xludf.DUMMYFUNCTION("IMPORTRANGE(""https://docs.google.com/spreadsheets/d/1MeEWN-I1oV_STSDYn1IFDPWt_1FKiwhDph83XaGc0o0/edit?usp=sharing"",""งบพรบ!EJ32"")"),405999.07)</f>
        <v>405999.07</v>
      </c>
      <c r="M32" s="70">
        <f t="shared" ca="1" si="5"/>
        <v>92.482703872437355</v>
      </c>
      <c r="N32" s="70">
        <f t="shared" ca="1" si="6"/>
        <v>92.482703872437355</v>
      </c>
      <c r="O32" s="71">
        <f ca="1">IFERROR(__xludf.DUMMYFUNCTION("IMPORTRANGE(""https://docs.google.com/spreadsheets/d/1MeEWN-I1oV_STSDYn1IFDPWt_1FKiwhDph83XaGc0o0/edit?usp=sharing"",""งบพรบ!EK32"")"),0)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IFERROR(__xludf.DUMMYFUNCTION("IMPORTRANGE(""https://docs.google.com/spreadsheets/d/1fb2B9NLcpJgjIieIJvenUTNPn0TimZDUi0OtYeiSQ_s/edit?usp=sharing"",""กาฬสินธุ์!I325"")"),1)</f>
        <v>1</v>
      </c>
      <c r="S32" s="68">
        <f ca="1">IFERROR(__xludf.DUMMYFUNCTION("IMPORTRANGE(""https://docs.google.com/spreadsheets/d/1fb2B9NLcpJgjIieIJvenUTNPn0TimZDUi0OtYeiSQ_s/edit?usp=sharing"",""กาฬสินธุ์!J325"")"),1)</f>
        <v>1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23"/>
        <v>0</v>
      </c>
      <c r="E33" s="77">
        <f ca="1">IFERROR(__xludf.DUMMYFUNCTION("IMPORTRANGE(""https://docs.google.com/spreadsheets/d/1MeEWN-I1oV_STSDYn1IFDPWt_1FKiwhDph83XaGc0o0/edit?usp=sharing"",""งบพรบ!ED33"")"),0)</f>
        <v>0</v>
      </c>
      <c r="F33" s="77">
        <f ca="1">IFERROR(__xludf.DUMMYFUNCTION("IMPORTRANGE(""https://docs.google.com/spreadsheets/d/1MeEWN-I1oV_STSDYn1IFDPWt_1FKiwhDph83XaGc0o0/edit?usp=sharing"",""งบพรบ!EE33"")"),0)</f>
        <v>0</v>
      </c>
      <c r="G33" s="77">
        <f ca="1">IFERROR(__xludf.DUMMYFUNCTION("IMPORTRANGE(""https://docs.google.com/spreadsheets/d/1MeEWN-I1oV_STSDYn1IFDPWt_1FKiwhDph83XaGc0o0/edit?usp=sharing"",""งบพรบ!EF33"")"),0)</f>
        <v>0</v>
      </c>
      <c r="H33" s="77">
        <f ca="1">IFERROR(__xludf.DUMMYFUNCTION("IMPORTRANGE(""https://docs.google.com/spreadsheets/d/1MeEWN-I1oV_STSDYn1IFDPWt_1FKiwhDph83XaGc0o0/edit?usp=sharing"",""งบพรบ!EH33"")"),0)</f>
        <v>0</v>
      </c>
      <c r="I33" s="77">
        <f ca="1">IFERROR(__xludf.DUMMYFUNCTION("IMPORTRANGE(""https://docs.google.com/spreadsheets/d/1MeEWN-I1oV_STSDYn1IFDPWt_1FKiwhDph83XaGc0o0/edit?usp=sharing"",""งบพรบ!EI33"")"),0)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IFERROR(__xludf.DUMMYFUNCTION("IMPORTRANGE(""https://docs.google.com/spreadsheets/d/1MeEWN-I1oV_STSDYn1IFDPWt_1FKiwhDph83XaGc0o0/edit?usp=sharing"",""งบพรบ!EJ33"")"),0)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IFERROR(__xludf.DUMMYFUNCTION("IMPORTRANGE(""https://docs.google.com/spreadsheets/d/1MeEWN-I1oV_STSDYn1IFDPWt_1FKiwhDph83XaGc0o0/edit?usp=sharing"",""งบพรบ!EK33"")"),0)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IFERROR(__xludf.DUMMYFUNCTION("IMPORTRANGE(""https://docs.google.com/spreadsheets/d/1SaMnqrwRGmFYNR0MhpWmHuL5niYUd5E7vDq8X7whAlI/edit?usp=sharing"",""ขอนแก่น!I325"")"),0)</f>
        <v>0</v>
      </c>
      <c r="S33" s="81">
        <f ca="1">IFERROR(__xludf.DUMMYFUNCTION("IMPORTRANGE(""https://docs.google.com/spreadsheets/d/1SaMnqrwRGmFYNR0MhpWmHuL5niYUd5E7vDq8X7whAlI/edit?usp=sharing"",""ขอนแก่น!J325"")"),0)</f>
        <v>0</v>
      </c>
      <c r="T33" s="82">
        <f t="shared" ca="1" si="16"/>
        <v>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23"/>
        <v>0</v>
      </c>
      <c r="E34" s="77">
        <f ca="1">IFERROR(__xludf.DUMMYFUNCTION("IMPORTRANGE(""https://docs.google.com/spreadsheets/d/1MeEWN-I1oV_STSDYn1IFDPWt_1FKiwhDph83XaGc0o0/edit?usp=sharing"",""งบพรบ!ED34"")"),0)</f>
        <v>0</v>
      </c>
      <c r="F34" s="77">
        <f ca="1">IFERROR(__xludf.DUMMYFUNCTION("IMPORTRANGE(""https://docs.google.com/spreadsheets/d/1MeEWN-I1oV_STSDYn1IFDPWt_1FKiwhDph83XaGc0o0/edit?usp=sharing"",""งบพรบ!EE34"")"),0)</f>
        <v>0</v>
      </c>
      <c r="G34" s="77">
        <f ca="1">IFERROR(__xludf.DUMMYFUNCTION("IMPORTRANGE(""https://docs.google.com/spreadsheets/d/1MeEWN-I1oV_STSDYn1IFDPWt_1FKiwhDph83XaGc0o0/edit?usp=sharing"",""งบพรบ!EF34"")"),0)</f>
        <v>0</v>
      </c>
      <c r="H34" s="77">
        <f ca="1">IFERROR(__xludf.DUMMYFUNCTION("IMPORTRANGE(""https://docs.google.com/spreadsheets/d/1MeEWN-I1oV_STSDYn1IFDPWt_1FKiwhDph83XaGc0o0/edit?usp=sharing"",""งบพรบ!EH34"")"),0)</f>
        <v>0</v>
      </c>
      <c r="I34" s="77">
        <f ca="1">IFERROR(__xludf.DUMMYFUNCTION("IMPORTRANGE(""https://docs.google.com/spreadsheets/d/1MeEWN-I1oV_STSDYn1IFDPWt_1FKiwhDph83XaGc0o0/edit?usp=sharing"",""งบพรบ!EI34"")"),0)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IFERROR(__xludf.DUMMYFUNCTION("IMPORTRANGE(""https://docs.google.com/spreadsheets/d/1MeEWN-I1oV_STSDYn1IFDPWt_1FKiwhDph83XaGc0o0/edit?usp=sharing"",""งบพรบ!EJ34"")"),0)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IFERROR(__xludf.DUMMYFUNCTION("IMPORTRANGE(""https://docs.google.com/spreadsheets/d/1MeEWN-I1oV_STSDYn1IFDPWt_1FKiwhDph83XaGc0o0/edit?usp=sharing"",""งบพรบ!EK34"")"),0)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IFERROR(__xludf.DUMMYFUNCTION("IMPORTRANGE(""https://docs.google.com/spreadsheets/d/1xQzEtGHhTTgxHh6YUkKY1P4dRyjVhS74dGswLfAASA4/edit?usp=sharing"",""ชัยภูมิ!I325"")"),0)</f>
        <v>0</v>
      </c>
      <c r="S34" s="81">
        <f ca="1">IFERROR(__xludf.DUMMYFUNCTION("IMPORTRANGE(""https://docs.google.com/spreadsheets/d/1xQzEtGHhTTgxHh6YUkKY1P4dRyjVhS74dGswLfAASA4/edit?usp=sharing"",""ชัยภูมิ!J325"")"),0)</f>
        <v>0</v>
      </c>
      <c r="T34" s="82">
        <f t="shared" ca="1" si="16"/>
        <v>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23"/>
        <v>0</v>
      </c>
      <c r="E35" s="77">
        <f ca="1">IFERROR(__xludf.DUMMYFUNCTION("IMPORTRANGE(""https://docs.google.com/spreadsheets/d/1MeEWN-I1oV_STSDYn1IFDPWt_1FKiwhDph83XaGc0o0/edit?usp=sharing"",""งบพรบ!ED35"")"),0)</f>
        <v>0</v>
      </c>
      <c r="F35" s="77">
        <f ca="1">IFERROR(__xludf.DUMMYFUNCTION("IMPORTRANGE(""https://docs.google.com/spreadsheets/d/1MeEWN-I1oV_STSDYn1IFDPWt_1FKiwhDph83XaGc0o0/edit?usp=sharing"",""งบพรบ!EE35"")"),0)</f>
        <v>0</v>
      </c>
      <c r="G35" s="77">
        <f ca="1">IFERROR(__xludf.DUMMYFUNCTION("IMPORTRANGE(""https://docs.google.com/spreadsheets/d/1MeEWN-I1oV_STSDYn1IFDPWt_1FKiwhDph83XaGc0o0/edit?usp=sharing"",""งบพรบ!EF35"")"),0)</f>
        <v>0</v>
      </c>
      <c r="H35" s="77">
        <f ca="1">IFERROR(__xludf.DUMMYFUNCTION("IMPORTRANGE(""https://docs.google.com/spreadsheets/d/1MeEWN-I1oV_STSDYn1IFDPWt_1FKiwhDph83XaGc0o0/edit?usp=sharing"",""งบพรบ!EH35"")"),0)</f>
        <v>0</v>
      </c>
      <c r="I35" s="77">
        <f ca="1">IFERROR(__xludf.DUMMYFUNCTION("IMPORTRANGE(""https://docs.google.com/spreadsheets/d/1MeEWN-I1oV_STSDYn1IFDPWt_1FKiwhDph83XaGc0o0/edit?usp=sharing"",""งบพรบ!EI35"")"),0)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IFERROR(__xludf.DUMMYFUNCTION("IMPORTRANGE(""https://docs.google.com/spreadsheets/d/1MeEWN-I1oV_STSDYn1IFDPWt_1FKiwhDph83XaGc0o0/edit?usp=sharing"",""งบพรบ!EJ35"")"),0)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IFERROR(__xludf.DUMMYFUNCTION("IMPORTRANGE(""https://docs.google.com/spreadsheets/d/1MeEWN-I1oV_STSDYn1IFDPWt_1FKiwhDph83XaGc0o0/edit?usp=sharing"",""งบพรบ!EK35"")"),0)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IFERROR(__xludf.DUMMYFUNCTION("IMPORTRANGE(""https://docs.google.com/spreadsheets/d/1EXMBoBxU3OFbjT2TRpneM33qFjqDzrKmn9ydcflfI0o/edit?usp=sharing"",""นครพนม!I325"")"),0)</f>
        <v>0</v>
      </c>
      <c r="S35" s="81">
        <f ca="1">IFERROR(__xludf.DUMMYFUNCTION("IMPORTRANGE(""https://docs.google.com/spreadsheets/d/1EXMBoBxU3OFbjT2TRpneM33qFjqDzrKmn9ydcflfI0o/edit?usp=sharing"",""นครพนม!J325"")"),0)</f>
        <v>0</v>
      </c>
      <c r="T35" s="82">
        <f t="shared" ca="1" si="16"/>
        <v>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439000</v>
      </c>
      <c r="D36" s="76">
        <f t="shared" ca="1" si="23"/>
        <v>439000</v>
      </c>
      <c r="E36" s="77">
        <f ca="1">IFERROR(__xludf.DUMMYFUNCTION("IMPORTRANGE(""https://docs.google.com/spreadsheets/d/1MeEWN-I1oV_STSDYn1IFDPWt_1FKiwhDph83XaGc0o0/edit?usp=sharing"",""งบพรบ!ED36"")"),286000)</f>
        <v>286000</v>
      </c>
      <c r="F36" s="77">
        <f ca="1">IFERROR(__xludf.DUMMYFUNCTION("IMPORTRANGE(""https://docs.google.com/spreadsheets/d/1MeEWN-I1oV_STSDYn1IFDPWt_1FKiwhDph83XaGc0o0/edit?usp=sharing"",""งบพรบ!EE36"")"),153000)</f>
        <v>153000</v>
      </c>
      <c r="G36" s="77">
        <f ca="1">IFERROR(__xludf.DUMMYFUNCTION("IMPORTRANGE(""https://docs.google.com/spreadsheets/d/1MeEWN-I1oV_STSDYn1IFDPWt_1FKiwhDph83XaGc0o0/edit?usp=sharing"",""งบพรบ!EF36"")"),0)</f>
        <v>0</v>
      </c>
      <c r="H36" s="77">
        <f ca="1">IFERROR(__xludf.DUMMYFUNCTION("IMPORTRANGE(""https://docs.google.com/spreadsheets/d/1MeEWN-I1oV_STSDYn1IFDPWt_1FKiwhDph83XaGc0o0/edit?usp=sharing"",""งบพรบ!EH36"")"),439000)</f>
        <v>439000</v>
      </c>
      <c r="I36" s="77">
        <f ca="1">IFERROR(__xludf.DUMMYFUNCTION("IMPORTRANGE(""https://docs.google.com/spreadsheets/d/1MeEWN-I1oV_STSDYn1IFDPWt_1FKiwhDph83XaGc0o0/edit?usp=sharing"",""งบพรบ!EI36"")"),0)</f>
        <v>0</v>
      </c>
      <c r="J36" s="77">
        <f t="shared" ca="1" si="3"/>
        <v>381139.64</v>
      </c>
      <c r="K36" s="78">
        <f t="shared" ca="1" si="4"/>
        <v>86.819963553530755</v>
      </c>
      <c r="L36" s="77">
        <f ca="1">IFERROR(__xludf.DUMMYFUNCTION("IMPORTRANGE(""https://docs.google.com/spreadsheets/d/1MeEWN-I1oV_STSDYn1IFDPWt_1FKiwhDph83XaGc0o0/edit?usp=sharing"",""งบพรบ!EJ36"")"),381139.64)</f>
        <v>381139.64</v>
      </c>
      <c r="M36" s="79">
        <f t="shared" ca="1" si="5"/>
        <v>86.819963553530755</v>
      </c>
      <c r="N36" s="79">
        <f t="shared" ca="1" si="6"/>
        <v>86.819963553530755</v>
      </c>
      <c r="O36" s="80">
        <f ca="1">IFERROR(__xludf.DUMMYFUNCTION("IMPORTRANGE(""https://docs.google.com/spreadsheets/d/1MeEWN-I1oV_STSDYn1IFDPWt_1FKiwhDph83XaGc0o0/edit?usp=sharing"",""งบพรบ!EK36"")"),0)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IFERROR(__xludf.DUMMYFUNCTION("IMPORTRANGE(""https://docs.google.com/spreadsheets/d/1bDQrolntRWtHumK8W-x-HXKntwxB9S3sF5aDeRS66Ko/edit?usp=sharing"",""นครราชสีมา!I325"")"),2)</f>
        <v>2</v>
      </c>
      <c r="S36" s="81">
        <f ca="1">IFERROR(__xludf.DUMMYFUNCTION("IMPORTRANGE(""https://docs.google.com/spreadsheets/d/1bDQrolntRWtHumK8W-x-HXKntwxB9S3sF5aDeRS66Ko/edit?usp=sharing"",""นครราชสีมา!J325"")"),2)</f>
        <v>2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23"/>
        <v>0</v>
      </c>
      <c r="E37" s="77">
        <f ca="1">IFERROR(__xludf.DUMMYFUNCTION("IMPORTRANGE(""https://docs.google.com/spreadsheets/d/1MeEWN-I1oV_STSDYn1IFDPWt_1FKiwhDph83XaGc0o0/edit?usp=sharing"",""งบพรบ!ED37"")"),0)</f>
        <v>0</v>
      </c>
      <c r="F37" s="77">
        <f ca="1">IFERROR(__xludf.DUMMYFUNCTION("IMPORTRANGE(""https://docs.google.com/spreadsheets/d/1MeEWN-I1oV_STSDYn1IFDPWt_1FKiwhDph83XaGc0o0/edit?usp=sharing"",""งบพรบ!EE37"")"),0)</f>
        <v>0</v>
      </c>
      <c r="G37" s="77">
        <f ca="1">IFERROR(__xludf.DUMMYFUNCTION("IMPORTRANGE(""https://docs.google.com/spreadsheets/d/1MeEWN-I1oV_STSDYn1IFDPWt_1FKiwhDph83XaGc0o0/edit?usp=sharing"",""งบพรบ!EF37"")"),0)</f>
        <v>0</v>
      </c>
      <c r="H37" s="77">
        <f ca="1">IFERROR(__xludf.DUMMYFUNCTION("IMPORTRANGE(""https://docs.google.com/spreadsheets/d/1MeEWN-I1oV_STSDYn1IFDPWt_1FKiwhDph83XaGc0o0/edit?usp=sharing"",""งบพรบ!EH37"")"),0)</f>
        <v>0</v>
      </c>
      <c r="I37" s="77">
        <f ca="1">IFERROR(__xludf.DUMMYFUNCTION("IMPORTRANGE(""https://docs.google.com/spreadsheets/d/1MeEWN-I1oV_STSDYn1IFDPWt_1FKiwhDph83XaGc0o0/edit?usp=sharing"",""งบพรบ!EI37"")"),0)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IFERROR(__xludf.DUMMYFUNCTION("IMPORTRANGE(""https://docs.google.com/spreadsheets/d/1MeEWN-I1oV_STSDYn1IFDPWt_1FKiwhDph83XaGc0o0/edit?usp=sharing"",""งบพรบ!EJ37"")"),0)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IFERROR(__xludf.DUMMYFUNCTION("IMPORTRANGE(""https://docs.google.com/spreadsheets/d/1MeEWN-I1oV_STSDYn1IFDPWt_1FKiwhDph83XaGc0o0/edit?usp=sharing"",""งบพรบ!EK37"")"),0)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IFERROR(__xludf.DUMMYFUNCTION("IMPORTRANGE(""https://docs.google.com/spreadsheets/d/1_MzZ-2gVPiCW-d2VcafoCmFJQTSrZ6SQyFcMqRRQQ2w/edit?usp=sharing"",""บึงกาฬ!I325"")"),0)</f>
        <v>0</v>
      </c>
      <c r="S37" s="81">
        <f ca="1">IFERROR(__xludf.DUMMYFUNCTION("IMPORTRANGE(""https://docs.google.com/spreadsheets/d/1_MzZ-2gVPiCW-d2VcafoCmFJQTSrZ6SQyFcMqRRQQ2w/edit?usp=sharing"",""บึงกาฬ!J325"")"),0)</f>
        <v>0</v>
      </c>
      <c r="T37" s="82">
        <f t="shared" ca="1" si="16"/>
        <v>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0</v>
      </c>
      <c r="D38" s="76">
        <f t="shared" ca="1" si="23"/>
        <v>0</v>
      </c>
      <c r="E38" s="77">
        <f ca="1">IFERROR(__xludf.DUMMYFUNCTION("IMPORTRANGE(""https://docs.google.com/spreadsheets/d/1MeEWN-I1oV_STSDYn1IFDPWt_1FKiwhDph83XaGc0o0/edit?usp=sharing"",""งบพรบ!ED38"")"),0)</f>
        <v>0</v>
      </c>
      <c r="F38" s="77">
        <f ca="1">IFERROR(__xludf.DUMMYFUNCTION("IMPORTRANGE(""https://docs.google.com/spreadsheets/d/1MeEWN-I1oV_STSDYn1IFDPWt_1FKiwhDph83XaGc0o0/edit?usp=sharing"",""งบพรบ!EE38"")"),0)</f>
        <v>0</v>
      </c>
      <c r="G38" s="77">
        <f ca="1">IFERROR(__xludf.DUMMYFUNCTION("IMPORTRANGE(""https://docs.google.com/spreadsheets/d/1MeEWN-I1oV_STSDYn1IFDPWt_1FKiwhDph83XaGc0o0/edit?usp=sharing"",""งบพรบ!EF38"")"),0)</f>
        <v>0</v>
      </c>
      <c r="H38" s="77">
        <f ca="1">IFERROR(__xludf.DUMMYFUNCTION("IMPORTRANGE(""https://docs.google.com/spreadsheets/d/1MeEWN-I1oV_STSDYn1IFDPWt_1FKiwhDph83XaGc0o0/edit?usp=sharing"",""งบพรบ!EH38"")"),0)</f>
        <v>0</v>
      </c>
      <c r="I38" s="77">
        <f ca="1">IFERROR(__xludf.DUMMYFUNCTION("IMPORTRANGE(""https://docs.google.com/spreadsheets/d/1MeEWN-I1oV_STSDYn1IFDPWt_1FKiwhDph83XaGc0o0/edit?usp=sharing"",""งบพรบ!EI38"")"),0)</f>
        <v>0</v>
      </c>
      <c r="J38" s="77">
        <f t="shared" ca="1" si="3"/>
        <v>0</v>
      </c>
      <c r="K38" s="78">
        <f t="shared" ca="1" si="4"/>
        <v>0</v>
      </c>
      <c r="L38" s="77">
        <f ca="1">IFERROR(__xludf.DUMMYFUNCTION("IMPORTRANGE(""https://docs.google.com/spreadsheets/d/1MeEWN-I1oV_STSDYn1IFDPWt_1FKiwhDph83XaGc0o0/edit?usp=sharing"",""งบพรบ!EJ38"")"),0)</f>
        <v>0</v>
      </c>
      <c r="M38" s="79">
        <f t="shared" ca="1" si="5"/>
        <v>0</v>
      </c>
      <c r="N38" s="79">
        <f t="shared" ca="1" si="6"/>
        <v>0</v>
      </c>
      <c r="O38" s="80">
        <f ca="1">IFERROR(__xludf.DUMMYFUNCTION("IMPORTRANGE(""https://docs.google.com/spreadsheets/d/1MeEWN-I1oV_STSDYn1IFDPWt_1FKiwhDph83XaGc0o0/edit?usp=sharing"",""งบพรบ!EK38"")"),0)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IFERROR(__xludf.DUMMYFUNCTION("IMPORTRANGE(""https://docs.google.com/spreadsheets/d/1B3lPpzOuaNwVItLwLEZYl_qEblfcx7dRnbRkAw0l-pE/edit?usp=sharing"",""บุรีรัมย์!I325"")"),0)</f>
        <v>0</v>
      </c>
      <c r="S38" s="81">
        <f ca="1">IFERROR(__xludf.DUMMYFUNCTION("IMPORTRANGE(""https://docs.google.com/spreadsheets/d/1B3lPpzOuaNwVItLwLEZYl_qEblfcx7dRnbRkAw0l-pE/edit?usp=sharing"",""บุรีรัมย์!J325"")"),0)</f>
        <v>0</v>
      </c>
      <c r="T38" s="82">
        <f t="shared" ca="1" si="16"/>
        <v>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23"/>
        <v>0</v>
      </c>
      <c r="E39" s="77">
        <f ca="1">IFERROR(__xludf.DUMMYFUNCTION("IMPORTRANGE(""https://docs.google.com/spreadsheets/d/1MeEWN-I1oV_STSDYn1IFDPWt_1FKiwhDph83XaGc0o0/edit?usp=sharing"",""งบพรบ!ED39"")"),0)</f>
        <v>0</v>
      </c>
      <c r="F39" s="77">
        <f ca="1">IFERROR(__xludf.DUMMYFUNCTION("IMPORTRANGE(""https://docs.google.com/spreadsheets/d/1MeEWN-I1oV_STSDYn1IFDPWt_1FKiwhDph83XaGc0o0/edit?usp=sharing"",""งบพรบ!EE39"")"),0)</f>
        <v>0</v>
      </c>
      <c r="G39" s="77">
        <f ca="1">IFERROR(__xludf.DUMMYFUNCTION("IMPORTRANGE(""https://docs.google.com/spreadsheets/d/1MeEWN-I1oV_STSDYn1IFDPWt_1FKiwhDph83XaGc0o0/edit?usp=sharing"",""งบพรบ!EF39"")"),0)</f>
        <v>0</v>
      </c>
      <c r="H39" s="77">
        <f ca="1">IFERROR(__xludf.DUMMYFUNCTION("IMPORTRANGE(""https://docs.google.com/spreadsheets/d/1MeEWN-I1oV_STSDYn1IFDPWt_1FKiwhDph83XaGc0o0/edit?usp=sharing"",""งบพรบ!EH39"")"),0)</f>
        <v>0</v>
      </c>
      <c r="I39" s="77">
        <f ca="1">IFERROR(__xludf.DUMMYFUNCTION("IMPORTRANGE(""https://docs.google.com/spreadsheets/d/1MeEWN-I1oV_STSDYn1IFDPWt_1FKiwhDph83XaGc0o0/edit?usp=sharing"",""งบพรบ!EI39"")"),0)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IFERROR(__xludf.DUMMYFUNCTION("IMPORTRANGE(""https://docs.google.com/spreadsheets/d/1MeEWN-I1oV_STSDYn1IFDPWt_1FKiwhDph83XaGc0o0/edit?usp=sharing"",""งบพรบ!EJ39"")"),0)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IFERROR(__xludf.DUMMYFUNCTION("IMPORTRANGE(""https://docs.google.com/spreadsheets/d/1MeEWN-I1oV_STSDYn1IFDPWt_1FKiwhDph83XaGc0o0/edit?usp=sharing"",""งบพรบ!EK39"")"),0)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IFERROR(__xludf.DUMMYFUNCTION("IMPORTRANGE(""https://docs.google.com/spreadsheets/d/19GOkiOqnzYbevLYWrMk4qFOXe3rX14BkSA8X-mq-a40/edit?usp=sharing"",""มหาสารคาม!I325"")"),0)</f>
        <v>0</v>
      </c>
      <c r="S39" s="81">
        <f ca="1">IFERROR(__xludf.DUMMYFUNCTION("IMPORTRANGE(""https://docs.google.com/spreadsheets/d/19GOkiOqnzYbevLYWrMk4qFOXe3rX14BkSA8X-mq-a40/edit?usp=sharing"",""มหาสารคาม!J325"")"),0)</f>
        <v>0</v>
      </c>
      <c r="T39" s="82">
        <f t="shared" ca="1" si="16"/>
        <v>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0</v>
      </c>
      <c r="D40" s="76">
        <f t="shared" ca="1" si="23"/>
        <v>0</v>
      </c>
      <c r="E40" s="77">
        <f ca="1">IFERROR(__xludf.DUMMYFUNCTION("IMPORTRANGE(""https://docs.google.com/spreadsheets/d/1MeEWN-I1oV_STSDYn1IFDPWt_1FKiwhDph83XaGc0o0/edit?usp=sharing"",""งบพรบ!ED40"")"),0)</f>
        <v>0</v>
      </c>
      <c r="F40" s="77">
        <f ca="1">IFERROR(__xludf.DUMMYFUNCTION("IMPORTRANGE(""https://docs.google.com/spreadsheets/d/1MeEWN-I1oV_STSDYn1IFDPWt_1FKiwhDph83XaGc0o0/edit?usp=sharing"",""งบพรบ!EE40"")"),0)</f>
        <v>0</v>
      </c>
      <c r="G40" s="77">
        <f ca="1">IFERROR(__xludf.DUMMYFUNCTION("IMPORTRANGE(""https://docs.google.com/spreadsheets/d/1MeEWN-I1oV_STSDYn1IFDPWt_1FKiwhDph83XaGc0o0/edit?usp=sharing"",""งบพรบ!EF40"")"),0)</f>
        <v>0</v>
      </c>
      <c r="H40" s="77">
        <f ca="1">IFERROR(__xludf.DUMMYFUNCTION("IMPORTRANGE(""https://docs.google.com/spreadsheets/d/1MeEWN-I1oV_STSDYn1IFDPWt_1FKiwhDph83XaGc0o0/edit?usp=sharing"",""งบพรบ!EH40"")"),0)</f>
        <v>0</v>
      </c>
      <c r="I40" s="77">
        <f ca="1">IFERROR(__xludf.DUMMYFUNCTION("IMPORTRANGE(""https://docs.google.com/spreadsheets/d/1MeEWN-I1oV_STSDYn1IFDPWt_1FKiwhDph83XaGc0o0/edit?usp=sharing"",""งบพรบ!EI40"")"),0)</f>
        <v>0</v>
      </c>
      <c r="J40" s="77">
        <f t="shared" ca="1" si="3"/>
        <v>0</v>
      </c>
      <c r="K40" s="78">
        <f t="shared" ca="1" si="4"/>
        <v>0</v>
      </c>
      <c r="L40" s="77">
        <f ca="1">IFERROR(__xludf.DUMMYFUNCTION("IMPORTRANGE(""https://docs.google.com/spreadsheets/d/1MeEWN-I1oV_STSDYn1IFDPWt_1FKiwhDph83XaGc0o0/edit?usp=sharing"",""งบพรบ!EJ40"")"),0)</f>
        <v>0</v>
      </c>
      <c r="M40" s="79">
        <f t="shared" ca="1" si="5"/>
        <v>0</v>
      </c>
      <c r="N40" s="79">
        <f t="shared" ca="1" si="6"/>
        <v>0</v>
      </c>
      <c r="O40" s="80">
        <f ca="1">IFERROR(__xludf.DUMMYFUNCTION("IMPORTRANGE(""https://docs.google.com/spreadsheets/d/1MeEWN-I1oV_STSDYn1IFDPWt_1FKiwhDph83XaGc0o0/edit?usp=sharing"",""งบพรบ!EK40"")"),0)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IFERROR(__xludf.DUMMYFUNCTION("IMPORTRANGE(""https://docs.google.com/spreadsheets/d/1uMKqWwuNQ-TCKboGA3Bb1qXb5uj2-faACNUINCz8PN4/edit?usp=sharing"",""มุกดาหาร!I325"")"),0)</f>
        <v>0</v>
      </c>
      <c r="S40" s="81">
        <f ca="1">IFERROR(__xludf.DUMMYFUNCTION("IMPORTRANGE(""https://docs.google.com/spreadsheets/d/1uMKqWwuNQ-TCKboGA3Bb1qXb5uj2-faACNUINCz8PN4/edit?usp=sharing"",""มุกดาหาร!J325"")"),0)</f>
        <v>0</v>
      </c>
      <c r="T40" s="82">
        <f t="shared" ca="1" si="16"/>
        <v>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0</v>
      </c>
      <c r="D41" s="76">
        <f t="shared" ca="1" si="23"/>
        <v>0</v>
      </c>
      <c r="E41" s="77">
        <f ca="1">IFERROR(__xludf.DUMMYFUNCTION("IMPORTRANGE(""https://docs.google.com/spreadsheets/d/1MeEWN-I1oV_STSDYn1IFDPWt_1FKiwhDph83XaGc0o0/edit?usp=sharing"",""งบพรบ!ED41"")"),0)</f>
        <v>0</v>
      </c>
      <c r="F41" s="77">
        <f ca="1">IFERROR(__xludf.DUMMYFUNCTION("IMPORTRANGE(""https://docs.google.com/spreadsheets/d/1MeEWN-I1oV_STSDYn1IFDPWt_1FKiwhDph83XaGc0o0/edit?usp=sharing"",""งบพรบ!EE41"")"),0)</f>
        <v>0</v>
      </c>
      <c r="G41" s="77">
        <f ca="1">IFERROR(__xludf.DUMMYFUNCTION("IMPORTRANGE(""https://docs.google.com/spreadsheets/d/1MeEWN-I1oV_STSDYn1IFDPWt_1FKiwhDph83XaGc0o0/edit?usp=sharing"",""งบพรบ!EF41"")"),0)</f>
        <v>0</v>
      </c>
      <c r="H41" s="77">
        <f ca="1">IFERROR(__xludf.DUMMYFUNCTION("IMPORTRANGE(""https://docs.google.com/spreadsheets/d/1MeEWN-I1oV_STSDYn1IFDPWt_1FKiwhDph83XaGc0o0/edit?usp=sharing"",""งบพรบ!EH41"")"),0)</f>
        <v>0</v>
      </c>
      <c r="I41" s="77">
        <f ca="1">IFERROR(__xludf.DUMMYFUNCTION("IMPORTRANGE(""https://docs.google.com/spreadsheets/d/1MeEWN-I1oV_STSDYn1IFDPWt_1FKiwhDph83XaGc0o0/edit?usp=sharing"",""งบพรบ!EI41"")"),0)</f>
        <v>0</v>
      </c>
      <c r="J41" s="77">
        <f t="shared" ca="1" si="3"/>
        <v>0</v>
      </c>
      <c r="K41" s="78">
        <f t="shared" ca="1" si="4"/>
        <v>0</v>
      </c>
      <c r="L41" s="77">
        <f ca="1">IFERROR(__xludf.DUMMYFUNCTION("IMPORTRANGE(""https://docs.google.com/spreadsheets/d/1MeEWN-I1oV_STSDYn1IFDPWt_1FKiwhDph83XaGc0o0/edit?usp=sharing"",""งบพรบ!EJ41"")"),0)</f>
        <v>0</v>
      </c>
      <c r="M41" s="79">
        <f t="shared" ca="1" si="5"/>
        <v>0</v>
      </c>
      <c r="N41" s="79">
        <f t="shared" ca="1" si="6"/>
        <v>0</v>
      </c>
      <c r="O41" s="80">
        <f ca="1">IFERROR(__xludf.DUMMYFUNCTION("IMPORTRANGE(""https://docs.google.com/spreadsheets/d/1MeEWN-I1oV_STSDYn1IFDPWt_1FKiwhDph83XaGc0o0/edit?usp=sharing"",""งบพรบ!EK41"")"),0)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IFERROR(__xludf.DUMMYFUNCTION("IMPORTRANGE(""https://docs.google.com/spreadsheets/d/1oKaccgDdQABndOzGr688Dbfxb_V3YcF67VqEPBtdzsc/edit?usp=sharing"",""ยโสธร!I325"")"),0)</f>
        <v>0</v>
      </c>
      <c r="S41" s="81">
        <f ca="1">IFERROR(__xludf.DUMMYFUNCTION("IMPORTRANGE(""https://docs.google.com/spreadsheets/d/1oKaccgDdQABndOzGr688Dbfxb_V3YcF67VqEPBtdzsc/edit?usp=sharing"",""ยโสธร!J325"")"),0)</f>
        <v>0</v>
      </c>
      <c r="T41" s="82">
        <f t="shared" ca="1" si="16"/>
        <v>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0</v>
      </c>
      <c r="D42" s="76">
        <f t="shared" ca="1" si="23"/>
        <v>0</v>
      </c>
      <c r="E42" s="77">
        <f ca="1">IFERROR(__xludf.DUMMYFUNCTION("IMPORTRANGE(""https://docs.google.com/spreadsheets/d/1MeEWN-I1oV_STSDYn1IFDPWt_1FKiwhDph83XaGc0o0/edit?usp=sharing"",""งบพรบ!ED42"")"),0)</f>
        <v>0</v>
      </c>
      <c r="F42" s="77">
        <f ca="1">IFERROR(__xludf.DUMMYFUNCTION("IMPORTRANGE(""https://docs.google.com/spreadsheets/d/1MeEWN-I1oV_STSDYn1IFDPWt_1FKiwhDph83XaGc0o0/edit?usp=sharing"",""งบพรบ!EE42"")"),0)</f>
        <v>0</v>
      </c>
      <c r="G42" s="77">
        <f ca="1">IFERROR(__xludf.DUMMYFUNCTION("IMPORTRANGE(""https://docs.google.com/spreadsheets/d/1MeEWN-I1oV_STSDYn1IFDPWt_1FKiwhDph83XaGc0o0/edit?usp=sharing"",""งบพรบ!EF42"")"),0)</f>
        <v>0</v>
      </c>
      <c r="H42" s="77">
        <f ca="1">IFERROR(__xludf.DUMMYFUNCTION("IMPORTRANGE(""https://docs.google.com/spreadsheets/d/1MeEWN-I1oV_STSDYn1IFDPWt_1FKiwhDph83XaGc0o0/edit?usp=sharing"",""งบพรบ!EH42"")"),0)</f>
        <v>0</v>
      </c>
      <c r="I42" s="77">
        <f ca="1">IFERROR(__xludf.DUMMYFUNCTION("IMPORTRANGE(""https://docs.google.com/spreadsheets/d/1MeEWN-I1oV_STSDYn1IFDPWt_1FKiwhDph83XaGc0o0/edit?usp=sharing"",""งบพรบ!EI42"")"),0)</f>
        <v>0</v>
      </c>
      <c r="J42" s="77">
        <f t="shared" ca="1" si="3"/>
        <v>0</v>
      </c>
      <c r="K42" s="78">
        <f t="shared" ca="1" si="4"/>
        <v>0</v>
      </c>
      <c r="L42" s="77">
        <f ca="1">IFERROR(__xludf.DUMMYFUNCTION("IMPORTRANGE(""https://docs.google.com/spreadsheets/d/1MeEWN-I1oV_STSDYn1IFDPWt_1FKiwhDph83XaGc0o0/edit?usp=sharing"",""งบพรบ!EJ42"")"),0)</f>
        <v>0</v>
      </c>
      <c r="M42" s="79">
        <f t="shared" ca="1" si="5"/>
        <v>0</v>
      </c>
      <c r="N42" s="79">
        <f t="shared" ca="1" si="6"/>
        <v>0</v>
      </c>
      <c r="O42" s="80">
        <f ca="1">IFERROR(__xludf.DUMMYFUNCTION("IMPORTRANGE(""https://docs.google.com/spreadsheets/d/1MeEWN-I1oV_STSDYn1IFDPWt_1FKiwhDph83XaGc0o0/edit?usp=sharing"",""งบพรบ!EK42"")"),0)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IFERROR(__xludf.DUMMYFUNCTION("IMPORTRANGE(""https://docs.google.com/spreadsheets/d/1BRgc8xKpxZ0PX-gauieMVkV_IOxKSotf0yW8MabGprQ/edit?usp=sharing"",""ร้อยเอ็ด!I325"")"),0)</f>
        <v>0</v>
      </c>
      <c r="S42" s="81">
        <f ca="1">IFERROR(__xludf.DUMMYFUNCTION("IMPORTRANGE(""https://docs.google.com/spreadsheets/d/1BRgc8xKpxZ0PX-gauieMVkV_IOxKSotf0yW8MabGprQ/edit?usp=sharing"",""ร้อยเอ็ด!J325"")"),0)</f>
        <v>0</v>
      </c>
      <c r="T42" s="82">
        <f t="shared" ca="1" si="16"/>
        <v>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23"/>
        <v>0</v>
      </c>
      <c r="E43" s="77">
        <f ca="1">IFERROR(__xludf.DUMMYFUNCTION("IMPORTRANGE(""https://docs.google.com/spreadsheets/d/1MeEWN-I1oV_STSDYn1IFDPWt_1FKiwhDph83XaGc0o0/edit?usp=sharing"",""งบพรบ!ED43"")"),0)</f>
        <v>0</v>
      </c>
      <c r="F43" s="77">
        <f ca="1">IFERROR(__xludf.DUMMYFUNCTION("IMPORTRANGE(""https://docs.google.com/spreadsheets/d/1MeEWN-I1oV_STSDYn1IFDPWt_1FKiwhDph83XaGc0o0/edit?usp=sharing"",""งบพรบ!EE43"")"),0)</f>
        <v>0</v>
      </c>
      <c r="G43" s="77">
        <f ca="1">IFERROR(__xludf.DUMMYFUNCTION("IMPORTRANGE(""https://docs.google.com/spreadsheets/d/1MeEWN-I1oV_STSDYn1IFDPWt_1FKiwhDph83XaGc0o0/edit?usp=sharing"",""งบพรบ!EF43"")"),0)</f>
        <v>0</v>
      </c>
      <c r="H43" s="77">
        <f ca="1">IFERROR(__xludf.DUMMYFUNCTION("IMPORTRANGE(""https://docs.google.com/spreadsheets/d/1MeEWN-I1oV_STSDYn1IFDPWt_1FKiwhDph83XaGc0o0/edit?usp=sharing"",""งบพรบ!EH43"")"),0)</f>
        <v>0</v>
      </c>
      <c r="I43" s="77">
        <f ca="1">IFERROR(__xludf.DUMMYFUNCTION("IMPORTRANGE(""https://docs.google.com/spreadsheets/d/1MeEWN-I1oV_STSDYn1IFDPWt_1FKiwhDph83XaGc0o0/edit?usp=sharing"",""งบพรบ!EI43"")"),0)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IFERROR(__xludf.DUMMYFUNCTION("IMPORTRANGE(""https://docs.google.com/spreadsheets/d/1MeEWN-I1oV_STSDYn1IFDPWt_1FKiwhDph83XaGc0o0/edit?usp=sharing"",""งบพรบ!EJ43"")"),0)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IFERROR(__xludf.DUMMYFUNCTION("IMPORTRANGE(""https://docs.google.com/spreadsheets/d/1MeEWN-I1oV_STSDYn1IFDPWt_1FKiwhDph83XaGc0o0/edit?usp=sharing"",""งบพรบ!EK43"")"),0)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IFERROR(__xludf.DUMMYFUNCTION("IMPORTRANGE(""https://docs.google.com/spreadsheets/d/1IdolZc-dfdgMwAm_KZxYJl1sUOcIgnbGQzbWOlddedo/edit?usp=sharing"",""เลย!I325"")"),0)</f>
        <v>0</v>
      </c>
      <c r="S43" s="81">
        <f ca="1">IFERROR(__xludf.DUMMYFUNCTION("IMPORTRANGE(""https://docs.google.com/spreadsheets/d/1IdolZc-dfdgMwAm_KZxYJl1sUOcIgnbGQzbWOlddedo/edit?usp=sharing"",""เลย!J325"")"),0)</f>
        <v>0</v>
      </c>
      <c r="T43" s="82">
        <f t="shared" ca="1" si="16"/>
        <v>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23"/>
        <v>0</v>
      </c>
      <c r="E44" s="77">
        <f ca="1">IFERROR(__xludf.DUMMYFUNCTION("IMPORTRANGE(""https://docs.google.com/spreadsheets/d/1MeEWN-I1oV_STSDYn1IFDPWt_1FKiwhDph83XaGc0o0/edit?usp=sharing"",""งบพรบ!ED44"")"),0)</f>
        <v>0</v>
      </c>
      <c r="F44" s="77">
        <f ca="1">IFERROR(__xludf.DUMMYFUNCTION("IMPORTRANGE(""https://docs.google.com/spreadsheets/d/1MeEWN-I1oV_STSDYn1IFDPWt_1FKiwhDph83XaGc0o0/edit?usp=sharing"",""งบพรบ!EE44"")"),0)</f>
        <v>0</v>
      </c>
      <c r="G44" s="77">
        <f ca="1">IFERROR(__xludf.DUMMYFUNCTION("IMPORTRANGE(""https://docs.google.com/spreadsheets/d/1MeEWN-I1oV_STSDYn1IFDPWt_1FKiwhDph83XaGc0o0/edit?usp=sharing"",""งบพรบ!EF44"")"),0)</f>
        <v>0</v>
      </c>
      <c r="H44" s="77">
        <f ca="1">IFERROR(__xludf.DUMMYFUNCTION("IMPORTRANGE(""https://docs.google.com/spreadsheets/d/1MeEWN-I1oV_STSDYn1IFDPWt_1FKiwhDph83XaGc0o0/edit?usp=sharing"",""งบพรบ!EH44"")"),0)</f>
        <v>0</v>
      </c>
      <c r="I44" s="77">
        <f ca="1">IFERROR(__xludf.DUMMYFUNCTION("IMPORTRANGE(""https://docs.google.com/spreadsheets/d/1MeEWN-I1oV_STSDYn1IFDPWt_1FKiwhDph83XaGc0o0/edit?usp=sharing"",""งบพรบ!EI44"")"),0)</f>
        <v>0</v>
      </c>
      <c r="J44" s="77">
        <f t="shared" ca="1" si="3"/>
        <v>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IFERROR(__xludf.DUMMYFUNCTION("IMPORTRANGE(""https://docs.google.com/spreadsheets/d/1MeEWN-I1oV_STSDYn1IFDPWt_1FKiwhDph83XaGc0o0/edit?usp=sharing"",""งบพรบ!EJ44"")"),0)</f>
        <v>0</v>
      </c>
      <c r="M44" s="79">
        <f t="shared" ca="1" si="5"/>
        <v>0</v>
      </c>
      <c r="N44" s="79">
        <f t="shared" ca="1" si="6"/>
        <v>0</v>
      </c>
      <c r="O44" s="80">
        <f ca="1">IFERROR(__xludf.DUMMYFUNCTION("IMPORTRANGE(""https://docs.google.com/spreadsheets/d/1MeEWN-I1oV_STSDYn1IFDPWt_1FKiwhDph83XaGc0o0/edit?usp=sharing"",""งบพรบ!EK44"")"),0)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IFERROR(__xludf.DUMMYFUNCTION("IMPORTRANGE(""https://docs.google.com/spreadsheets/d/1tZ0nmtGuIRCaGAMXHlQU8EpR9LOAJvyKfc4f7EFmE34/edit?usp=sharing"",""ศรีสะเกษ!I325"")"),0)</f>
        <v>0</v>
      </c>
      <c r="S44" s="81">
        <f ca="1">IFERROR(__xludf.DUMMYFUNCTION("IMPORTRANGE(""https://docs.google.com/spreadsheets/d/1tZ0nmtGuIRCaGAMXHlQU8EpR9LOAJvyKfc4f7EFmE34/edit?usp=sharing"",""ศรีสะเกษ!J325"")"),0)</f>
        <v>0</v>
      </c>
      <c r="T44" s="82">
        <f t="shared" ca="1" si="16"/>
        <v>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0</v>
      </c>
      <c r="D45" s="76">
        <f t="shared" ca="1" si="23"/>
        <v>0</v>
      </c>
      <c r="E45" s="77">
        <f ca="1">IFERROR(__xludf.DUMMYFUNCTION("IMPORTRANGE(""https://docs.google.com/spreadsheets/d/1MeEWN-I1oV_STSDYn1IFDPWt_1FKiwhDph83XaGc0o0/edit?usp=sharing"",""งบพรบ!ED45"")"),0)</f>
        <v>0</v>
      </c>
      <c r="F45" s="77">
        <f ca="1">IFERROR(__xludf.DUMMYFUNCTION("IMPORTRANGE(""https://docs.google.com/spreadsheets/d/1MeEWN-I1oV_STSDYn1IFDPWt_1FKiwhDph83XaGc0o0/edit?usp=sharing"",""งบพรบ!EE45"")"),0)</f>
        <v>0</v>
      </c>
      <c r="G45" s="77">
        <f ca="1">IFERROR(__xludf.DUMMYFUNCTION("IMPORTRANGE(""https://docs.google.com/spreadsheets/d/1MeEWN-I1oV_STSDYn1IFDPWt_1FKiwhDph83XaGc0o0/edit?usp=sharing"",""งบพรบ!EF45"")"),0)</f>
        <v>0</v>
      </c>
      <c r="H45" s="77">
        <f ca="1">IFERROR(__xludf.DUMMYFUNCTION("IMPORTRANGE(""https://docs.google.com/spreadsheets/d/1MeEWN-I1oV_STSDYn1IFDPWt_1FKiwhDph83XaGc0o0/edit?usp=sharing"",""งบพรบ!EH45"")"),0)</f>
        <v>0</v>
      </c>
      <c r="I45" s="77">
        <f ca="1">IFERROR(__xludf.DUMMYFUNCTION("IMPORTRANGE(""https://docs.google.com/spreadsheets/d/1MeEWN-I1oV_STSDYn1IFDPWt_1FKiwhDph83XaGc0o0/edit?usp=sharing"",""งบพรบ!EI45"")"),0)</f>
        <v>0</v>
      </c>
      <c r="J45" s="77">
        <f t="shared" ca="1" si="3"/>
        <v>0</v>
      </c>
      <c r="K45" s="78">
        <f t="shared" ca="1" si="4"/>
        <v>0</v>
      </c>
      <c r="L45" s="77">
        <f ca="1">IFERROR(__xludf.DUMMYFUNCTION("IMPORTRANGE(""https://docs.google.com/spreadsheets/d/1MeEWN-I1oV_STSDYn1IFDPWt_1FKiwhDph83XaGc0o0/edit?usp=sharing"",""งบพรบ!EJ45"")"),0)</f>
        <v>0</v>
      </c>
      <c r="M45" s="79">
        <f t="shared" ca="1" si="5"/>
        <v>0</v>
      </c>
      <c r="N45" s="79">
        <f t="shared" ca="1" si="6"/>
        <v>0</v>
      </c>
      <c r="O45" s="80">
        <f ca="1">IFERROR(__xludf.DUMMYFUNCTION("IMPORTRANGE(""https://docs.google.com/spreadsheets/d/1MeEWN-I1oV_STSDYn1IFDPWt_1FKiwhDph83XaGc0o0/edit?usp=sharing"",""งบพรบ!EK45"")"),0)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IFERROR(__xludf.DUMMYFUNCTION("IMPORTRANGE(""https://docs.google.com/spreadsheets/d/1QC8psz9w0f9IVE9Xuc2FT_btkaOzZbbUSgYObpBuetM/edit?usp=sharing"",""สกลนคร!I325"")"),0)</f>
        <v>0</v>
      </c>
      <c r="S45" s="81">
        <f ca="1">IFERROR(__xludf.DUMMYFUNCTION("IMPORTRANGE(""https://docs.google.com/spreadsheets/d/1QC8psz9w0f9IVE9Xuc2FT_btkaOzZbbUSgYObpBuetM/edit?usp=sharing"",""สกลนคร!J325"")"),0)</f>
        <v>0</v>
      </c>
      <c r="T45" s="82">
        <f t="shared" ca="1" si="16"/>
        <v>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23"/>
        <v>0</v>
      </c>
      <c r="E46" s="77">
        <f ca="1">IFERROR(__xludf.DUMMYFUNCTION("IMPORTRANGE(""https://docs.google.com/spreadsheets/d/1MeEWN-I1oV_STSDYn1IFDPWt_1FKiwhDph83XaGc0o0/edit?usp=sharing"",""งบพรบ!ED46"")"),0)</f>
        <v>0</v>
      </c>
      <c r="F46" s="77">
        <f ca="1">IFERROR(__xludf.DUMMYFUNCTION("IMPORTRANGE(""https://docs.google.com/spreadsheets/d/1MeEWN-I1oV_STSDYn1IFDPWt_1FKiwhDph83XaGc0o0/edit?usp=sharing"",""งบพรบ!EE46"")"),0)</f>
        <v>0</v>
      </c>
      <c r="G46" s="77">
        <f ca="1">IFERROR(__xludf.DUMMYFUNCTION("IMPORTRANGE(""https://docs.google.com/spreadsheets/d/1MeEWN-I1oV_STSDYn1IFDPWt_1FKiwhDph83XaGc0o0/edit?usp=sharing"",""งบพรบ!EF46"")"),0)</f>
        <v>0</v>
      </c>
      <c r="H46" s="77">
        <f ca="1">IFERROR(__xludf.DUMMYFUNCTION("IMPORTRANGE(""https://docs.google.com/spreadsheets/d/1MeEWN-I1oV_STSDYn1IFDPWt_1FKiwhDph83XaGc0o0/edit?usp=sharing"",""งบพรบ!EH46"")"),0)</f>
        <v>0</v>
      </c>
      <c r="I46" s="77">
        <f ca="1">IFERROR(__xludf.DUMMYFUNCTION("IMPORTRANGE(""https://docs.google.com/spreadsheets/d/1MeEWN-I1oV_STSDYn1IFDPWt_1FKiwhDph83XaGc0o0/edit?usp=sharing"",""งบพรบ!EI46"")"),0)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IFERROR(__xludf.DUMMYFUNCTION("IMPORTRANGE(""https://docs.google.com/spreadsheets/d/1MeEWN-I1oV_STSDYn1IFDPWt_1FKiwhDph83XaGc0o0/edit?usp=sharing"",""งบพรบ!EJ46"")"),0)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IFERROR(__xludf.DUMMYFUNCTION("IMPORTRANGE(""https://docs.google.com/spreadsheets/d/1MeEWN-I1oV_STSDYn1IFDPWt_1FKiwhDph83XaGc0o0/edit?usp=sharing"",""งบพรบ!EK46"")"),0)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IFERROR(__xludf.DUMMYFUNCTION("IMPORTRANGE(""https://docs.google.com/spreadsheets/d/1wPdvRbu02d33MYVlbsCnyTiZpefEBs9NNktAnT1HZvw/edit?usp=sharing"",""สุรินทร์!I325"")"),0)</f>
        <v>0</v>
      </c>
      <c r="S46" s="81">
        <f ca="1">IFERROR(__xludf.DUMMYFUNCTION("IMPORTRANGE(""https://docs.google.com/spreadsheets/d/1wPdvRbu02d33MYVlbsCnyTiZpefEBs9NNktAnT1HZvw/edit?usp=sharing"",""สุรินทร์!J325"")"),0)</f>
        <v>0</v>
      </c>
      <c r="T46" s="82">
        <f t="shared" ca="1" si="16"/>
        <v>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0</v>
      </c>
      <c r="D47" s="76">
        <f t="shared" ca="1" si="23"/>
        <v>0</v>
      </c>
      <c r="E47" s="77">
        <f ca="1">IFERROR(__xludf.DUMMYFUNCTION("IMPORTRANGE(""https://docs.google.com/spreadsheets/d/1MeEWN-I1oV_STSDYn1IFDPWt_1FKiwhDph83XaGc0o0/edit?usp=sharing"",""งบพรบ!ED47"")"),0)</f>
        <v>0</v>
      </c>
      <c r="F47" s="77">
        <f ca="1">IFERROR(__xludf.DUMMYFUNCTION("IMPORTRANGE(""https://docs.google.com/spreadsheets/d/1MeEWN-I1oV_STSDYn1IFDPWt_1FKiwhDph83XaGc0o0/edit?usp=sharing"",""งบพรบ!EE47"")"),0)</f>
        <v>0</v>
      </c>
      <c r="G47" s="77">
        <f ca="1">IFERROR(__xludf.DUMMYFUNCTION("IMPORTRANGE(""https://docs.google.com/spreadsheets/d/1MeEWN-I1oV_STSDYn1IFDPWt_1FKiwhDph83XaGc0o0/edit?usp=sharing"",""งบพรบ!EF47"")"),0)</f>
        <v>0</v>
      </c>
      <c r="H47" s="77">
        <f ca="1">IFERROR(__xludf.DUMMYFUNCTION("IMPORTRANGE(""https://docs.google.com/spreadsheets/d/1MeEWN-I1oV_STSDYn1IFDPWt_1FKiwhDph83XaGc0o0/edit?usp=sharing"",""งบพรบ!EH47"")"),0)</f>
        <v>0</v>
      </c>
      <c r="I47" s="77">
        <f ca="1">IFERROR(__xludf.DUMMYFUNCTION("IMPORTRANGE(""https://docs.google.com/spreadsheets/d/1MeEWN-I1oV_STSDYn1IFDPWt_1FKiwhDph83XaGc0o0/edit?usp=sharing"",""งบพรบ!EI47"")"),0)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IFERROR(__xludf.DUMMYFUNCTION("IMPORTRANGE(""https://docs.google.com/spreadsheets/d/1MeEWN-I1oV_STSDYn1IFDPWt_1FKiwhDph83XaGc0o0/edit?usp=sharing"",""งบพรบ!EJ47"")"),0)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IFERROR(__xludf.DUMMYFUNCTION("IMPORTRANGE(""https://docs.google.com/spreadsheets/d/1MeEWN-I1oV_STSDYn1IFDPWt_1FKiwhDph83XaGc0o0/edit?usp=sharing"",""งบพรบ!EK47"")"),0)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IFERROR(__xludf.DUMMYFUNCTION("IMPORTRANGE(""https://docs.google.com/spreadsheets/d/1GVExpf-Exi_2gmuqTYH28fseTB9MoKPXWcXCbSt_YrM/edit?usp=sharing"",""หนองคาย!I325"")"),0)</f>
        <v>0</v>
      </c>
      <c r="S47" s="81">
        <f ca="1">IFERROR(__xludf.DUMMYFUNCTION("IMPORTRANGE(""https://docs.google.com/spreadsheets/d/1GVExpf-Exi_2gmuqTYH28fseTB9MoKPXWcXCbSt_YrM/edit?usp=sharing"",""หนองคาย!J325"")"),0)</f>
        <v>0</v>
      </c>
      <c r="T47" s="82">
        <f t="shared" ca="1" si="16"/>
        <v>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23"/>
        <v>0</v>
      </c>
      <c r="E48" s="77">
        <f ca="1">IFERROR(__xludf.DUMMYFUNCTION("IMPORTRANGE(""https://docs.google.com/spreadsheets/d/1MeEWN-I1oV_STSDYn1IFDPWt_1FKiwhDph83XaGc0o0/edit?usp=sharing"",""งบพรบ!ED48"")"),0)</f>
        <v>0</v>
      </c>
      <c r="F48" s="77">
        <f ca="1">IFERROR(__xludf.DUMMYFUNCTION("IMPORTRANGE(""https://docs.google.com/spreadsheets/d/1MeEWN-I1oV_STSDYn1IFDPWt_1FKiwhDph83XaGc0o0/edit?usp=sharing"",""งบพรบ!EE48"")"),0)</f>
        <v>0</v>
      </c>
      <c r="G48" s="77">
        <f ca="1">IFERROR(__xludf.DUMMYFUNCTION("IMPORTRANGE(""https://docs.google.com/spreadsheets/d/1MeEWN-I1oV_STSDYn1IFDPWt_1FKiwhDph83XaGc0o0/edit?usp=sharing"",""งบพรบ!EF48"")"),0)</f>
        <v>0</v>
      </c>
      <c r="H48" s="77">
        <f ca="1">IFERROR(__xludf.DUMMYFUNCTION("IMPORTRANGE(""https://docs.google.com/spreadsheets/d/1MeEWN-I1oV_STSDYn1IFDPWt_1FKiwhDph83XaGc0o0/edit?usp=sharing"",""งบพรบ!EH48"")"),0)</f>
        <v>0</v>
      </c>
      <c r="I48" s="77">
        <f ca="1">IFERROR(__xludf.DUMMYFUNCTION("IMPORTRANGE(""https://docs.google.com/spreadsheets/d/1MeEWN-I1oV_STSDYn1IFDPWt_1FKiwhDph83XaGc0o0/edit?usp=sharing"",""งบพรบ!EI48"")"),0)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IFERROR(__xludf.DUMMYFUNCTION("IMPORTRANGE(""https://docs.google.com/spreadsheets/d/1MeEWN-I1oV_STSDYn1IFDPWt_1FKiwhDph83XaGc0o0/edit?usp=sharing"",""งบพรบ!EJ48"")"),0)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IFERROR(__xludf.DUMMYFUNCTION("IMPORTRANGE(""https://docs.google.com/spreadsheets/d/1MeEWN-I1oV_STSDYn1IFDPWt_1FKiwhDph83XaGc0o0/edit?usp=sharing"",""งบพรบ!EK48"")"),0)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IFERROR(__xludf.DUMMYFUNCTION("IMPORTRANGE(""https://docs.google.com/spreadsheets/d/16UeMz0UgOB5BZcoxP75eYGcLFtGYRn9GoesD4OX9m5U/edit?usp=sharing"",""หนองบัวลำภู!I325"")"),0)</f>
        <v>0</v>
      </c>
      <c r="S48" s="81">
        <f ca="1">IFERROR(__xludf.DUMMYFUNCTION("IMPORTRANGE(""https://docs.google.com/spreadsheets/d/16UeMz0UgOB5BZcoxP75eYGcLFtGYRn9GoesD4OX9m5U/edit?usp=sharing"",""หนองบัวลำภู!J325"")"),0)</f>
        <v>0</v>
      </c>
      <c r="T48" s="82">
        <f t="shared" ca="1" si="16"/>
        <v>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23"/>
        <v>0</v>
      </c>
      <c r="E49" s="77">
        <f ca="1">IFERROR(__xludf.DUMMYFUNCTION("IMPORTRANGE(""https://docs.google.com/spreadsheets/d/1MeEWN-I1oV_STSDYn1IFDPWt_1FKiwhDph83XaGc0o0/edit?usp=sharing"",""งบพรบ!ED49"")"),0)</f>
        <v>0</v>
      </c>
      <c r="F49" s="77">
        <f ca="1">IFERROR(__xludf.DUMMYFUNCTION("IMPORTRANGE(""https://docs.google.com/spreadsheets/d/1MeEWN-I1oV_STSDYn1IFDPWt_1FKiwhDph83XaGc0o0/edit?usp=sharing"",""งบพรบ!EE49"")"),0)</f>
        <v>0</v>
      </c>
      <c r="G49" s="77">
        <f ca="1">IFERROR(__xludf.DUMMYFUNCTION("IMPORTRANGE(""https://docs.google.com/spreadsheets/d/1MeEWN-I1oV_STSDYn1IFDPWt_1FKiwhDph83XaGc0o0/edit?usp=sharing"",""งบพรบ!EF49"")"),0)</f>
        <v>0</v>
      </c>
      <c r="H49" s="77">
        <f ca="1">IFERROR(__xludf.DUMMYFUNCTION("IMPORTRANGE(""https://docs.google.com/spreadsheets/d/1MeEWN-I1oV_STSDYn1IFDPWt_1FKiwhDph83XaGc0o0/edit?usp=sharing"",""งบพรบ!EH49"")"),0)</f>
        <v>0</v>
      </c>
      <c r="I49" s="77">
        <f ca="1">IFERROR(__xludf.DUMMYFUNCTION("IMPORTRANGE(""https://docs.google.com/spreadsheets/d/1MeEWN-I1oV_STSDYn1IFDPWt_1FKiwhDph83XaGc0o0/edit?usp=sharing"",""งบพรบ!EI49"")"),0)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IFERROR(__xludf.DUMMYFUNCTION("IMPORTRANGE(""https://docs.google.com/spreadsheets/d/1MeEWN-I1oV_STSDYn1IFDPWt_1FKiwhDph83XaGc0o0/edit?usp=sharing"",""งบพรบ!EJ49"")"),0)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IFERROR(__xludf.DUMMYFUNCTION("IMPORTRANGE(""https://docs.google.com/spreadsheets/d/1MeEWN-I1oV_STSDYn1IFDPWt_1FKiwhDph83XaGc0o0/edit?usp=sharing"",""งบพรบ!EK49"")"),0)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IFERROR(__xludf.DUMMYFUNCTION("IMPORTRANGE(""https://docs.google.com/spreadsheets/d/1uUP8Zo1-qaJLuIkRU0qlwLSE3DHkbdrrj2JGJiWBQZE/edit?usp=sharing"",""อำนาจเจริญ!I325"")"),0)</f>
        <v>0</v>
      </c>
      <c r="S49" s="81">
        <f ca="1">IFERROR(__xludf.DUMMYFUNCTION("IMPORTRANGE(""https://docs.google.com/spreadsheets/d/1uUP8Zo1-qaJLuIkRU0qlwLSE3DHkbdrrj2JGJiWBQZE/edit?usp=sharing"",""อำนาจเจริญ!J325"")"),0)</f>
        <v>0</v>
      </c>
      <c r="T49" s="82">
        <f t="shared" ca="1" si="16"/>
        <v>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0</v>
      </c>
      <c r="D50" s="76">
        <f t="shared" ca="1" si="23"/>
        <v>0</v>
      </c>
      <c r="E50" s="77">
        <f ca="1">IFERROR(__xludf.DUMMYFUNCTION("IMPORTRANGE(""https://docs.google.com/spreadsheets/d/1MeEWN-I1oV_STSDYn1IFDPWt_1FKiwhDph83XaGc0o0/edit?usp=sharing"",""งบพรบ!ED50"")"),0)</f>
        <v>0</v>
      </c>
      <c r="F50" s="77">
        <f ca="1">IFERROR(__xludf.DUMMYFUNCTION("IMPORTRANGE(""https://docs.google.com/spreadsheets/d/1MeEWN-I1oV_STSDYn1IFDPWt_1FKiwhDph83XaGc0o0/edit?usp=sharing"",""งบพรบ!EE50"")"),0)</f>
        <v>0</v>
      </c>
      <c r="G50" s="77">
        <f ca="1">IFERROR(__xludf.DUMMYFUNCTION("IMPORTRANGE(""https://docs.google.com/spreadsheets/d/1MeEWN-I1oV_STSDYn1IFDPWt_1FKiwhDph83XaGc0o0/edit?usp=sharing"",""งบพรบ!EF50"")"),0)</f>
        <v>0</v>
      </c>
      <c r="H50" s="77">
        <f ca="1">IFERROR(__xludf.DUMMYFUNCTION("IMPORTRANGE(""https://docs.google.com/spreadsheets/d/1MeEWN-I1oV_STSDYn1IFDPWt_1FKiwhDph83XaGc0o0/edit?usp=sharing"",""งบพรบ!EH50"")"),0)</f>
        <v>0</v>
      </c>
      <c r="I50" s="77">
        <f ca="1">IFERROR(__xludf.DUMMYFUNCTION("IMPORTRANGE(""https://docs.google.com/spreadsheets/d/1MeEWN-I1oV_STSDYn1IFDPWt_1FKiwhDph83XaGc0o0/edit?usp=sharing"",""งบพรบ!EI50"")"),0)</f>
        <v>0</v>
      </c>
      <c r="J50" s="77">
        <f t="shared" ca="1" si="3"/>
        <v>0</v>
      </c>
      <c r="K50" s="78">
        <f t="shared" ca="1" si="4"/>
        <v>0</v>
      </c>
      <c r="L50" s="77">
        <f ca="1">IFERROR(__xludf.DUMMYFUNCTION("IMPORTRANGE(""https://docs.google.com/spreadsheets/d/1MeEWN-I1oV_STSDYn1IFDPWt_1FKiwhDph83XaGc0o0/edit?usp=sharing"",""งบพรบ!EJ50"")"),0)</f>
        <v>0</v>
      </c>
      <c r="M50" s="79">
        <f t="shared" ca="1" si="5"/>
        <v>0</v>
      </c>
      <c r="N50" s="79">
        <f t="shared" ca="1" si="6"/>
        <v>0</v>
      </c>
      <c r="O50" s="80">
        <f ca="1">IFERROR(__xludf.DUMMYFUNCTION("IMPORTRANGE(""https://docs.google.com/spreadsheets/d/1MeEWN-I1oV_STSDYn1IFDPWt_1FKiwhDph83XaGc0o0/edit?usp=sharing"",""งบพรบ!EK50"")"),0)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IFERROR(__xludf.DUMMYFUNCTION("IMPORTRANGE(""https://docs.google.com/spreadsheets/d/1hb_taSOHanzRjqfzWPiFo8yiT83VV1L7vvUCLhOiHKc/edit?usp=sharing"",""อุดรธานี!I325"")"),0)</f>
        <v>0</v>
      </c>
      <c r="S50" s="81">
        <f ca="1">IFERROR(__xludf.DUMMYFUNCTION("IMPORTRANGE(""https://docs.google.com/spreadsheets/d/1hb_taSOHanzRjqfzWPiFo8yiT83VV1L7vvUCLhOiHKc/edit?usp=sharing"",""อุดรธานี!J325"")"),0)</f>
        <v>0</v>
      </c>
      <c r="T50" s="82">
        <f t="shared" ca="1" si="16"/>
        <v>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23"/>
        <v>0</v>
      </c>
      <c r="E51" s="88">
        <f ca="1">IFERROR(__xludf.DUMMYFUNCTION("IMPORTRANGE(""https://docs.google.com/spreadsheets/d/1MeEWN-I1oV_STSDYn1IFDPWt_1FKiwhDph83XaGc0o0/edit?usp=sharing"",""งบพรบ!ED51"")"),0)</f>
        <v>0</v>
      </c>
      <c r="F51" s="88">
        <f ca="1">IFERROR(__xludf.DUMMYFUNCTION("IMPORTRANGE(""https://docs.google.com/spreadsheets/d/1MeEWN-I1oV_STSDYn1IFDPWt_1FKiwhDph83XaGc0o0/edit?usp=sharing"",""งบพรบ!EE51"")"),0)</f>
        <v>0</v>
      </c>
      <c r="G51" s="88">
        <f ca="1">IFERROR(__xludf.DUMMYFUNCTION("IMPORTRANGE(""https://docs.google.com/spreadsheets/d/1MeEWN-I1oV_STSDYn1IFDPWt_1FKiwhDph83XaGc0o0/edit?usp=sharing"",""งบพรบ!EF51"")"),0)</f>
        <v>0</v>
      </c>
      <c r="H51" s="88">
        <f ca="1">IFERROR(__xludf.DUMMYFUNCTION("IMPORTRANGE(""https://docs.google.com/spreadsheets/d/1MeEWN-I1oV_STSDYn1IFDPWt_1FKiwhDph83XaGc0o0/edit?usp=sharing"",""งบพรบ!EH51"")"),0)</f>
        <v>0</v>
      </c>
      <c r="I51" s="88">
        <f ca="1">IFERROR(__xludf.DUMMYFUNCTION("IMPORTRANGE(""https://docs.google.com/spreadsheets/d/1MeEWN-I1oV_STSDYn1IFDPWt_1FKiwhDph83XaGc0o0/edit?usp=sharing"",""งบพรบ!EI51"")"),0)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IFERROR(__xludf.DUMMYFUNCTION("IMPORTRANGE(""https://docs.google.com/spreadsheets/d/1MeEWN-I1oV_STSDYn1IFDPWt_1FKiwhDph83XaGc0o0/edit?usp=sharing"",""งบพรบ!EJ51"")"),0)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IFERROR(__xludf.DUMMYFUNCTION("IMPORTRANGE(""https://docs.google.com/spreadsheets/d/1MeEWN-I1oV_STSDYn1IFDPWt_1FKiwhDph83XaGc0o0/edit?usp=sharing"",""งบพรบ!EK51"")"),0)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IFERROR(__xludf.DUMMYFUNCTION("IMPORTRANGE(""https://docs.google.com/spreadsheets/d/17IOkEwkUd63EGNfyNDnM5de9YlZ7rwzTiW6-dokVjKI/edit?usp=sharing"",""อุบลราชธานี!I325"")"),0)</f>
        <v>0</v>
      </c>
      <c r="S51" s="92">
        <f ca="1">IFERROR(__xludf.DUMMYFUNCTION("IMPORTRANGE(""https://docs.google.com/spreadsheets/d/17IOkEwkUd63EGNfyNDnM5de9YlZ7rwzTiW6-dokVjKI/edit?usp=sharing"",""อุบลราชธานี!J325"")"),0)</f>
        <v>0</v>
      </c>
      <c r="T51" s="93">
        <f t="shared" ca="1" si="16"/>
        <v>0</v>
      </c>
    </row>
    <row r="52" spans="1:20" ht="21" customHeight="1" x14ac:dyDescent="0.2">
      <c r="A52" s="385" t="s">
        <v>74</v>
      </c>
      <c r="B52" s="384"/>
      <c r="C52" s="94">
        <f t="shared" ca="1" si="0"/>
        <v>459000</v>
      </c>
      <c r="D52" s="57">
        <f t="shared" ref="D52:I52" ca="1" si="24">SUM(D53:D73)</f>
        <v>459000</v>
      </c>
      <c r="E52" s="57">
        <f t="shared" ca="1" si="24"/>
        <v>0</v>
      </c>
      <c r="F52" s="57">
        <f t="shared" ca="1" si="24"/>
        <v>459000</v>
      </c>
      <c r="G52" s="57">
        <f t="shared" ca="1" si="24"/>
        <v>0</v>
      </c>
      <c r="H52" s="57">
        <f t="shared" ca="1" si="24"/>
        <v>459000</v>
      </c>
      <c r="I52" s="57">
        <f t="shared" ca="1" si="24"/>
        <v>0</v>
      </c>
      <c r="J52" s="57">
        <f t="shared" ca="1" si="3"/>
        <v>418055.44</v>
      </c>
      <c r="K52" s="95">
        <f t="shared" ca="1" si="4"/>
        <v>91.079616557734198</v>
      </c>
      <c r="L52" s="57">
        <f ca="1">SUM(L53:L73)</f>
        <v>418055.44</v>
      </c>
      <c r="M52" s="96">
        <f t="shared" ca="1" si="5"/>
        <v>91.079616557734198</v>
      </c>
      <c r="N52" s="96">
        <f t="shared" ca="1" si="6"/>
        <v>91.079616557734198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5</v>
      </c>
      <c r="S52" s="57">
        <f t="shared" ca="1" si="25"/>
        <v>5</v>
      </c>
      <c r="T52" s="96">
        <f t="shared" ca="1" si="16"/>
        <v>100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153000</v>
      </c>
      <c r="D53" s="66">
        <f t="shared" ref="D53:D73" ca="1" si="26">+E53+F53</f>
        <v>153000</v>
      </c>
      <c r="E53" s="67">
        <f ca="1">IFERROR(__xludf.DUMMYFUNCTION("IMPORTRANGE(""https://docs.google.com/spreadsheets/d/1MeEWN-I1oV_STSDYn1IFDPWt_1FKiwhDph83XaGc0o0/edit?usp=sharing"",""งบพรบ!ED53"")"),0)</f>
        <v>0</v>
      </c>
      <c r="F53" s="67">
        <f ca="1">IFERROR(__xludf.DUMMYFUNCTION("IMPORTRANGE(""https://docs.google.com/spreadsheets/d/1MeEWN-I1oV_STSDYn1IFDPWt_1FKiwhDph83XaGc0o0/edit?usp=sharing"",""งบพรบ!EE53"")"),153000)</f>
        <v>153000</v>
      </c>
      <c r="G53" s="68">
        <f ca="1">IFERROR(__xludf.DUMMYFUNCTION("IMPORTRANGE(""https://docs.google.com/spreadsheets/d/1MeEWN-I1oV_STSDYn1IFDPWt_1FKiwhDph83XaGc0o0/edit?usp=sharing"",""งบพรบ!EF53"")"),0)</f>
        <v>0</v>
      </c>
      <c r="H53" s="68">
        <f ca="1">IFERROR(__xludf.DUMMYFUNCTION("IMPORTRANGE(""https://docs.google.com/spreadsheets/d/1MeEWN-I1oV_STSDYn1IFDPWt_1FKiwhDph83XaGc0o0/edit?usp=sharing"",""งบพรบ!EH53"")"),153000)</f>
        <v>153000</v>
      </c>
      <c r="I53" s="68">
        <f ca="1">IFERROR(__xludf.DUMMYFUNCTION("IMPORTRANGE(""https://docs.google.com/spreadsheets/d/1MeEWN-I1oV_STSDYn1IFDPWt_1FKiwhDph83XaGc0o0/edit?usp=sharing"",""งบพรบ!EI53"")"),0)</f>
        <v>0</v>
      </c>
      <c r="J53" s="68">
        <f t="shared" ca="1" si="3"/>
        <v>137402</v>
      </c>
      <c r="K53" s="69">
        <f t="shared" ca="1" si="4"/>
        <v>89.805228758169932</v>
      </c>
      <c r="L53" s="68">
        <f ca="1">IFERROR(__xludf.DUMMYFUNCTION("IMPORTRANGE(""https://docs.google.com/spreadsheets/d/1MeEWN-I1oV_STSDYn1IFDPWt_1FKiwhDph83XaGc0o0/edit?usp=sharing"",""งบพรบ!EJ53"")"),137402)</f>
        <v>137402</v>
      </c>
      <c r="M53" s="70">
        <f t="shared" ca="1" si="5"/>
        <v>89.805228758169932</v>
      </c>
      <c r="N53" s="70">
        <f t="shared" ca="1" si="6"/>
        <v>89.805228758169932</v>
      </c>
      <c r="O53" s="71">
        <f ca="1">IFERROR(__xludf.DUMMYFUNCTION("IMPORTRANGE(""https://docs.google.com/spreadsheets/d/1MeEWN-I1oV_STSDYn1IFDPWt_1FKiwhDph83XaGc0o0/edit?usp=sharing"",""งบพรบ!EK53"")"),0)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IFERROR(__xludf.DUMMYFUNCTION("IMPORTRANGE(""https://docs.google.com/spreadsheets/d/1hKO5uv94SSRZWOvrh72HRcpyoEQF9TsE_Cvxl77XNU4/edit?usp=sharing"",""กาญจนบุรี!I325"")"),1)</f>
        <v>1</v>
      </c>
      <c r="S53" s="68">
        <f ca="1">IFERROR(__xludf.DUMMYFUNCTION("IMPORTRANGE(""https://docs.google.com/spreadsheets/d/1hKO5uv94SSRZWOvrh72HRcpyoEQF9TsE_Cvxl77XNU4/edit?usp=sharing"",""กาญจนบุรี!J325"")"),1)</f>
        <v>1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26"/>
        <v>0</v>
      </c>
      <c r="E54" s="77">
        <f ca="1">IFERROR(__xludf.DUMMYFUNCTION("IMPORTRANGE(""https://docs.google.com/spreadsheets/d/1MeEWN-I1oV_STSDYn1IFDPWt_1FKiwhDph83XaGc0o0/edit?usp=sharing"",""งบพรบ!ED54"")"),0)</f>
        <v>0</v>
      </c>
      <c r="F54" s="77">
        <f ca="1">IFERROR(__xludf.DUMMYFUNCTION("IMPORTRANGE(""https://docs.google.com/spreadsheets/d/1MeEWN-I1oV_STSDYn1IFDPWt_1FKiwhDph83XaGc0o0/edit?usp=sharing"",""งบพรบ!EE54"")"),0)</f>
        <v>0</v>
      </c>
      <c r="G54" s="77">
        <f ca="1">IFERROR(__xludf.DUMMYFUNCTION("IMPORTRANGE(""https://docs.google.com/spreadsheets/d/1MeEWN-I1oV_STSDYn1IFDPWt_1FKiwhDph83XaGc0o0/edit?usp=sharing"",""งบพรบ!EF54"")"),0)</f>
        <v>0</v>
      </c>
      <c r="H54" s="77">
        <f ca="1">IFERROR(__xludf.DUMMYFUNCTION("IMPORTRANGE(""https://docs.google.com/spreadsheets/d/1MeEWN-I1oV_STSDYn1IFDPWt_1FKiwhDph83XaGc0o0/edit?usp=sharing"",""งบพรบ!EH54"")"),0)</f>
        <v>0</v>
      </c>
      <c r="I54" s="77">
        <f ca="1">IFERROR(__xludf.DUMMYFUNCTION("IMPORTRANGE(""https://docs.google.com/spreadsheets/d/1MeEWN-I1oV_STSDYn1IFDPWt_1FKiwhDph83XaGc0o0/edit?usp=sharing"",""งบพรบ!EI54"")"),0)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IFERROR(__xludf.DUMMYFUNCTION("IMPORTRANGE(""https://docs.google.com/spreadsheets/d/1MeEWN-I1oV_STSDYn1IFDPWt_1FKiwhDph83XaGc0o0/edit?usp=sharing"",""งบพรบ!EJ54"")"),0)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IFERROR(__xludf.DUMMYFUNCTION("IMPORTRANGE(""https://docs.google.com/spreadsheets/d/1MeEWN-I1oV_STSDYn1IFDPWt_1FKiwhDph83XaGc0o0/edit?usp=sharing"",""งบพรบ!EK54"")"),0)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IFERROR(__xludf.DUMMYFUNCTION("IMPORTRANGE(""https://docs.google.com/spreadsheets/d/1njBaP_xXd-Uotvo2D9zb01TTCFkLJLDK97Tk1l9Qux0/edit?usp=sharing"",""จันทบุรี!I325"")"),0)</f>
        <v>0</v>
      </c>
      <c r="S54" s="81">
        <f ca="1">IFERROR(__xludf.DUMMYFUNCTION("IMPORTRANGE(""https://docs.google.com/spreadsheets/d/1njBaP_xXd-Uotvo2D9zb01TTCFkLJLDK97Tk1l9Qux0/edit?usp=sharing"",""จันทบุรี!J325"")"),0)</f>
        <v>0</v>
      </c>
      <c r="T54" s="82">
        <f t="shared" ca="1" si="16"/>
        <v>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0</v>
      </c>
      <c r="D55" s="76">
        <f t="shared" ca="1" si="26"/>
        <v>0</v>
      </c>
      <c r="E55" s="77">
        <f ca="1">IFERROR(__xludf.DUMMYFUNCTION("IMPORTRANGE(""https://docs.google.com/spreadsheets/d/1MeEWN-I1oV_STSDYn1IFDPWt_1FKiwhDph83XaGc0o0/edit?usp=sharing"",""งบพรบ!ED55"")"),0)</f>
        <v>0</v>
      </c>
      <c r="F55" s="77">
        <f ca="1">IFERROR(__xludf.DUMMYFUNCTION("IMPORTRANGE(""https://docs.google.com/spreadsheets/d/1MeEWN-I1oV_STSDYn1IFDPWt_1FKiwhDph83XaGc0o0/edit?usp=sharing"",""งบพรบ!EE55"")"),0)</f>
        <v>0</v>
      </c>
      <c r="G55" s="77">
        <f ca="1">IFERROR(__xludf.DUMMYFUNCTION("IMPORTRANGE(""https://docs.google.com/spreadsheets/d/1MeEWN-I1oV_STSDYn1IFDPWt_1FKiwhDph83XaGc0o0/edit?usp=sharing"",""งบพรบ!EF55"")"),0)</f>
        <v>0</v>
      </c>
      <c r="H55" s="77">
        <f ca="1">IFERROR(__xludf.DUMMYFUNCTION("IMPORTRANGE(""https://docs.google.com/spreadsheets/d/1MeEWN-I1oV_STSDYn1IFDPWt_1FKiwhDph83XaGc0o0/edit?usp=sharing"",""งบพรบ!EH55"")"),0)</f>
        <v>0</v>
      </c>
      <c r="I55" s="77">
        <f ca="1">IFERROR(__xludf.DUMMYFUNCTION("IMPORTRANGE(""https://docs.google.com/spreadsheets/d/1MeEWN-I1oV_STSDYn1IFDPWt_1FKiwhDph83XaGc0o0/edit?usp=sharing"",""งบพรบ!EI55"")"),0)</f>
        <v>0</v>
      </c>
      <c r="J55" s="77">
        <f t="shared" ca="1" si="3"/>
        <v>0</v>
      </c>
      <c r="K55" s="78">
        <f t="shared" ca="1" si="4"/>
        <v>0</v>
      </c>
      <c r="L55" s="77">
        <f ca="1">IFERROR(__xludf.DUMMYFUNCTION("IMPORTRANGE(""https://docs.google.com/spreadsheets/d/1MeEWN-I1oV_STSDYn1IFDPWt_1FKiwhDph83XaGc0o0/edit?usp=sharing"",""งบพรบ!EJ55"")"),0)</f>
        <v>0</v>
      </c>
      <c r="M55" s="79">
        <f t="shared" ca="1" si="5"/>
        <v>0</v>
      </c>
      <c r="N55" s="79">
        <f t="shared" ca="1" si="6"/>
        <v>0</v>
      </c>
      <c r="O55" s="80">
        <f ca="1">IFERROR(__xludf.DUMMYFUNCTION("IMPORTRANGE(""https://docs.google.com/spreadsheets/d/1MeEWN-I1oV_STSDYn1IFDPWt_1FKiwhDph83XaGc0o0/edit?usp=sharing"",""งบพรบ!EK55"")"),0)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IFERROR(__xludf.DUMMYFUNCTION("IMPORTRANGE(""https://docs.google.com/spreadsheets/d/14xp6qUzrGFnUk_qnc1eEmfiaNRd4_grkhpfQH_46fa8/edit?usp=sharing"",""ฉะเชิงเทรา!I325"")"),0)</f>
        <v>0</v>
      </c>
      <c r="S55" s="81">
        <f ca="1">IFERROR(__xludf.DUMMYFUNCTION("IMPORTRANGE(""https://docs.google.com/spreadsheets/d/14xp6qUzrGFnUk_qnc1eEmfiaNRd4_grkhpfQH_46fa8/edit?usp=sharing"",""ฉะเชิงเทรา!J325"")"),0)</f>
        <v>0</v>
      </c>
      <c r="T55" s="82">
        <f t="shared" ca="1" si="16"/>
        <v>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153000</v>
      </c>
      <c r="D56" s="76">
        <f t="shared" ca="1" si="26"/>
        <v>153000</v>
      </c>
      <c r="E56" s="77">
        <f ca="1">IFERROR(__xludf.DUMMYFUNCTION("IMPORTRANGE(""https://docs.google.com/spreadsheets/d/1MeEWN-I1oV_STSDYn1IFDPWt_1FKiwhDph83XaGc0o0/edit?usp=sharing"",""งบพรบ!ED56"")"),0)</f>
        <v>0</v>
      </c>
      <c r="F56" s="77">
        <f ca="1">IFERROR(__xludf.DUMMYFUNCTION("IMPORTRANGE(""https://docs.google.com/spreadsheets/d/1MeEWN-I1oV_STSDYn1IFDPWt_1FKiwhDph83XaGc0o0/edit?usp=sharing"",""งบพรบ!EE56"")"),153000)</f>
        <v>153000</v>
      </c>
      <c r="G56" s="77">
        <f ca="1">IFERROR(__xludf.DUMMYFUNCTION("IMPORTRANGE(""https://docs.google.com/spreadsheets/d/1MeEWN-I1oV_STSDYn1IFDPWt_1FKiwhDph83XaGc0o0/edit?usp=sharing"",""งบพรบ!EF56"")"),0)</f>
        <v>0</v>
      </c>
      <c r="H56" s="77">
        <f ca="1">IFERROR(__xludf.DUMMYFUNCTION("IMPORTRANGE(""https://docs.google.com/spreadsheets/d/1MeEWN-I1oV_STSDYn1IFDPWt_1FKiwhDph83XaGc0o0/edit?usp=sharing"",""งบพรบ!EH56"")"),153000)</f>
        <v>153000</v>
      </c>
      <c r="I56" s="77">
        <f ca="1">IFERROR(__xludf.DUMMYFUNCTION("IMPORTRANGE(""https://docs.google.com/spreadsheets/d/1MeEWN-I1oV_STSDYn1IFDPWt_1FKiwhDph83XaGc0o0/edit?usp=sharing"",""งบพรบ!EI56"")"),0)</f>
        <v>0</v>
      </c>
      <c r="J56" s="77">
        <f t="shared" ca="1" si="3"/>
        <v>142000</v>
      </c>
      <c r="K56" s="78">
        <f t="shared" ca="1" si="4"/>
        <v>92.810457516339866</v>
      </c>
      <c r="L56" s="77">
        <f ca="1">IFERROR(__xludf.DUMMYFUNCTION("IMPORTRANGE(""https://docs.google.com/spreadsheets/d/1MeEWN-I1oV_STSDYn1IFDPWt_1FKiwhDph83XaGc0o0/edit?usp=sharing"",""งบพรบ!EJ56"")"),142000)</f>
        <v>142000</v>
      </c>
      <c r="M56" s="79">
        <f t="shared" ca="1" si="5"/>
        <v>92.810457516339866</v>
      </c>
      <c r="N56" s="79">
        <f t="shared" ca="1" si="6"/>
        <v>92.810457516339866</v>
      </c>
      <c r="O56" s="80">
        <f ca="1">IFERROR(__xludf.DUMMYFUNCTION("IMPORTRANGE(""https://docs.google.com/spreadsheets/d/1MeEWN-I1oV_STSDYn1IFDPWt_1FKiwhDph83XaGc0o0/edit?usp=sharing"",""งบพรบ!EK56"")"),0)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IFERROR(__xludf.DUMMYFUNCTION("IMPORTRANGE(""https://docs.google.com/spreadsheets/d/1_Zwps30dlVa-pZFsorjVf1Pil6WXwzCsJU0U2whO3NI/edit?usp=sharing"",""ชลบุรี!I325"")"),2)</f>
        <v>2</v>
      </c>
      <c r="S56" s="81">
        <f ca="1">IFERROR(__xludf.DUMMYFUNCTION("IMPORTRANGE(""https://docs.google.com/spreadsheets/d/1_Zwps30dlVa-pZFsorjVf1Pil6WXwzCsJU0U2whO3NI/edit?usp=sharing"",""ชลบุรี!J325"")"),2)</f>
        <v>2</v>
      </c>
      <c r="T56" s="82">
        <f t="shared" ca="1" si="16"/>
        <v>100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26"/>
        <v>0</v>
      </c>
      <c r="E57" s="77">
        <f ca="1">IFERROR(__xludf.DUMMYFUNCTION("IMPORTRANGE(""https://docs.google.com/spreadsheets/d/1MeEWN-I1oV_STSDYn1IFDPWt_1FKiwhDph83XaGc0o0/edit?usp=sharing"",""งบพรบ!ED57"")"),0)</f>
        <v>0</v>
      </c>
      <c r="F57" s="77">
        <f ca="1">IFERROR(__xludf.DUMMYFUNCTION("IMPORTRANGE(""https://docs.google.com/spreadsheets/d/1MeEWN-I1oV_STSDYn1IFDPWt_1FKiwhDph83XaGc0o0/edit?usp=sharing"",""งบพรบ!EE57"")"),0)</f>
        <v>0</v>
      </c>
      <c r="G57" s="77">
        <f ca="1">IFERROR(__xludf.DUMMYFUNCTION("IMPORTRANGE(""https://docs.google.com/spreadsheets/d/1MeEWN-I1oV_STSDYn1IFDPWt_1FKiwhDph83XaGc0o0/edit?usp=sharing"",""งบพรบ!EF57"")"),0)</f>
        <v>0</v>
      </c>
      <c r="H57" s="77">
        <f ca="1">IFERROR(__xludf.DUMMYFUNCTION("IMPORTRANGE(""https://docs.google.com/spreadsheets/d/1MeEWN-I1oV_STSDYn1IFDPWt_1FKiwhDph83XaGc0o0/edit?usp=sharing"",""งบพรบ!EH57"")"),0)</f>
        <v>0</v>
      </c>
      <c r="I57" s="77">
        <f ca="1">IFERROR(__xludf.DUMMYFUNCTION("IMPORTRANGE(""https://docs.google.com/spreadsheets/d/1MeEWN-I1oV_STSDYn1IFDPWt_1FKiwhDph83XaGc0o0/edit?usp=sharing"",""งบพรบ!EI57"")"),0)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IFERROR(__xludf.DUMMYFUNCTION("IMPORTRANGE(""https://docs.google.com/spreadsheets/d/1MeEWN-I1oV_STSDYn1IFDPWt_1FKiwhDph83XaGc0o0/edit?usp=sharing"",""งบพรบ!EJ57"")"),0)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IFERROR(__xludf.DUMMYFUNCTION("IMPORTRANGE(""https://docs.google.com/spreadsheets/d/1MeEWN-I1oV_STSDYn1IFDPWt_1FKiwhDph83XaGc0o0/edit?usp=sharing"",""งบพรบ!EK57"")"),0)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IFERROR(__xludf.DUMMYFUNCTION("IMPORTRANGE(""https://docs.google.com/spreadsheets/d/1xAsT4sUbBlom7l0acStESh_15nvjZcXjZM7fK5uZSq8/edit?usp=sharing"",""ชัยนาท!I325"")"),0)</f>
        <v>0</v>
      </c>
      <c r="S57" s="81">
        <f ca="1">IFERROR(__xludf.DUMMYFUNCTION("IMPORTRANGE(""https://docs.google.com/spreadsheets/d/1xAsT4sUbBlom7l0acStESh_15nvjZcXjZM7fK5uZSq8/edit?usp=sharing"",""ชัยนาท!J325"")"),0)</f>
        <v>0</v>
      </c>
      <c r="T57" s="82">
        <f t="shared" ca="1" si="16"/>
        <v>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26"/>
        <v>0</v>
      </c>
      <c r="E58" s="77">
        <f ca="1">IFERROR(__xludf.DUMMYFUNCTION("IMPORTRANGE(""https://docs.google.com/spreadsheets/d/1MeEWN-I1oV_STSDYn1IFDPWt_1FKiwhDph83XaGc0o0/edit?usp=sharing"",""งบพรบ!ED58"")"),0)</f>
        <v>0</v>
      </c>
      <c r="F58" s="77">
        <f ca="1">IFERROR(__xludf.DUMMYFUNCTION("IMPORTRANGE(""https://docs.google.com/spreadsheets/d/1MeEWN-I1oV_STSDYn1IFDPWt_1FKiwhDph83XaGc0o0/edit?usp=sharing"",""งบพรบ!EE58"")"),0)</f>
        <v>0</v>
      </c>
      <c r="G58" s="77">
        <f ca="1">IFERROR(__xludf.DUMMYFUNCTION("IMPORTRANGE(""https://docs.google.com/spreadsheets/d/1MeEWN-I1oV_STSDYn1IFDPWt_1FKiwhDph83XaGc0o0/edit?usp=sharing"",""งบพรบ!EF58"")"),0)</f>
        <v>0</v>
      </c>
      <c r="H58" s="77">
        <f ca="1">IFERROR(__xludf.DUMMYFUNCTION("IMPORTRANGE(""https://docs.google.com/spreadsheets/d/1MeEWN-I1oV_STSDYn1IFDPWt_1FKiwhDph83XaGc0o0/edit?usp=sharing"",""งบพรบ!EH58"")"),0)</f>
        <v>0</v>
      </c>
      <c r="I58" s="77">
        <f ca="1">IFERROR(__xludf.DUMMYFUNCTION("IMPORTRANGE(""https://docs.google.com/spreadsheets/d/1MeEWN-I1oV_STSDYn1IFDPWt_1FKiwhDph83XaGc0o0/edit?usp=sharing"",""งบพรบ!EI58"")"),0)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IFERROR(__xludf.DUMMYFUNCTION("IMPORTRANGE(""https://docs.google.com/spreadsheets/d/1MeEWN-I1oV_STSDYn1IFDPWt_1FKiwhDph83XaGc0o0/edit?usp=sharing"",""งบพรบ!EJ58"")"),0)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IFERROR(__xludf.DUMMYFUNCTION("IMPORTRANGE(""https://docs.google.com/spreadsheets/d/1MeEWN-I1oV_STSDYn1IFDPWt_1FKiwhDph83XaGc0o0/edit?usp=sharing"",""งบพรบ!EK58"")"),0)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IFERROR(__xludf.DUMMYFUNCTION("IMPORTRANGE(""https://docs.google.com/spreadsheets/d/1vWPVBOAaZ6mHSI8yf95DNqHwTJ1cpeFsvqt6cxV34QA/edit?usp=sharing"",""ตราด!I325"")"),0)</f>
        <v>0</v>
      </c>
      <c r="S58" s="81">
        <f ca="1">IFERROR(__xludf.DUMMYFUNCTION("IMPORTRANGE(""https://docs.google.com/spreadsheets/d/1vWPVBOAaZ6mHSI8yf95DNqHwTJ1cpeFsvqt6cxV34QA/edit?usp=sharing"",""ตราด!J325"")"),0)</f>
        <v>0</v>
      </c>
      <c r="T58" s="82">
        <f t="shared" ca="1" si="16"/>
        <v>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26"/>
        <v>0</v>
      </c>
      <c r="E59" s="77">
        <f ca="1">IFERROR(__xludf.DUMMYFUNCTION("IMPORTRANGE(""https://docs.google.com/spreadsheets/d/1MeEWN-I1oV_STSDYn1IFDPWt_1FKiwhDph83XaGc0o0/edit?usp=sharing"",""งบพรบ!ED59"")"),0)</f>
        <v>0</v>
      </c>
      <c r="F59" s="77">
        <f ca="1">IFERROR(__xludf.DUMMYFUNCTION("IMPORTRANGE(""https://docs.google.com/spreadsheets/d/1MeEWN-I1oV_STSDYn1IFDPWt_1FKiwhDph83XaGc0o0/edit?usp=sharing"",""งบพรบ!EE59"")"),0)</f>
        <v>0</v>
      </c>
      <c r="G59" s="77">
        <f ca="1">IFERROR(__xludf.DUMMYFUNCTION("IMPORTRANGE(""https://docs.google.com/spreadsheets/d/1MeEWN-I1oV_STSDYn1IFDPWt_1FKiwhDph83XaGc0o0/edit?usp=sharing"",""งบพรบ!EF59"")"),0)</f>
        <v>0</v>
      </c>
      <c r="H59" s="77">
        <f ca="1">IFERROR(__xludf.DUMMYFUNCTION("IMPORTRANGE(""https://docs.google.com/spreadsheets/d/1MeEWN-I1oV_STSDYn1IFDPWt_1FKiwhDph83XaGc0o0/edit?usp=sharing"",""งบพรบ!EH59"")"),0)</f>
        <v>0</v>
      </c>
      <c r="I59" s="77">
        <f ca="1">IFERROR(__xludf.DUMMYFUNCTION("IMPORTRANGE(""https://docs.google.com/spreadsheets/d/1MeEWN-I1oV_STSDYn1IFDPWt_1FKiwhDph83XaGc0o0/edit?usp=sharing"",""งบพรบ!EI59"")"),0)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IFERROR(__xludf.DUMMYFUNCTION("IMPORTRANGE(""https://docs.google.com/spreadsheets/d/1MeEWN-I1oV_STSDYn1IFDPWt_1FKiwhDph83XaGc0o0/edit?usp=sharing"",""งบพรบ!EJ59"")"),0)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IFERROR(__xludf.DUMMYFUNCTION("IMPORTRANGE(""https://docs.google.com/spreadsheets/d/1MeEWN-I1oV_STSDYn1IFDPWt_1FKiwhDph83XaGc0o0/edit?usp=sharing"",""งบพรบ!EK59"")"),0)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IFERROR(__xludf.DUMMYFUNCTION("IMPORTRANGE(""https://docs.google.com/spreadsheets/d/1phaeSb9lTGgzDpbvVqI9hfmOQQzUom07-HEvpbARzEg/edit?usp=sharing"",""นครนายก!I325"")"),0)</f>
        <v>0</v>
      </c>
      <c r="S59" s="81">
        <f ca="1">IFERROR(__xludf.DUMMYFUNCTION("IMPORTRANGE(""https://docs.google.com/spreadsheets/d/1phaeSb9lTGgzDpbvVqI9hfmOQQzUom07-HEvpbARzEg/edit?usp=sharing"",""นครนายก!J325"")"),0)</f>
        <v>0</v>
      </c>
      <c r="T59" s="82">
        <f t="shared" ca="1" si="16"/>
        <v>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26"/>
        <v>0</v>
      </c>
      <c r="E60" s="77">
        <f ca="1">IFERROR(__xludf.DUMMYFUNCTION("IMPORTRANGE(""https://docs.google.com/spreadsheets/d/1MeEWN-I1oV_STSDYn1IFDPWt_1FKiwhDph83XaGc0o0/edit?usp=sharing"",""งบพรบ!ED60"")"),0)</f>
        <v>0</v>
      </c>
      <c r="F60" s="77">
        <f ca="1">IFERROR(__xludf.DUMMYFUNCTION("IMPORTRANGE(""https://docs.google.com/spreadsheets/d/1MeEWN-I1oV_STSDYn1IFDPWt_1FKiwhDph83XaGc0o0/edit?usp=sharing"",""งบพรบ!EE60"")"),0)</f>
        <v>0</v>
      </c>
      <c r="G60" s="77">
        <f ca="1">IFERROR(__xludf.DUMMYFUNCTION("IMPORTRANGE(""https://docs.google.com/spreadsheets/d/1MeEWN-I1oV_STSDYn1IFDPWt_1FKiwhDph83XaGc0o0/edit?usp=sharing"",""งบพรบ!EF60"")"),0)</f>
        <v>0</v>
      </c>
      <c r="H60" s="77">
        <f ca="1">IFERROR(__xludf.DUMMYFUNCTION("IMPORTRANGE(""https://docs.google.com/spreadsheets/d/1MeEWN-I1oV_STSDYn1IFDPWt_1FKiwhDph83XaGc0o0/edit?usp=sharing"",""งบพรบ!EH60"")"),0)</f>
        <v>0</v>
      </c>
      <c r="I60" s="77">
        <f ca="1">IFERROR(__xludf.DUMMYFUNCTION("IMPORTRANGE(""https://docs.google.com/spreadsheets/d/1MeEWN-I1oV_STSDYn1IFDPWt_1FKiwhDph83XaGc0o0/edit?usp=sharing"",""งบพรบ!EI60"")"),0)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IFERROR(__xludf.DUMMYFUNCTION("IMPORTRANGE(""https://docs.google.com/spreadsheets/d/1MeEWN-I1oV_STSDYn1IFDPWt_1FKiwhDph83XaGc0o0/edit?usp=sharing"",""งบพรบ!EJ60"")"),0)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IFERROR(__xludf.DUMMYFUNCTION("IMPORTRANGE(""https://docs.google.com/spreadsheets/d/1MeEWN-I1oV_STSDYn1IFDPWt_1FKiwhDph83XaGc0o0/edit?usp=sharing"",""งบพรบ!EK60"")"),0)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IFERROR(__xludf.DUMMYFUNCTION("IMPORTRANGE(""https://docs.google.com/spreadsheets/d/1tpwhWwkqkBeiSWCcfB5f2fbwPRbM9hHOEDSDHpl2MIc/edit?usp=sharing"",""นครปฐม!I325"")"),0)</f>
        <v>0</v>
      </c>
      <c r="S60" s="81">
        <f ca="1">IFERROR(__xludf.DUMMYFUNCTION("IMPORTRANGE(""https://docs.google.com/spreadsheets/d/1tpwhWwkqkBeiSWCcfB5f2fbwPRbM9hHOEDSDHpl2MIc/edit?usp=sharing"",""นครปฐม!J325"")"),0)</f>
        <v>0</v>
      </c>
      <c r="T60" s="82">
        <f t="shared" ca="1" si="16"/>
        <v>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26"/>
        <v>0</v>
      </c>
      <c r="E61" s="77">
        <f ca="1">IFERROR(__xludf.DUMMYFUNCTION("IMPORTRANGE(""https://docs.google.com/spreadsheets/d/1MeEWN-I1oV_STSDYn1IFDPWt_1FKiwhDph83XaGc0o0/edit?usp=sharing"",""งบพรบ!ED61"")"),0)</f>
        <v>0</v>
      </c>
      <c r="F61" s="77">
        <f ca="1">IFERROR(__xludf.DUMMYFUNCTION("IMPORTRANGE(""https://docs.google.com/spreadsheets/d/1MeEWN-I1oV_STSDYn1IFDPWt_1FKiwhDph83XaGc0o0/edit?usp=sharing"",""งบพรบ!EE61"")"),0)</f>
        <v>0</v>
      </c>
      <c r="G61" s="77">
        <f ca="1">IFERROR(__xludf.DUMMYFUNCTION("IMPORTRANGE(""https://docs.google.com/spreadsheets/d/1MeEWN-I1oV_STSDYn1IFDPWt_1FKiwhDph83XaGc0o0/edit?usp=sharing"",""งบพรบ!EF61"")"),0)</f>
        <v>0</v>
      </c>
      <c r="H61" s="77">
        <f ca="1">IFERROR(__xludf.DUMMYFUNCTION("IMPORTRANGE(""https://docs.google.com/spreadsheets/d/1MeEWN-I1oV_STSDYn1IFDPWt_1FKiwhDph83XaGc0o0/edit?usp=sharing"",""งบพรบ!EH61"")"),0)</f>
        <v>0</v>
      </c>
      <c r="I61" s="77">
        <f ca="1">IFERROR(__xludf.DUMMYFUNCTION("IMPORTRANGE(""https://docs.google.com/spreadsheets/d/1MeEWN-I1oV_STSDYn1IFDPWt_1FKiwhDph83XaGc0o0/edit?usp=sharing"",""งบพรบ!EI61"")"),0)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IFERROR(__xludf.DUMMYFUNCTION("IMPORTRANGE(""https://docs.google.com/spreadsheets/d/1MeEWN-I1oV_STSDYn1IFDPWt_1FKiwhDph83XaGc0o0/edit?usp=sharing"",""งบพรบ!EJ61"")"),0)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IFERROR(__xludf.DUMMYFUNCTION("IMPORTRANGE(""https://docs.google.com/spreadsheets/d/1MeEWN-I1oV_STSDYn1IFDPWt_1FKiwhDph83XaGc0o0/edit?usp=sharing"",""งบพรบ!EK61"")"),0)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IFERROR(__xludf.DUMMYFUNCTION("IMPORTRANGE(""https://docs.google.com/spreadsheets/d/1fJJCVBkBnhriyv0Cp5ZFMr0I_yrfdEITNpb4zILJgUQ/edit?usp=sharing"",""ปทุมธานี!I325"")"),0)</f>
        <v>0</v>
      </c>
      <c r="S61" s="81">
        <f ca="1">IFERROR(__xludf.DUMMYFUNCTION("IMPORTRANGE(""https://docs.google.com/spreadsheets/d/1fJJCVBkBnhriyv0Cp5ZFMr0I_yrfdEITNpb4zILJgUQ/edit?usp=sharing"",""ปทุมธานี!J325"")"),0)</f>
        <v>0</v>
      </c>
      <c r="T61" s="82">
        <f t="shared" ca="1" si="16"/>
        <v>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26"/>
        <v>0</v>
      </c>
      <c r="E62" s="77">
        <f ca="1">IFERROR(__xludf.DUMMYFUNCTION("IMPORTRANGE(""https://docs.google.com/spreadsheets/d/1MeEWN-I1oV_STSDYn1IFDPWt_1FKiwhDph83XaGc0o0/edit?usp=sharing"",""งบพรบ!ED62"")"),0)</f>
        <v>0</v>
      </c>
      <c r="F62" s="77">
        <f ca="1">IFERROR(__xludf.DUMMYFUNCTION("IMPORTRANGE(""https://docs.google.com/spreadsheets/d/1MeEWN-I1oV_STSDYn1IFDPWt_1FKiwhDph83XaGc0o0/edit?usp=sharing"",""งบพรบ!EE62"")"),0)</f>
        <v>0</v>
      </c>
      <c r="G62" s="77">
        <f ca="1">IFERROR(__xludf.DUMMYFUNCTION("IMPORTRANGE(""https://docs.google.com/spreadsheets/d/1MeEWN-I1oV_STSDYn1IFDPWt_1FKiwhDph83XaGc0o0/edit?usp=sharing"",""งบพรบ!EF62"")"),0)</f>
        <v>0</v>
      </c>
      <c r="H62" s="77">
        <f ca="1">IFERROR(__xludf.DUMMYFUNCTION("IMPORTRANGE(""https://docs.google.com/spreadsheets/d/1MeEWN-I1oV_STSDYn1IFDPWt_1FKiwhDph83XaGc0o0/edit?usp=sharing"",""งบพรบ!EH62"")"),0)</f>
        <v>0</v>
      </c>
      <c r="I62" s="77">
        <f ca="1">IFERROR(__xludf.DUMMYFUNCTION("IMPORTRANGE(""https://docs.google.com/spreadsheets/d/1MeEWN-I1oV_STSDYn1IFDPWt_1FKiwhDph83XaGc0o0/edit?usp=sharing"",""งบพรบ!EI62"")"),0)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IFERROR(__xludf.DUMMYFUNCTION("IMPORTRANGE(""https://docs.google.com/spreadsheets/d/1MeEWN-I1oV_STSDYn1IFDPWt_1FKiwhDph83XaGc0o0/edit?usp=sharing"",""งบพรบ!EJ62"")"),0)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IFERROR(__xludf.DUMMYFUNCTION("IMPORTRANGE(""https://docs.google.com/spreadsheets/d/1MeEWN-I1oV_STSDYn1IFDPWt_1FKiwhDph83XaGc0o0/edit?usp=sharing"",""งบพรบ!EK62"")"),0)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26"/>
        <v>0</v>
      </c>
      <c r="E63" s="77">
        <f ca="1">IFERROR(__xludf.DUMMYFUNCTION("IMPORTRANGE(""https://docs.google.com/spreadsheets/d/1MeEWN-I1oV_STSDYn1IFDPWt_1FKiwhDph83XaGc0o0/edit?usp=sharing"",""งบพรบ!ED63"")"),0)</f>
        <v>0</v>
      </c>
      <c r="F63" s="77">
        <f ca="1">IFERROR(__xludf.DUMMYFUNCTION("IMPORTRANGE(""https://docs.google.com/spreadsheets/d/1MeEWN-I1oV_STSDYn1IFDPWt_1FKiwhDph83XaGc0o0/edit?usp=sharing"",""งบพรบ!EE63"")"),0)</f>
        <v>0</v>
      </c>
      <c r="G63" s="77">
        <f ca="1">IFERROR(__xludf.DUMMYFUNCTION("IMPORTRANGE(""https://docs.google.com/spreadsheets/d/1MeEWN-I1oV_STSDYn1IFDPWt_1FKiwhDph83XaGc0o0/edit?usp=sharing"",""งบพรบ!EF63"")"),0)</f>
        <v>0</v>
      </c>
      <c r="H63" s="77">
        <f ca="1">IFERROR(__xludf.DUMMYFUNCTION("IMPORTRANGE(""https://docs.google.com/spreadsheets/d/1MeEWN-I1oV_STSDYn1IFDPWt_1FKiwhDph83XaGc0o0/edit?usp=sharing"",""งบพรบ!EH63"")"),0)</f>
        <v>0</v>
      </c>
      <c r="I63" s="77">
        <f ca="1">IFERROR(__xludf.DUMMYFUNCTION("IMPORTRANGE(""https://docs.google.com/spreadsheets/d/1MeEWN-I1oV_STSDYn1IFDPWt_1FKiwhDph83XaGc0o0/edit?usp=sharing"",""งบพรบ!EI63"")"),0)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IFERROR(__xludf.DUMMYFUNCTION("IMPORTRANGE(""https://docs.google.com/spreadsheets/d/1MeEWN-I1oV_STSDYn1IFDPWt_1FKiwhDph83XaGc0o0/edit?usp=sharing"",""งบพรบ!EJ63"")"),0)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IFERROR(__xludf.DUMMYFUNCTION("IMPORTRANGE(""https://docs.google.com/spreadsheets/d/1MeEWN-I1oV_STSDYn1IFDPWt_1FKiwhDph83XaGc0o0/edit?usp=sharing"",""งบพรบ!EK63"")"),0)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IFERROR(__xludf.DUMMYFUNCTION("IMPORTRANGE(""https://docs.google.com/spreadsheets/d/1nYxRXgnCfTXtqUY1otYuTlnrzE0Tn-Y0YRsW5pkRVqo/edit?usp=sharing"",""ปราจีนบุรี!I325"")"),0)</f>
        <v>0</v>
      </c>
      <c r="S63" s="81">
        <f ca="1">IFERROR(__xludf.DUMMYFUNCTION("IMPORTRANGE(""https://docs.google.com/spreadsheets/d/1nYxRXgnCfTXtqUY1otYuTlnrzE0Tn-Y0YRsW5pkRVqo/edit?usp=sharing"",""ปราจีนบุรี!J325"")"),0)</f>
        <v>0</v>
      </c>
      <c r="T63" s="82">
        <f t="shared" ca="1" si="16"/>
        <v>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26"/>
        <v>0</v>
      </c>
      <c r="E64" s="77">
        <f ca="1">IFERROR(__xludf.DUMMYFUNCTION("IMPORTRANGE(""https://docs.google.com/spreadsheets/d/1MeEWN-I1oV_STSDYn1IFDPWt_1FKiwhDph83XaGc0o0/edit?usp=sharing"",""งบพรบ!ED64"")"),0)</f>
        <v>0</v>
      </c>
      <c r="F64" s="77">
        <f ca="1">IFERROR(__xludf.DUMMYFUNCTION("IMPORTRANGE(""https://docs.google.com/spreadsheets/d/1MeEWN-I1oV_STSDYn1IFDPWt_1FKiwhDph83XaGc0o0/edit?usp=sharing"",""งบพรบ!EE64"")"),0)</f>
        <v>0</v>
      </c>
      <c r="G64" s="77">
        <f ca="1">IFERROR(__xludf.DUMMYFUNCTION("IMPORTRANGE(""https://docs.google.com/spreadsheets/d/1MeEWN-I1oV_STSDYn1IFDPWt_1FKiwhDph83XaGc0o0/edit?usp=sharing"",""งบพรบ!EF64"")"),0)</f>
        <v>0</v>
      </c>
      <c r="H64" s="77">
        <f ca="1">IFERROR(__xludf.DUMMYFUNCTION("IMPORTRANGE(""https://docs.google.com/spreadsheets/d/1MeEWN-I1oV_STSDYn1IFDPWt_1FKiwhDph83XaGc0o0/edit?usp=sharing"",""งบพรบ!EH64"")"),0)</f>
        <v>0</v>
      </c>
      <c r="I64" s="77">
        <f ca="1">IFERROR(__xludf.DUMMYFUNCTION("IMPORTRANGE(""https://docs.google.com/spreadsheets/d/1MeEWN-I1oV_STSDYn1IFDPWt_1FKiwhDph83XaGc0o0/edit?usp=sharing"",""งบพรบ!EI64"")"),0)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IFERROR(__xludf.DUMMYFUNCTION("IMPORTRANGE(""https://docs.google.com/spreadsheets/d/1MeEWN-I1oV_STSDYn1IFDPWt_1FKiwhDph83XaGc0o0/edit?usp=sharing"",""งบพรบ!EJ64"")"),0)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IFERROR(__xludf.DUMMYFUNCTION("IMPORTRANGE(""https://docs.google.com/spreadsheets/d/1MeEWN-I1oV_STSDYn1IFDPWt_1FKiwhDph83XaGc0o0/edit?usp=sharing"",""งบพรบ!EK64"")"),0)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2">
        <f t="shared" ca="1" si="16"/>
        <v>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26"/>
        <v>0</v>
      </c>
      <c r="E65" s="77">
        <f ca="1">IFERROR(__xludf.DUMMYFUNCTION("IMPORTRANGE(""https://docs.google.com/spreadsheets/d/1MeEWN-I1oV_STSDYn1IFDPWt_1FKiwhDph83XaGc0o0/edit?usp=sharing"",""งบพรบ!ED65"")"),0)</f>
        <v>0</v>
      </c>
      <c r="F65" s="77">
        <f ca="1">IFERROR(__xludf.DUMMYFUNCTION("IMPORTRANGE(""https://docs.google.com/spreadsheets/d/1MeEWN-I1oV_STSDYn1IFDPWt_1FKiwhDph83XaGc0o0/edit?usp=sharing"",""งบพรบ!EE65"")"),0)</f>
        <v>0</v>
      </c>
      <c r="G65" s="77">
        <f ca="1">IFERROR(__xludf.DUMMYFUNCTION("IMPORTRANGE(""https://docs.google.com/spreadsheets/d/1MeEWN-I1oV_STSDYn1IFDPWt_1FKiwhDph83XaGc0o0/edit?usp=sharing"",""งบพรบ!EF65"")"),0)</f>
        <v>0</v>
      </c>
      <c r="H65" s="77">
        <f ca="1">IFERROR(__xludf.DUMMYFUNCTION("IMPORTRANGE(""https://docs.google.com/spreadsheets/d/1MeEWN-I1oV_STSDYn1IFDPWt_1FKiwhDph83XaGc0o0/edit?usp=sharing"",""งบพรบ!EH65"")"),0)</f>
        <v>0</v>
      </c>
      <c r="I65" s="77">
        <f ca="1">IFERROR(__xludf.DUMMYFUNCTION("IMPORTRANGE(""https://docs.google.com/spreadsheets/d/1MeEWN-I1oV_STSDYn1IFDPWt_1FKiwhDph83XaGc0o0/edit?usp=sharing"",""งบพรบ!EI65"")"),0)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IFERROR(__xludf.DUMMYFUNCTION("IMPORTRANGE(""https://docs.google.com/spreadsheets/d/1MeEWN-I1oV_STSDYn1IFDPWt_1FKiwhDph83XaGc0o0/edit?usp=sharing"",""งบพรบ!EJ65"")"),0)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IFERROR(__xludf.DUMMYFUNCTION("IMPORTRANGE(""https://docs.google.com/spreadsheets/d/1MeEWN-I1oV_STSDYn1IFDPWt_1FKiwhDph83XaGc0o0/edit?usp=sharing"",""งบพรบ!EK65"")"),0)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IFERROR(__xludf.DUMMYFUNCTION("IMPORTRANGE(""https://docs.google.com/spreadsheets/d/1CdNicvf3i6yt4tJlCePe3V1Va76wYqW0QzMzTsaGRrA/edit?usp=sharing"",""เพชรบุรี!I325"")"),0)</f>
        <v>0</v>
      </c>
      <c r="S65" s="81">
        <f ca="1">IFERROR(__xludf.DUMMYFUNCTION("IMPORTRANGE(""https://docs.google.com/spreadsheets/d/1CdNicvf3i6yt4tJlCePe3V1Va76wYqW0QzMzTsaGRrA/edit?usp=sharing"",""เพชรบุรี!J325"")"),0)</f>
        <v>0</v>
      </c>
      <c r="T65" s="82">
        <f t="shared" ca="1" si="16"/>
        <v>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26"/>
        <v>0</v>
      </c>
      <c r="E66" s="77">
        <f ca="1">IFERROR(__xludf.DUMMYFUNCTION("IMPORTRANGE(""https://docs.google.com/spreadsheets/d/1MeEWN-I1oV_STSDYn1IFDPWt_1FKiwhDph83XaGc0o0/edit?usp=sharing"",""งบพรบ!ED66"")"),0)</f>
        <v>0</v>
      </c>
      <c r="F66" s="77">
        <f ca="1">IFERROR(__xludf.DUMMYFUNCTION("IMPORTRANGE(""https://docs.google.com/spreadsheets/d/1MeEWN-I1oV_STSDYn1IFDPWt_1FKiwhDph83XaGc0o0/edit?usp=sharing"",""งบพรบ!EE66"")"),0)</f>
        <v>0</v>
      </c>
      <c r="G66" s="77">
        <f ca="1">IFERROR(__xludf.DUMMYFUNCTION("IMPORTRANGE(""https://docs.google.com/spreadsheets/d/1MeEWN-I1oV_STSDYn1IFDPWt_1FKiwhDph83XaGc0o0/edit?usp=sharing"",""งบพรบ!EF66"")"),0)</f>
        <v>0</v>
      </c>
      <c r="H66" s="77">
        <f ca="1">IFERROR(__xludf.DUMMYFUNCTION("IMPORTRANGE(""https://docs.google.com/spreadsheets/d/1MeEWN-I1oV_STSDYn1IFDPWt_1FKiwhDph83XaGc0o0/edit?usp=sharing"",""งบพรบ!EH66"")"),0)</f>
        <v>0</v>
      </c>
      <c r="I66" s="77">
        <f ca="1">IFERROR(__xludf.DUMMYFUNCTION("IMPORTRANGE(""https://docs.google.com/spreadsheets/d/1MeEWN-I1oV_STSDYn1IFDPWt_1FKiwhDph83XaGc0o0/edit?usp=sharing"",""งบพรบ!EI66"")"),0)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IFERROR(__xludf.DUMMYFUNCTION("IMPORTRANGE(""https://docs.google.com/spreadsheets/d/1MeEWN-I1oV_STSDYn1IFDPWt_1FKiwhDph83XaGc0o0/edit?usp=sharing"",""งบพรบ!EJ66"")"),0)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IFERROR(__xludf.DUMMYFUNCTION("IMPORTRANGE(""https://docs.google.com/spreadsheets/d/1MeEWN-I1oV_STSDYn1IFDPWt_1FKiwhDph83XaGc0o0/edit?usp=sharing"",""งบพรบ!EK66"")"),0)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IFERROR(__xludf.DUMMYFUNCTION("IMPORTRANGE(""https://docs.google.com/spreadsheets/d/1XiF77UIVHV0Kjc6xbXuOuJ10WgJYxd4p_22ngKVV5oM/edit?usp=sharing"",""ระยอง!I325"")"),0)</f>
        <v>0</v>
      </c>
      <c r="S66" s="81">
        <f ca="1">IFERROR(__xludf.DUMMYFUNCTION("IMPORTRANGE(""https://docs.google.com/spreadsheets/d/1XiF77UIVHV0Kjc6xbXuOuJ10WgJYxd4p_22ngKVV5oM/edit?usp=sharing"",""ระยอง!J325"")"),0)</f>
        <v>0</v>
      </c>
      <c r="T66" s="82">
        <f t="shared" ca="1" si="16"/>
        <v>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26"/>
        <v>0</v>
      </c>
      <c r="E67" s="77">
        <f ca="1">IFERROR(__xludf.DUMMYFUNCTION("IMPORTRANGE(""https://docs.google.com/spreadsheets/d/1MeEWN-I1oV_STSDYn1IFDPWt_1FKiwhDph83XaGc0o0/edit?usp=sharing"",""งบพรบ!ED67"")"),0)</f>
        <v>0</v>
      </c>
      <c r="F67" s="77">
        <f ca="1">IFERROR(__xludf.DUMMYFUNCTION("IMPORTRANGE(""https://docs.google.com/spreadsheets/d/1MeEWN-I1oV_STSDYn1IFDPWt_1FKiwhDph83XaGc0o0/edit?usp=sharing"",""งบพรบ!EE67"")"),0)</f>
        <v>0</v>
      </c>
      <c r="G67" s="77">
        <f ca="1">IFERROR(__xludf.DUMMYFUNCTION("IMPORTRANGE(""https://docs.google.com/spreadsheets/d/1MeEWN-I1oV_STSDYn1IFDPWt_1FKiwhDph83XaGc0o0/edit?usp=sharing"",""งบพรบ!EF67"")"),0)</f>
        <v>0</v>
      </c>
      <c r="H67" s="77">
        <f ca="1">IFERROR(__xludf.DUMMYFUNCTION("IMPORTRANGE(""https://docs.google.com/spreadsheets/d/1MeEWN-I1oV_STSDYn1IFDPWt_1FKiwhDph83XaGc0o0/edit?usp=sharing"",""งบพรบ!EH67"")"),0)</f>
        <v>0</v>
      </c>
      <c r="I67" s="77">
        <f ca="1">IFERROR(__xludf.DUMMYFUNCTION("IMPORTRANGE(""https://docs.google.com/spreadsheets/d/1MeEWN-I1oV_STSDYn1IFDPWt_1FKiwhDph83XaGc0o0/edit?usp=sharing"",""งบพรบ!EI67"")"),0)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IFERROR(__xludf.DUMMYFUNCTION("IMPORTRANGE(""https://docs.google.com/spreadsheets/d/1MeEWN-I1oV_STSDYn1IFDPWt_1FKiwhDph83XaGc0o0/edit?usp=sharing"",""งบพรบ!EJ67"")"),0)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IFERROR(__xludf.DUMMYFUNCTION("IMPORTRANGE(""https://docs.google.com/spreadsheets/d/1MeEWN-I1oV_STSDYn1IFDPWt_1FKiwhDph83XaGc0o0/edit?usp=sharing"",""งบพรบ!EK67"")"),0)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IFERROR(__xludf.DUMMYFUNCTION("IMPORTRANGE(""https://docs.google.com/spreadsheets/d/1qU-W_9MCQD1pgIVXGEOjCFo9QqlmJywuebyGgaN92r8/edit?usp=sharing"",""ราชบุรี!I325"")"),0)</f>
        <v>0</v>
      </c>
      <c r="S67" s="81">
        <f ca="1">IFERROR(__xludf.DUMMYFUNCTION("IMPORTRANGE(""https://docs.google.com/spreadsheets/d/1qU-W_9MCQD1pgIVXGEOjCFo9QqlmJywuebyGgaN92r8/edit?usp=sharing"",""ราชบุรี!J325"")"),0)</f>
        <v>0</v>
      </c>
      <c r="T67" s="82">
        <f t="shared" ca="1" si="16"/>
        <v>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0</v>
      </c>
      <c r="D68" s="76">
        <f t="shared" ca="1" si="26"/>
        <v>0</v>
      </c>
      <c r="E68" s="77">
        <f ca="1">IFERROR(__xludf.DUMMYFUNCTION("IMPORTRANGE(""https://docs.google.com/spreadsheets/d/1MeEWN-I1oV_STSDYn1IFDPWt_1FKiwhDph83XaGc0o0/edit?usp=sharing"",""งบพรบ!ED68"")"),0)</f>
        <v>0</v>
      </c>
      <c r="F68" s="77">
        <f ca="1">IFERROR(__xludf.DUMMYFUNCTION("IMPORTRANGE(""https://docs.google.com/spreadsheets/d/1MeEWN-I1oV_STSDYn1IFDPWt_1FKiwhDph83XaGc0o0/edit?usp=sharing"",""งบพรบ!EE68"")"),0)</f>
        <v>0</v>
      </c>
      <c r="G68" s="77">
        <f ca="1">IFERROR(__xludf.DUMMYFUNCTION("IMPORTRANGE(""https://docs.google.com/spreadsheets/d/1MeEWN-I1oV_STSDYn1IFDPWt_1FKiwhDph83XaGc0o0/edit?usp=sharing"",""งบพรบ!EF68"")"),0)</f>
        <v>0</v>
      </c>
      <c r="H68" s="77">
        <f ca="1">IFERROR(__xludf.DUMMYFUNCTION("IMPORTRANGE(""https://docs.google.com/spreadsheets/d/1MeEWN-I1oV_STSDYn1IFDPWt_1FKiwhDph83XaGc0o0/edit?usp=sharing"",""งบพรบ!EH68"")"),0)</f>
        <v>0</v>
      </c>
      <c r="I68" s="77">
        <f ca="1">IFERROR(__xludf.DUMMYFUNCTION("IMPORTRANGE(""https://docs.google.com/spreadsheets/d/1MeEWN-I1oV_STSDYn1IFDPWt_1FKiwhDph83XaGc0o0/edit?usp=sharing"",""งบพรบ!EI68"")"),0)</f>
        <v>0</v>
      </c>
      <c r="J68" s="77">
        <f t="shared" ca="1" si="3"/>
        <v>0</v>
      </c>
      <c r="K68" s="78">
        <f t="shared" ca="1" si="4"/>
        <v>0</v>
      </c>
      <c r="L68" s="77">
        <f ca="1">IFERROR(__xludf.DUMMYFUNCTION("IMPORTRANGE(""https://docs.google.com/spreadsheets/d/1MeEWN-I1oV_STSDYn1IFDPWt_1FKiwhDph83XaGc0o0/edit?usp=sharing"",""งบพรบ!EJ68"")"),0)</f>
        <v>0</v>
      </c>
      <c r="M68" s="79">
        <f t="shared" ca="1" si="5"/>
        <v>0</v>
      </c>
      <c r="N68" s="79">
        <f t="shared" ca="1" si="6"/>
        <v>0</v>
      </c>
      <c r="O68" s="80">
        <f ca="1">IFERROR(__xludf.DUMMYFUNCTION("IMPORTRANGE(""https://docs.google.com/spreadsheets/d/1MeEWN-I1oV_STSDYn1IFDPWt_1FKiwhDph83XaGc0o0/edit?usp=sharing"",""งบพรบ!EK68"")"),0)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IFERROR(__xludf.DUMMYFUNCTION("IMPORTRANGE(""https://docs.google.com/spreadsheets/d/1xYFIxIM_CspAP5Q-5Zx_V0T_Ut3cjryrjd2hss28vGk/edit?usp=sharing"",""ลพบุรี!I325"")"),0)</f>
        <v>0</v>
      </c>
      <c r="S68" s="81">
        <f ca="1">IFERROR(__xludf.DUMMYFUNCTION("IMPORTRANGE(""https://docs.google.com/spreadsheets/d/1xYFIxIM_CspAP5Q-5Zx_V0T_Ut3cjryrjd2hss28vGk/edit?usp=sharing"",""ลพบุรี!J325"")"),0)</f>
        <v>0</v>
      </c>
      <c r="T68" s="82">
        <f t="shared" ca="1" si="16"/>
        <v>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153000</v>
      </c>
      <c r="D69" s="76">
        <f t="shared" ca="1" si="26"/>
        <v>153000</v>
      </c>
      <c r="E69" s="77">
        <f ca="1">IFERROR(__xludf.DUMMYFUNCTION("IMPORTRANGE(""https://docs.google.com/spreadsheets/d/1MeEWN-I1oV_STSDYn1IFDPWt_1FKiwhDph83XaGc0o0/edit?usp=sharing"",""งบพรบ!ED69"")"),0)</f>
        <v>0</v>
      </c>
      <c r="F69" s="77">
        <f ca="1">IFERROR(__xludf.DUMMYFUNCTION("IMPORTRANGE(""https://docs.google.com/spreadsheets/d/1MeEWN-I1oV_STSDYn1IFDPWt_1FKiwhDph83XaGc0o0/edit?usp=sharing"",""งบพรบ!EE69"")"),153000)</f>
        <v>153000</v>
      </c>
      <c r="G69" s="77">
        <f ca="1">IFERROR(__xludf.DUMMYFUNCTION("IMPORTRANGE(""https://docs.google.com/spreadsheets/d/1MeEWN-I1oV_STSDYn1IFDPWt_1FKiwhDph83XaGc0o0/edit?usp=sharing"",""งบพรบ!EF69"")"),0)</f>
        <v>0</v>
      </c>
      <c r="H69" s="77">
        <f ca="1">IFERROR(__xludf.DUMMYFUNCTION("IMPORTRANGE(""https://docs.google.com/spreadsheets/d/1MeEWN-I1oV_STSDYn1IFDPWt_1FKiwhDph83XaGc0o0/edit?usp=sharing"",""งบพรบ!EH69"")"),153000)</f>
        <v>153000</v>
      </c>
      <c r="I69" s="77">
        <f ca="1">IFERROR(__xludf.DUMMYFUNCTION("IMPORTRANGE(""https://docs.google.com/spreadsheets/d/1MeEWN-I1oV_STSDYn1IFDPWt_1FKiwhDph83XaGc0o0/edit?usp=sharing"",""งบพรบ!EI69"")"),0)</f>
        <v>0</v>
      </c>
      <c r="J69" s="77">
        <f t="shared" ca="1" si="3"/>
        <v>138653.44</v>
      </c>
      <c r="K69" s="78">
        <f t="shared" ca="1" si="4"/>
        <v>90.62316339869281</v>
      </c>
      <c r="L69" s="77">
        <f ca="1">IFERROR(__xludf.DUMMYFUNCTION("IMPORTRANGE(""https://docs.google.com/spreadsheets/d/1MeEWN-I1oV_STSDYn1IFDPWt_1FKiwhDph83XaGc0o0/edit?usp=sharing"",""งบพรบ!EJ69"")"),138653.44)</f>
        <v>138653.44</v>
      </c>
      <c r="M69" s="79">
        <f t="shared" ca="1" si="5"/>
        <v>90.62316339869281</v>
      </c>
      <c r="N69" s="79">
        <f t="shared" ca="1" si="6"/>
        <v>90.62316339869281</v>
      </c>
      <c r="O69" s="80">
        <f ca="1">IFERROR(__xludf.DUMMYFUNCTION("IMPORTRANGE(""https://docs.google.com/spreadsheets/d/1MeEWN-I1oV_STSDYn1IFDPWt_1FKiwhDph83XaGc0o0/edit?usp=sharing"",""งบพรบ!EK69"")"),0)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IFERROR(__xludf.DUMMYFUNCTION("IMPORTRANGE(""https://docs.google.com/spreadsheets/d/11s9m3tKsCBdPWq6syhZm27eBGbKneDLZc75co106bio/edit?usp=sharing"",""สระแก้ว!I325"")"),2)</f>
        <v>2</v>
      </c>
      <c r="S69" s="81">
        <f ca="1">IFERROR(__xludf.DUMMYFUNCTION("IMPORTRANGE(""https://docs.google.com/spreadsheets/d/11s9m3tKsCBdPWq6syhZm27eBGbKneDLZc75co106bio/edit?usp=sharing"",""สระแก้ว!J325"")"),2)</f>
        <v>2</v>
      </c>
      <c r="T69" s="82">
        <f t="shared" ca="1" si="16"/>
        <v>100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26"/>
        <v>0</v>
      </c>
      <c r="E70" s="77">
        <f ca="1">IFERROR(__xludf.DUMMYFUNCTION("IMPORTRANGE(""https://docs.google.com/spreadsheets/d/1MeEWN-I1oV_STSDYn1IFDPWt_1FKiwhDph83XaGc0o0/edit?usp=sharing"",""งบพรบ!ED70"")"),0)</f>
        <v>0</v>
      </c>
      <c r="F70" s="77">
        <f ca="1">IFERROR(__xludf.DUMMYFUNCTION("IMPORTRANGE(""https://docs.google.com/spreadsheets/d/1MeEWN-I1oV_STSDYn1IFDPWt_1FKiwhDph83XaGc0o0/edit?usp=sharing"",""งบพรบ!EE70"")"),0)</f>
        <v>0</v>
      </c>
      <c r="G70" s="77">
        <f ca="1">IFERROR(__xludf.DUMMYFUNCTION("IMPORTRANGE(""https://docs.google.com/spreadsheets/d/1MeEWN-I1oV_STSDYn1IFDPWt_1FKiwhDph83XaGc0o0/edit?usp=sharing"",""งบพรบ!EF70"")"),0)</f>
        <v>0</v>
      </c>
      <c r="H70" s="77">
        <f ca="1">IFERROR(__xludf.DUMMYFUNCTION("IMPORTRANGE(""https://docs.google.com/spreadsheets/d/1MeEWN-I1oV_STSDYn1IFDPWt_1FKiwhDph83XaGc0o0/edit?usp=sharing"",""งบพรบ!EH70"")"),0)</f>
        <v>0</v>
      </c>
      <c r="I70" s="77">
        <f ca="1">IFERROR(__xludf.DUMMYFUNCTION("IMPORTRANGE(""https://docs.google.com/spreadsheets/d/1MeEWN-I1oV_STSDYn1IFDPWt_1FKiwhDph83XaGc0o0/edit?usp=sharing"",""งบพรบ!EI70"")"),0)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IFERROR(__xludf.DUMMYFUNCTION("IMPORTRANGE(""https://docs.google.com/spreadsheets/d/1MeEWN-I1oV_STSDYn1IFDPWt_1FKiwhDph83XaGc0o0/edit?usp=sharing"",""งบพรบ!EJ70"")"),0)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IFERROR(__xludf.DUMMYFUNCTION("IMPORTRANGE(""https://docs.google.com/spreadsheets/d/1MeEWN-I1oV_STSDYn1IFDPWt_1FKiwhDph83XaGc0o0/edit?usp=sharing"",""งบพรบ!EK70"")"),0)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IFERROR(__xludf.DUMMYFUNCTION("IMPORTRANGE(""https://docs.google.com/spreadsheets/d/1Nn1EvsFPtXldgpgVb3Rcng2K2cls68LFQsBh2FyW0Bg/edit?usp=sharing"",""สระบุรี!I325"")"),0)</f>
        <v>0</v>
      </c>
      <c r="S70" s="81">
        <f ca="1">IFERROR(__xludf.DUMMYFUNCTION("IMPORTRANGE(""https://docs.google.com/spreadsheets/d/1Nn1EvsFPtXldgpgVb3Rcng2K2cls68LFQsBh2FyW0Bg/edit?usp=sharing"",""สระบุรี!J325"")"),0)</f>
        <v>0</v>
      </c>
      <c r="T70" s="82">
        <f t="shared" ca="1" si="16"/>
        <v>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26"/>
        <v>0</v>
      </c>
      <c r="E71" s="77">
        <f ca="1">IFERROR(__xludf.DUMMYFUNCTION("IMPORTRANGE(""https://docs.google.com/spreadsheets/d/1MeEWN-I1oV_STSDYn1IFDPWt_1FKiwhDph83XaGc0o0/edit?usp=sharing"",""งบพรบ!ED71"")"),0)</f>
        <v>0</v>
      </c>
      <c r="F71" s="77">
        <f ca="1">IFERROR(__xludf.DUMMYFUNCTION("IMPORTRANGE(""https://docs.google.com/spreadsheets/d/1MeEWN-I1oV_STSDYn1IFDPWt_1FKiwhDph83XaGc0o0/edit?usp=sharing"",""งบพรบ!EE71"")"),0)</f>
        <v>0</v>
      </c>
      <c r="G71" s="77">
        <f ca="1">IFERROR(__xludf.DUMMYFUNCTION("IMPORTRANGE(""https://docs.google.com/spreadsheets/d/1MeEWN-I1oV_STSDYn1IFDPWt_1FKiwhDph83XaGc0o0/edit?usp=sharing"",""งบพรบ!EF71"")"),0)</f>
        <v>0</v>
      </c>
      <c r="H71" s="77">
        <f ca="1">IFERROR(__xludf.DUMMYFUNCTION("IMPORTRANGE(""https://docs.google.com/spreadsheets/d/1MeEWN-I1oV_STSDYn1IFDPWt_1FKiwhDph83XaGc0o0/edit?usp=sharing"",""งบพรบ!EH71"")"),0)</f>
        <v>0</v>
      </c>
      <c r="I71" s="77">
        <f ca="1">IFERROR(__xludf.DUMMYFUNCTION("IMPORTRANGE(""https://docs.google.com/spreadsheets/d/1MeEWN-I1oV_STSDYn1IFDPWt_1FKiwhDph83XaGc0o0/edit?usp=sharing"",""งบพรบ!EI71"")"),0)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IFERROR(__xludf.DUMMYFUNCTION("IMPORTRANGE(""https://docs.google.com/spreadsheets/d/1MeEWN-I1oV_STSDYn1IFDPWt_1FKiwhDph83XaGc0o0/edit?usp=sharing"",""งบพรบ!EJ71"")"),0)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IFERROR(__xludf.DUMMYFUNCTION("IMPORTRANGE(""https://docs.google.com/spreadsheets/d/1MeEWN-I1oV_STSDYn1IFDPWt_1FKiwhDph83XaGc0o0/edit?usp=sharing"",""งบพรบ!EK71"")"),0)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IFERROR(__xludf.DUMMYFUNCTION("IMPORTRANGE(""https://docs.google.com/spreadsheets/d/149xufxukrnEciK3WPbNpHwUK8BKEJxp3UcBG3Al6dA4/edit?usp=sharing"",""สิงห์บุรี!I325"")"),0)</f>
        <v>0</v>
      </c>
      <c r="S71" s="81">
        <f ca="1">IFERROR(__xludf.DUMMYFUNCTION("IMPORTRANGE(""https://docs.google.com/spreadsheets/d/149xufxukrnEciK3WPbNpHwUK8BKEJxp3UcBG3Al6dA4/edit?usp=sharing"",""สิงห์บุรี!J325"")"),0)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0</v>
      </c>
      <c r="D72" s="76">
        <f t="shared" ca="1" si="26"/>
        <v>0</v>
      </c>
      <c r="E72" s="77">
        <f ca="1">IFERROR(__xludf.DUMMYFUNCTION("IMPORTRANGE(""https://docs.google.com/spreadsheets/d/1MeEWN-I1oV_STSDYn1IFDPWt_1FKiwhDph83XaGc0o0/edit?usp=sharing"",""งบพรบ!ED72"")"),0)</f>
        <v>0</v>
      </c>
      <c r="F72" s="77">
        <f ca="1">IFERROR(__xludf.DUMMYFUNCTION("IMPORTRANGE(""https://docs.google.com/spreadsheets/d/1MeEWN-I1oV_STSDYn1IFDPWt_1FKiwhDph83XaGc0o0/edit?usp=sharing"",""งบพรบ!EE72"")"),0)</f>
        <v>0</v>
      </c>
      <c r="G72" s="77">
        <f ca="1">IFERROR(__xludf.DUMMYFUNCTION("IMPORTRANGE(""https://docs.google.com/spreadsheets/d/1MeEWN-I1oV_STSDYn1IFDPWt_1FKiwhDph83XaGc0o0/edit?usp=sharing"",""งบพรบ!EF72"")"),0)</f>
        <v>0</v>
      </c>
      <c r="H72" s="77">
        <f ca="1">IFERROR(__xludf.DUMMYFUNCTION("IMPORTRANGE(""https://docs.google.com/spreadsheets/d/1MeEWN-I1oV_STSDYn1IFDPWt_1FKiwhDph83XaGc0o0/edit?usp=sharing"",""งบพรบ!EH72"")"),0)</f>
        <v>0</v>
      </c>
      <c r="I72" s="77">
        <f ca="1">IFERROR(__xludf.DUMMYFUNCTION("IMPORTRANGE(""https://docs.google.com/spreadsheets/d/1MeEWN-I1oV_STSDYn1IFDPWt_1FKiwhDph83XaGc0o0/edit?usp=sharing"",""งบพรบ!EI72"")"),0)</f>
        <v>0</v>
      </c>
      <c r="J72" s="77">
        <f t="shared" ca="1" si="3"/>
        <v>0</v>
      </c>
      <c r="K72" s="78">
        <f t="shared" ca="1" si="4"/>
        <v>0</v>
      </c>
      <c r="L72" s="77">
        <f ca="1">IFERROR(__xludf.DUMMYFUNCTION("IMPORTRANGE(""https://docs.google.com/spreadsheets/d/1MeEWN-I1oV_STSDYn1IFDPWt_1FKiwhDph83XaGc0o0/edit?usp=sharing"",""งบพรบ!EJ72"")"),0)</f>
        <v>0</v>
      </c>
      <c r="M72" s="79">
        <f t="shared" ca="1" si="5"/>
        <v>0</v>
      </c>
      <c r="N72" s="79">
        <f t="shared" ca="1" si="6"/>
        <v>0</v>
      </c>
      <c r="O72" s="80">
        <f ca="1">IFERROR(__xludf.DUMMYFUNCTION("IMPORTRANGE(""https://docs.google.com/spreadsheets/d/1MeEWN-I1oV_STSDYn1IFDPWt_1FKiwhDph83XaGc0o0/edit?usp=sharing"",""งบพรบ!EK72"")"),0)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IFERROR(__xludf.DUMMYFUNCTION("IMPORTRANGE(""https://docs.google.com/spreadsheets/d/132g-zJpz2uMKimp17uOIx8A7o3w1Z25zwJyXnwsB56c/edit?usp=sharing"",""สุพรรณบุรี!I325"")"),0)</f>
        <v>0</v>
      </c>
      <c r="S72" s="81">
        <f ca="1">IFERROR(__xludf.DUMMYFUNCTION("IMPORTRANGE(""https://docs.google.com/spreadsheets/d/132g-zJpz2uMKimp17uOIx8A7o3w1Z25zwJyXnwsB56c/edit?usp=sharing"",""สุพรรณบุรี!J325"")"),0)</f>
        <v>0</v>
      </c>
      <c r="T72" s="82">
        <f t="shared" ca="1" si="16"/>
        <v>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26"/>
        <v>0</v>
      </c>
      <c r="E73" s="88">
        <f ca="1">IFERROR(__xludf.DUMMYFUNCTION("IMPORTRANGE(""https://docs.google.com/spreadsheets/d/1MeEWN-I1oV_STSDYn1IFDPWt_1FKiwhDph83XaGc0o0/edit?usp=sharing"",""งบพรบ!ED73"")"),0)</f>
        <v>0</v>
      </c>
      <c r="F73" s="88">
        <f ca="1">IFERROR(__xludf.DUMMYFUNCTION("IMPORTRANGE(""https://docs.google.com/spreadsheets/d/1MeEWN-I1oV_STSDYn1IFDPWt_1FKiwhDph83XaGc0o0/edit?usp=sharing"",""งบพรบ!EE73"")"),0)</f>
        <v>0</v>
      </c>
      <c r="G73" s="88">
        <f ca="1">IFERROR(__xludf.DUMMYFUNCTION("IMPORTRANGE(""https://docs.google.com/spreadsheets/d/1MeEWN-I1oV_STSDYn1IFDPWt_1FKiwhDph83XaGc0o0/edit?usp=sharing"",""งบพรบ!EF73"")"),0)</f>
        <v>0</v>
      </c>
      <c r="H73" s="88">
        <f ca="1">IFERROR(__xludf.DUMMYFUNCTION("IMPORTRANGE(""https://docs.google.com/spreadsheets/d/1MeEWN-I1oV_STSDYn1IFDPWt_1FKiwhDph83XaGc0o0/edit?usp=sharing"",""งบพรบ!EH73"")"),0)</f>
        <v>0</v>
      </c>
      <c r="I73" s="88">
        <f ca="1">IFERROR(__xludf.DUMMYFUNCTION("IMPORTRANGE(""https://docs.google.com/spreadsheets/d/1MeEWN-I1oV_STSDYn1IFDPWt_1FKiwhDph83XaGc0o0/edit?usp=sharing"",""งบพรบ!EI73"")"),0)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IFERROR(__xludf.DUMMYFUNCTION("IMPORTRANGE(""https://docs.google.com/spreadsheets/d/1MeEWN-I1oV_STSDYn1IFDPWt_1FKiwhDph83XaGc0o0/edit?usp=sharing"",""งบพรบ!EJ73"")"),0)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IFERROR(__xludf.DUMMYFUNCTION("IMPORTRANGE(""https://docs.google.com/spreadsheets/d/1MeEWN-I1oV_STSDYn1IFDPWt_1FKiwhDph83XaGc0o0/edit?usp=sharing"",""งบพรบ!EK73"")"),0)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IFERROR(__xludf.DUMMYFUNCTION("IMPORTRANGE(""https://docs.google.com/spreadsheets/d/12Q_U0nVnFdxDFwa0pej9xvx8ZvLC9Dpi_vRro_aiG5g/edit?usp=sharing"",""อ่างทอง!I325"")"),0)</f>
        <v>0</v>
      </c>
      <c r="S73" s="92">
        <f ca="1">IFERROR(__xludf.DUMMYFUNCTION("IMPORTRANGE(""https://docs.google.com/spreadsheets/d/12Q_U0nVnFdxDFwa0pej9xvx8ZvLC9Dpi_vRro_aiG5g/edit?usp=sharing"",""อ่างทอง!J325"")"),0)</f>
        <v>0</v>
      </c>
      <c r="T73" s="93">
        <f t="shared" ca="1" si="16"/>
        <v>0</v>
      </c>
    </row>
    <row r="74" spans="1:20" ht="21" customHeight="1" x14ac:dyDescent="0.2">
      <c r="A74" s="381" t="s">
        <v>96</v>
      </c>
      <c r="B74" s="370"/>
      <c r="C74" s="99">
        <f t="shared" ca="1" si="0"/>
        <v>4641000</v>
      </c>
      <c r="D74" s="57">
        <f t="shared" ref="D74:I74" ca="1" si="27">SUM(D75:D88)</f>
        <v>1041000</v>
      </c>
      <c r="E74" s="57">
        <f t="shared" ca="1" si="27"/>
        <v>429000</v>
      </c>
      <c r="F74" s="57">
        <f t="shared" ca="1" si="27"/>
        <v>612000</v>
      </c>
      <c r="G74" s="57">
        <f t="shared" ca="1" si="27"/>
        <v>3600000</v>
      </c>
      <c r="H74" s="57">
        <f t="shared" ca="1" si="27"/>
        <v>1138900</v>
      </c>
      <c r="I74" s="57">
        <f t="shared" ca="1" si="27"/>
        <v>3587081.19</v>
      </c>
      <c r="J74" s="57">
        <f t="shared" ca="1" si="3"/>
        <v>4591827.8099999996</v>
      </c>
      <c r="K74" s="95">
        <f t="shared" ca="1" si="4"/>
        <v>98.940482870071094</v>
      </c>
      <c r="L74" s="57">
        <f ca="1">SUM(L75:L88)</f>
        <v>1026195.68</v>
      </c>
      <c r="M74" s="96">
        <f t="shared" ca="1" si="5"/>
        <v>98.577875120076854</v>
      </c>
      <c r="N74" s="96">
        <f t="shared" ca="1" si="6"/>
        <v>90.104107472122223</v>
      </c>
      <c r="O74" s="97">
        <f ca="1">SUM(O75:O88)</f>
        <v>3565632.13</v>
      </c>
      <c r="P74" s="97">
        <f t="shared" ca="1" si="18"/>
        <v>99.045336944444443</v>
      </c>
      <c r="Q74" s="96">
        <f t="shared" ca="1" si="8"/>
        <v>99.40204698851548</v>
      </c>
      <c r="R74" s="57">
        <f t="shared" ref="R74:S74" ca="1" si="28">SUM(R75:R88)</f>
        <v>5</v>
      </c>
      <c r="S74" s="57">
        <f t="shared" ca="1" si="28"/>
        <v>5</v>
      </c>
      <c r="T74" s="96">
        <f t="shared" ca="1" si="16"/>
        <v>100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3753000</v>
      </c>
      <c r="D75" s="66">
        <f t="shared" ref="D75:D88" ca="1" si="29">+E75+F75</f>
        <v>153000</v>
      </c>
      <c r="E75" s="67">
        <f ca="1">IFERROR(__xludf.DUMMYFUNCTION("IMPORTRANGE(""https://docs.google.com/spreadsheets/d/1MeEWN-I1oV_STSDYn1IFDPWt_1FKiwhDph83XaGc0o0/edit?usp=sharing"",""งบพรบ!ED75"")"),0)</f>
        <v>0</v>
      </c>
      <c r="F75" s="67">
        <f ca="1">IFERROR(__xludf.DUMMYFUNCTION("IMPORTRANGE(""https://docs.google.com/spreadsheets/d/1MeEWN-I1oV_STSDYn1IFDPWt_1FKiwhDph83XaGc0o0/edit?usp=sharing"",""งบพรบ!EE75"")"),153000)</f>
        <v>153000</v>
      </c>
      <c r="G75" s="100">
        <f ca="1">IFERROR(__xludf.DUMMYFUNCTION("IMPORTRANGE(""https://docs.google.com/spreadsheets/d/1MeEWN-I1oV_STSDYn1IFDPWt_1FKiwhDph83XaGc0o0/edit?usp=sharing"",""งบพรบ!EF75"")"),3600000)</f>
        <v>3600000</v>
      </c>
      <c r="H75" s="100">
        <f ca="1">IFERROR(__xludf.DUMMYFUNCTION("IMPORTRANGE(""https://docs.google.com/spreadsheets/d/1MeEWN-I1oV_STSDYn1IFDPWt_1FKiwhDph83XaGc0o0/edit?usp=sharing"",""งบพรบ!EH75"")"),250900)</f>
        <v>250900</v>
      </c>
      <c r="I75" s="100">
        <f ca="1">IFERROR(__xludf.DUMMYFUNCTION("IMPORTRANGE(""https://docs.google.com/spreadsheets/d/1MeEWN-I1oV_STSDYn1IFDPWt_1FKiwhDph83XaGc0o0/edit?usp=sharing"",""งบพรบ!EI75"")"),3533821.19)</f>
        <v>3533821.19</v>
      </c>
      <c r="J75" s="100">
        <f t="shared" ca="1" si="3"/>
        <v>3744959.07</v>
      </c>
      <c r="K75" s="101">
        <f t="shared" ca="1" si="4"/>
        <v>99.785746602717822</v>
      </c>
      <c r="L75" s="77">
        <f ca="1">IFERROR(__xludf.DUMMYFUNCTION("IMPORTRANGE(""https://docs.google.com/spreadsheets/d/1MeEWN-I1oV_STSDYn1IFDPWt_1FKiwhDph83XaGc0o0/edit?usp=sharing"",""งบพรบ!EJ75"")"),211137.88)</f>
        <v>211137.88</v>
      </c>
      <c r="M75" s="70">
        <f t="shared" ca="1" si="5"/>
        <v>137.99861437908496</v>
      </c>
      <c r="N75" s="70">
        <f t="shared" ca="1" si="6"/>
        <v>84.152204065364685</v>
      </c>
      <c r="O75" s="71">
        <f ca="1">IFERROR(__xludf.DUMMYFUNCTION("IMPORTRANGE(""https://docs.google.com/spreadsheets/d/1MeEWN-I1oV_STSDYn1IFDPWt_1FKiwhDph83XaGc0o0/edit?usp=sharing"",""งบพรบ!EK75"")"),3533821.19)</f>
        <v>3533821.19</v>
      </c>
      <c r="P75" s="71">
        <f t="shared" ca="1" si="18"/>
        <v>98.161699722222224</v>
      </c>
      <c r="Q75" s="70">
        <f t="shared" ca="1" si="8"/>
        <v>100</v>
      </c>
      <c r="R75" s="68">
        <f ca="1">IFERROR(__xludf.DUMMYFUNCTION("IMPORTRANGE(""https://docs.google.com/spreadsheets/d/1kC41EOXpGBFOW658Fs3oD8beYlym0-zO54WY-2Qnp9I/edit?usp=sharing"",""กระบี่!I325"")"),2)</f>
        <v>2</v>
      </c>
      <c r="S75" s="68">
        <f ca="1">IFERROR(__xludf.DUMMYFUNCTION("IMPORTRANGE(""https://docs.google.com/spreadsheets/d/1kC41EOXpGBFOW658Fs3oD8beYlym0-zO54WY-2Qnp9I/edit?usp=sharing"",""กระบี่!J325"")"),2)</f>
        <v>2</v>
      </c>
      <c r="T75" s="72">
        <f t="shared" ca="1" si="16"/>
        <v>100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153000</v>
      </c>
      <c r="D76" s="76">
        <f t="shared" ca="1" si="29"/>
        <v>153000</v>
      </c>
      <c r="E76" s="77">
        <f ca="1">IFERROR(__xludf.DUMMYFUNCTION("IMPORTRANGE(""https://docs.google.com/spreadsheets/d/1MeEWN-I1oV_STSDYn1IFDPWt_1FKiwhDph83XaGc0o0/edit?usp=sharing"",""งบพรบ!ED76"")"),0)</f>
        <v>0</v>
      </c>
      <c r="F76" s="77">
        <f ca="1">IFERROR(__xludf.DUMMYFUNCTION("IMPORTRANGE(""https://docs.google.com/spreadsheets/d/1MeEWN-I1oV_STSDYn1IFDPWt_1FKiwhDph83XaGc0o0/edit?usp=sharing"",""งบพรบ!EE76"")"),153000)</f>
        <v>153000</v>
      </c>
      <c r="G76" s="77">
        <f ca="1">IFERROR(__xludf.DUMMYFUNCTION("IMPORTRANGE(""https://docs.google.com/spreadsheets/d/1MeEWN-I1oV_STSDYn1IFDPWt_1FKiwhDph83XaGc0o0/edit?usp=sharing"",""งบพรบ!EF76"")"),0)</f>
        <v>0</v>
      </c>
      <c r="H76" s="77">
        <f ca="1">IFERROR(__xludf.DUMMYFUNCTION("IMPORTRANGE(""https://docs.google.com/spreadsheets/d/1MeEWN-I1oV_STSDYn1IFDPWt_1FKiwhDph83XaGc0o0/edit?usp=sharing"",""งบพรบ!EH76"")"),153000)</f>
        <v>153000</v>
      </c>
      <c r="I76" s="77">
        <f ca="1">IFERROR(__xludf.DUMMYFUNCTION("IMPORTRANGE(""https://docs.google.com/spreadsheets/d/1MeEWN-I1oV_STSDYn1IFDPWt_1FKiwhDph83XaGc0o0/edit?usp=sharing"",""งบพรบ!EI76"")"),0)</f>
        <v>0</v>
      </c>
      <c r="J76" s="77">
        <f t="shared" ca="1" si="3"/>
        <v>147243.20000000001</v>
      </c>
      <c r="K76" s="78">
        <f t="shared" ca="1" si="4"/>
        <v>96.237385620915049</v>
      </c>
      <c r="L76" s="77">
        <f ca="1">IFERROR(__xludf.DUMMYFUNCTION("IMPORTRANGE(""https://docs.google.com/spreadsheets/d/1MeEWN-I1oV_STSDYn1IFDPWt_1FKiwhDph83XaGc0o0/edit?usp=sharing"",""งบพรบ!EJ76"")"),147243.2)</f>
        <v>147243.20000000001</v>
      </c>
      <c r="M76" s="79">
        <f t="shared" ca="1" si="5"/>
        <v>96.237385620915049</v>
      </c>
      <c r="N76" s="79">
        <f t="shared" ca="1" si="6"/>
        <v>96.237385620915049</v>
      </c>
      <c r="O76" s="80">
        <f ca="1">IFERROR(__xludf.DUMMYFUNCTION("IMPORTRANGE(""https://docs.google.com/spreadsheets/d/1MeEWN-I1oV_STSDYn1IFDPWt_1FKiwhDph83XaGc0o0/edit?usp=sharing"",""งบพรบ!EK76"")"),0)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IFERROR(__xludf.DUMMYFUNCTION("IMPORTRANGE(""https://docs.google.com/spreadsheets/d/1FbzMZY_f3MDiEuK7RpCQKrilJ_kpX0Wm7QBZ1L7EjIU/edit?usp=sharing"",""ชุมพร!I325"")"),1)</f>
        <v>1</v>
      </c>
      <c r="S76" s="81">
        <f ca="1">IFERROR(__xludf.DUMMYFUNCTION("IMPORTRANGE(""https://docs.google.com/spreadsheets/d/1FbzMZY_f3MDiEuK7RpCQKrilJ_kpX0Wm7QBZ1L7EjIU/edit?usp=sharing"",""ชุมพร!J325"")"),1)</f>
        <v>1</v>
      </c>
      <c r="T76" s="82">
        <f t="shared" ca="1" si="16"/>
        <v>100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29"/>
        <v>0</v>
      </c>
      <c r="E77" s="77">
        <f ca="1">IFERROR(__xludf.DUMMYFUNCTION("IMPORTRANGE(""https://docs.google.com/spreadsheets/d/1MeEWN-I1oV_STSDYn1IFDPWt_1FKiwhDph83XaGc0o0/edit?usp=sharing"",""งบพรบ!ED77"")"),0)</f>
        <v>0</v>
      </c>
      <c r="F77" s="77">
        <f ca="1">IFERROR(__xludf.DUMMYFUNCTION("IMPORTRANGE(""https://docs.google.com/spreadsheets/d/1MeEWN-I1oV_STSDYn1IFDPWt_1FKiwhDph83XaGc0o0/edit?usp=sharing"",""งบพรบ!EE77"")"),0)</f>
        <v>0</v>
      </c>
      <c r="G77" s="77">
        <f ca="1">IFERROR(__xludf.DUMMYFUNCTION("IMPORTRANGE(""https://docs.google.com/spreadsheets/d/1MeEWN-I1oV_STSDYn1IFDPWt_1FKiwhDph83XaGc0o0/edit?usp=sharing"",""งบพรบ!EF77"")"),0)</f>
        <v>0</v>
      </c>
      <c r="H77" s="77">
        <f ca="1">IFERROR(__xludf.DUMMYFUNCTION("IMPORTRANGE(""https://docs.google.com/spreadsheets/d/1MeEWN-I1oV_STSDYn1IFDPWt_1FKiwhDph83XaGc0o0/edit?usp=sharing"",""งบพรบ!EH77"")"),0)</f>
        <v>0</v>
      </c>
      <c r="I77" s="77">
        <f ca="1">IFERROR(__xludf.DUMMYFUNCTION("IMPORTRANGE(""https://docs.google.com/spreadsheets/d/1MeEWN-I1oV_STSDYn1IFDPWt_1FKiwhDph83XaGc0o0/edit?usp=sharing"",""งบพรบ!EI77"")"),0)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IFERROR(__xludf.DUMMYFUNCTION("IMPORTRANGE(""https://docs.google.com/spreadsheets/d/1MeEWN-I1oV_STSDYn1IFDPWt_1FKiwhDph83XaGc0o0/edit?usp=sharing"",""งบพรบ!EJ77"")"),0)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IFERROR(__xludf.DUMMYFUNCTION("IMPORTRANGE(""https://docs.google.com/spreadsheets/d/1MeEWN-I1oV_STSDYn1IFDPWt_1FKiwhDph83XaGc0o0/edit?usp=sharing"",""งบพรบ!EK77"")"),0)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IFERROR(__xludf.DUMMYFUNCTION("IMPORTRANGE(""https://docs.google.com/spreadsheets/d/1v5sN-00LrXuhBxw4dkh2GrG_z4l5oAqOdJRBCsUyMaM/edit?usp=sharing"",""ตรัง!I325"")"),0)</f>
        <v>0</v>
      </c>
      <c r="S77" s="81">
        <f ca="1">IFERROR(__xludf.DUMMYFUNCTION("IMPORTRANGE(""https://docs.google.com/spreadsheets/d/1v5sN-00LrXuhBxw4dkh2GrG_z4l5oAqOdJRBCsUyMaM/edit?usp=sharing"",""ตรัง!J325"")"),0)</f>
        <v>0</v>
      </c>
      <c r="T77" s="82">
        <f t="shared" ca="1" si="16"/>
        <v>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29"/>
        <v>0</v>
      </c>
      <c r="E78" s="77">
        <f ca="1">IFERROR(__xludf.DUMMYFUNCTION("IMPORTRANGE(""https://docs.google.com/spreadsheets/d/1MeEWN-I1oV_STSDYn1IFDPWt_1FKiwhDph83XaGc0o0/edit?usp=sharing"",""งบพรบ!ED78"")"),0)</f>
        <v>0</v>
      </c>
      <c r="F78" s="77">
        <f ca="1">IFERROR(__xludf.DUMMYFUNCTION("IMPORTRANGE(""https://docs.google.com/spreadsheets/d/1MeEWN-I1oV_STSDYn1IFDPWt_1FKiwhDph83XaGc0o0/edit?usp=sharing"",""งบพรบ!EE78"")"),0)</f>
        <v>0</v>
      </c>
      <c r="G78" s="77">
        <f ca="1">IFERROR(__xludf.DUMMYFUNCTION("IMPORTRANGE(""https://docs.google.com/spreadsheets/d/1MeEWN-I1oV_STSDYn1IFDPWt_1FKiwhDph83XaGc0o0/edit?usp=sharing"",""งบพรบ!EF78"")"),0)</f>
        <v>0</v>
      </c>
      <c r="H78" s="77">
        <f ca="1">IFERROR(__xludf.DUMMYFUNCTION("IMPORTRANGE(""https://docs.google.com/spreadsheets/d/1MeEWN-I1oV_STSDYn1IFDPWt_1FKiwhDph83XaGc0o0/edit?usp=sharing"",""งบพรบ!EH78"")"),0)</f>
        <v>0</v>
      </c>
      <c r="I78" s="77">
        <f ca="1">IFERROR(__xludf.DUMMYFUNCTION("IMPORTRANGE(""https://docs.google.com/spreadsheets/d/1MeEWN-I1oV_STSDYn1IFDPWt_1FKiwhDph83XaGc0o0/edit?usp=sharing"",""งบพรบ!EI78"")"),0)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IFERROR(__xludf.DUMMYFUNCTION("IMPORTRANGE(""https://docs.google.com/spreadsheets/d/1MeEWN-I1oV_STSDYn1IFDPWt_1FKiwhDph83XaGc0o0/edit?usp=sharing"",""งบพรบ!EJ78"")"),0)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IFERROR(__xludf.DUMMYFUNCTION("IMPORTRANGE(""https://docs.google.com/spreadsheets/d/1MeEWN-I1oV_STSDYn1IFDPWt_1FKiwhDph83XaGc0o0/edit?usp=sharing"",""งบพรบ!EK78"")"),0)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IFERROR(__xludf.DUMMYFUNCTION("IMPORTRANGE(""https://docs.google.com/spreadsheets/d/1T5rRTzFc79aSIvqnzkZNvwPstq829QYz_xALlO1Z0s8/edit?usp=sharing"",""นครศรีธรรมราช!I325"")"),0)</f>
        <v>0</v>
      </c>
      <c r="S78" s="81">
        <f ca="1">IFERROR(__xludf.DUMMYFUNCTION("IMPORTRANGE(""https://docs.google.com/spreadsheets/d/1T5rRTzFc79aSIvqnzkZNvwPstq829QYz_xALlO1Z0s8/edit?usp=sharing"",""นครศรีธรรมราช!J325"")"),0)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29"/>
        <v>0</v>
      </c>
      <c r="E79" s="77">
        <f ca="1">IFERROR(__xludf.DUMMYFUNCTION("IMPORTRANGE(""https://docs.google.com/spreadsheets/d/1MeEWN-I1oV_STSDYn1IFDPWt_1FKiwhDph83XaGc0o0/edit?usp=sharing"",""งบพรบ!ED79"")"),0)</f>
        <v>0</v>
      </c>
      <c r="F79" s="77">
        <f ca="1">IFERROR(__xludf.DUMMYFUNCTION("IMPORTRANGE(""https://docs.google.com/spreadsheets/d/1MeEWN-I1oV_STSDYn1IFDPWt_1FKiwhDph83XaGc0o0/edit?usp=sharing"",""งบพรบ!EE79"")"),0)</f>
        <v>0</v>
      </c>
      <c r="G79" s="77">
        <f ca="1">IFERROR(__xludf.DUMMYFUNCTION("IMPORTRANGE(""https://docs.google.com/spreadsheets/d/1MeEWN-I1oV_STSDYn1IFDPWt_1FKiwhDph83XaGc0o0/edit?usp=sharing"",""งบพรบ!EF79"")"),0)</f>
        <v>0</v>
      </c>
      <c r="H79" s="77">
        <f ca="1">IFERROR(__xludf.DUMMYFUNCTION("IMPORTRANGE(""https://docs.google.com/spreadsheets/d/1MeEWN-I1oV_STSDYn1IFDPWt_1FKiwhDph83XaGc0o0/edit?usp=sharing"",""งบพรบ!EH79"")"),0)</f>
        <v>0</v>
      </c>
      <c r="I79" s="77">
        <f ca="1">IFERROR(__xludf.DUMMYFUNCTION("IMPORTRANGE(""https://docs.google.com/spreadsheets/d/1MeEWN-I1oV_STSDYn1IFDPWt_1FKiwhDph83XaGc0o0/edit?usp=sharing"",""งบพรบ!EI79"")"),0)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IFERROR(__xludf.DUMMYFUNCTION("IMPORTRANGE(""https://docs.google.com/spreadsheets/d/1MeEWN-I1oV_STSDYn1IFDPWt_1FKiwhDph83XaGc0o0/edit?usp=sharing"",""งบพรบ!EJ79"")"),0)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IFERROR(__xludf.DUMMYFUNCTION("IMPORTRANGE(""https://docs.google.com/spreadsheets/d/1MeEWN-I1oV_STSDYn1IFDPWt_1FKiwhDph83XaGc0o0/edit?usp=sharing"",""งบพรบ!EK79"")"),0)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IFERROR(__xludf.DUMMYFUNCTION("IMPORTRANGE(""https://docs.google.com/spreadsheets/d/1BeghqumK0IvCmRd2QOy6_afsZq7ZtAGrSnVJy2u7WmY/edit?usp=sharing"",""นราธิวาส!I325"")"),0)</f>
        <v>0</v>
      </c>
      <c r="S79" s="81">
        <f ca="1">IFERROR(__xludf.DUMMYFUNCTION("IMPORTRANGE(""https://docs.google.com/spreadsheets/d/1BeghqumK0IvCmRd2QOy6_afsZq7ZtAGrSnVJy2u7WmY/edit?usp=sharing"",""นราธิวาส!J325"")"),0)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29"/>
        <v>0</v>
      </c>
      <c r="E80" s="77">
        <f ca="1">IFERROR(__xludf.DUMMYFUNCTION("IMPORTRANGE(""https://docs.google.com/spreadsheets/d/1MeEWN-I1oV_STSDYn1IFDPWt_1FKiwhDph83XaGc0o0/edit?usp=sharing"",""งบพรบ!ED80"")"),0)</f>
        <v>0</v>
      </c>
      <c r="F80" s="77">
        <f ca="1">IFERROR(__xludf.DUMMYFUNCTION("IMPORTRANGE(""https://docs.google.com/spreadsheets/d/1MeEWN-I1oV_STSDYn1IFDPWt_1FKiwhDph83XaGc0o0/edit?usp=sharing"",""งบพรบ!EE80"")"),0)</f>
        <v>0</v>
      </c>
      <c r="G80" s="77">
        <f ca="1">IFERROR(__xludf.DUMMYFUNCTION("IMPORTRANGE(""https://docs.google.com/spreadsheets/d/1MeEWN-I1oV_STSDYn1IFDPWt_1FKiwhDph83XaGc0o0/edit?usp=sharing"",""งบพรบ!EF80"")"),0)</f>
        <v>0</v>
      </c>
      <c r="H80" s="77">
        <f ca="1">IFERROR(__xludf.DUMMYFUNCTION("IMPORTRANGE(""https://docs.google.com/spreadsheets/d/1MeEWN-I1oV_STSDYn1IFDPWt_1FKiwhDph83XaGc0o0/edit?usp=sharing"",""งบพรบ!EH80"")"),0)</f>
        <v>0</v>
      </c>
      <c r="I80" s="77">
        <f ca="1">IFERROR(__xludf.DUMMYFUNCTION("IMPORTRANGE(""https://docs.google.com/spreadsheets/d/1MeEWN-I1oV_STSDYn1IFDPWt_1FKiwhDph83XaGc0o0/edit?usp=sharing"",""งบพรบ!EI80"")"),0)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IFERROR(__xludf.DUMMYFUNCTION("IMPORTRANGE(""https://docs.google.com/spreadsheets/d/1MeEWN-I1oV_STSDYn1IFDPWt_1FKiwhDph83XaGc0o0/edit?usp=sharing"",""งบพรบ!EJ80"")"),0)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IFERROR(__xludf.DUMMYFUNCTION("IMPORTRANGE(""https://docs.google.com/spreadsheets/d/1MeEWN-I1oV_STSDYn1IFDPWt_1FKiwhDph83XaGc0o0/edit?usp=sharing"",""งบพรบ!EK80"")"),0)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IFERROR(__xludf.DUMMYFUNCTION("IMPORTRANGE(""https://docs.google.com/spreadsheets/d/1IwnW3-jjRf74MCLW-6PiFwMUffRQXZwZA7YM609NmRc/edit?usp=sharing"",""ปัตตานี!I325"")"),0)</f>
        <v>0</v>
      </c>
      <c r="S80" s="81">
        <f ca="1">IFERROR(__xludf.DUMMYFUNCTION("IMPORTRANGE(""https://docs.google.com/spreadsheets/d/1IwnW3-jjRf74MCLW-6PiFwMUffRQXZwZA7YM609NmRc/edit?usp=sharing"",""ปัตตานี!J325"")"),0)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29"/>
        <v>0</v>
      </c>
      <c r="E81" s="77">
        <f ca="1">IFERROR(__xludf.DUMMYFUNCTION("IMPORTRANGE(""https://docs.google.com/spreadsheets/d/1MeEWN-I1oV_STSDYn1IFDPWt_1FKiwhDph83XaGc0o0/edit?usp=sharing"",""งบพรบ!ED81"")"),0)</f>
        <v>0</v>
      </c>
      <c r="F81" s="77">
        <f ca="1">IFERROR(__xludf.DUMMYFUNCTION("IMPORTRANGE(""https://docs.google.com/spreadsheets/d/1MeEWN-I1oV_STSDYn1IFDPWt_1FKiwhDph83XaGc0o0/edit?usp=sharing"",""งบพรบ!EE81"")"),0)</f>
        <v>0</v>
      </c>
      <c r="G81" s="77">
        <f ca="1">IFERROR(__xludf.DUMMYFUNCTION("IMPORTRANGE(""https://docs.google.com/spreadsheets/d/1MeEWN-I1oV_STSDYn1IFDPWt_1FKiwhDph83XaGc0o0/edit?usp=sharing"",""งบพรบ!EF81"")"),0)</f>
        <v>0</v>
      </c>
      <c r="H81" s="77">
        <f ca="1">IFERROR(__xludf.DUMMYFUNCTION("IMPORTRANGE(""https://docs.google.com/spreadsheets/d/1MeEWN-I1oV_STSDYn1IFDPWt_1FKiwhDph83XaGc0o0/edit?usp=sharing"",""งบพรบ!EH81"")"),0)</f>
        <v>0</v>
      </c>
      <c r="I81" s="77">
        <f ca="1">IFERROR(__xludf.DUMMYFUNCTION("IMPORTRANGE(""https://docs.google.com/spreadsheets/d/1MeEWN-I1oV_STSDYn1IFDPWt_1FKiwhDph83XaGc0o0/edit?usp=sharing"",""งบพรบ!EI81"")"),0)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IFERROR(__xludf.DUMMYFUNCTION("IMPORTRANGE(""https://docs.google.com/spreadsheets/d/1MeEWN-I1oV_STSDYn1IFDPWt_1FKiwhDph83XaGc0o0/edit?usp=sharing"",""งบพรบ!EJ81"")"),0)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IFERROR(__xludf.DUMMYFUNCTION("IMPORTRANGE(""https://docs.google.com/spreadsheets/d/1MeEWN-I1oV_STSDYn1IFDPWt_1FKiwhDph83XaGc0o0/edit?usp=sharing"",""งบพรบ!EK81"")"),0)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IFERROR(__xludf.DUMMYFUNCTION("IMPORTRANGE(""https://docs.google.com/spreadsheets/d/1vl4QWbWdFruual5o_wdo6ZSqXZ_it806oja4CctTLKs/edit?usp=sharing"",""พังงา!I325"")"),0)</f>
        <v>0</v>
      </c>
      <c r="S81" s="81">
        <f ca="1">IFERROR(__xludf.DUMMYFUNCTION("IMPORTRANGE(""https://docs.google.com/spreadsheets/d/1vl4QWbWdFruual5o_wdo6ZSqXZ_it806oja4CctTLKs/edit?usp=sharing"",""พังงา!J325"")"),0)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29"/>
        <v>0</v>
      </c>
      <c r="E82" s="77">
        <f ca="1">IFERROR(__xludf.DUMMYFUNCTION("IMPORTRANGE(""https://docs.google.com/spreadsheets/d/1MeEWN-I1oV_STSDYn1IFDPWt_1FKiwhDph83XaGc0o0/edit?usp=sharing"",""งบพรบ!ED82"")"),0)</f>
        <v>0</v>
      </c>
      <c r="F82" s="77">
        <f ca="1">IFERROR(__xludf.DUMMYFUNCTION("IMPORTRANGE(""https://docs.google.com/spreadsheets/d/1MeEWN-I1oV_STSDYn1IFDPWt_1FKiwhDph83XaGc0o0/edit?usp=sharing"",""งบพรบ!EE82"")"),0)</f>
        <v>0</v>
      </c>
      <c r="G82" s="77">
        <f ca="1">IFERROR(__xludf.DUMMYFUNCTION("IMPORTRANGE(""https://docs.google.com/spreadsheets/d/1MeEWN-I1oV_STSDYn1IFDPWt_1FKiwhDph83XaGc0o0/edit?usp=sharing"",""งบพรบ!EF82"")"),0)</f>
        <v>0</v>
      </c>
      <c r="H82" s="77">
        <f ca="1">IFERROR(__xludf.DUMMYFUNCTION("IMPORTRANGE(""https://docs.google.com/spreadsheets/d/1MeEWN-I1oV_STSDYn1IFDPWt_1FKiwhDph83XaGc0o0/edit?usp=sharing"",""งบพรบ!EH82"")"),0)</f>
        <v>0</v>
      </c>
      <c r="I82" s="77">
        <f ca="1">IFERROR(__xludf.DUMMYFUNCTION("IMPORTRANGE(""https://docs.google.com/spreadsheets/d/1MeEWN-I1oV_STSDYn1IFDPWt_1FKiwhDph83XaGc0o0/edit?usp=sharing"",""งบพรบ!EI82"")"),0)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IFERROR(__xludf.DUMMYFUNCTION("IMPORTRANGE(""https://docs.google.com/spreadsheets/d/1MeEWN-I1oV_STSDYn1IFDPWt_1FKiwhDph83XaGc0o0/edit?usp=sharing"",""งบพรบ!EJ82"")"),0)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IFERROR(__xludf.DUMMYFUNCTION("IMPORTRANGE(""https://docs.google.com/spreadsheets/d/1MeEWN-I1oV_STSDYn1IFDPWt_1FKiwhDph83XaGc0o0/edit?usp=sharing"",""งบพรบ!EK82"")"),0)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IFERROR(__xludf.DUMMYFUNCTION("IMPORTRANGE(""https://docs.google.com/spreadsheets/d/1b6QssHQp2FoAPSMKHOy273KNzAomaIKhtdlvuZ_zDNE/edit?usp=sharing"",""พัทลุง!I325"")"),0)</f>
        <v>0</v>
      </c>
      <c r="S82" s="81">
        <f ca="1">IFERROR(__xludf.DUMMYFUNCTION("IMPORTRANGE(""https://docs.google.com/spreadsheets/d/1b6QssHQp2FoAPSMKHOy273KNzAomaIKhtdlvuZ_zDNE/edit?usp=sharing"",""พัทลุง!J325"")"),0)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29"/>
        <v>0</v>
      </c>
      <c r="E83" s="77">
        <f ca="1">IFERROR(__xludf.DUMMYFUNCTION("IMPORTRANGE(""https://docs.google.com/spreadsheets/d/1MeEWN-I1oV_STSDYn1IFDPWt_1FKiwhDph83XaGc0o0/edit?usp=sharing"",""งบพรบ!ED83"")"),0)</f>
        <v>0</v>
      </c>
      <c r="F83" s="77">
        <f ca="1">IFERROR(__xludf.DUMMYFUNCTION("IMPORTRANGE(""https://docs.google.com/spreadsheets/d/1MeEWN-I1oV_STSDYn1IFDPWt_1FKiwhDph83XaGc0o0/edit?usp=sharing"",""งบพรบ!EE83"")"),0)</f>
        <v>0</v>
      </c>
      <c r="G83" s="77">
        <f ca="1">IFERROR(__xludf.DUMMYFUNCTION("IMPORTRANGE(""https://docs.google.com/spreadsheets/d/1MeEWN-I1oV_STSDYn1IFDPWt_1FKiwhDph83XaGc0o0/edit?usp=sharing"",""งบพรบ!EF83"")"),0)</f>
        <v>0</v>
      </c>
      <c r="H83" s="77">
        <f ca="1">IFERROR(__xludf.DUMMYFUNCTION("IMPORTRANGE(""https://docs.google.com/spreadsheets/d/1MeEWN-I1oV_STSDYn1IFDPWt_1FKiwhDph83XaGc0o0/edit?usp=sharing"",""งบพรบ!EH83"")"),0)</f>
        <v>0</v>
      </c>
      <c r="I83" s="77">
        <f ca="1">IFERROR(__xludf.DUMMYFUNCTION("IMPORTRANGE(""https://docs.google.com/spreadsheets/d/1MeEWN-I1oV_STSDYn1IFDPWt_1FKiwhDph83XaGc0o0/edit?usp=sharing"",""งบพรบ!EI83"")"),0)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IFERROR(__xludf.DUMMYFUNCTION("IMPORTRANGE(""https://docs.google.com/spreadsheets/d/1MeEWN-I1oV_STSDYn1IFDPWt_1FKiwhDph83XaGc0o0/edit?usp=sharing"",""งบพรบ!EJ83"")"),0)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IFERROR(__xludf.DUMMYFUNCTION("IMPORTRANGE(""https://docs.google.com/spreadsheets/d/1MeEWN-I1oV_STSDYn1IFDPWt_1FKiwhDph83XaGc0o0/edit?usp=sharing"",""งบพรบ!EK83"")"),0)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IFERROR(__xludf.DUMMYFUNCTION("IMPORTRANGE(""https://docs.google.com/spreadsheets/d/1o7UZe4_OqlqtLDHrj01Z2YFRSZDf1DMy1n3XViHaxRc/edit?usp=sharing"",""ภูเก็ต!I325"")"),0)</f>
        <v>0</v>
      </c>
      <c r="S83" s="81">
        <f ca="1">IFERROR(__xludf.DUMMYFUNCTION("IMPORTRANGE(""https://docs.google.com/spreadsheets/d/1o7UZe4_OqlqtLDHrj01Z2YFRSZDf1DMy1n3XViHaxRc/edit?usp=sharing"",""ภูเก็ต!J325"")"),0)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29"/>
        <v>0</v>
      </c>
      <c r="E84" s="77">
        <f ca="1">IFERROR(__xludf.DUMMYFUNCTION("IMPORTRANGE(""https://docs.google.com/spreadsheets/d/1MeEWN-I1oV_STSDYn1IFDPWt_1FKiwhDph83XaGc0o0/edit?usp=sharing"",""งบพรบ!ED84"")"),0)</f>
        <v>0</v>
      </c>
      <c r="F84" s="77">
        <f ca="1">IFERROR(__xludf.DUMMYFUNCTION("IMPORTRANGE(""https://docs.google.com/spreadsheets/d/1MeEWN-I1oV_STSDYn1IFDPWt_1FKiwhDph83XaGc0o0/edit?usp=sharing"",""งบพรบ!EE84"")"),0)</f>
        <v>0</v>
      </c>
      <c r="G84" s="77">
        <f ca="1">IFERROR(__xludf.DUMMYFUNCTION("IMPORTRANGE(""https://docs.google.com/spreadsheets/d/1MeEWN-I1oV_STSDYn1IFDPWt_1FKiwhDph83XaGc0o0/edit?usp=sharing"",""งบพรบ!EF84"")"),0)</f>
        <v>0</v>
      </c>
      <c r="H84" s="77">
        <f ca="1">IFERROR(__xludf.DUMMYFUNCTION("IMPORTRANGE(""https://docs.google.com/spreadsheets/d/1MeEWN-I1oV_STSDYn1IFDPWt_1FKiwhDph83XaGc0o0/edit?usp=sharing"",""งบพรบ!EH84"")"),0)</f>
        <v>0</v>
      </c>
      <c r="I84" s="77">
        <f ca="1">IFERROR(__xludf.DUMMYFUNCTION("IMPORTRANGE(""https://docs.google.com/spreadsheets/d/1MeEWN-I1oV_STSDYn1IFDPWt_1FKiwhDph83XaGc0o0/edit?usp=sharing"",""งบพรบ!EI84"")"),0)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IFERROR(__xludf.DUMMYFUNCTION("IMPORTRANGE(""https://docs.google.com/spreadsheets/d/1MeEWN-I1oV_STSDYn1IFDPWt_1FKiwhDph83XaGc0o0/edit?usp=sharing"",""งบพรบ!EJ84"")"),0)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IFERROR(__xludf.DUMMYFUNCTION("IMPORTRANGE(""https://docs.google.com/spreadsheets/d/1MeEWN-I1oV_STSDYn1IFDPWt_1FKiwhDph83XaGc0o0/edit?usp=sharing"",""งบพรบ!EK84"")"),0)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IFERROR(__xludf.DUMMYFUNCTION("IMPORTRANGE(""https://docs.google.com/spreadsheets/d/1ctPm1vUzcUCPuOj9-eoHUD85PqINFqUB0TjdSWmR5-c/edit?usp=sharing"",""ยะลา!I325"")"),0)</f>
        <v>0</v>
      </c>
      <c r="S84" s="81">
        <f ca="1">IFERROR(__xludf.DUMMYFUNCTION("IMPORTRANGE(""https://docs.google.com/spreadsheets/d/1ctPm1vUzcUCPuOj9-eoHUD85PqINFqUB0TjdSWmR5-c/edit?usp=sharing"",""ยะลา!J325"")"),0)</f>
        <v>0</v>
      </c>
      <c r="T84" s="82">
        <f t="shared" ca="1" si="16"/>
        <v>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29"/>
        <v>0</v>
      </c>
      <c r="E85" s="77">
        <f ca="1">IFERROR(__xludf.DUMMYFUNCTION("IMPORTRANGE(""https://docs.google.com/spreadsheets/d/1MeEWN-I1oV_STSDYn1IFDPWt_1FKiwhDph83XaGc0o0/edit?usp=sharing"",""งบพรบ!ED85"")"),0)</f>
        <v>0</v>
      </c>
      <c r="F85" s="77">
        <f ca="1">IFERROR(__xludf.DUMMYFUNCTION("IMPORTRANGE(""https://docs.google.com/spreadsheets/d/1MeEWN-I1oV_STSDYn1IFDPWt_1FKiwhDph83XaGc0o0/edit?usp=sharing"",""งบพรบ!EE85"")"),0)</f>
        <v>0</v>
      </c>
      <c r="G85" s="77">
        <f ca="1">IFERROR(__xludf.DUMMYFUNCTION("IMPORTRANGE(""https://docs.google.com/spreadsheets/d/1MeEWN-I1oV_STSDYn1IFDPWt_1FKiwhDph83XaGc0o0/edit?usp=sharing"",""งบพรบ!EF85"")"),0)</f>
        <v>0</v>
      </c>
      <c r="H85" s="77">
        <f ca="1">IFERROR(__xludf.DUMMYFUNCTION("IMPORTRANGE(""https://docs.google.com/spreadsheets/d/1MeEWN-I1oV_STSDYn1IFDPWt_1FKiwhDph83XaGc0o0/edit?usp=sharing"",""งบพรบ!EH85"")"),0)</f>
        <v>0</v>
      </c>
      <c r="I85" s="77">
        <f ca="1">IFERROR(__xludf.DUMMYFUNCTION("IMPORTRANGE(""https://docs.google.com/spreadsheets/d/1MeEWN-I1oV_STSDYn1IFDPWt_1FKiwhDph83XaGc0o0/edit?usp=sharing"",""งบพรบ!EI85"")"),0)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IFERROR(__xludf.DUMMYFUNCTION("IMPORTRANGE(""https://docs.google.com/spreadsheets/d/1MeEWN-I1oV_STSDYn1IFDPWt_1FKiwhDph83XaGc0o0/edit?usp=sharing"",""งบพรบ!EJ85"")"),0)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IFERROR(__xludf.DUMMYFUNCTION("IMPORTRANGE(""https://docs.google.com/spreadsheets/d/1MeEWN-I1oV_STSDYn1IFDPWt_1FKiwhDph83XaGc0o0/edit?usp=sharing"",""งบพรบ!EK85"")"),0)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IFERROR(__xludf.DUMMYFUNCTION("IMPORTRANGE(""https://docs.google.com/spreadsheets/d/1YiDIE7Klmt8osgdapRqYWNr7iPGFSsiJqq46S7PYRE0/edit?usp=sharing"",""ระนอง!I325"")"),0)</f>
        <v>0</v>
      </c>
      <c r="S85" s="81">
        <f ca="1">IFERROR(__xludf.DUMMYFUNCTION("IMPORTRANGE(""https://docs.google.com/spreadsheets/d/1YiDIE7Klmt8osgdapRqYWNr7iPGFSsiJqq46S7PYRE0/edit?usp=sharing"",""ระนอง!J325"")"),0)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296000</v>
      </c>
      <c r="D86" s="76">
        <f t="shared" ca="1" si="29"/>
        <v>296000</v>
      </c>
      <c r="E86" s="77">
        <f ca="1">IFERROR(__xludf.DUMMYFUNCTION("IMPORTRANGE(""https://docs.google.com/spreadsheets/d/1MeEWN-I1oV_STSDYn1IFDPWt_1FKiwhDph83XaGc0o0/edit?usp=sharing"",""งบพรบ!ED86"")"),143000)</f>
        <v>143000</v>
      </c>
      <c r="F86" s="77">
        <f ca="1">IFERROR(__xludf.DUMMYFUNCTION("IMPORTRANGE(""https://docs.google.com/spreadsheets/d/1MeEWN-I1oV_STSDYn1IFDPWt_1FKiwhDph83XaGc0o0/edit?usp=sharing"",""งบพรบ!EE86"")"),153000)</f>
        <v>153000</v>
      </c>
      <c r="G86" s="77">
        <f ca="1">IFERROR(__xludf.DUMMYFUNCTION("IMPORTRANGE(""https://docs.google.com/spreadsheets/d/1MeEWN-I1oV_STSDYn1IFDPWt_1FKiwhDph83XaGc0o0/edit?usp=sharing"",""งบพรบ!EF86"")"),0)</f>
        <v>0</v>
      </c>
      <c r="H86" s="77">
        <f ca="1">IFERROR(__xludf.DUMMYFUNCTION("IMPORTRANGE(""https://docs.google.com/spreadsheets/d/1MeEWN-I1oV_STSDYn1IFDPWt_1FKiwhDph83XaGc0o0/edit?usp=sharing"",""งบพรบ!EH86"")"),296000)</f>
        <v>296000</v>
      </c>
      <c r="I86" s="77">
        <f ca="1">IFERROR(__xludf.DUMMYFUNCTION("IMPORTRANGE(""https://docs.google.com/spreadsheets/d/1MeEWN-I1oV_STSDYn1IFDPWt_1FKiwhDph83XaGc0o0/edit?usp=sharing"",""งบพรบ!EI86"")"),53260)</f>
        <v>53260</v>
      </c>
      <c r="J86" s="77">
        <f t="shared" ca="1" si="3"/>
        <v>294754.94</v>
      </c>
      <c r="K86" s="78">
        <f t="shared" ca="1" si="4"/>
        <v>99.579371621621618</v>
      </c>
      <c r="L86" s="77">
        <f ca="1">IFERROR(__xludf.DUMMYFUNCTION("IMPORTRANGE(""https://docs.google.com/spreadsheets/d/1MeEWN-I1oV_STSDYn1IFDPWt_1FKiwhDph83XaGc0o0/edit?usp=sharing"",""งบพรบ!EJ86"")"),262944)</f>
        <v>262944</v>
      </c>
      <c r="M86" s="79">
        <f t="shared" ca="1" si="5"/>
        <v>88.832432432432427</v>
      </c>
      <c r="N86" s="79">
        <f t="shared" ca="1" si="6"/>
        <v>88.832432432432427</v>
      </c>
      <c r="O86" s="80">
        <f ca="1">IFERROR(__xludf.DUMMYFUNCTION("IMPORTRANGE(""https://docs.google.com/spreadsheets/d/1MeEWN-I1oV_STSDYn1IFDPWt_1FKiwhDph83XaGc0o0/edit?usp=sharing"",""งบพรบ!EK86"")"),31810.94)</f>
        <v>31810.94</v>
      </c>
      <c r="P86" s="80">
        <f t="shared" ca="1" si="18"/>
        <v>0</v>
      </c>
      <c r="Q86" s="79">
        <f t="shared" ca="1" si="8"/>
        <v>59.727638002253101</v>
      </c>
      <c r="R86" s="81">
        <f ca="1">IFERROR(__xludf.DUMMYFUNCTION("IMPORTRANGE(""https://docs.google.com/spreadsheets/d/16o_4B-V7AWw_6E93bSpXj_XxVv1oVQctk-B6z1dNEWU/edit?usp=sharing"",""สงขลา!I325"")"),1)</f>
        <v>1</v>
      </c>
      <c r="S86" s="81">
        <f ca="1">IFERROR(__xludf.DUMMYFUNCTION("IMPORTRANGE(""https://docs.google.com/spreadsheets/d/16o_4B-V7AWw_6E93bSpXj_XxVv1oVQctk-B6z1dNEWU/edit?usp=sharing"",""สงขลา!J325"")"),1)</f>
        <v>1</v>
      </c>
      <c r="T86" s="82">
        <f t="shared" ca="1" si="16"/>
        <v>100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29"/>
        <v>0</v>
      </c>
      <c r="E87" s="77">
        <f ca="1">IFERROR(__xludf.DUMMYFUNCTION("IMPORTRANGE(""https://docs.google.com/spreadsheets/d/1MeEWN-I1oV_STSDYn1IFDPWt_1FKiwhDph83XaGc0o0/edit?usp=sharing"",""งบพรบ!ED87"")"),0)</f>
        <v>0</v>
      </c>
      <c r="F87" s="77">
        <f ca="1">IFERROR(__xludf.DUMMYFUNCTION("IMPORTRANGE(""https://docs.google.com/spreadsheets/d/1MeEWN-I1oV_STSDYn1IFDPWt_1FKiwhDph83XaGc0o0/edit?usp=sharing"",""งบพรบ!EE87"")"),0)</f>
        <v>0</v>
      </c>
      <c r="G87" s="77">
        <f ca="1">IFERROR(__xludf.DUMMYFUNCTION("IMPORTRANGE(""https://docs.google.com/spreadsheets/d/1MeEWN-I1oV_STSDYn1IFDPWt_1FKiwhDph83XaGc0o0/edit?usp=sharing"",""งบพรบ!EF87"")"),0)</f>
        <v>0</v>
      </c>
      <c r="H87" s="77">
        <f ca="1">IFERROR(__xludf.DUMMYFUNCTION("IMPORTRANGE(""https://docs.google.com/spreadsheets/d/1MeEWN-I1oV_STSDYn1IFDPWt_1FKiwhDph83XaGc0o0/edit?usp=sharing"",""งบพรบ!EH87"")"),0)</f>
        <v>0</v>
      </c>
      <c r="I87" s="77">
        <f ca="1">IFERROR(__xludf.DUMMYFUNCTION("IMPORTRANGE(""https://docs.google.com/spreadsheets/d/1MeEWN-I1oV_STSDYn1IFDPWt_1FKiwhDph83XaGc0o0/edit?usp=sharing"",""งบพรบ!EI87"")"),0)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IFERROR(__xludf.DUMMYFUNCTION("IMPORTRANGE(""https://docs.google.com/spreadsheets/d/1MeEWN-I1oV_STSDYn1IFDPWt_1FKiwhDph83XaGc0o0/edit?usp=sharing"",""งบพรบ!EJ87"")"),0)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IFERROR(__xludf.DUMMYFUNCTION("IMPORTRANGE(""https://docs.google.com/spreadsheets/d/1MeEWN-I1oV_STSDYn1IFDPWt_1FKiwhDph83XaGc0o0/edit?usp=sharing"",""งบพรบ!EK87"")"),0)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IFERROR(__xludf.DUMMYFUNCTION("IMPORTRANGE(""https://docs.google.com/spreadsheets/d/16cywr71Fj4fA5OGRHsZh30ZG2gwJhMAQv69oVBzYHv0/edit?usp=sharing"",""สตูล!I325"")"),0)</f>
        <v>0</v>
      </c>
      <c r="S87" s="81">
        <f ca="1">IFERROR(__xludf.DUMMYFUNCTION("IMPORTRANGE(""https://docs.google.com/spreadsheets/d/16cywr71Fj4fA5OGRHsZh30ZG2gwJhMAQv69oVBzYHv0/edit?usp=sharing"",""สตูล!J325"")"),0)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439000</v>
      </c>
      <c r="D88" s="87">
        <f t="shared" ca="1" si="29"/>
        <v>439000</v>
      </c>
      <c r="E88" s="88">
        <f ca="1">IFERROR(__xludf.DUMMYFUNCTION("IMPORTRANGE(""https://docs.google.com/spreadsheets/d/1MeEWN-I1oV_STSDYn1IFDPWt_1FKiwhDph83XaGc0o0/edit?usp=sharing"",""งบพรบ!ED88"")"),286000)</f>
        <v>286000</v>
      </c>
      <c r="F88" s="88">
        <f ca="1">IFERROR(__xludf.DUMMYFUNCTION("IMPORTRANGE(""https://docs.google.com/spreadsheets/d/1MeEWN-I1oV_STSDYn1IFDPWt_1FKiwhDph83XaGc0o0/edit?usp=sharing"",""งบพรบ!EE88"")"),153000)</f>
        <v>153000</v>
      </c>
      <c r="G88" s="88">
        <f ca="1">IFERROR(__xludf.DUMMYFUNCTION("IMPORTRANGE(""https://docs.google.com/spreadsheets/d/1MeEWN-I1oV_STSDYn1IFDPWt_1FKiwhDph83XaGc0o0/edit?usp=sharing"",""งบพรบ!EF88"")"),0)</f>
        <v>0</v>
      </c>
      <c r="H88" s="88">
        <f ca="1">IFERROR(__xludf.DUMMYFUNCTION("IMPORTRANGE(""https://docs.google.com/spreadsheets/d/1MeEWN-I1oV_STSDYn1IFDPWt_1FKiwhDph83XaGc0o0/edit?usp=sharing"",""งบพรบ!EH88"")"),439000)</f>
        <v>439000</v>
      </c>
      <c r="I88" s="88">
        <f ca="1">IFERROR(__xludf.DUMMYFUNCTION("IMPORTRANGE(""https://docs.google.com/spreadsheets/d/1MeEWN-I1oV_STSDYn1IFDPWt_1FKiwhDph83XaGc0o0/edit?usp=sharing"",""งบพรบ!EI88"")"),0)</f>
        <v>0</v>
      </c>
      <c r="J88" s="88">
        <f t="shared" ca="1" si="3"/>
        <v>404870.6</v>
      </c>
      <c r="K88" s="89">
        <f t="shared" ca="1" si="4"/>
        <v>92.225649202733479</v>
      </c>
      <c r="L88" s="88">
        <f ca="1">IFERROR(__xludf.DUMMYFUNCTION("IMPORTRANGE(""https://docs.google.com/spreadsheets/d/1MeEWN-I1oV_STSDYn1IFDPWt_1FKiwhDph83XaGc0o0/edit?usp=sharing"",""งบพรบ!EJ88"")"),404870.6)</f>
        <v>404870.6</v>
      </c>
      <c r="M88" s="90">
        <f t="shared" ca="1" si="5"/>
        <v>92.225649202733479</v>
      </c>
      <c r="N88" s="90">
        <f t="shared" ca="1" si="6"/>
        <v>92.225649202733479</v>
      </c>
      <c r="O88" s="91">
        <f ca="1">IFERROR(__xludf.DUMMYFUNCTION("IMPORTRANGE(""https://docs.google.com/spreadsheets/d/1MeEWN-I1oV_STSDYn1IFDPWt_1FKiwhDph83XaGc0o0/edit?usp=sharing"",""งบพรบ!EK88"")"),0)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IFERROR(__xludf.DUMMYFUNCTION("IMPORTRANGE(""https://docs.google.com/spreadsheets/d/1vO9Sws6kMtrVtyvrAJptINXjK8TFBoX9xLYOVK_C8bQ/edit?usp=sharing"",""สุราษฎร์ธานี!I325"")"),1)</f>
        <v>1</v>
      </c>
      <c r="S88" s="92">
        <f ca="1">IFERROR(__xludf.DUMMYFUNCTION("IMPORTRANGE(""https://docs.google.com/spreadsheets/d/1vO9Sws6kMtrVtyvrAJptINXjK8TFBoX9xLYOVK_C8bQ/edit?usp=sharing"",""สุราษฎร์ธานี!J325"")"),1)</f>
        <v>1</v>
      </c>
      <c r="T88" s="93">
        <f t="shared" ca="1" si="16"/>
        <v>100</v>
      </c>
    </row>
    <row r="89" spans="1:20" ht="21" hidden="1" customHeight="1" x14ac:dyDescent="0.2">
      <c r="A89" s="369" t="s">
        <v>111</v>
      </c>
      <c r="B89" s="370"/>
      <c r="C89" s="102">
        <f t="shared" ca="1" si="0"/>
        <v>860000</v>
      </c>
      <c r="D89" s="41">
        <f t="shared" ref="D89:I89" ca="1" si="30">+D90+D91+D92+D93+D94+D95+D96+D97+D98+D99+D100+D101+D102+D103</f>
        <v>860000</v>
      </c>
      <c r="E89" s="41">
        <f t="shared" ca="1" si="30"/>
        <v>860000</v>
      </c>
      <c r="F89" s="41">
        <f t="shared" ca="1" si="30"/>
        <v>0</v>
      </c>
      <c r="G89" s="41">
        <f t="shared" ca="1" si="30"/>
        <v>0</v>
      </c>
      <c r="H89" s="41">
        <f t="shared" ca="1" si="30"/>
        <v>1216600</v>
      </c>
      <c r="I89" s="41">
        <f t="shared" ca="1" si="30"/>
        <v>0</v>
      </c>
      <c r="J89" s="41">
        <f t="shared" ca="1" si="3"/>
        <v>1004619.91</v>
      </c>
      <c r="K89" s="43">
        <f t="shared" ca="1" si="4"/>
        <v>116.81626860465116</v>
      </c>
      <c r="L89" s="41">
        <f ca="1">+L90+L91+L92+L93+L94+L95+L96+L97+L98+L99+L100+L101+L102+L103</f>
        <v>1004619.91</v>
      </c>
      <c r="M89" s="44">
        <f t="shared" ca="1" si="5"/>
        <v>116.81626860465116</v>
      </c>
      <c r="N89" s="44">
        <f t="shared" ca="1" si="6"/>
        <v>82.576024165707707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IFERROR(__xludf.DUMMYFUNCTION("IMPORTRANGE(""https://docs.google.com/spreadsheets/d/1MeEWN-I1oV_STSDYn1IFDPWt_1FKiwhDph83XaGc0o0/edit?usp=sharing"",""งบพรบ!ED90"")"),0)</f>
        <v>0</v>
      </c>
      <c r="F90" s="67">
        <f ca="1">IFERROR(__xludf.DUMMYFUNCTION("IMPORTRANGE(""https://docs.google.com/spreadsheets/d/1MeEWN-I1oV_STSDYn1IFDPWt_1FKiwhDph83XaGc0o0/edit?usp=sharing"",""งบพรบ!EE90"")"),0)</f>
        <v>0</v>
      </c>
      <c r="G90" s="67">
        <f ca="1">IFERROR(__xludf.DUMMYFUNCTION("IMPORTRANGE(""https://docs.google.com/spreadsheets/d/1MeEWN-I1oV_STSDYn1IFDPWt_1FKiwhDph83XaGc0o0/edit?usp=sharing"",""งบพรบ!EF90"")"),0)</f>
        <v>0</v>
      </c>
      <c r="H90" s="67">
        <f ca="1">IFERROR(__xludf.DUMMYFUNCTION("IMPORTRANGE(""https://docs.google.com/spreadsheets/d/1MeEWN-I1oV_STSDYn1IFDPWt_1FKiwhDph83XaGc0o0/edit?usp=sharing"",""งบพรบ!EH90"")"),0)</f>
        <v>0</v>
      </c>
      <c r="I90" s="67">
        <f ca="1">IFERROR(__xludf.DUMMYFUNCTION("IMPORTRANGE(""https://docs.google.com/spreadsheets/d/1MeEWN-I1oV_STSDYn1IFDPWt_1FKiwhDph83XaGc0o0/edit?usp=sharing"",""งบพรบ!EI90"")"),0)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IFERROR(__xludf.DUMMYFUNCTION("IMPORTRANGE(""https://docs.google.com/spreadsheets/d/1MeEWN-I1oV_STSDYn1IFDPWt_1FKiwhDph83XaGc0o0/edit?usp=sharing"",""งบพรบ!EJ90"")"),0)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IFERROR(__xludf.DUMMYFUNCTION("IMPORTRANGE(""https://docs.google.com/spreadsheets/d/1MeEWN-I1oV_STSDYn1IFDPWt_1FKiwhDph83XaGc0o0/edit?usp=sharing"",""งบพรบ!EK90"")"),0)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IFERROR(__xludf.DUMMYFUNCTION("IMPORTRANGE(""https://docs.google.com/spreadsheets/d/1MeEWN-I1oV_STSDYn1IFDPWt_1FKiwhDph83XaGc0o0/edit?usp=sharing"",""งบพรบ!ED91"")"),0)</f>
        <v>0</v>
      </c>
      <c r="F91" s="77">
        <f ca="1">IFERROR(__xludf.DUMMYFUNCTION("IMPORTRANGE(""https://docs.google.com/spreadsheets/d/1MeEWN-I1oV_STSDYn1IFDPWt_1FKiwhDph83XaGc0o0/edit?usp=sharing"",""งบพรบ!EE91"")"),0)</f>
        <v>0</v>
      </c>
      <c r="G91" s="77">
        <f ca="1">IFERROR(__xludf.DUMMYFUNCTION("IMPORTRANGE(""https://docs.google.com/spreadsheets/d/1MeEWN-I1oV_STSDYn1IFDPWt_1FKiwhDph83XaGc0o0/edit?usp=sharing"",""งบพรบ!EF91"")"),0)</f>
        <v>0</v>
      </c>
      <c r="H91" s="77">
        <f ca="1">IFERROR(__xludf.DUMMYFUNCTION("IMPORTRANGE(""https://docs.google.com/spreadsheets/d/1MeEWN-I1oV_STSDYn1IFDPWt_1FKiwhDph83XaGc0o0/edit?usp=sharing"",""งบพรบ!EH91"")"),0)</f>
        <v>0</v>
      </c>
      <c r="I91" s="77">
        <f ca="1">IFERROR(__xludf.DUMMYFUNCTION("IMPORTRANGE(""https://docs.google.com/spreadsheets/d/1MeEWN-I1oV_STSDYn1IFDPWt_1FKiwhDph83XaGc0o0/edit?usp=sharing"",""งบพรบ!EI91"")"),0)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IFERROR(__xludf.DUMMYFUNCTION("IMPORTRANGE(""https://docs.google.com/spreadsheets/d/1MeEWN-I1oV_STSDYn1IFDPWt_1FKiwhDph83XaGc0o0/edit?usp=sharing"",""งบพรบ!EJ91"")"),0)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IFERROR(__xludf.DUMMYFUNCTION("IMPORTRANGE(""https://docs.google.com/spreadsheets/d/1MeEWN-I1oV_STSDYn1IFDPWt_1FKiwhDph83XaGc0o0/edit?usp=sharing"",""งบพรบ!EK91"")"),0)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31"/>
        <v>0</v>
      </c>
      <c r="E92" s="77">
        <f ca="1">IFERROR(__xludf.DUMMYFUNCTION("IMPORTRANGE(""https://docs.google.com/spreadsheets/d/1MeEWN-I1oV_STSDYn1IFDPWt_1FKiwhDph83XaGc0o0/edit?usp=sharing"",""งบพรบ!ED92"")"),0)</f>
        <v>0</v>
      </c>
      <c r="F92" s="77">
        <f ca="1">IFERROR(__xludf.DUMMYFUNCTION("IMPORTRANGE(""https://docs.google.com/spreadsheets/d/1MeEWN-I1oV_STSDYn1IFDPWt_1FKiwhDph83XaGc0o0/edit?usp=sharing"",""งบพรบ!EE92"")"),0)</f>
        <v>0</v>
      </c>
      <c r="G92" s="77">
        <f ca="1">IFERROR(__xludf.DUMMYFUNCTION("IMPORTRANGE(""https://docs.google.com/spreadsheets/d/1MeEWN-I1oV_STSDYn1IFDPWt_1FKiwhDph83XaGc0o0/edit?usp=sharing"",""งบพรบ!EF92"")"),0)</f>
        <v>0</v>
      </c>
      <c r="H92" s="77">
        <f ca="1">IFERROR(__xludf.DUMMYFUNCTION("IMPORTRANGE(""https://docs.google.com/spreadsheets/d/1MeEWN-I1oV_STSDYn1IFDPWt_1FKiwhDph83XaGc0o0/edit?usp=sharing"",""งบพรบ!EH92"")"),50000)</f>
        <v>50000</v>
      </c>
      <c r="I92" s="77">
        <f ca="1">IFERROR(__xludf.DUMMYFUNCTION("IMPORTRANGE(""https://docs.google.com/spreadsheets/d/1MeEWN-I1oV_STSDYn1IFDPWt_1FKiwhDph83XaGc0o0/edit?usp=sharing"",""งบพรบ!EI92"")"),0)</f>
        <v>0</v>
      </c>
      <c r="J92" s="77">
        <f t="shared" ca="1" si="3"/>
        <v>46888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IFERROR(__xludf.DUMMYFUNCTION("IMPORTRANGE(""https://docs.google.com/spreadsheets/d/1MeEWN-I1oV_STSDYn1IFDPWt_1FKiwhDph83XaGc0o0/edit?usp=sharing"",""งบพรบ!EJ92"")"),46888)</f>
        <v>46888</v>
      </c>
      <c r="M92" s="79">
        <f t="shared" ca="1" si="5"/>
        <v>0</v>
      </c>
      <c r="N92" s="79">
        <f t="shared" ca="1" si="6"/>
        <v>93.775999999999996</v>
      </c>
      <c r="O92" s="80">
        <f ca="1">IFERROR(__xludf.DUMMYFUNCTION("IMPORTRANGE(""https://docs.google.com/spreadsheets/d/1MeEWN-I1oV_STSDYn1IFDPWt_1FKiwhDph83XaGc0o0/edit?usp=sharing"",""งบพรบ!EK92"")"),0)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IFERROR(__xludf.DUMMYFUNCTION("IMPORTRANGE(""https://docs.google.com/spreadsheets/d/1MeEWN-I1oV_STSDYn1IFDPWt_1FKiwhDph83XaGc0o0/edit?usp=sharing"",""งบพรบ!ED93"")"),0)</f>
        <v>0</v>
      </c>
      <c r="F93" s="77">
        <f ca="1">IFERROR(__xludf.DUMMYFUNCTION("IMPORTRANGE(""https://docs.google.com/spreadsheets/d/1MeEWN-I1oV_STSDYn1IFDPWt_1FKiwhDph83XaGc0o0/edit?usp=sharing"",""งบพรบ!EE93"")"),0)</f>
        <v>0</v>
      </c>
      <c r="G93" s="77">
        <f ca="1">IFERROR(__xludf.DUMMYFUNCTION("IMPORTRANGE(""https://docs.google.com/spreadsheets/d/1MeEWN-I1oV_STSDYn1IFDPWt_1FKiwhDph83XaGc0o0/edit?usp=sharing"",""งบพรบ!EF93"")"),0)</f>
        <v>0</v>
      </c>
      <c r="H93" s="77">
        <f ca="1">IFERROR(__xludf.DUMMYFUNCTION("IMPORTRANGE(""https://docs.google.com/spreadsheets/d/1MeEWN-I1oV_STSDYn1IFDPWt_1FKiwhDph83XaGc0o0/edit?usp=sharing"",""งบพรบ!EH93"")"),0)</f>
        <v>0</v>
      </c>
      <c r="I93" s="77">
        <f ca="1">IFERROR(__xludf.DUMMYFUNCTION("IMPORTRANGE(""https://docs.google.com/spreadsheets/d/1MeEWN-I1oV_STSDYn1IFDPWt_1FKiwhDph83XaGc0o0/edit?usp=sharing"",""งบพรบ!EI93"")"),0)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IFERROR(__xludf.DUMMYFUNCTION("IMPORTRANGE(""https://docs.google.com/spreadsheets/d/1MeEWN-I1oV_STSDYn1IFDPWt_1FKiwhDph83XaGc0o0/edit?usp=sharing"",""งบพรบ!EJ93"")"),0)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IFERROR(__xludf.DUMMYFUNCTION("IMPORTRANGE(""https://docs.google.com/spreadsheets/d/1MeEWN-I1oV_STSDYn1IFDPWt_1FKiwhDph83XaGc0o0/edit?usp=sharing"",""งบพรบ!EK93"")"),0)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IFERROR(__xludf.DUMMYFUNCTION("IMPORTRANGE(""https://docs.google.com/spreadsheets/d/1MeEWN-I1oV_STSDYn1IFDPWt_1FKiwhDph83XaGc0o0/edit?usp=sharing"",""งบพรบ!ED94"")"),0)</f>
        <v>0</v>
      </c>
      <c r="F94" s="77">
        <f ca="1">IFERROR(__xludf.DUMMYFUNCTION("IMPORTRANGE(""https://docs.google.com/spreadsheets/d/1MeEWN-I1oV_STSDYn1IFDPWt_1FKiwhDph83XaGc0o0/edit?usp=sharing"",""งบพรบ!EE94"")"),0)</f>
        <v>0</v>
      </c>
      <c r="G94" s="77">
        <f ca="1">IFERROR(__xludf.DUMMYFUNCTION("IMPORTRANGE(""https://docs.google.com/spreadsheets/d/1MeEWN-I1oV_STSDYn1IFDPWt_1FKiwhDph83XaGc0o0/edit?usp=sharing"",""งบพรบ!EF94"")"),0)</f>
        <v>0</v>
      </c>
      <c r="H94" s="77">
        <f ca="1">IFERROR(__xludf.DUMMYFUNCTION("IMPORTRANGE(""https://docs.google.com/spreadsheets/d/1MeEWN-I1oV_STSDYn1IFDPWt_1FKiwhDph83XaGc0o0/edit?usp=sharing"",""งบพรบ!EH94"")"),0)</f>
        <v>0</v>
      </c>
      <c r="I94" s="77">
        <f ca="1">IFERROR(__xludf.DUMMYFUNCTION("IMPORTRANGE(""https://docs.google.com/spreadsheets/d/1MeEWN-I1oV_STSDYn1IFDPWt_1FKiwhDph83XaGc0o0/edit?usp=sharing"",""งบพรบ!EI94"")"),0)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IFERROR(__xludf.DUMMYFUNCTION("IMPORTRANGE(""https://docs.google.com/spreadsheets/d/1MeEWN-I1oV_STSDYn1IFDPWt_1FKiwhDph83XaGc0o0/edit?usp=sharing"",""งบพรบ!EJ94"")"),0)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IFERROR(__xludf.DUMMYFUNCTION("IMPORTRANGE(""https://docs.google.com/spreadsheets/d/1MeEWN-I1oV_STSDYn1IFDPWt_1FKiwhDph83XaGc0o0/edit?usp=sharing"",""งบพรบ!EK94"")"),0)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50000</v>
      </c>
      <c r="D95" s="76">
        <f t="shared" ca="1" si="31"/>
        <v>50000</v>
      </c>
      <c r="E95" s="77">
        <f ca="1">IFERROR(__xludf.DUMMYFUNCTION("IMPORTRANGE(""https://docs.google.com/spreadsheets/d/1MeEWN-I1oV_STSDYn1IFDPWt_1FKiwhDph83XaGc0o0/edit?usp=sharing"",""งบพรบ!ED95"")"),50000)</f>
        <v>50000</v>
      </c>
      <c r="F95" s="77">
        <f ca="1">IFERROR(__xludf.DUMMYFUNCTION("IMPORTRANGE(""https://docs.google.com/spreadsheets/d/1MeEWN-I1oV_STSDYn1IFDPWt_1FKiwhDph83XaGc0o0/edit?usp=sharing"",""งบพรบ!EE95"")"),0)</f>
        <v>0</v>
      </c>
      <c r="G95" s="77">
        <f ca="1">IFERROR(__xludf.DUMMYFUNCTION("IMPORTRANGE(""https://docs.google.com/spreadsheets/d/1MeEWN-I1oV_STSDYn1IFDPWt_1FKiwhDph83XaGc0o0/edit?usp=sharing"",""งบพรบ!EF95"")"),0)</f>
        <v>0</v>
      </c>
      <c r="H95" s="77">
        <f ca="1">IFERROR(__xludf.DUMMYFUNCTION("IMPORTRANGE(""https://docs.google.com/spreadsheets/d/1MeEWN-I1oV_STSDYn1IFDPWt_1FKiwhDph83XaGc0o0/edit?usp=sharing"",""งบพรบ!EH95"")"),0)</f>
        <v>0</v>
      </c>
      <c r="I95" s="77">
        <f ca="1">IFERROR(__xludf.DUMMYFUNCTION("IMPORTRANGE(""https://docs.google.com/spreadsheets/d/1MeEWN-I1oV_STSDYn1IFDPWt_1FKiwhDph83XaGc0o0/edit?usp=sharing"",""งบพรบ!EI95"")"),0)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IFERROR(__xludf.DUMMYFUNCTION("IMPORTRANGE(""https://docs.google.com/spreadsheets/d/1MeEWN-I1oV_STSDYn1IFDPWt_1FKiwhDph83XaGc0o0/edit?usp=sharing"",""งบพรบ!EJ95"")"),0)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IFERROR(__xludf.DUMMYFUNCTION("IMPORTRANGE(""https://docs.google.com/spreadsheets/d/1MeEWN-I1oV_STSDYn1IFDPWt_1FKiwhDph83XaGc0o0/edit?usp=sharing"",""งบพรบ!EK95"")"),0)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0</v>
      </c>
      <c r="D96" s="76">
        <f t="shared" ca="1" si="31"/>
        <v>0</v>
      </c>
      <c r="E96" s="77">
        <f ca="1">IFERROR(__xludf.DUMMYFUNCTION("IMPORTRANGE(""https://docs.google.com/spreadsheets/d/1MeEWN-I1oV_STSDYn1IFDPWt_1FKiwhDph83XaGc0o0/edit?usp=sharing"",""งบพรบ!ED96"")"),0)</f>
        <v>0</v>
      </c>
      <c r="F96" s="77">
        <f ca="1">IFERROR(__xludf.DUMMYFUNCTION("IMPORTRANGE(""https://docs.google.com/spreadsheets/d/1MeEWN-I1oV_STSDYn1IFDPWt_1FKiwhDph83XaGc0o0/edit?usp=sharing"",""งบพรบ!EE96"")"),0)</f>
        <v>0</v>
      </c>
      <c r="G96" s="77">
        <f ca="1">IFERROR(__xludf.DUMMYFUNCTION("IMPORTRANGE(""https://docs.google.com/spreadsheets/d/1MeEWN-I1oV_STSDYn1IFDPWt_1FKiwhDph83XaGc0o0/edit?usp=sharing"",""งบพรบ!EF96"")"),0)</f>
        <v>0</v>
      </c>
      <c r="H96" s="77">
        <f ca="1">IFERROR(__xludf.DUMMYFUNCTION("IMPORTRANGE(""https://docs.google.com/spreadsheets/d/1MeEWN-I1oV_STSDYn1IFDPWt_1FKiwhDph83XaGc0o0/edit?usp=sharing"",""งบพรบ!EH96"")"),0)</f>
        <v>0</v>
      </c>
      <c r="I96" s="77">
        <f ca="1">IFERROR(__xludf.DUMMYFUNCTION("IMPORTRANGE(""https://docs.google.com/spreadsheets/d/1MeEWN-I1oV_STSDYn1IFDPWt_1FKiwhDph83XaGc0o0/edit?usp=sharing"",""งบพรบ!EI96"")"),0)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IFERROR(__xludf.DUMMYFUNCTION("IMPORTRANGE(""https://docs.google.com/spreadsheets/d/1MeEWN-I1oV_STSDYn1IFDPWt_1FKiwhDph83XaGc0o0/edit?usp=sharing"",""งบพรบ!EJ96"")"),0)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IFERROR(__xludf.DUMMYFUNCTION("IMPORTRANGE(""https://docs.google.com/spreadsheets/d/1MeEWN-I1oV_STSDYn1IFDPWt_1FKiwhDph83XaGc0o0/edit?usp=sharing"",""งบพรบ!EK96"")"),0)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810000</v>
      </c>
      <c r="D97" s="76">
        <f t="shared" ca="1" si="31"/>
        <v>810000</v>
      </c>
      <c r="E97" s="77">
        <f ca="1">IFERROR(__xludf.DUMMYFUNCTION("IMPORTRANGE(""https://docs.google.com/spreadsheets/d/1MeEWN-I1oV_STSDYn1IFDPWt_1FKiwhDph83XaGc0o0/edit?usp=sharing"",""งบพรบ!ED97"")"),810000)</f>
        <v>810000</v>
      </c>
      <c r="F97" s="77">
        <f ca="1">IFERROR(__xludf.DUMMYFUNCTION("IMPORTRANGE(""https://docs.google.com/spreadsheets/d/1MeEWN-I1oV_STSDYn1IFDPWt_1FKiwhDph83XaGc0o0/edit?usp=sharing"",""งบพรบ!EE97"")"),0)</f>
        <v>0</v>
      </c>
      <c r="G97" s="77">
        <f ca="1">IFERROR(__xludf.DUMMYFUNCTION("IMPORTRANGE(""https://docs.google.com/spreadsheets/d/1MeEWN-I1oV_STSDYn1IFDPWt_1FKiwhDph83XaGc0o0/edit?usp=sharing"",""งบพรบ!EF97"")"),0)</f>
        <v>0</v>
      </c>
      <c r="H97" s="77">
        <f ca="1">IFERROR(__xludf.DUMMYFUNCTION("IMPORTRANGE(""https://docs.google.com/spreadsheets/d/1MeEWN-I1oV_STSDYn1IFDPWt_1FKiwhDph83XaGc0o0/edit?usp=sharing"",""งบพรบ!EH97"")"),1166600)</f>
        <v>1166600</v>
      </c>
      <c r="I97" s="77">
        <f ca="1">IFERROR(__xludf.DUMMYFUNCTION("IMPORTRANGE(""https://docs.google.com/spreadsheets/d/1MeEWN-I1oV_STSDYn1IFDPWt_1FKiwhDph83XaGc0o0/edit?usp=sharing"",""งบพรบ!EI97"")"),0)</f>
        <v>0</v>
      </c>
      <c r="J97" s="77">
        <f t="shared" ca="1" si="3"/>
        <v>957731.91</v>
      </c>
      <c r="K97" s="78">
        <f t="shared" ca="1" si="4"/>
        <v>118.23850740740741</v>
      </c>
      <c r="L97" s="77">
        <f ca="1">IFERROR(__xludf.DUMMYFUNCTION("IMPORTRANGE(""https://docs.google.com/spreadsheets/d/1MeEWN-I1oV_STSDYn1IFDPWt_1FKiwhDph83XaGc0o0/edit?usp=sharing"",""งบพรบ!EJ97"")"),957731.91)</f>
        <v>957731.91</v>
      </c>
      <c r="M97" s="79">
        <f t="shared" ca="1" si="5"/>
        <v>118.23850740740741</v>
      </c>
      <c r="N97" s="79">
        <f t="shared" ca="1" si="6"/>
        <v>82.095997771301214</v>
      </c>
      <c r="O97" s="80">
        <f ca="1">IFERROR(__xludf.DUMMYFUNCTION("IMPORTRANGE(""https://docs.google.com/spreadsheets/d/1MeEWN-I1oV_STSDYn1IFDPWt_1FKiwhDph83XaGc0o0/edit?usp=sharing"",""งบพรบ!EK97"")"),0)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IFERROR(__xludf.DUMMYFUNCTION("IMPORTRANGE(""https://docs.google.com/spreadsheets/d/1MeEWN-I1oV_STSDYn1IFDPWt_1FKiwhDph83XaGc0o0/edit?usp=sharing"",""งบพรบ!ED98"")"),0)</f>
        <v>0</v>
      </c>
      <c r="F98" s="77">
        <f ca="1">IFERROR(__xludf.DUMMYFUNCTION("IMPORTRANGE(""https://docs.google.com/spreadsheets/d/1MeEWN-I1oV_STSDYn1IFDPWt_1FKiwhDph83XaGc0o0/edit?usp=sharing"",""งบพรบ!EE98"")"),0)</f>
        <v>0</v>
      </c>
      <c r="G98" s="77">
        <f ca="1">IFERROR(__xludf.DUMMYFUNCTION("IMPORTRANGE(""https://docs.google.com/spreadsheets/d/1MeEWN-I1oV_STSDYn1IFDPWt_1FKiwhDph83XaGc0o0/edit?usp=sharing"",""งบพรบ!EF98"")"),0)</f>
        <v>0</v>
      </c>
      <c r="H98" s="77">
        <f ca="1">IFERROR(__xludf.DUMMYFUNCTION("IMPORTRANGE(""https://docs.google.com/spreadsheets/d/1MeEWN-I1oV_STSDYn1IFDPWt_1FKiwhDph83XaGc0o0/edit?usp=sharing"",""งบพรบ!EH98"")"),0)</f>
        <v>0</v>
      </c>
      <c r="I98" s="77">
        <f ca="1">IFERROR(__xludf.DUMMYFUNCTION("IMPORTRANGE(""https://docs.google.com/spreadsheets/d/1MeEWN-I1oV_STSDYn1IFDPWt_1FKiwhDph83XaGc0o0/edit?usp=sharing"",""งบพรบ!EI98"")"),0)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IFERROR(__xludf.DUMMYFUNCTION("IMPORTRANGE(""https://docs.google.com/spreadsheets/d/1MeEWN-I1oV_STSDYn1IFDPWt_1FKiwhDph83XaGc0o0/edit?usp=sharing"",""งบพรบ!EJ98"")"),0)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IFERROR(__xludf.DUMMYFUNCTION("IMPORTRANGE(""https://docs.google.com/spreadsheets/d/1MeEWN-I1oV_STSDYn1IFDPWt_1FKiwhDph83XaGc0o0/edit?usp=sharing"",""งบพรบ!EK98"")"),0)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IFERROR(__xludf.DUMMYFUNCTION("IMPORTRANGE(""https://docs.google.com/spreadsheets/d/1MeEWN-I1oV_STSDYn1IFDPWt_1FKiwhDph83XaGc0o0/edit?usp=sharing"",""งบพรบ!ED99"")"),0)</f>
        <v>0</v>
      </c>
      <c r="F99" s="77">
        <f ca="1">IFERROR(__xludf.DUMMYFUNCTION("IMPORTRANGE(""https://docs.google.com/spreadsheets/d/1MeEWN-I1oV_STSDYn1IFDPWt_1FKiwhDph83XaGc0o0/edit?usp=sharing"",""งบพรบ!EE99"")"),0)</f>
        <v>0</v>
      </c>
      <c r="G99" s="77">
        <f ca="1">IFERROR(__xludf.DUMMYFUNCTION("IMPORTRANGE(""https://docs.google.com/spreadsheets/d/1MeEWN-I1oV_STSDYn1IFDPWt_1FKiwhDph83XaGc0o0/edit?usp=sharing"",""งบพรบ!EF99"")"),0)</f>
        <v>0</v>
      </c>
      <c r="H99" s="77">
        <f ca="1">IFERROR(__xludf.DUMMYFUNCTION("IMPORTRANGE(""https://docs.google.com/spreadsheets/d/1MeEWN-I1oV_STSDYn1IFDPWt_1FKiwhDph83XaGc0o0/edit?usp=sharing"",""งบพรบ!EH99"")"),0)</f>
        <v>0</v>
      </c>
      <c r="I99" s="77">
        <f ca="1">IFERROR(__xludf.DUMMYFUNCTION("IMPORTRANGE(""https://docs.google.com/spreadsheets/d/1MeEWN-I1oV_STSDYn1IFDPWt_1FKiwhDph83XaGc0o0/edit?usp=sharing"",""งบพรบ!EI99"")"),0)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IFERROR(__xludf.DUMMYFUNCTION("IMPORTRANGE(""https://docs.google.com/spreadsheets/d/1MeEWN-I1oV_STSDYn1IFDPWt_1FKiwhDph83XaGc0o0/edit?usp=sharing"",""งบพรบ!EJ99"")"),0)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IFERROR(__xludf.DUMMYFUNCTION("IMPORTRANGE(""https://docs.google.com/spreadsheets/d/1MeEWN-I1oV_STSDYn1IFDPWt_1FKiwhDph83XaGc0o0/edit?usp=sharing"",""งบพรบ!EK99"")"),0)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IFERROR(__xludf.DUMMYFUNCTION("IMPORTRANGE(""https://docs.google.com/spreadsheets/d/1MeEWN-I1oV_STSDYn1IFDPWt_1FKiwhDph83XaGc0o0/edit?usp=sharing"",""งบพรบ!ED100"")"),0)</f>
        <v>0</v>
      </c>
      <c r="F100" s="77">
        <f ca="1">IFERROR(__xludf.DUMMYFUNCTION("IMPORTRANGE(""https://docs.google.com/spreadsheets/d/1MeEWN-I1oV_STSDYn1IFDPWt_1FKiwhDph83XaGc0o0/edit?usp=sharing"",""งบพรบ!EE100"")"),0)</f>
        <v>0</v>
      </c>
      <c r="G100" s="77">
        <f ca="1">IFERROR(__xludf.DUMMYFUNCTION("IMPORTRANGE(""https://docs.google.com/spreadsheets/d/1MeEWN-I1oV_STSDYn1IFDPWt_1FKiwhDph83XaGc0o0/edit?usp=sharing"",""งบพรบ!EF100"")"),0)</f>
        <v>0</v>
      </c>
      <c r="H100" s="77">
        <f ca="1">IFERROR(__xludf.DUMMYFUNCTION("IMPORTRANGE(""https://docs.google.com/spreadsheets/d/1MeEWN-I1oV_STSDYn1IFDPWt_1FKiwhDph83XaGc0o0/edit?usp=sharing"",""งบพรบ!EH100"")"),0)</f>
        <v>0</v>
      </c>
      <c r="I100" s="77">
        <f ca="1">IFERROR(__xludf.DUMMYFUNCTION("IMPORTRANGE(""https://docs.google.com/spreadsheets/d/1MeEWN-I1oV_STSDYn1IFDPWt_1FKiwhDph83XaGc0o0/edit?usp=sharing"",""งบพรบ!EI100"")"),0)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IFERROR(__xludf.DUMMYFUNCTION("IMPORTRANGE(""https://docs.google.com/spreadsheets/d/1MeEWN-I1oV_STSDYn1IFDPWt_1FKiwhDph83XaGc0o0/edit?usp=sharing"",""งบพรบ!EJ100"")"),0)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IFERROR(__xludf.DUMMYFUNCTION("IMPORTRANGE(""https://docs.google.com/spreadsheets/d/1MeEWN-I1oV_STSDYn1IFDPWt_1FKiwhDph83XaGc0o0/edit?usp=sharing"",""งบพรบ!EK100"")"),0)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IFERROR(__xludf.DUMMYFUNCTION("IMPORTRANGE(""https://docs.google.com/spreadsheets/d/1MeEWN-I1oV_STSDYn1IFDPWt_1FKiwhDph83XaGc0o0/edit?usp=sharing"",""งบพรบ!ED101"")"),0)</f>
        <v>0</v>
      </c>
      <c r="F101" s="77">
        <f ca="1">IFERROR(__xludf.DUMMYFUNCTION("IMPORTRANGE(""https://docs.google.com/spreadsheets/d/1MeEWN-I1oV_STSDYn1IFDPWt_1FKiwhDph83XaGc0o0/edit?usp=sharing"",""งบพรบ!EE101"")"),0)</f>
        <v>0</v>
      </c>
      <c r="G101" s="77">
        <f ca="1">IFERROR(__xludf.DUMMYFUNCTION("IMPORTRANGE(""https://docs.google.com/spreadsheets/d/1MeEWN-I1oV_STSDYn1IFDPWt_1FKiwhDph83XaGc0o0/edit?usp=sharing"",""งบพรบ!EF101"")"),0)</f>
        <v>0</v>
      </c>
      <c r="H101" s="77">
        <f ca="1">IFERROR(__xludf.DUMMYFUNCTION("IMPORTRANGE(""https://docs.google.com/spreadsheets/d/1MeEWN-I1oV_STSDYn1IFDPWt_1FKiwhDph83XaGc0o0/edit?usp=sharing"",""งบพรบ!EH101"")"),0)</f>
        <v>0</v>
      </c>
      <c r="I101" s="77">
        <f ca="1">IFERROR(__xludf.DUMMYFUNCTION("IMPORTRANGE(""https://docs.google.com/spreadsheets/d/1MeEWN-I1oV_STSDYn1IFDPWt_1FKiwhDph83XaGc0o0/edit?usp=sharing"",""งบพรบ!EI101"")"),0)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IFERROR(__xludf.DUMMYFUNCTION("IMPORTRANGE(""https://docs.google.com/spreadsheets/d/1MeEWN-I1oV_STSDYn1IFDPWt_1FKiwhDph83XaGc0o0/edit?usp=sharing"",""งบพรบ!EJ101"")"),0)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IFERROR(__xludf.DUMMYFUNCTION("IMPORTRANGE(""https://docs.google.com/spreadsheets/d/1MeEWN-I1oV_STSDYn1IFDPWt_1FKiwhDph83XaGc0o0/edit?usp=sharing"",""งบพรบ!EK101"")"),0)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IFERROR(__xludf.DUMMYFUNCTION("IMPORTRANGE(""https://docs.google.com/spreadsheets/d/1MeEWN-I1oV_STSDYn1IFDPWt_1FKiwhDph83XaGc0o0/edit?usp=sharing"",""งบพรบ!ED102"")"),0)</f>
        <v>0</v>
      </c>
      <c r="F102" s="77">
        <f ca="1">IFERROR(__xludf.DUMMYFUNCTION("IMPORTRANGE(""https://docs.google.com/spreadsheets/d/1MeEWN-I1oV_STSDYn1IFDPWt_1FKiwhDph83XaGc0o0/edit?usp=sharing"",""งบพรบ!EE102"")"),0)</f>
        <v>0</v>
      </c>
      <c r="G102" s="77">
        <f ca="1">IFERROR(__xludf.DUMMYFUNCTION("IMPORTRANGE(""https://docs.google.com/spreadsheets/d/1MeEWN-I1oV_STSDYn1IFDPWt_1FKiwhDph83XaGc0o0/edit?usp=sharing"",""งบพรบ!EF102"")"),0)</f>
        <v>0</v>
      </c>
      <c r="H102" s="77">
        <f ca="1">IFERROR(__xludf.DUMMYFUNCTION("IMPORTRANGE(""https://docs.google.com/spreadsheets/d/1MeEWN-I1oV_STSDYn1IFDPWt_1FKiwhDph83XaGc0o0/edit?usp=sharing"",""งบพรบ!EH102"")"),0)</f>
        <v>0</v>
      </c>
      <c r="I102" s="77">
        <f ca="1">IFERROR(__xludf.DUMMYFUNCTION("IMPORTRANGE(""https://docs.google.com/spreadsheets/d/1MeEWN-I1oV_STSDYn1IFDPWt_1FKiwhDph83XaGc0o0/edit?usp=sharing"",""งบพรบ!EI102"")"),0)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IFERROR(__xludf.DUMMYFUNCTION("IMPORTRANGE(""https://docs.google.com/spreadsheets/d/1MeEWN-I1oV_STSDYn1IFDPWt_1FKiwhDph83XaGc0o0/edit?usp=sharing"",""งบพรบ!EJ102"")"),0)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IFERROR(__xludf.DUMMYFUNCTION("IMPORTRANGE(""https://docs.google.com/spreadsheets/d/1MeEWN-I1oV_STSDYn1IFDPWt_1FKiwhDph83XaGc0o0/edit?usp=sharing"",""งบพรบ!EK102"")"),0)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IFERROR(__xludf.DUMMYFUNCTION("IMPORTRANGE(""https://docs.google.com/spreadsheets/d/1MeEWN-I1oV_STSDYn1IFDPWt_1FKiwhDph83XaGc0o0/edit?usp=sharing"",""งบพรบ!ED103"")"),0)</f>
        <v>0</v>
      </c>
      <c r="F103" s="88">
        <f ca="1">IFERROR(__xludf.DUMMYFUNCTION("IMPORTRANGE(""https://docs.google.com/spreadsheets/d/1MeEWN-I1oV_STSDYn1IFDPWt_1FKiwhDph83XaGc0o0/edit?usp=sharing"",""งบพรบ!EE103"")"),0)</f>
        <v>0</v>
      </c>
      <c r="G103" s="88">
        <f ca="1">IFERROR(__xludf.DUMMYFUNCTION("IMPORTRANGE(""https://docs.google.com/spreadsheets/d/1MeEWN-I1oV_STSDYn1IFDPWt_1FKiwhDph83XaGc0o0/edit?usp=sharing"",""งบพรบ!EF103"")"),0)</f>
        <v>0</v>
      </c>
      <c r="H103" s="88">
        <f ca="1">IFERROR(__xludf.DUMMYFUNCTION("IMPORTRANGE(""https://docs.google.com/spreadsheets/d/1MeEWN-I1oV_STSDYn1IFDPWt_1FKiwhDph83XaGc0o0/edit?usp=sharing"",""งบพรบ!EH103"")"),0)</f>
        <v>0</v>
      </c>
      <c r="I103" s="88">
        <f ca="1">IFERROR(__xludf.DUMMYFUNCTION("IMPORTRANGE(""https://docs.google.com/spreadsheets/d/1MeEWN-I1oV_STSDYn1IFDPWt_1FKiwhDph83XaGc0o0/edit?usp=sharing"",""งบพรบ!EI103"")"),0)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IFERROR(__xludf.DUMMYFUNCTION("IMPORTRANGE(""https://docs.google.com/spreadsheets/d/1MeEWN-I1oV_STSDYn1IFDPWt_1FKiwhDph83XaGc0o0/edit?usp=sharing"",""งบพรบ!EJ103"")"),0)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IFERROR(__xludf.DUMMYFUNCTION("IMPORTRANGE(""https://docs.google.com/spreadsheets/d/1MeEWN-I1oV_STSDYn1IFDPWt_1FKiwhDph83XaGc0o0/edit?usp=sharing"",""งบพรบ!EK103"")"),0)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69" t="s">
        <v>126</v>
      </c>
      <c r="B104" s="370"/>
      <c r="C104" s="102">
        <f t="shared" ca="1" si="0"/>
        <v>454500</v>
      </c>
      <c r="D104" s="41">
        <f ca="1">SUM(D105:D116)</f>
        <v>454500</v>
      </c>
      <c r="E104" s="41">
        <f ca="1">IFERROR(__xludf.DUMMYFUNCTION("IMPORTRANGE(""https://docs.google.com/spreadsheets/d/1MeEWN-I1oV_STSDYn1IFDPWt_1FKiwhDph83XaGc0o0/edit?usp=sharing"",""งบพรบ!ED104"")"),454500)</f>
        <v>454500</v>
      </c>
      <c r="F104" s="41">
        <f ca="1">IFERROR(__xludf.DUMMYFUNCTION("IMPORTRANGE(""https://docs.google.com/spreadsheets/d/1MeEWN-I1oV_STSDYn1IFDPWt_1FKiwhDph83XaGc0o0/edit?usp=sharing"",""งบพรบ!EE104"")"),0)</f>
        <v>0</v>
      </c>
      <c r="G104" s="41">
        <f ca="1">IFERROR(__xludf.DUMMYFUNCTION("IMPORTRANGE(""https://docs.google.com/spreadsheets/d/1MeEWN-I1oV_STSDYn1IFDPWt_1FKiwhDph83XaGc0o0/edit?usp=sharing"",""งบพรบ!EF104"")"),0)</f>
        <v>0</v>
      </c>
      <c r="H104" s="41">
        <f ca="1">IFERROR(__xludf.DUMMYFUNCTION("IMPORTRANGE(""https://docs.google.com/spreadsheets/d/1MeEWN-I1oV_STSDYn1IFDPWt_1FKiwhDph83XaGc0o0/edit?usp=sharing"",""งบพรบ!EH104"")"),0)</f>
        <v>0</v>
      </c>
      <c r="I104" s="41">
        <f ca="1">IFERROR(__xludf.DUMMYFUNCTION("IMPORTRANGE(""https://docs.google.com/spreadsheets/d/1MeEWN-I1oV_STSDYn1IFDPWt_1FKiwhDph83XaGc0o0/edit?usp=sharing"",""งบพรบ!EI104"")"),12918.81)</f>
        <v>12918.81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IFERROR(__xludf.DUMMYFUNCTION("IMPORTRANGE(""https://docs.google.com/spreadsheets/d/1MeEWN-I1oV_STSDYn1IFDPWt_1FKiwhDph83XaGc0o0/edit?usp=sharing"",""งบพรบ!EJ104"")"),0)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IFERROR(__xludf.DUMMYFUNCTION("IMPORTRANGE(""https://docs.google.com/spreadsheets/d/1MeEWN-I1oV_STSDYn1IFDPWt_1FKiwhDph83XaGc0o0/edit?usp=sharing"",""งบพรบ!EK104"")"),0)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404500</v>
      </c>
      <c r="D105" s="66">
        <f t="shared" ref="D105:D116" ca="1" si="33">+E105+F105</f>
        <v>404500</v>
      </c>
      <c r="E105" s="67">
        <f ca="1">IFERROR(__xludf.DUMMYFUNCTION("IMPORTRANGE(""https://docs.google.com/spreadsheets/d/1MeEWN-I1oV_STSDYn1IFDPWt_1FKiwhDph83XaGc0o0/edit?usp=sharing"",""งบพรบ!ED105"")"),404500)</f>
        <v>404500</v>
      </c>
      <c r="F105" s="67">
        <f ca="1">IFERROR(__xludf.DUMMYFUNCTION("IMPORTRANGE(""https://docs.google.com/spreadsheets/d/1MeEWN-I1oV_STSDYn1IFDPWt_1FKiwhDph83XaGc0o0/edit?usp=sharing"",""งบพรบ!EE105"")"),0)</f>
        <v>0</v>
      </c>
      <c r="G105" s="67">
        <f ca="1">IFERROR(__xludf.DUMMYFUNCTION("IMPORTRANGE(""https://docs.google.com/spreadsheets/d/1MeEWN-I1oV_STSDYn1IFDPWt_1FKiwhDph83XaGc0o0/edit?usp=sharing"",""งบพรบ!EF105"")"),0)</f>
        <v>0</v>
      </c>
      <c r="H105" s="67">
        <f ca="1">IFERROR(__xludf.DUMMYFUNCTION("IMPORTRANGE(""https://docs.google.com/spreadsheets/d/1MeEWN-I1oV_STSDYn1IFDPWt_1FKiwhDph83XaGc0o0/edit?usp=sharing"",""งบพรบ!EH105"")"),0)</f>
        <v>0</v>
      </c>
      <c r="I105" s="67">
        <f ca="1">IFERROR(__xludf.DUMMYFUNCTION("IMPORTRANGE(""https://docs.google.com/spreadsheets/d/1MeEWN-I1oV_STSDYn1IFDPWt_1FKiwhDph83XaGc0o0/edit?usp=sharing"",""งบพรบ!EI105"")"),0)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IFERROR(__xludf.DUMMYFUNCTION("IMPORTRANGE(""https://docs.google.com/spreadsheets/d/1MeEWN-I1oV_STSDYn1IFDPWt_1FKiwhDph83XaGc0o0/edit?usp=sharing"",""งบพรบ!EJ105"")"),0)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IFERROR(__xludf.DUMMYFUNCTION("IMPORTRANGE(""https://docs.google.com/spreadsheets/d/1MeEWN-I1oV_STSDYn1IFDPWt_1FKiwhDph83XaGc0o0/edit?usp=sharing"",""งบพรบ!EK105"")"),0)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50000</v>
      </c>
      <c r="D106" s="76">
        <f t="shared" ca="1" si="33"/>
        <v>50000</v>
      </c>
      <c r="E106" s="77">
        <f ca="1">IFERROR(__xludf.DUMMYFUNCTION("IMPORTRANGE(""https://docs.google.com/spreadsheets/d/1MeEWN-I1oV_STSDYn1IFDPWt_1FKiwhDph83XaGc0o0/edit?usp=sharing"",""งบพรบ!ED106"")"),50000)</f>
        <v>50000</v>
      </c>
      <c r="F106" s="77">
        <f ca="1">IFERROR(__xludf.DUMMYFUNCTION("IMPORTRANGE(""https://docs.google.com/spreadsheets/d/1MeEWN-I1oV_STSDYn1IFDPWt_1FKiwhDph83XaGc0o0/edit?usp=sharing"",""งบพรบ!EE106"")"),0)</f>
        <v>0</v>
      </c>
      <c r="G106" s="77">
        <f ca="1">IFERROR(__xludf.DUMMYFUNCTION("IMPORTRANGE(""https://docs.google.com/spreadsheets/d/1MeEWN-I1oV_STSDYn1IFDPWt_1FKiwhDph83XaGc0o0/edit?usp=sharing"",""งบพรบ!EF106"")"),0)</f>
        <v>0</v>
      </c>
      <c r="H106" s="77">
        <f ca="1">IFERROR(__xludf.DUMMYFUNCTION("IMPORTRANGE(""https://docs.google.com/spreadsheets/d/1MeEWN-I1oV_STSDYn1IFDPWt_1FKiwhDph83XaGc0o0/edit?usp=sharing"",""งบพรบ!EH106"")"),0)</f>
        <v>0</v>
      </c>
      <c r="I106" s="77">
        <f ca="1">IFERROR(__xludf.DUMMYFUNCTION("IMPORTRANGE(""https://docs.google.com/spreadsheets/d/1MeEWN-I1oV_STSDYn1IFDPWt_1FKiwhDph83XaGc0o0/edit?usp=sharing"",""งบพรบ!EI106"")"),0)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IFERROR(__xludf.DUMMYFUNCTION("IMPORTRANGE(""https://docs.google.com/spreadsheets/d/1MeEWN-I1oV_STSDYn1IFDPWt_1FKiwhDph83XaGc0o0/edit?usp=sharing"",""งบพรบ!EJ106"")"),0)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IFERROR(__xludf.DUMMYFUNCTION("IMPORTRANGE(""https://docs.google.com/spreadsheets/d/1MeEWN-I1oV_STSDYn1IFDPWt_1FKiwhDph83XaGc0o0/edit?usp=sharing"",""งบพรบ!EK106"")"),0)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IFERROR(__xludf.DUMMYFUNCTION("IMPORTRANGE(""https://docs.google.com/spreadsheets/d/1MeEWN-I1oV_STSDYn1IFDPWt_1FKiwhDph83XaGc0o0/edit?usp=sharing"",""งบพรบ!ED107"")"),0)</f>
        <v>0</v>
      </c>
      <c r="F107" s="77">
        <f ca="1">IFERROR(__xludf.DUMMYFUNCTION("IMPORTRANGE(""https://docs.google.com/spreadsheets/d/1MeEWN-I1oV_STSDYn1IFDPWt_1FKiwhDph83XaGc0o0/edit?usp=sharing"",""งบพรบ!EE107"")"),0)</f>
        <v>0</v>
      </c>
      <c r="G107" s="77">
        <f ca="1">IFERROR(__xludf.DUMMYFUNCTION("IMPORTRANGE(""https://docs.google.com/spreadsheets/d/1MeEWN-I1oV_STSDYn1IFDPWt_1FKiwhDph83XaGc0o0/edit?usp=sharing"",""งบพรบ!EF107"")"),0)</f>
        <v>0</v>
      </c>
      <c r="H107" s="77">
        <f ca="1">IFERROR(__xludf.DUMMYFUNCTION("IMPORTRANGE(""https://docs.google.com/spreadsheets/d/1MeEWN-I1oV_STSDYn1IFDPWt_1FKiwhDph83XaGc0o0/edit?usp=sharing"",""งบพรบ!EH107"")"),0)</f>
        <v>0</v>
      </c>
      <c r="I107" s="77">
        <f ca="1">IFERROR(__xludf.DUMMYFUNCTION("IMPORTRANGE(""https://docs.google.com/spreadsheets/d/1MeEWN-I1oV_STSDYn1IFDPWt_1FKiwhDph83XaGc0o0/edit?usp=sharing"",""งบพรบ!EI107"")"),0)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IFERROR(__xludf.DUMMYFUNCTION("IMPORTRANGE(""https://docs.google.com/spreadsheets/d/1MeEWN-I1oV_STSDYn1IFDPWt_1FKiwhDph83XaGc0o0/edit?usp=sharing"",""งบพรบ!EJ107"")"),0)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IFERROR(__xludf.DUMMYFUNCTION("IMPORTRANGE(""https://docs.google.com/spreadsheets/d/1MeEWN-I1oV_STSDYn1IFDPWt_1FKiwhDph83XaGc0o0/edit?usp=sharing"",""งบพรบ!EK107"")"),0)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IFERROR(__xludf.DUMMYFUNCTION("IMPORTRANGE(""https://docs.google.com/spreadsheets/d/1MeEWN-I1oV_STSDYn1IFDPWt_1FKiwhDph83XaGc0o0/edit?usp=sharing"",""งบพรบ!ED108"")"),0)</f>
        <v>0</v>
      </c>
      <c r="F108" s="77">
        <f ca="1">IFERROR(__xludf.DUMMYFUNCTION("IMPORTRANGE(""https://docs.google.com/spreadsheets/d/1MeEWN-I1oV_STSDYn1IFDPWt_1FKiwhDph83XaGc0o0/edit?usp=sharing"",""งบพรบ!EE108"")"),0)</f>
        <v>0</v>
      </c>
      <c r="G108" s="77">
        <f ca="1">IFERROR(__xludf.DUMMYFUNCTION("IMPORTRANGE(""https://docs.google.com/spreadsheets/d/1MeEWN-I1oV_STSDYn1IFDPWt_1FKiwhDph83XaGc0o0/edit?usp=sharing"",""งบพรบ!EF108"")"),0)</f>
        <v>0</v>
      </c>
      <c r="H108" s="77">
        <f ca="1">IFERROR(__xludf.DUMMYFUNCTION("IMPORTRANGE(""https://docs.google.com/spreadsheets/d/1MeEWN-I1oV_STSDYn1IFDPWt_1FKiwhDph83XaGc0o0/edit?usp=sharing"",""งบพรบ!EH108"")"),0)</f>
        <v>0</v>
      </c>
      <c r="I108" s="77">
        <f ca="1">IFERROR(__xludf.DUMMYFUNCTION("IMPORTRANGE(""https://docs.google.com/spreadsheets/d/1MeEWN-I1oV_STSDYn1IFDPWt_1FKiwhDph83XaGc0o0/edit?usp=sharing"",""งบพรบ!EI108"")"),0)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IFERROR(__xludf.DUMMYFUNCTION("IMPORTRANGE(""https://docs.google.com/spreadsheets/d/1MeEWN-I1oV_STSDYn1IFDPWt_1FKiwhDph83XaGc0o0/edit?usp=sharing"",""งบพรบ!EJ108"")"),0)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IFERROR(__xludf.DUMMYFUNCTION("IMPORTRANGE(""https://docs.google.com/spreadsheets/d/1MeEWN-I1oV_STSDYn1IFDPWt_1FKiwhDph83XaGc0o0/edit?usp=sharing"",""งบพรบ!EK108"")"),0)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IFERROR(__xludf.DUMMYFUNCTION("IMPORTRANGE(""https://docs.google.com/spreadsheets/d/1MeEWN-I1oV_STSDYn1IFDPWt_1FKiwhDph83XaGc0o0/edit?usp=sharing"",""งบพรบ!ED109"")"),0)</f>
        <v>0</v>
      </c>
      <c r="F109" s="77">
        <f ca="1">IFERROR(__xludf.DUMMYFUNCTION("IMPORTRANGE(""https://docs.google.com/spreadsheets/d/1MeEWN-I1oV_STSDYn1IFDPWt_1FKiwhDph83XaGc0o0/edit?usp=sharing"",""งบพรบ!EE109"")"),0)</f>
        <v>0</v>
      </c>
      <c r="G109" s="77">
        <f ca="1">IFERROR(__xludf.DUMMYFUNCTION("IMPORTRANGE(""https://docs.google.com/spreadsheets/d/1MeEWN-I1oV_STSDYn1IFDPWt_1FKiwhDph83XaGc0o0/edit?usp=sharing"",""งบพรบ!EF109"")"),0)</f>
        <v>0</v>
      </c>
      <c r="H109" s="77">
        <f ca="1">IFERROR(__xludf.DUMMYFUNCTION("IMPORTRANGE(""https://docs.google.com/spreadsheets/d/1MeEWN-I1oV_STSDYn1IFDPWt_1FKiwhDph83XaGc0o0/edit?usp=sharing"",""งบพรบ!EH109"")"),0)</f>
        <v>0</v>
      </c>
      <c r="I109" s="77">
        <f ca="1">IFERROR(__xludf.DUMMYFUNCTION("IMPORTRANGE(""https://docs.google.com/spreadsheets/d/1MeEWN-I1oV_STSDYn1IFDPWt_1FKiwhDph83XaGc0o0/edit?usp=sharing"",""งบพรบ!EI109"")"),0)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IFERROR(__xludf.DUMMYFUNCTION("IMPORTRANGE(""https://docs.google.com/spreadsheets/d/1MeEWN-I1oV_STSDYn1IFDPWt_1FKiwhDph83XaGc0o0/edit?usp=sharing"",""งบพรบ!EJ109"")"),0)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IFERROR(__xludf.DUMMYFUNCTION("IMPORTRANGE(""https://docs.google.com/spreadsheets/d/1MeEWN-I1oV_STSDYn1IFDPWt_1FKiwhDph83XaGc0o0/edit?usp=sharing"",""งบพรบ!EK109"")"),0)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IFERROR(__xludf.DUMMYFUNCTION("IMPORTRANGE(""https://docs.google.com/spreadsheets/d/1MeEWN-I1oV_STSDYn1IFDPWt_1FKiwhDph83XaGc0o0/edit?usp=sharing"",""งบพรบ!ED110"")"),0)</f>
        <v>0</v>
      </c>
      <c r="F110" s="77">
        <f ca="1">IFERROR(__xludf.DUMMYFUNCTION("IMPORTRANGE(""https://docs.google.com/spreadsheets/d/1MeEWN-I1oV_STSDYn1IFDPWt_1FKiwhDph83XaGc0o0/edit?usp=sharing"",""งบพรบ!EE110"")"),0)</f>
        <v>0</v>
      </c>
      <c r="G110" s="77">
        <f ca="1">IFERROR(__xludf.DUMMYFUNCTION("IMPORTRANGE(""https://docs.google.com/spreadsheets/d/1MeEWN-I1oV_STSDYn1IFDPWt_1FKiwhDph83XaGc0o0/edit?usp=sharing"",""งบพรบ!EF110"")"),0)</f>
        <v>0</v>
      </c>
      <c r="H110" s="77">
        <f ca="1">IFERROR(__xludf.DUMMYFUNCTION("IMPORTRANGE(""https://docs.google.com/spreadsheets/d/1MeEWN-I1oV_STSDYn1IFDPWt_1FKiwhDph83XaGc0o0/edit?usp=sharing"",""งบพรบ!EH110"")"),0)</f>
        <v>0</v>
      </c>
      <c r="I110" s="77">
        <f ca="1">IFERROR(__xludf.DUMMYFUNCTION("IMPORTRANGE(""https://docs.google.com/spreadsheets/d/1MeEWN-I1oV_STSDYn1IFDPWt_1FKiwhDph83XaGc0o0/edit?usp=sharing"",""งบพรบ!EI110"")"),0)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IFERROR(__xludf.DUMMYFUNCTION("IMPORTRANGE(""https://docs.google.com/spreadsheets/d/1MeEWN-I1oV_STSDYn1IFDPWt_1FKiwhDph83XaGc0o0/edit?usp=sharing"",""งบพรบ!EJ110"")"),0)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IFERROR(__xludf.DUMMYFUNCTION("IMPORTRANGE(""https://docs.google.com/spreadsheets/d/1MeEWN-I1oV_STSDYn1IFDPWt_1FKiwhDph83XaGc0o0/edit?usp=sharing"",""งบพรบ!EK110"")"),0)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IFERROR(__xludf.DUMMYFUNCTION("IMPORTRANGE(""https://docs.google.com/spreadsheets/d/1MeEWN-I1oV_STSDYn1IFDPWt_1FKiwhDph83XaGc0o0/edit?usp=sharing"",""งบพรบ!ED111"")"),0)</f>
        <v>0</v>
      </c>
      <c r="F111" s="77">
        <f ca="1">IFERROR(__xludf.DUMMYFUNCTION("IMPORTRANGE(""https://docs.google.com/spreadsheets/d/1MeEWN-I1oV_STSDYn1IFDPWt_1FKiwhDph83XaGc0o0/edit?usp=sharing"",""งบพรบ!EE111"")"),0)</f>
        <v>0</v>
      </c>
      <c r="G111" s="77">
        <f ca="1">IFERROR(__xludf.DUMMYFUNCTION("IMPORTRANGE(""https://docs.google.com/spreadsheets/d/1MeEWN-I1oV_STSDYn1IFDPWt_1FKiwhDph83XaGc0o0/edit?usp=sharing"",""งบพรบ!EF111"")"),0)</f>
        <v>0</v>
      </c>
      <c r="H111" s="77">
        <f ca="1">IFERROR(__xludf.DUMMYFUNCTION("IMPORTRANGE(""https://docs.google.com/spreadsheets/d/1MeEWN-I1oV_STSDYn1IFDPWt_1FKiwhDph83XaGc0o0/edit?usp=sharing"",""งบพรบ!EH111"")"),0)</f>
        <v>0</v>
      </c>
      <c r="I111" s="77">
        <f ca="1">IFERROR(__xludf.DUMMYFUNCTION("IMPORTRANGE(""https://docs.google.com/spreadsheets/d/1MeEWN-I1oV_STSDYn1IFDPWt_1FKiwhDph83XaGc0o0/edit?usp=sharing"",""งบพรบ!EI111"")"),0)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IFERROR(__xludf.DUMMYFUNCTION("IMPORTRANGE(""https://docs.google.com/spreadsheets/d/1MeEWN-I1oV_STSDYn1IFDPWt_1FKiwhDph83XaGc0o0/edit?usp=sharing"",""งบพรบ!EJ111"")"),0)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IFERROR(__xludf.DUMMYFUNCTION("IMPORTRANGE(""https://docs.google.com/spreadsheets/d/1MeEWN-I1oV_STSDYn1IFDPWt_1FKiwhDph83XaGc0o0/edit?usp=sharing"",""งบพรบ!EK111"")"),0)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IFERROR(__xludf.DUMMYFUNCTION("IMPORTRANGE(""https://docs.google.com/spreadsheets/d/1MeEWN-I1oV_STSDYn1IFDPWt_1FKiwhDph83XaGc0o0/edit?usp=sharing"",""งบพรบ!ED112"")"),0)</f>
        <v>0</v>
      </c>
      <c r="F112" s="77">
        <f ca="1">IFERROR(__xludf.DUMMYFUNCTION("IMPORTRANGE(""https://docs.google.com/spreadsheets/d/1MeEWN-I1oV_STSDYn1IFDPWt_1FKiwhDph83XaGc0o0/edit?usp=sharing"",""งบพรบ!EE112"")"),0)</f>
        <v>0</v>
      </c>
      <c r="G112" s="77">
        <f ca="1">IFERROR(__xludf.DUMMYFUNCTION("IMPORTRANGE(""https://docs.google.com/spreadsheets/d/1MeEWN-I1oV_STSDYn1IFDPWt_1FKiwhDph83XaGc0o0/edit?usp=sharing"",""งบพรบ!EF112"")"),0)</f>
        <v>0</v>
      </c>
      <c r="H112" s="77">
        <f ca="1">IFERROR(__xludf.DUMMYFUNCTION("IMPORTRANGE(""https://docs.google.com/spreadsheets/d/1MeEWN-I1oV_STSDYn1IFDPWt_1FKiwhDph83XaGc0o0/edit?usp=sharing"",""งบพรบ!EH112"")"),0)</f>
        <v>0</v>
      </c>
      <c r="I112" s="77">
        <f ca="1">IFERROR(__xludf.DUMMYFUNCTION("IMPORTRANGE(""https://docs.google.com/spreadsheets/d/1MeEWN-I1oV_STSDYn1IFDPWt_1FKiwhDph83XaGc0o0/edit?usp=sharing"",""งบพรบ!EI112"")"),0)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IFERROR(__xludf.DUMMYFUNCTION("IMPORTRANGE(""https://docs.google.com/spreadsheets/d/1MeEWN-I1oV_STSDYn1IFDPWt_1FKiwhDph83XaGc0o0/edit?usp=sharing"",""งบพรบ!EJ112"")"),0)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IFERROR(__xludf.DUMMYFUNCTION("IMPORTRANGE(""https://docs.google.com/spreadsheets/d/1MeEWN-I1oV_STSDYn1IFDPWt_1FKiwhDph83XaGc0o0/edit?usp=sharing"",""งบพรบ!EK112"")"),0)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IFERROR(__xludf.DUMMYFUNCTION("IMPORTRANGE(""https://docs.google.com/spreadsheets/d/1MeEWN-I1oV_STSDYn1IFDPWt_1FKiwhDph83XaGc0o0/edit?usp=sharing"",""งบพรบ!ED113"")"),0)</f>
        <v>0</v>
      </c>
      <c r="F113" s="77">
        <f ca="1">IFERROR(__xludf.DUMMYFUNCTION("IMPORTRANGE(""https://docs.google.com/spreadsheets/d/1MeEWN-I1oV_STSDYn1IFDPWt_1FKiwhDph83XaGc0o0/edit?usp=sharing"",""งบพรบ!EE113"")"),0)</f>
        <v>0</v>
      </c>
      <c r="G113" s="77">
        <f ca="1">IFERROR(__xludf.DUMMYFUNCTION("IMPORTRANGE(""https://docs.google.com/spreadsheets/d/1MeEWN-I1oV_STSDYn1IFDPWt_1FKiwhDph83XaGc0o0/edit?usp=sharing"",""งบพรบ!EF113"")"),0)</f>
        <v>0</v>
      </c>
      <c r="H113" s="77">
        <f ca="1">IFERROR(__xludf.DUMMYFUNCTION("IMPORTRANGE(""https://docs.google.com/spreadsheets/d/1MeEWN-I1oV_STSDYn1IFDPWt_1FKiwhDph83XaGc0o0/edit?usp=sharing"",""งบพรบ!EH113"")"),0)</f>
        <v>0</v>
      </c>
      <c r="I113" s="77">
        <f ca="1">IFERROR(__xludf.DUMMYFUNCTION("IMPORTRANGE(""https://docs.google.com/spreadsheets/d/1MeEWN-I1oV_STSDYn1IFDPWt_1FKiwhDph83XaGc0o0/edit?usp=sharing"",""งบพรบ!EI113"")"),0)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IFERROR(__xludf.DUMMYFUNCTION("IMPORTRANGE(""https://docs.google.com/spreadsheets/d/1MeEWN-I1oV_STSDYn1IFDPWt_1FKiwhDph83XaGc0o0/edit?usp=sharing"",""งบพรบ!EJ113"")"),0)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IFERROR(__xludf.DUMMYFUNCTION("IMPORTRANGE(""https://docs.google.com/spreadsheets/d/1MeEWN-I1oV_STSDYn1IFDPWt_1FKiwhDph83XaGc0o0/edit?usp=sharing"",""งบพรบ!EK113"")"),0)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IFERROR(__xludf.DUMMYFUNCTION("IMPORTRANGE(""https://docs.google.com/spreadsheets/d/1MeEWN-I1oV_STSDYn1IFDPWt_1FKiwhDph83XaGc0o0/edit?usp=sharing"",""งบพรบ!ED114"")"),0)</f>
        <v>0</v>
      </c>
      <c r="F114" s="77">
        <f ca="1">IFERROR(__xludf.DUMMYFUNCTION("IMPORTRANGE(""https://docs.google.com/spreadsheets/d/1MeEWN-I1oV_STSDYn1IFDPWt_1FKiwhDph83XaGc0o0/edit?usp=sharing"",""งบพรบ!EE114"")"),0)</f>
        <v>0</v>
      </c>
      <c r="G114" s="77">
        <f ca="1">IFERROR(__xludf.DUMMYFUNCTION("IMPORTRANGE(""https://docs.google.com/spreadsheets/d/1MeEWN-I1oV_STSDYn1IFDPWt_1FKiwhDph83XaGc0o0/edit?usp=sharing"",""งบพรบ!EF114"")"),0)</f>
        <v>0</v>
      </c>
      <c r="H114" s="77">
        <f ca="1">IFERROR(__xludf.DUMMYFUNCTION("IMPORTRANGE(""https://docs.google.com/spreadsheets/d/1MeEWN-I1oV_STSDYn1IFDPWt_1FKiwhDph83XaGc0o0/edit?usp=sharing"",""งบพรบ!EH114"")"),0)</f>
        <v>0</v>
      </c>
      <c r="I114" s="77">
        <f ca="1">IFERROR(__xludf.DUMMYFUNCTION("IMPORTRANGE(""https://docs.google.com/spreadsheets/d/1MeEWN-I1oV_STSDYn1IFDPWt_1FKiwhDph83XaGc0o0/edit?usp=sharing"",""งบพรบ!EI114"")"),0)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IFERROR(__xludf.DUMMYFUNCTION("IMPORTRANGE(""https://docs.google.com/spreadsheets/d/1MeEWN-I1oV_STSDYn1IFDPWt_1FKiwhDph83XaGc0o0/edit?usp=sharing"",""งบพรบ!EJ114"")"),0)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IFERROR(__xludf.DUMMYFUNCTION("IMPORTRANGE(""https://docs.google.com/spreadsheets/d/1MeEWN-I1oV_STSDYn1IFDPWt_1FKiwhDph83XaGc0o0/edit?usp=sharing"",""งบพรบ!EK114"")"),0)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IFERROR(__xludf.DUMMYFUNCTION("IMPORTRANGE(""https://docs.google.com/spreadsheets/d/1MeEWN-I1oV_STSDYn1IFDPWt_1FKiwhDph83XaGc0o0/edit?usp=sharing"",""งบพรบ!ED115"")"),0)</f>
        <v>0</v>
      </c>
      <c r="F115" s="77">
        <f ca="1">IFERROR(__xludf.DUMMYFUNCTION("IMPORTRANGE(""https://docs.google.com/spreadsheets/d/1MeEWN-I1oV_STSDYn1IFDPWt_1FKiwhDph83XaGc0o0/edit?usp=sharing"",""งบพรบ!EE115"")"),0)</f>
        <v>0</v>
      </c>
      <c r="G115" s="77">
        <f ca="1">IFERROR(__xludf.DUMMYFUNCTION("IMPORTRANGE(""https://docs.google.com/spreadsheets/d/1MeEWN-I1oV_STSDYn1IFDPWt_1FKiwhDph83XaGc0o0/edit?usp=sharing"",""งบพรบ!EF115"")"),0)</f>
        <v>0</v>
      </c>
      <c r="H115" s="77">
        <f ca="1">IFERROR(__xludf.DUMMYFUNCTION("IMPORTRANGE(""https://docs.google.com/spreadsheets/d/1MeEWN-I1oV_STSDYn1IFDPWt_1FKiwhDph83XaGc0o0/edit?usp=sharing"",""งบพรบ!EH115"")"),0)</f>
        <v>0</v>
      </c>
      <c r="I115" s="77">
        <f ca="1">IFERROR(__xludf.DUMMYFUNCTION("IMPORTRANGE(""https://docs.google.com/spreadsheets/d/1MeEWN-I1oV_STSDYn1IFDPWt_1FKiwhDph83XaGc0o0/edit?usp=sharing"",""งบพรบ!EI115"")"),0)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IFERROR(__xludf.DUMMYFUNCTION("IMPORTRANGE(""https://docs.google.com/spreadsheets/d/1MeEWN-I1oV_STSDYn1IFDPWt_1FKiwhDph83XaGc0o0/edit?usp=sharing"",""งบพรบ!EJ115"")"),0)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IFERROR(__xludf.DUMMYFUNCTION("IMPORTRANGE(""https://docs.google.com/spreadsheets/d/1MeEWN-I1oV_STSDYn1IFDPWt_1FKiwhDph83XaGc0o0/edit?usp=sharing"",""งบพรบ!EK115"")"),0)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IFERROR(__xludf.DUMMYFUNCTION("IMPORTRANGE(""https://docs.google.com/spreadsheets/d/1MeEWN-I1oV_STSDYn1IFDPWt_1FKiwhDph83XaGc0o0/edit?usp=sharing"",""งบพรบ!ED116"")"),0)</f>
        <v>0</v>
      </c>
      <c r="F116" s="77">
        <f ca="1">IFERROR(__xludf.DUMMYFUNCTION("IMPORTRANGE(""https://docs.google.com/spreadsheets/d/1MeEWN-I1oV_STSDYn1IFDPWt_1FKiwhDph83XaGc0o0/edit?usp=sharing"",""งบพรบ!EE116"")"),0)</f>
        <v>0</v>
      </c>
      <c r="G116" s="77">
        <f ca="1">IFERROR(__xludf.DUMMYFUNCTION("IMPORTRANGE(""https://docs.google.com/spreadsheets/d/1MeEWN-I1oV_STSDYn1IFDPWt_1FKiwhDph83XaGc0o0/edit?usp=sharing"",""งบพรบ!EF116"")"),0)</f>
        <v>0</v>
      </c>
      <c r="H116" s="77">
        <f ca="1">IFERROR(__xludf.DUMMYFUNCTION("IMPORTRANGE(""https://docs.google.com/spreadsheets/d/1MeEWN-I1oV_STSDYn1IFDPWt_1FKiwhDph83XaGc0o0/edit?usp=sharing"",""งบพรบ!EH116"")"),0)</f>
        <v>0</v>
      </c>
      <c r="I116" s="77">
        <f ca="1">IFERROR(__xludf.DUMMYFUNCTION("IMPORTRANGE(""https://docs.google.com/spreadsheets/d/1MeEWN-I1oV_STSDYn1IFDPWt_1FKiwhDph83XaGc0o0/edit?usp=sharing"",""งบพรบ!EI116"")"),0)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IFERROR(__xludf.DUMMYFUNCTION("IMPORTRANGE(""https://docs.google.com/spreadsheets/d/1MeEWN-I1oV_STSDYn1IFDPWt_1FKiwhDph83XaGc0o0/edit?usp=sharing"",""งบพรบ!EJ116"")"),0)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IFERROR(__xludf.DUMMYFUNCTION("IMPORTRANGE(""https://docs.google.com/spreadsheets/d/1MeEWN-I1oV_STSDYn1IFDPWt_1FKiwhDph83XaGc0o0/edit?usp=sharing"",""งบพรบ!EK116"")"),0)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999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5" width="15.140625" customWidth="1"/>
    <col min="16" max="16" width="13" customWidth="1"/>
    <col min="17" max="17" width="12.5703125" bestFit="1" customWidth="1"/>
    <col min="18" max="18" width="16" customWidth="1"/>
    <col min="19" max="19" width="17.28515625" customWidth="1"/>
    <col min="20" max="20" width="18.140625" customWidth="1"/>
    <col min="21" max="21" width="16.42578125" customWidth="1"/>
    <col min="22" max="22" width="14" customWidth="1"/>
    <col min="23" max="23" width="16.42578125" customWidth="1"/>
    <col min="24" max="24" width="24" bestFit="1" customWidth="1"/>
    <col min="25" max="25" width="24.85546875" customWidth="1"/>
    <col min="26" max="26" width="29.7109375" customWidth="1"/>
    <col min="27" max="27" width="21.28515625" customWidth="1"/>
    <col min="28" max="28" width="19.42578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371" t="s">
        <v>1</v>
      </c>
      <c r="B2" s="372"/>
      <c r="C2" s="400" t="s">
        <v>219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</row>
    <row r="3" spans="1:28" ht="30" customHeight="1" x14ac:dyDescent="0.2">
      <c r="A3" s="373"/>
      <c r="B3" s="374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450" t="s">
        <v>220</v>
      </c>
      <c r="S3" s="406"/>
      <c r="T3" s="407"/>
      <c r="U3" s="450" t="s">
        <v>221</v>
      </c>
      <c r="V3" s="406"/>
      <c r="W3" s="406"/>
      <c r="X3" s="407"/>
      <c r="Y3" s="467" t="s">
        <v>222</v>
      </c>
      <c r="Z3" s="470" t="s">
        <v>223</v>
      </c>
      <c r="AA3" s="470" t="s">
        <v>224</v>
      </c>
      <c r="AB3" s="470" t="s">
        <v>24</v>
      </c>
    </row>
    <row r="4" spans="1:28" ht="30" customHeight="1" x14ac:dyDescent="0.2">
      <c r="A4" s="373"/>
      <c r="B4" s="374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417"/>
      <c r="S4" s="395"/>
      <c r="T4" s="396"/>
      <c r="U4" s="417"/>
      <c r="V4" s="395"/>
      <c r="W4" s="395"/>
      <c r="X4" s="396"/>
      <c r="Y4" s="468"/>
      <c r="Z4" s="468"/>
      <c r="AA4" s="468"/>
      <c r="AB4" s="468"/>
    </row>
    <row r="5" spans="1:28" ht="24" customHeight="1" x14ac:dyDescent="0.3">
      <c r="A5" s="373"/>
      <c r="B5" s="374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281" t="s">
        <v>21</v>
      </c>
      <c r="S5" s="399" t="s">
        <v>22</v>
      </c>
      <c r="T5" s="382"/>
      <c r="U5" s="281" t="s">
        <v>21</v>
      </c>
      <c r="V5" s="399" t="s">
        <v>22</v>
      </c>
      <c r="W5" s="382"/>
      <c r="X5" s="345" t="s">
        <v>225</v>
      </c>
      <c r="Y5" s="469"/>
      <c r="Z5" s="469"/>
      <c r="AA5" s="469"/>
      <c r="AB5" s="469"/>
    </row>
    <row r="6" spans="1:28" ht="41.25" customHeight="1" x14ac:dyDescent="0.2">
      <c r="A6" s="375"/>
      <c r="B6" s="37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9" t="s">
        <v>28</v>
      </c>
      <c r="S6" s="12" t="s">
        <v>28</v>
      </c>
      <c r="T6" s="11" t="s">
        <v>24</v>
      </c>
      <c r="U6" s="13" t="s">
        <v>226</v>
      </c>
      <c r="V6" s="282" t="s">
        <v>226</v>
      </c>
      <c r="W6" s="11" t="s">
        <v>24</v>
      </c>
      <c r="X6" s="282" t="s">
        <v>28</v>
      </c>
      <c r="Y6" s="282" t="s">
        <v>28</v>
      </c>
      <c r="Z6" s="282" t="s">
        <v>28</v>
      </c>
      <c r="AA6" s="282" t="s">
        <v>28</v>
      </c>
      <c r="AB6" s="282"/>
    </row>
    <row r="7" spans="1:28" ht="24" customHeight="1" x14ac:dyDescent="0.2">
      <c r="A7" s="367" t="s">
        <v>239</v>
      </c>
      <c r="B7" s="368"/>
      <c r="C7" s="283">
        <f t="shared" ref="C7:C116" ca="1" si="0">D7+G7</f>
        <v>19172300</v>
      </c>
      <c r="D7" s="284">
        <f t="shared" ref="D7:E7" ca="1" si="1">D8+D9+D12</f>
        <v>16510300</v>
      </c>
      <c r="E7" s="18">
        <f t="shared" ca="1" si="1"/>
        <v>4108300</v>
      </c>
      <c r="F7" s="19">
        <f ca="1">F8+F9</f>
        <v>12402000</v>
      </c>
      <c r="G7" s="20">
        <f t="shared" ref="G7:I7" ca="1" si="2">G8+G9+G12</f>
        <v>2662000</v>
      </c>
      <c r="H7" s="21">
        <f t="shared" ca="1" si="2"/>
        <v>16510300</v>
      </c>
      <c r="I7" s="21">
        <f t="shared" ca="1" si="2"/>
        <v>2945260</v>
      </c>
      <c r="J7" s="22">
        <f t="shared" ref="J7:J116" ca="1" si="3">L7+O7</f>
        <v>17567983.390000001</v>
      </c>
      <c r="K7" s="23">
        <f t="shared" ref="K7:K116" ca="1" si="4">IF(C7&gt;0,J7*100/C7,0)</f>
        <v>91.632111901023876</v>
      </c>
      <c r="L7" s="22">
        <f ca="1">L8+L9+L12</f>
        <v>14628615.389999999</v>
      </c>
      <c r="M7" s="24">
        <f t="shared" ref="M7:M116" ca="1" si="5">IF(D7&gt;0,L7*100/D7,0)</f>
        <v>88.602965361017041</v>
      </c>
      <c r="N7" s="24">
        <f t="shared" ref="N7:N116" ca="1" si="6">IF(H7&gt;0,L7*100/H7,0)</f>
        <v>88.602965361017041</v>
      </c>
      <c r="O7" s="25">
        <f ca="1">O8+O9+O12</f>
        <v>2939368</v>
      </c>
      <c r="P7" s="25">
        <f t="shared" ref="P7:P11" ca="1" si="7">IF(G7&gt;0,O7*100/G7,0)</f>
        <v>110.41953418482345</v>
      </c>
      <c r="Q7" s="24">
        <f t="shared" ref="Q7:Q116" ca="1" si="8">IF(I7&gt;0,O7*100/I7,0)</f>
        <v>99.799949749767421</v>
      </c>
      <c r="R7" s="26">
        <f t="shared" ref="R7:S7" ca="1" si="9">R8</f>
        <v>180000</v>
      </c>
      <c r="S7" s="27">
        <f t="shared" ca="1" si="9"/>
        <v>367952</v>
      </c>
      <c r="T7" s="28">
        <f t="shared" ref="T7:T8" ca="1" si="10">IF(R7&gt;0,S7*100/R7,0)</f>
        <v>204.41777777777779</v>
      </c>
      <c r="U7" s="26">
        <f t="shared" ref="U7:V7" ca="1" si="11">U8</f>
        <v>400</v>
      </c>
      <c r="V7" s="27">
        <f t="shared" ca="1" si="11"/>
        <v>441</v>
      </c>
      <c r="W7" s="28">
        <f t="shared" ref="W7:W8" ca="1" si="12">IF(U7&gt;0,V7*100/U7,0)</f>
        <v>110.25</v>
      </c>
      <c r="X7" s="27">
        <f t="shared" ref="X7:AA7" ca="1" si="13">X8</f>
        <v>25846</v>
      </c>
      <c r="Y7" s="27">
        <f t="shared" ca="1" si="13"/>
        <v>4430</v>
      </c>
      <c r="Z7" s="27">
        <f t="shared" ca="1" si="13"/>
        <v>3672</v>
      </c>
      <c r="AA7" s="27">
        <f t="shared" ca="1" si="13"/>
        <v>401900</v>
      </c>
      <c r="AB7" s="346">
        <f t="shared" ref="AB7:AB8" ca="1" si="14">AA7*100/R7</f>
        <v>223.27777777777777</v>
      </c>
    </row>
    <row r="8" spans="1:28" ht="28.5" customHeight="1" x14ac:dyDescent="0.2">
      <c r="A8" s="29" t="s">
        <v>31</v>
      </c>
      <c r="B8" s="30"/>
      <c r="C8" s="31">
        <f t="shared" ca="1" si="0"/>
        <v>18411200</v>
      </c>
      <c r="D8" s="32">
        <f t="shared" ref="D8:I8" ca="1" si="15">+D13+D31+D52+D74</f>
        <v>15749200</v>
      </c>
      <c r="E8" s="33">
        <f t="shared" ca="1" si="15"/>
        <v>3523200</v>
      </c>
      <c r="F8" s="33">
        <f t="shared" ca="1" si="15"/>
        <v>12226000</v>
      </c>
      <c r="G8" s="33">
        <f t="shared" ca="1" si="15"/>
        <v>2662000</v>
      </c>
      <c r="H8" s="33">
        <f t="shared" ca="1" si="15"/>
        <v>16024200</v>
      </c>
      <c r="I8" s="33">
        <f t="shared" ca="1" si="15"/>
        <v>2939368</v>
      </c>
      <c r="J8" s="33">
        <f t="shared" ca="1" si="3"/>
        <v>17133793.350000001</v>
      </c>
      <c r="K8" s="34">
        <f t="shared" ca="1" si="4"/>
        <v>93.061795809072748</v>
      </c>
      <c r="L8" s="33">
        <f ca="1">+L13+L31+L52+L74</f>
        <v>14194425.35</v>
      </c>
      <c r="M8" s="35">
        <f t="shared" ca="1" si="5"/>
        <v>90.12791348131968</v>
      </c>
      <c r="N8" s="35">
        <f t="shared" ca="1" si="6"/>
        <v>88.581179403651973</v>
      </c>
      <c r="O8" s="36">
        <f ca="1">+O13+O31+O52+O74</f>
        <v>2939368</v>
      </c>
      <c r="P8" s="36">
        <f t="shared" ca="1" si="7"/>
        <v>110.41953418482345</v>
      </c>
      <c r="Q8" s="35">
        <f t="shared" ca="1" si="8"/>
        <v>100</v>
      </c>
      <c r="R8" s="33">
        <f t="shared" ref="R8:S8" ca="1" si="16">+R13+R31+R52+R74</f>
        <v>180000</v>
      </c>
      <c r="S8" s="33">
        <f t="shared" ca="1" si="16"/>
        <v>367952</v>
      </c>
      <c r="T8" s="35">
        <f t="shared" ca="1" si="10"/>
        <v>204.41777777777779</v>
      </c>
      <c r="U8" s="33">
        <f t="shared" ref="U8:V8" ca="1" si="17">+U13+U31+U52+U74</f>
        <v>400</v>
      </c>
      <c r="V8" s="33">
        <f t="shared" ca="1" si="17"/>
        <v>441</v>
      </c>
      <c r="W8" s="35">
        <f t="shared" ca="1" si="12"/>
        <v>110.25</v>
      </c>
      <c r="X8" s="33">
        <f t="shared" ref="X8:AA8" ca="1" si="18">+X13+X31+X52+X74</f>
        <v>25846</v>
      </c>
      <c r="Y8" s="33">
        <f t="shared" ca="1" si="18"/>
        <v>4430</v>
      </c>
      <c r="Z8" s="33">
        <f t="shared" ca="1" si="18"/>
        <v>3672</v>
      </c>
      <c r="AA8" s="33">
        <f t="shared" ca="1" si="18"/>
        <v>401900</v>
      </c>
      <c r="AB8" s="34">
        <f t="shared" ca="1" si="14"/>
        <v>223.27777777777777</v>
      </c>
    </row>
    <row r="9" spans="1:28" ht="28.5" customHeight="1" x14ac:dyDescent="0.2">
      <c r="A9" s="39" t="s">
        <v>240</v>
      </c>
      <c r="B9" s="40"/>
      <c r="C9" s="41">
        <f t="shared" ca="1" si="0"/>
        <v>761100</v>
      </c>
      <c r="D9" s="42">
        <f t="shared" ref="D9:I9" ca="1" si="19">+D10+D11</f>
        <v>761100</v>
      </c>
      <c r="E9" s="41">
        <f t="shared" ca="1" si="19"/>
        <v>585100</v>
      </c>
      <c r="F9" s="41">
        <f t="shared" ca="1" si="19"/>
        <v>176000</v>
      </c>
      <c r="G9" s="41">
        <f t="shared" ca="1" si="19"/>
        <v>0</v>
      </c>
      <c r="H9" s="41">
        <f t="shared" ca="1" si="19"/>
        <v>486100</v>
      </c>
      <c r="I9" s="41">
        <f t="shared" ca="1" si="19"/>
        <v>5892</v>
      </c>
      <c r="J9" s="41">
        <f t="shared" ca="1" si="3"/>
        <v>434190.04</v>
      </c>
      <c r="K9" s="43">
        <f t="shared" ca="1" si="4"/>
        <v>57.047699382472736</v>
      </c>
      <c r="L9" s="41">
        <f ca="1">+L10+L11</f>
        <v>434190.04</v>
      </c>
      <c r="M9" s="44">
        <f t="shared" ca="1" si="5"/>
        <v>57.047699382472736</v>
      </c>
      <c r="N9" s="44">
        <f t="shared" ca="1" si="6"/>
        <v>89.321135568813006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  <c r="U9" s="41"/>
      <c r="V9" s="41"/>
      <c r="W9" s="44"/>
      <c r="X9" s="41"/>
      <c r="Y9" s="41"/>
      <c r="Z9" s="41"/>
      <c r="AA9" s="41"/>
      <c r="AB9" s="41"/>
    </row>
    <row r="10" spans="1:28" ht="28.5" hidden="1" customHeight="1" x14ac:dyDescent="0.2">
      <c r="A10" s="39" t="s">
        <v>32</v>
      </c>
      <c r="B10" s="40"/>
      <c r="C10" s="41">
        <f t="shared" ca="1" si="0"/>
        <v>684100</v>
      </c>
      <c r="D10" s="42">
        <f t="shared" ref="D10:I10" ca="1" si="20">+D89</f>
        <v>684100</v>
      </c>
      <c r="E10" s="41">
        <f t="shared" ca="1" si="20"/>
        <v>508100</v>
      </c>
      <c r="F10" s="41">
        <f t="shared" ca="1" si="20"/>
        <v>176000</v>
      </c>
      <c r="G10" s="41">
        <f t="shared" ca="1" si="20"/>
        <v>0</v>
      </c>
      <c r="H10" s="41">
        <f t="shared" ca="1" si="20"/>
        <v>409100</v>
      </c>
      <c r="I10" s="41">
        <f t="shared" ca="1" si="20"/>
        <v>0</v>
      </c>
      <c r="J10" s="41">
        <f t="shared" ca="1" si="3"/>
        <v>434190.04</v>
      </c>
      <c r="K10" s="43">
        <f t="shared" ca="1" si="4"/>
        <v>63.468796959508843</v>
      </c>
      <c r="L10" s="41">
        <f ca="1">+L89</f>
        <v>434190.04</v>
      </c>
      <c r="M10" s="44">
        <f t="shared" ca="1" si="5"/>
        <v>63.468796959508843</v>
      </c>
      <c r="N10" s="44">
        <f t="shared" ca="1" si="6"/>
        <v>106.13298460034221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  <c r="U10" s="41"/>
      <c r="V10" s="41"/>
      <c r="W10" s="44"/>
      <c r="X10" s="41"/>
      <c r="Y10" s="41"/>
      <c r="Z10" s="41"/>
      <c r="AA10" s="41"/>
      <c r="AB10" s="41"/>
    </row>
    <row r="11" spans="1:28" ht="28.5" hidden="1" customHeight="1" x14ac:dyDescent="0.2">
      <c r="A11" s="48" t="s">
        <v>33</v>
      </c>
      <c r="B11" s="40"/>
      <c r="C11" s="41">
        <f t="shared" ca="1" si="0"/>
        <v>77000</v>
      </c>
      <c r="D11" s="42">
        <f t="shared" ref="D11:I11" ca="1" si="21">+D104</f>
        <v>77000</v>
      </c>
      <c r="E11" s="41">
        <f t="shared" ca="1" si="21"/>
        <v>77000</v>
      </c>
      <c r="F11" s="41">
        <f t="shared" ca="1" si="21"/>
        <v>0</v>
      </c>
      <c r="G11" s="41">
        <f t="shared" ca="1" si="21"/>
        <v>0</v>
      </c>
      <c r="H11" s="41">
        <f t="shared" ca="1" si="21"/>
        <v>77000</v>
      </c>
      <c r="I11" s="41">
        <f t="shared" ca="1" si="21"/>
        <v>5892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  <c r="U11" s="41"/>
      <c r="V11" s="41"/>
      <c r="W11" s="44"/>
      <c r="X11" s="41"/>
      <c r="Y11" s="41"/>
      <c r="Z11" s="41"/>
      <c r="AA11" s="41"/>
      <c r="AB11" s="41"/>
    </row>
    <row r="12" spans="1:28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22">IF(R12&gt;0,S12*100/R12,0)</f>
        <v>0</v>
      </c>
      <c r="U12" s="53">
        <v>0</v>
      </c>
      <c r="V12" s="53">
        <v>0</v>
      </c>
      <c r="W12" s="55">
        <f t="shared" ref="W12:W88" si="23">IF(U12&gt;0,V12*100/U12,0)</f>
        <v>0</v>
      </c>
      <c r="X12" s="53">
        <v>0</v>
      </c>
      <c r="Y12" s="53">
        <v>0</v>
      </c>
      <c r="Z12" s="53">
        <v>0</v>
      </c>
      <c r="AA12" s="53"/>
      <c r="AB12" s="53"/>
    </row>
    <row r="13" spans="1:28" ht="28.5" customHeight="1" x14ac:dyDescent="0.2">
      <c r="A13" s="381" t="s">
        <v>35</v>
      </c>
      <c r="B13" s="382"/>
      <c r="C13" s="57">
        <f t="shared" ca="1" si="0"/>
        <v>3678600</v>
      </c>
      <c r="D13" s="58">
        <f t="shared" ref="D13:I13" ca="1" si="24">SUM(D14:D30)</f>
        <v>3678600</v>
      </c>
      <c r="E13" s="59">
        <f t="shared" ca="1" si="24"/>
        <v>753600</v>
      </c>
      <c r="F13" s="59">
        <f t="shared" ca="1" si="24"/>
        <v>2925000</v>
      </c>
      <c r="G13" s="59">
        <f t="shared" ca="1" si="24"/>
        <v>0</v>
      </c>
      <c r="H13" s="59">
        <f t="shared" ca="1" si="24"/>
        <v>3721100</v>
      </c>
      <c r="I13" s="59">
        <f t="shared" ca="1" si="24"/>
        <v>123668</v>
      </c>
      <c r="J13" s="59">
        <f t="shared" ca="1" si="3"/>
        <v>3485300.2899999996</v>
      </c>
      <c r="K13" s="60">
        <f t="shared" ca="1" si="4"/>
        <v>94.745291415212293</v>
      </c>
      <c r="L13" s="59">
        <f ca="1">SUM(L14:L30)</f>
        <v>3361632.2899999996</v>
      </c>
      <c r="M13" s="61">
        <f t="shared" ca="1" si="5"/>
        <v>91.383468982765166</v>
      </c>
      <c r="N13" s="61">
        <f t="shared" ca="1" si="6"/>
        <v>90.339746042836779</v>
      </c>
      <c r="O13" s="62">
        <f ca="1">SUM(O14:O30)</f>
        <v>123668</v>
      </c>
      <c r="P13" s="62">
        <f t="shared" ref="P13:P116" ca="1" si="25">IF(G13&gt;0,O13*100/G13,0)</f>
        <v>0</v>
      </c>
      <c r="Q13" s="61">
        <f t="shared" ca="1" si="8"/>
        <v>100</v>
      </c>
      <c r="R13" s="59">
        <f t="shared" ref="R13:S13" ca="1" si="26">SUM(R14:R30)</f>
        <v>46900</v>
      </c>
      <c r="S13" s="59">
        <f t="shared" ca="1" si="26"/>
        <v>103406</v>
      </c>
      <c r="T13" s="61">
        <f t="shared" ca="1" si="22"/>
        <v>220.48187633262259</v>
      </c>
      <c r="U13" s="59">
        <f t="shared" ref="U13:V13" ca="1" si="27">SUM(U14:U30)</f>
        <v>107</v>
      </c>
      <c r="V13" s="59">
        <f t="shared" ca="1" si="27"/>
        <v>114</v>
      </c>
      <c r="W13" s="61">
        <f t="shared" ca="1" si="23"/>
        <v>106.54205607476635</v>
      </c>
      <c r="X13" s="59">
        <f t="shared" ref="X13:AA13" ca="1" si="28">SUM(X14:X30)</f>
        <v>7433</v>
      </c>
      <c r="Y13" s="59">
        <f t="shared" ca="1" si="28"/>
        <v>1228</v>
      </c>
      <c r="Z13" s="59">
        <f t="shared" ca="1" si="28"/>
        <v>2792</v>
      </c>
      <c r="AA13" s="59">
        <f t="shared" ca="1" si="28"/>
        <v>114859</v>
      </c>
      <c r="AB13" s="60">
        <f t="shared" ref="AB13:AB88" ca="1" si="29">AA13*100/R13</f>
        <v>244.90191897654583</v>
      </c>
    </row>
    <row r="14" spans="1:28" ht="24" customHeight="1" x14ac:dyDescent="0.2">
      <c r="A14" s="63">
        <v>1</v>
      </c>
      <c r="B14" s="64" t="s">
        <v>36</v>
      </c>
      <c r="C14" s="65">
        <f t="shared" ca="1" si="0"/>
        <v>182000</v>
      </c>
      <c r="D14" s="66">
        <f t="shared" ref="D14:D30" ca="1" si="30">+E14+F14</f>
        <v>182000</v>
      </c>
      <c r="E14" s="67">
        <f ca="1">IFERROR(__xludf.DUMMYFUNCTION("IMPORTRANGE(""https://docs.google.com/spreadsheets/d/1MeEWN-I1oV_STSDYn1IFDPWt_1FKiwhDph83XaGc0o0/edit?usp=sharing"",""งบพรบ!EN14"")"),0)</f>
        <v>0</v>
      </c>
      <c r="F14" s="67">
        <f ca="1">IFERROR(__xludf.DUMMYFUNCTION("IMPORTRANGE(""https://docs.google.com/spreadsheets/d/1MeEWN-I1oV_STSDYn1IFDPWt_1FKiwhDph83XaGc0o0/edit?usp=sharing"",""งบพรบ!EO14"")"),182000)</f>
        <v>182000</v>
      </c>
      <c r="G14" s="68">
        <f ca="1">IFERROR(__xludf.DUMMYFUNCTION("IMPORTRANGE(""https://docs.google.com/spreadsheets/d/1MeEWN-I1oV_STSDYn1IFDPWt_1FKiwhDph83XaGc0o0/edit?usp=sharing"",""งบพรบ!EP14"")"),0)</f>
        <v>0</v>
      </c>
      <c r="H14" s="68">
        <f ca="1">IFERROR(__xludf.DUMMYFUNCTION("IMPORTRANGE(""https://docs.google.com/spreadsheets/d/1MeEWN-I1oV_STSDYn1IFDPWt_1FKiwhDph83XaGc0o0/edit?usp=sharing"",""งบพรบ!ER14"")"),184500)</f>
        <v>184500</v>
      </c>
      <c r="I14" s="68">
        <f ca="1">IFERROR(__xludf.DUMMYFUNCTION("IMPORTRANGE(""https://docs.google.com/spreadsheets/d/1MeEWN-I1oV_STSDYn1IFDPWt_1FKiwhDph83XaGc0o0/edit?usp=sharing"",""งบพรบ!ES14"")"),70000)</f>
        <v>70000</v>
      </c>
      <c r="J14" s="68">
        <f t="shared" ca="1" si="3"/>
        <v>232500</v>
      </c>
      <c r="K14" s="69">
        <f t="shared" ca="1" si="4"/>
        <v>127.74725274725274</v>
      </c>
      <c r="L14" s="68">
        <f ca="1">IFERROR(__xludf.DUMMYFUNCTION("IMPORTRANGE(""https://docs.google.com/spreadsheets/d/1MeEWN-I1oV_STSDYn1IFDPWt_1FKiwhDph83XaGc0o0/edit?usp=sharing"",""งบพรบ!ET14"")"),162500)</f>
        <v>162500</v>
      </c>
      <c r="M14" s="70">
        <f t="shared" ca="1" si="5"/>
        <v>89.285714285714292</v>
      </c>
      <c r="N14" s="70">
        <f t="shared" ca="1" si="6"/>
        <v>88.075880758807585</v>
      </c>
      <c r="O14" s="71">
        <f ca="1">IFERROR(__xludf.DUMMYFUNCTION("IMPORTRANGE(""https://docs.google.com/spreadsheets/d/1MeEWN-I1oV_STSDYn1IFDPWt_1FKiwhDph83XaGc0o0/edit?usp=sharing"",""งบพรบ!EU14"")"),70000)</f>
        <v>70000</v>
      </c>
      <c r="P14" s="71">
        <f t="shared" ca="1" si="25"/>
        <v>0</v>
      </c>
      <c r="Q14" s="70">
        <f t="shared" ca="1" si="8"/>
        <v>100</v>
      </c>
      <c r="R14" s="68">
        <f ca="1">IFERROR(__xludf.DUMMYFUNCTION("IMPORTRANGE(""https://docs.google.com/spreadsheets/d/1KxicF4apzSqm0-jIpmueT4kyZtE-Cwn5zskl7GD4loQ/edit?usp=sharing"",""กำแพงเพชร!I338"")"),7500)</f>
        <v>7500</v>
      </c>
      <c r="S14" s="68">
        <f ca="1">IFERROR(__xludf.DUMMYFUNCTION("IMPORTRANGE(""https://docs.google.com/spreadsheets/d/1KxicF4apzSqm0-jIpmueT4kyZtE-Cwn5zskl7GD4loQ/edit?usp=sharing"",""กำแพงเพชร!J338"")"),22051)</f>
        <v>22051</v>
      </c>
      <c r="T14" s="72">
        <f t="shared" ca="1" si="22"/>
        <v>294.01333333333332</v>
      </c>
      <c r="U14" s="68">
        <f ca="1">IFERROR(__xludf.DUMMYFUNCTION("IMPORTRANGE(""https://docs.google.com/spreadsheets/d/1KxicF4apzSqm0-jIpmueT4kyZtE-Cwn5zskl7GD4loQ/edit?usp=sharing"",""กำแพงเพชร!I340"")"),7)</f>
        <v>7</v>
      </c>
      <c r="V14" s="68">
        <f ca="1">IFERROR(__xludf.DUMMYFUNCTION("IMPORTRANGE(""https://docs.google.com/spreadsheets/d/1KxicF4apzSqm0-jIpmueT4kyZtE-Cwn5zskl7GD4loQ/edit?usp=sharing"",""กำแพงเพชร!J340"")"),7)</f>
        <v>7</v>
      </c>
      <c r="W14" s="72">
        <f t="shared" ca="1" si="23"/>
        <v>100</v>
      </c>
      <c r="X14" s="68">
        <f ca="1">IFERROR(__xludf.DUMMYFUNCTION("IMPORTRANGE(""https://docs.google.com/spreadsheets/d/1KxicF4apzSqm0-jIpmueT4kyZtE-Cwn5zskl7GD4loQ/edit?usp=sharing"",""กำแพงเพชร!J341"")"),226)</f>
        <v>226</v>
      </c>
      <c r="Y14" s="68">
        <f ca="1">IFERROR(__xludf.DUMMYFUNCTION("IMPORTRANGE(""https://docs.google.com/spreadsheets/d/1KxicF4apzSqm0-jIpmueT4kyZtE-Cwn5zskl7GD4loQ/edit?usp=sharing"",""กำแพงเพชร!J342"")"),849)</f>
        <v>849</v>
      </c>
      <c r="Z14" s="68">
        <f ca="1">IFERROR(__xludf.DUMMYFUNCTION("IMPORTRANGE(""https://docs.google.com/spreadsheets/d/1KxicF4apzSqm0-jIpmueT4kyZtE-Cwn5zskl7GD4loQ/edit?usp=sharing"",""กำแพงเพชร!J343"")"),2)</f>
        <v>2</v>
      </c>
      <c r="AA14" s="68">
        <f t="shared" ref="AA14:AA30" ca="1" si="31">SUM(S14,X14,Y14,Z14)</f>
        <v>23128</v>
      </c>
      <c r="AB14" s="69">
        <f t="shared" ca="1" si="29"/>
        <v>308.37333333333333</v>
      </c>
    </row>
    <row r="15" spans="1:28" ht="24" customHeight="1" x14ac:dyDescent="0.2">
      <c r="A15" s="73">
        <v>2</v>
      </c>
      <c r="B15" s="74" t="s">
        <v>37</v>
      </c>
      <c r="C15" s="75">
        <f t="shared" ca="1" si="0"/>
        <v>446800</v>
      </c>
      <c r="D15" s="76">
        <f t="shared" ca="1" si="30"/>
        <v>446800</v>
      </c>
      <c r="E15" s="77">
        <f ca="1">IFERROR(__xludf.DUMMYFUNCTION("IMPORTRANGE(""https://docs.google.com/spreadsheets/d/1MeEWN-I1oV_STSDYn1IFDPWt_1FKiwhDph83XaGc0o0/edit?usp=sharing"",""งบพรบ!EN15"")"),262800)</f>
        <v>262800</v>
      </c>
      <c r="F15" s="77">
        <f ca="1">IFERROR(__xludf.DUMMYFUNCTION("IMPORTRANGE(""https://docs.google.com/spreadsheets/d/1MeEWN-I1oV_STSDYn1IFDPWt_1FKiwhDph83XaGc0o0/edit?usp=sharing"",""งบพรบ!EO15"")"),184000)</f>
        <v>184000</v>
      </c>
      <c r="G15" s="77">
        <f ca="1">IFERROR(__xludf.DUMMYFUNCTION("IMPORTRANGE(""https://docs.google.com/spreadsheets/d/1MeEWN-I1oV_STSDYn1IFDPWt_1FKiwhDph83XaGc0o0/edit?usp=sharing"",""งบพรบ!EP15"")"),0)</f>
        <v>0</v>
      </c>
      <c r="H15" s="77">
        <f ca="1">IFERROR(__xludf.DUMMYFUNCTION("IMPORTRANGE(""https://docs.google.com/spreadsheets/d/1MeEWN-I1oV_STSDYn1IFDPWt_1FKiwhDph83XaGc0o0/edit?usp=sharing"",""งบพรบ!ER15"")"),449300)</f>
        <v>449300</v>
      </c>
      <c r="I15" s="77">
        <f ca="1">IFERROR(__xludf.DUMMYFUNCTION("IMPORTRANGE(""https://docs.google.com/spreadsheets/d/1MeEWN-I1oV_STSDYn1IFDPWt_1FKiwhDph83XaGc0o0/edit?usp=sharing"",""งบพรบ!ES15"")"),29400)</f>
        <v>29400</v>
      </c>
      <c r="J15" s="77">
        <f t="shared" ca="1" si="3"/>
        <v>452616.05</v>
      </c>
      <c r="K15" s="78">
        <f t="shared" ca="1" si="4"/>
        <v>101.30171217547002</v>
      </c>
      <c r="L15" s="77">
        <f ca="1">IFERROR(__xludf.DUMMYFUNCTION("IMPORTRANGE(""https://docs.google.com/spreadsheets/d/1MeEWN-I1oV_STSDYn1IFDPWt_1FKiwhDph83XaGc0o0/edit?usp=sharing"",""งบพรบ!ET15"")"),423216.05)</f>
        <v>423216.05</v>
      </c>
      <c r="M15" s="79">
        <f t="shared" ca="1" si="5"/>
        <v>94.721586839749335</v>
      </c>
      <c r="N15" s="79">
        <f t="shared" ca="1" si="6"/>
        <v>94.194535944803022</v>
      </c>
      <c r="O15" s="80">
        <f ca="1">IFERROR(__xludf.DUMMYFUNCTION("IMPORTRANGE(""https://docs.google.com/spreadsheets/d/1MeEWN-I1oV_STSDYn1IFDPWt_1FKiwhDph83XaGc0o0/edit?usp=sharing"",""งบพรบ!EU15"")"),29400)</f>
        <v>29400</v>
      </c>
      <c r="P15" s="80">
        <f t="shared" ca="1" si="25"/>
        <v>0</v>
      </c>
      <c r="Q15" s="79">
        <f t="shared" ca="1" si="8"/>
        <v>100</v>
      </c>
      <c r="R15" s="81">
        <f ca="1">IFERROR(__xludf.DUMMYFUNCTION("IMPORTRANGE(""https://docs.google.com/spreadsheets/d/1ZNYWeiFoFA1K1U4xKWqRX29MBvEyRHXORjo734Gnq_c/edit?usp=sharing"",""เชียงราย!I338"")"),6000)</f>
        <v>6000</v>
      </c>
      <c r="S15" s="81">
        <f ca="1">IFERROR(__xludf.DUMMYFUNCTION("IMPORTRANGE(""https://docs.google.com/spreadsheets/d/1ZNYWeiFoFA1K1U4xKWqRX29MBvEyRHXORjo734Gnq_c/edit?usp=sharing"",""เชียงราย!J338"")"),8656)</f>
        <v>8656</v>
      </c>
      <c r="T15" s="82">
        <f t="shared" ca="1" si="22"/>
        <v>144.26666666666668</v>
      </c>
      <c r="U15" s="81">
        <f ca="1">IFERROR(__xludf.DUMMYFUNCTION("IMPORTRANGE(""https://docs.google.com/spreadsheets/d/1ZNYWeiFoFA1K1U4xKWqRX29MBvEyRHXORjo734Gnq_c/edit?usp=sharing"",""เชียงราย!I340"")"),8)</f>
        <v>8</v>
      </c>
      <c r="V15" s="81">
        <f ca="1">IFERROR(__xludf.DUMMYFUNCTION("IMPORTRANGE(""https://docs.google.com/spreadsheets/d/1ZNYWeiFoFA1K1U4xKWqRX29MBvEyRHXORjo734Gnq_c/edit?usp=sharing"",""เชียงราย!J340"")"),8)</f>
        <v>8</v>
      </c>
      <c r="W15" s="82">
        <f t="shared" ca="1" si="23"/>
        <v>100</v>
      </c>
      <c r="X15" s="81">
        <f ca="1">IFERROR(__xludf.DUMMYFUNCTION("IMPORTRANGE(""https://docs.google.com/spreadsheets/d/1ZNYWeiFoFA1K1U4xKWqRX29MBvEyRHXORjo734Gnq_c/edit?usp=sharing"",""เชียงราย!J341"")"),448)</f>
        <v>448</v>
      </c>
      <c r="Y15" s="81">
        <f ca="1">IFERROR(__xludf.DUMMYFUNCTION("IMPORTRANGE(""https://docs.google.com/spreadsheets/d/1ZNYWeiFoFA1K1U4xKWqRX29MBvEyRHXORjo734Gnq_c/edit?usp=sharing"",""เชียงราย!J342"")"),53)</f>
        <v>53</v>
      </c>
      <c r="Z15" s="81">
        <f ca="1">IFERROR(__xludf.DUMMYFUNCTION("IMPORTRANGE(""https://docs.google.com/spreadsheets/d/1ZNYWeiFoFA1K1U4xKWqRX29MBvEyRHXORjo734Gnq_c/edit?usp=sharing"",""เชียงราย!J343"")"),6)</f>
        <v>6</v>
      </c>
      <c r="AA15" s="81">
        <f t="shared" ca="1" si="31"/>
        <v>9163</v>
      </c>
      <c r="AB15" s="347">
        <f t="shared" ca="1" si="29"/>
        <v>152.71666666666667</v>
      </c>
    </row>
    <row r="16" spans="1:28" ht="24" customHeight="1" x14ac:dyDescent="0.2">
      <c r="A16" s="73">
        <v>3</v>
      </c>
      <c r="B16" s="74" t="s">
        <v>38</v>
      </c>
      <c r="C16" s="75">
        <f t="shared" ca="1" si="0"/>
        <v>651800</v>
      </c>
      <c r="D16" s="76">
        <f t="shared" ca="1" si="30"/>
        <v>651800</v>
      </c>
      <c r="E16" s="77">
        <f ca="1">IFERROR(__xludf.DUMMYFUNCTION("IMPORTRANGE(""https://docs.google.com/spreadsheets/d/1MeEWN-I1oV_STSDYn1IFDPWt_1FKiwhDph83XaGc0o0/edit?usp=sharing"",""งบพรบ!EN16"")"),490800)</f>
        <v>490800</v>
      </c>
      <c r="F16" s="77">
        <f ca="1">IFERROR(__xludf.DUMMYFUNCTION("IMPORTRANGE(""https://docs.google.com/spreadsheets/d/1MeEWN-I1oV_STSDYn1IFDPWt_1FKiwhDph83XaGc0o0/edit?usp=sharing"",""งบพรบ!EO16"")"),161000)</f>
        <v>161000</v>
      </c>
      <c r="G16" s="77">
        <f ca="1">IFERROR(__xludf.DUMMYFUNCTION("IMPORTRANGE(""https://docs.google.com/spreadsheets/d/1MeEWN-I1oV_STSDYn1IFDPWt_1FKiwhDph83XaGc0o0/edit?usp=sharing"",""งบพรบ!EP16"")"),0)</f>
        <v>0</v>
      </c>
      <c r="H16" s="77">
        <f ca="1">IFERROR(__xludf.DUMMYFUNCTION("IMPORTRANGE(""https://docs.google.com/spreadsheets/d/1MeEWN-I1oV_STSDYn1IFDPWt_1FKiwhDph83XaGc0o0/edit?usp=sharing"",""งบพรบ!ER16"")"),654300)</f>
        <v>654300</v>
      </c>
      <c r="I16" s="77">
        <f ca="1">IFERROR(__xludf.DUMMYFUNCTION("IMPORTRANGE(""https://docs.google.com/spreadsheets/d/1MeEWN-I1oV_STSDYn1IFDPWt_1FKiwhDph83XaGc0o0/edit?usp=sharing"",""งบพรบ!ES16"")"),0)</f>
        <v>0</v>
      </c>
      <c r="J16" s="77">
        <f t="shared" ca="1" si="3"/>
        <v>598966.22</v>
      </c>
      <c r="K16" s="78">
        <f t="shared" ca="1" si="4"/>
        <v>91.89417305922062</v>
      </c>
      <c r="L16" s="77">
        <f ca="1">IFERROR(__xludf.DUMMYFUNCTION("IMPORTRANGE(""https://docs.google.com/spreadsheets/d/1MeEWN-I1oV_STSDYn1IFDPWt_1FKiwhDph83XaGc0o0/edit?usp=sharing"",""งบพรบ!ET16"")"),598966.22)</f>
        <v>598966.22</v>
      </c>
      <c r="M16" s="79">
        <f t="shared" ca="1" si="5"/>
        <v>91.89417305922062</v>
      </c>
      <c r="N16" s="79">
        <f t="shared" ca="1" si="6"/>
        <v>91.543056701818742</v>
      </c>
      <c r="O16" s="80">
        <f ca="1">IFERROR(__xludf.DUMMYFUNCTION("IMPORTRANGE(""https://docs.google.com/spreadsheets/d/1MeEWN-I1oV_STSDYn1IFDPWt_1FKiwhDph83XaGc0o0/edit?usp=sharing"",""งบพรบ!EU16"")"),0)</f>
        <v>0</v>
      </c>
      <c r="P16" s="80">
        <f t="shared" ca="1" si="25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IFERROR(__xludf.DUMMYFUNCTION("IMPORTRANGE(""https://docs.google.com/spreadsheets/d/1Jgv0Y7YlHDtsiDawwp-uvifEJ8HVaSn0k2aGHG8-hwM/edit?usp=sharing"",""เชียงใหม่!I338"")"),900)</f>
        <v>900</v>
      </c>
      <c r="S16" s="81">
        <f ca="1">IFERROR(__xludf.DUMMYFUNCTION("IMPORTRANGE(""https://docs.google.com/spreadsheets/d/1Jgv0Y7YlHDtsiDawwp-uvifEJ8HVaSn0k2aGHG8-hwM/edit?usp=sharing"",""เชียงใหม่!J338"")"),2070)</f>
        <v>2070</v>
      </c>
      <c r="T16" s="82">
        <f t="shared" ca="1" si="22"/>
        <v>230</v>
      </c>
      <c r="U16" s="81">
        <f ca="1">IFERROR(__xludf.DUMMYFUNCTION("IMPORTRANGE(""https://docs.google.com/spreadsheets/d/1Jgv0Y7YlHDtsiDawwp-uvifEJ8HVaSn0k2aGHG8-hwM/edit?usp=sharing"",""เชียงใหม่!I340"")"),4)</f>
        <v>4</v>
      </c>
      <c r="V16" s="81">
        <f ca="1">IFERROR(__xludf.DUMMYFUNCTION("IMPORTRANGE(""https://docs.google.com/spreadsheets/d/1Jgv0Y7YlHDtsiDawwp-uvifEJ8HVaSn0k2aGHG8-hwM/edit?usp=sharing"",""เชียงใหม่!J340"")"),5)</f>
        <v>5</v>
      </c>
      <c r="W16" s="82">
        <f t="shared" ca="1" si="23"/>
        <v>125</v>
      </c>
      <c r="X16" s="81">
        <f ca="1">IFERROR(__xludf.DUMMYFUNCTION("IMPORTRANGE(""https://docs.google.com/spreadsheets/d/1Jgv0Y7YlHDtsiDawwp-uvifEJ8HVaSn0k2aGHG8-hwM/edit?usp=sharing"",""เชียงใหม่!J341"")"),265)</f>
        <v>265</v>
      </c>
      <c r="Y16" s="81">
        <f ca="1">IFERROR(__xludf.DUMMYFUNCTION("IMPORTRANGE(""https://docs.google.com/spreadsheets/d/1Jgv0Y7YlHDtsiDawwp-uvifEJ8HVaSn0k2aGHG8-hwM/edit?usp=sharing"",""เชียงใหม่!J342"")"),12)</f>
        <v>12</v>
      </c>
      <c r="Z16" s="81">
        <f ca="1">IFERROR(__xludf.DUMMYFUNCTION("IMPORTRANGE(""https://docs.google.com/spreadsheets/d/1Jgv0Y7YlHDtsiDawwp-uvifEJ8HVaSn0k2aGHG8-hwM/edit?usp=sharing"",""เชียงใหม่!J343"")"),32)</f>
        <v>32</v>
      </c>
      <c r="AA16" s="81">
        <f t="shared" ca="1" si="31"/>
        <v>2379</v>
      </c>
      <c r="AB16" s="347">
        <f t="shared" ca="1" si="29"/>
        <v>264.33333333333331</v>
      </c>
    </row>
    <row r="17" spans="1:28" ht="24" customHeight="1" x14ac:dyDescent="0.2">
      <c r="A17" s="73">
        <v>4</v>
      </c>
      <c r="B17" s="74" t="s">
        <v>39</v>
      </c>
      <c r="C17" s="75">
        <f t="shared" ca="1" si="0"/>
        <v>165000</v>
      </c>
      <c r="D17" s="76">
        <f t="shared" ca="1" si="30"/>
        <v>165000</v>
      </c>
      <c r="E17" s="77">
        <f ca="1">IFERROR(__xludf.DUMMYFUNCTION("IMPORTRANGE(""https://docs.google.com/spreadsheets/d/1MeEWN-I1oV_STSDYn1IFDPWt_1FKiwhDph83XaGc0o0/edit?usp=sharing"",""งบพรบ!EN17"")"),0)</f>
        <v>0</v>
      </c>
      <c r="F17" s="77">
        <f ca="1">IFERROR(__xludf.DUMMYFUNCTION("IMPORTRANGE(""https://docs.google.com/spreadsheets/d/1MeEWN-I1oV_STSDYn1IFDPWt_1FKiwhDph83XaGc0o0/edit?usp=sharing"",""งบพรบ!EO17"")"),165000)</f>
        <v>165000</v>
      </c>
      <c r="G17" s="77">
        <f ca="1">IFERROR(__xludf.DUMMYFUNCTION("IMPORTRANGE(""https://docs.google.com/spreadsheets/d/1MeEWN-I1oV_STSDYn1IFDPWt_1FKiwhDph83XaGc0o0/edit?usp=sharing"",""งบพรบ!EP17"")"),0)</f>
        <v>0</v>
      </c>
      <c r="H17" s="77">
        <f ca="1">IFERROR(__xludf.DUMMYFUNCTION("IMPORTRANGE(""https://docs.google.com/spreadsheets/d/1MeEWN-I1oV_STSDYn1IFDPWt_1FKiwhDph83XaGc0o0/edit?usp=sharing"",""งบพรบ!ER17"")"),167500)</f>
        <v>167500</v>
      </c>
      <c r="I17" s="77">
        <f ca="1">IFERROR(__xludf.DUMMYFUNCTION("IMPORTRANGE(""https://docs.google.com/spreadsheets/d/1MeEWN-I1oV_STSDYn1IFDPWt_1FKiwhDph83XaGc0o0/edit?usp=sharing"",""งบพรบ!ES17"")"),0)</f>
        <v>0</v>
      </c>
      <c r="J17" s="77">
        <f t="shared" ca="1" si="3"/>
        <v>141345</v>
      </c>
      <c r="K17" s="78">
        <f t="shared" ca="1" si="4"/>
        <v>85.663636363636357</v>
      </c>
      <c r="L17" s="77">
        <f ca="1">IFERROR(__xludf.DUMMYFUNCTION("IMPORTRANGE(""https://docs.google.com/spreadsheets/d/1MeEWN-I1oV_STSDYn1IFDPWt_1FKiwhDph83XaGc0o0/edit?usp=sharing"",""งบพรบ!ET17"")"),141345)</f>
        <v>141345</v>
      </c>
      <c r="M17" s="79">
        <f t="shared" ca="1" si="5"/>
        <v>85.663636363636357</v>
      </c>
      <c r="N17" s="79">
        <f t="shared" ca="1" si="6"/>
        <v>84.385074626865674</v>
      </c>
      <c r="O17" s="80">
        <f ca="1">IFERROR(__xludf.DUMMYFUNCTION("IMPORTRANGE(""https://docs.google.com/spreadsheets/d/1MeEWN-I1oV_STSDYn1IFDPWt_1FKiwhDph83XaGc0o0/edit?usp=sharing"",""งบพรบ!EU17"")"),0)</f>
        <v>0</v>
      </c>
      <c r="P17" s="80">
        <f t="shared" ca="1" si="25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IFERROR(__xludf.DUMMYFUNCTION("IMPORTRANGE(""https://docs.google.com/spreadsheets/d/1JWG2rZePOz9pe-f-ObA-yDr0VoOX2kSb0qIix2mTUo8/edit?usp=sharing"",""ตาก!I338"")"),900)</f>
        <v>900</v>
      </c>
      <c r="S17" s="81">
        <f ca="1">IFERROR(__xludf.DUMMYFUNCTION("IMPORTRANGE(""https://docs.google.com/spreadsheets/d/1JWG2rZePOz9pe-f-ObA-yDr0VoOX2kSb0qIix2mTUo8/edit?usp=sharing"",""ตาก!J338"")"),1348)</f>
        <v>1348</v>
      </c>
      <c r="T17" s="82">
        <f t="shared" ca="1" si="22"/>
        <v>149.77777777777777</v>
      </c>
      <c r="U17" s="81">
        <f ca="1">IFERROR(__xludf.DUMMYFUNCTION("IMPORTRANGE(""https://docs.google.com/spreadsheets/d/1JWG2rZePOz9pe-f-ObA-yDr0VoOX2kSb0qIix2mTUo8/edit?usp=sharing"",""ตาก!I340"")"),6)</f>
        <v>6</v>
      </c>
      <c r="V17" s="81">
        <f ca="1">IFERROR(__xludf.DUMMYFUNCTION("IMPORTRANGE(""https://docs.google.com/spreadsheets/d/1JWG2rZePOz9pe-f-ObA-yDr0VoOX2kSb0qIix2mTUo8/edit?usp=sharing"",""ตาก!J340"")"),6)</f>
        <v>6</v>
      </c>
      <c r="W17" s="82">
        <f t="shared" ca="1" si="23"/>
        <v>100</v>
      </c>
      <c r="X17" s="81">
        <f ca="1">IFERROR(__xludf.DUMMYFUNCTION("IMPORTRANGE(""https://docs.google.com/spreadsheets/d/1JWG2rZePOz9pe-f-ObA-yDr0VoOX2kSb0qIix2mTUo8/edit?usp=sharing"",""ตาก!J341"")"),705)</f>
        <v>705</v>
      </c>
      <c r="Y17" s="81">
        <f ca="1">IFERROR(__xludf.DUMMYFUNCTION("IMPORTRANGE(""https://docs.google.com/spreadsheets/d/1JWG2rZePOz9pe-f-ObA-yDr0VoOX2kSb0qIix2mTUo8/edit?usp=sharing"",""ตาก!J342"")"),0)</f>
        <v>0</v>
      </c>
      <c r="Z17" s="81">
        <f ca="1">IFERROR(__xludf.DUMMYFUNCTION("IMPORTRANGE(""https://docs.google.com/spreadsheets/d/1JWG2rZePOz9pe-f-ObA-yDr0VoOX2kSb0qIix2mTUo8/edit?usp=sharing"",""ตาก!J343"")"),0)</f>
        <v>0</v>
      </c>
      <c r="AA17" s="81">
        <f t="shared" ca="1" si="31"/>
        <v>2053</v>
      </c>
      <c r="AB17" s="347">
        <f t="shared" ca="1" si="29"/>
        <v>228.11111111111111</v>
      </c>
    </row>
    <row r="18" spans="1:28" ht="24" customHeight="1" x14ac:dyDescent="0.2">
      <c r="A18" s="73">
        <v>5</v>
      </c>
      <c r="B18" s="74" t="s">
        <v>40</v>
      </c>
      <c r="C18" s="75">
        <f t="shared" ca="1" si="0"/>
        <v>177000</v>
      </c>
      <c r="D18" s="76">
        <f t="shared" ca="1" si="30"/>
        <v>177000</v>
      </c>
      <c r="E18" s="77">
        <f ca="1">IFERROR(__xludf.DUMMYFUNCTION("IMPORTRANGE(""https://docs.google.com/spreadsheets/d/1MeEWN-I1oV_STSDYn1IFDPWt_1FKiwhDph83XaGc0o0/edit?usp=sharing"",""งบพรบ!EN18"")"),0)</f>
        <v>0</v>
      </c>
      <c r="F18" s="77">
        <f ca="1">IFERROR(__xludf.DUMMYFUNCTION("IMPORTRANGE(""https://docs.google.com/spreadsheets/d/1MeEWN-I1oV_STSDYn1IFDPWt_1FKiwhDph83XaGc0o0/edit?usp=sharing"",""งบพรบ!EO18"")"),177000)</f>
        <v>177000</v>
      </c>
      <c r="G18" s="77">
        <f ca="1">IFERROR(__xludf.DUMMYFUNCTION("IMPORTRANGE(""https://docs.google.com/spreadsheets/d/1MeEWN-I1oV_STSDYn1IFDPWt_1FKiwhDph83XaGc0o0/edit?usp=sharing"",""งบพรบ!EP18"")"),0)</f>
        <v>0</v>
      </c>
      <c r="H18" s="77">
        <f ca="1">IFERROR(__xludf.DUMMYFUNCTION("IMPORTRANGE(""https://docs.google.com/spreadsheets/d/1MeEWN-I1oV_STSDYn1IFDPWt_1FKiwhDph83XaGc0o0/edit?usp=sharing"",""งบพรบ!ER18"")"),179500)</f>
        <v>179500</v>
      </c>
      <c r="I18" s="77">
        <f ca="1">IFERROR(__xludf.DUMMYFUNCTION("IMPORTRANGE(""https://docs.google.com/spreadsheets/d/1MeEWN-I1oV_STSDYn1IFDPWt_1FKiwhDph83XaGc0o0/edit?usp=sharing"",""งบพรบ!ES18"")"),0)</f>
        <v>0</v>
      </c>
      <c r="J18" s="77">
        <f t="shared" ca="1" si="3"/>
        <v>153414</v>
      </c>
      <c r="K18" s="78">
        <f t="shared" ca="1" si="4"/>
        <v>86.674576271186439</v>
      </c>
      <c r="L18" s="77">
        <f ca="1">IFERROR(__xludf.DUMMYFUNCTION("IMPORTRANGE(""https://docs.google.com/spreadsheets/d/1MeEWN-I1oV_STSDYn1IFDPWt_1FKiwhDph83XaGc0o0/edit?usp=sharing"",""งบพรบ!ET18"")"),153414)</f>
        <v>153414</v>
      </c>
      <c r="M18" s="79">
        <f t="shared" ca="1" si="5"/>
        <v>86.674576271186439</v>
      </c>
      <c r="N18" s="79">
        <f t="shared" ca="1" si="6"/>
        <v>85.467409470752088</v>
      </c>
      <c r="O18" s="80">
        <f ca="1">IFERROR(__xludf.DUMMYFUNCTION("IMPORTRANGE(""https://docs.google.com/spreadsheets/d/1MeEWN-I1oV_STSDYn1IFDPWt_1FKiwhDph83XaGc0o0/edit?usp=sharing"",""งบพรบ!EU18"")"),0)</f>
        <v>0</v>
      </c>
      <c r="P18" s="80">
        <f t="shared" ca="1" si="25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IFERROR(__xludf.DUMMYFUNCTION("IMPORTRANGE(""https://docs.google.com/spreadsheets/d/10nSRjK08hx8Y6HgSOQKNw81lyY46Zc7U_Cj72hBMp9U/edit?usp=sharing"",""นครสวรรค์!I338"")"),3500)</f>
        <v>3500</v>
      </c>
      <c r="S18" s="81">
        <f ca="1">IFERROR(__xludf.DUMMYFUNCTION("IMPORTRANGE(""https://docs.google.com/spreadsheets/d/10nSRjK08hx8Y6HgSOQKNw81lyY46Zc7U_Cj72hBMp9U/edit?usp=sharing"",""นครสวรรค์!J338"")"),6590)</f>
        <v>6590</v>
      </c>
      <c r="T18" s="82">
        <f t="shared" ca="1" si="22"/>
        <v>188.28571428571428</v>
      </c>
      <c r="U18" s="81">
        <f ca="1">IFERROR(__xludf.DUMMYFUNCTION("IMPORTRANGE(""https://docs.google.com/spreadsheets/d/10nSRjK08hx8Y6HgSOQKNw81lyY46Zc7U_Cj72hBMp9U/edit?usp=sharing"",""นครสวรรค์!I340"")"),7)</f>
        <v>7</v>
      </c>
      <c r="V18" s="81">
        <f ca="1">IFERROR(__xludf.DUMMYFUNCTION("IMPORTRANGE(""https://docs.google.com/spreadsheets/d/10nSRjK08hx8Y6HgSOQKNw81lyY46Zc7U_Cj72hBMp9U/edit?usp=sharing"",""นครสวรรค์!J340"")"),8)</f>
        <v>8</v>
      </c>
      <c r="W18" s="82">
        <f t="shared" ca="1" si="23"/>
        <v>114.28571428571429</v>
      </c>
      <c r="X18" s="81">
        <f ca="1">IFERROR(__xludf.DUMMYFUNCTION("IMPORTRANGE(""https://docs.google.com/spreadsheets/d/10nSRjK08hx8Y6HgSOQKNw81lyY46Zc7U_Cj72hBMp9U/edit?usp=sharing"",""นครสวรรค์!J341"")"),452)</f>
        <v>452</v>
      </c>
      <c r="Y18" s="81">
        <f ca="1">IFERROR(__xludf.DUMMYFUNCTION("IMPORTRANGE(""https://docs.google.com/spreadsheets/d/10nSRjK08hx8Y6HgSOQKNw81lyY46Zc7U_Cj72hBMp9U/edit?usp=sharing"",""นครสวรรค์!J342"")"),23)</f>
        <v>23</v>
      </c>
      <c r="Z18" s="81">
        <f ca="1">IFERROR(__xludf.DUMMYFUNCTION("IMPORTRANGE(""https://docs.google.com/spreadsheets/d/10nSRjK08hx8Y6HgSOQKNw81lyY46Zc7U_Cj72hBMp9U/edit?usp=sharing"",""นครสวรรค์!J343"")"),0)</f>
        <v>0</v>
      </c>
      <c r="AA18" s="81">
        <f t="shared" ca="1" si="31"/>
        <v>7065</v>
      </c>
      <c r="AB18" s="347">
        <f t="shared" ca="1" si="29"/>
        <v>201.85714285714286</v>
      </c>
    </row>
    <row r="19" spans="1:28" ht="24" customHeight="1" x14ac:dyDescent="0.2">
      <c r="A19" s="73">
        <v>6</v>
      </c>
      <c r="B19" s="74" t="s">
        <v>41</v>
      </c>
      <c r="C19" s="75">
        <f t="shared" ca="1" si="0"/>
        <v>172000</v>
      </c>
      <c r="D19" s="76">
        <f t="shared" ca="1" si="30"/>
        <v>172000</v>
      </c>
      <c r="E19" s="77">
        <f ca="1">IFERROR(__xludf.DUMMYFUNCTION("IMPORTRANGE(""https://docs.google.com/spreadsheets/d/1MeEWN-I1oV_STSDYn1IFDPWt_1FKiwhDph83XaGc0o0/edit?usp=sharing"",""งบพรบ!EN19"")"),0)</f>
        <v>0</v>
      </c>
      <c r="F19" s="77">
        <f ca="1">IFERROR(__xludf.DUMMYFUNCTION("IMPORTRANGE(""https://docs.google.com/spreadsheets/d/1MeEWN-I1oV_STSDYn1IFDPWt_1FKiwhDph83XaGc0o0/edit?usp=sharing"",""งบพรบ!EO19"")"),172000)</f>
        <v>172000</v>
      </c>
      <c r="G19" s="77">
        <f ca="1">IFERROR(__xludf.DUMMYFUNCTION("IMPORTRANGE(""https://docs.google.com/spreadsheets/d/1MeEWN-I1oV_STSDYn1IFDPWt_1FKiwhDph83XaGc0o0/edit?usp=sharing"",""งบพรบ!EP19"")"),0)</f>
        <v>0</v>
      </c>
      <c r="H19" s="77">
        <f ca="1">IFERROR(__xludf.DUMMYFUNCTION("IMPORTRANGE(""https://docs.google.com/spreadsheets/d/1MeEWN-I1oV_STSDYn1IFDPWt_1FKiwhDph83XaGc0o0/edit?usp=sharing"",""งบพรบ!ER19"")"),174500)</f>
        <v>174500</v>
      </c>
      <c r="I19" s="77">
        <f ca="1">IFERROR(__xludf.DUMMYFUNCTION("IMPORTRANGE(""https://docs.google.com/spreadsheets/d/1MeEWN-I1oV_STSDYn1IFDPWt_1FKiwhDph83XaGc0o0/edit?usp=sharing"",""งบพรบ!ES19"")"),0)</f>
        <v>0</v>
      </c>
      <c r="J19" s="77">
        <f t="shared" ca="1" si="3"/>
        <v>159062</v>
      </c>
      <c r="K19" s="78">
        <f t="shared" ca="1" si="4"/>
        <v>92.47790697674418</v>
      </c>
      <c r="L19" s="77">
        <f ca="1">IFERROR(__xludf.DUMMYFUNCTION("IMPORTRANGE(""https://docs.google.com/spreadsheets/d/1MeEWN-I1oV_STSDYn1IFDPWt_1FKiwhDph83XaGc0o0/edit?usp=sharing"",""งบพรบ!ET19"")"),159062)</f>
        <v>159062</v>
      </c>
      <c r="M19" s="79">
        <f t="shared" ca="1" si="5"/>
        <v>92.47790697674418</v>
      </c>
      <c r="N19" s="79">
        <f t="shared" ca="1" si="6"/>
        <v>91.153008595988538</v>
      </c>
      <c r="O19" s="80">
        <f ca="1">IFERROR(__xludf.DUMMYFUNCTION("IMPORTRANGE(""https://docs.google.com/spreadsheets/d/1MeEWN-I1oV_STSDYn1IFDPWt_1FKiwhDph83XaGc0o0/edit?usp=sharing"",""งบพรบ!EU19"")"),0)</f>
        <v>0</v>
      </c>
      <c r="P19" s="80">
        <f t="shared" ca="1" si="25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IFERROR(__xludf.DUMMYFUNCTION("IMPORTRANGE(""https://docs.google.com/spreadsheets/d/1gFVb7qd7amutrIxAAoM7lcy35hllxznovot8lyOfvDo/edit?usp=sharing"",""น่าน!I338"")"),1600)</f>
        <v>1600</v>
      </c>
      <c r="S19" s="81">
        <f ca="1">IFERROR(__xludf.DUMMYFUNCTION("IMPORTRANGE(""https://docs.google.com/spreadsheets/d/1gFVb7qd7amutrIxAAoM7lcy35hllxznovot8lyOfvDo/edit?usp=sharing"",""น่าน!J338"")"),5750)</f>
        <v>5750</v>
      </c>
      <c r="T19" s="82">
        <f t="shared" ca="1" si="22"/>
        <v>359.375</v>
      </c>
      <c r="U19" s="81">
        <f ca="1">IFERROR(__xludf.DUMMYFUNCTION("IMPORTRANGE(""https://docs.google.com/spreadsheets/d/1gFVb7qd7amutrIxAAoM7lcy35hllxznovot8lyOfvDo/edit?usp=sharing"",""น่าน!I340"")"),7)</f>
        <v>7</v>
      </c>
      <c r="V19" s="81">
        <f ca="1">IFERROR(__xludf.DUMMYFUNCTION("IMPORTRANGE(""https://docs.google.com/spreadsheets/d/1gFVb7qd7amutrIxAAoM7lcy35hllxznovot8lyOfvDo/edit?usp=sharing"",""น่าน!J340"")"),9)</f>
        <v>9</v>
      </c>
      <c r="W19" s="82">
        <f t="shared" ca="1" si="23"/>
        <v>128.57142857142858</v>
      </c>
      <c r="X19" s="81">
        <f ca="1">IFERROR(__xludf.DUMMYFUNCTION("IMPORTRANGE(""https://docs.google.com/spreadsheets/d/1gFVb7qd7amutrIxAAoM7lcy35hllxznovot8lyOfvDo/edit?usp=sharing"",""น่าน!J341"")"),362)</f>
        <v>362</v>
      </c>
      <c r="Y19" s="81">
        <f ca="1">IFERROR(__xludf.DUMMYFUNCTION("IMPORTRANGE(""https://docs.google.com/spreadsheets/d/1gFVb7qd7amutrIxAAoM7lcy35hllxznovot8lyOfvDo/edit?usp=sharing"",""น่าน!J342"")"),214)</f>
        <v>214</v>
      </c>
      <c r="Z19" s="81">
        <f ca="1">IFERROR(__xludf.DUMMYFUNCTION("IMPORTRANGE(""https://docs.google.com/spreadsheets/d/1gFVb7qd7amutrIxAAoM7lcy35hllxznovot8lyOfvDo/edit?usp=sharing"",""น่าน!J343"")"),0)</f>
        <v>0</v>
      </c>
      <c r="AA19" s="81">
        <f t="shared" ca="1" si="31"/>
        <v>6326</v>
      </c>
      <c r="AB19" s="347">
        <f t="shared" ca="1" si="29"/>
        <v>395.375</v>
      </c>
    </row>
    <row r="20" spans="1:28" ht="24" customHeight="1" x14ac:dyDescent="0.2">
      <c r="A20" s="73">
        <v>7</v>
      </c>
      <c r="B20" s="74" t="s">
        <v>42</v>
      </c>
      <c r="C20" s="75">
        <f t="shared" ca="1" si="0"/>
        <v>168000</v>
      </c>
      <c r="D20" s="76">
        <f t="shared" ca="1" si="30"/>
        <v>168000</v>
      </c>
      <c r="E20" s="77">
        <f ca="1">IFERROR(__xludf.DUMMYFUNCTION("IMPORTRANGE(""https://docs.google.com/spreadsheets/d/1MeEWN-I1oV_STSDYn1IFDPWt_1FKiwhDph83XaGc0o0/edit?usp=sharing"",""งบพรบ!EN20"")"),0)</f>
        <v>0</v>
      </c>
      <c r="F20" s="77">
        <f ca="1">IFERROR(__xludf.DUMMYFUNCTION("IMPORTRANGE(""https://docs.google.com/spreadsheets/d/1MeEWN-I1oV_STSDYn1IFDPWt_1FKiwhDph83XaGc0o0/edit?usp=sharing"",""งบพรบ!EO20"")"),168000)</f>
        <v>168000</v>
      </c>
      <c r="G20" s="77">
        <f ca="1">IFERROR(__xludf.DUMMYFUNCTION("IMPORTRANGE(""https://docs.google.com/spreadsheets/d/1MeEWN-I1oV_STSDYn1IFDPWt_1FKiwhDph83XaGc0o0/edit?usp=sharing"",""งบพรบ!EP20"")"),0)</f>
        <v>0</v>
      </c>
      <c r="H20" s="77">
        <f ca="1">IFERROR(__xludf.DUMMYFUNCTION("IMPORTRANGE(""https://docs.google.com/spreadsheets/d/1MeEWN-I1oV_STSDYn1IFDPWt_1FKiwhDph83XaGc0o0/edit?usp=sharing"",""งบพรบ!ER20"")"),170500)</f>
        <v>170500</v>
      </c>
      <c r="I20" s="77">
        <f ca="1">IFERROR(__xludf.DUMMYFUNCTION("IMPORTRANGE(""https://docs.google.com/spreadsheets/d/1MeEWN-I1oV_STSDYn1IFDPWt_1FKiwhDph83XaGc0o0/edit?usp=sharing"",""งบพรบ!ES20"")"),0)</f>
        <v>0</v>
      </c>
      <c r="J20" s="77">
        <f t="shared" ca="1" si="3"/>
        <v>170500</v>
      </c>
      <c r="K20" s="78">
        <f t="shared" ca="1" si="4"/>
        <v>101.48809523809524</v>
      </c>
      <c r="L20" s="77">
        <f ca="1">IFERROR(__xludf.DUMMYFUNCTION("IMPORTRANGE(""https://docs.google.com/spreadsheets/d/1MeEWN-I1oV_STSDYn1IFDPWt_1FKiwhDph83XaGc0o0/edit?usp=sharing"",""งบพรบ!ET20"")"),170500)</f>
        <v>170500</v>
      </c>
      <c r="M20" s="79">
        <f t="shared" ca="1" si="5"/>
        <v>101.48809523809524</v>
      </c>
      <c r="N20" s="79">
        <f t="shared" ca="1" si="6"/>
        <v>100</v>
      </c>
      <c r="O20" s="80">
        <f ca="1">IFERROR(__xludf.DUMMYFUNCTION("IMPORTRANGE(""https://docs.google.com/spreadsheets/d/1MeEWN-I1oV_STSDYn1IFDPWt_1FKiwhDph83XaGc0o0/edit?usp=sharing"",""งบพรบ!EU20"")"),0)</f>
        <v>0</v>
      </c>
      <c r="P20" s="80">
        <f t="shared" ca="1" si="25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IFERROR(__xludf.DUMMYFUNCTION("IMPORTRANGE(""https://docs.google.com/spreadsheets/d/1K0Aa9s-6EuHE5M0FG1F9aHLXRCOV917xvycTdLdct0w/edit?usp=sharing"",""พะเยา!I338"")"),1600)</f>
        <v>1600</v>
      </c>
      <c r="S20" s="81">
        <f ca="1">IFERROR(__xludf.DUMMYFUNCTION("IMPORTRANGE(""https://docs.google.com/spreadsheets/d/1K0Aa9s-6EuHE5M0FG1F9aHLXRCOV917xvycTdLdct0w/edit?usp=sharing"",""พะเยา!J338"")"),8036)</f>
        <v>8036</v>
      </c>
      <c r="T20" s="82">
        <f t="shared" ca="1" si="22"/>
        <v>502.25</v>
      </c>
      <c r="U20" s="81">
        <f ca="1">IFERROR(__xludf.DUMMYFUNCTION("IMPORTRANGE(""https://docs.google.com/spreadsheets/d/1K0Aa9s-6EuHE5M0FG1F9aHLXRCOV917xvycTdLdct0w/edit?usp=sharing"",""พะเยา!I340"")"),5)</f>
        <v>5</v>
      </c>
      <c r="V20" s="81">
        <f ca="1">IFERROR(__xludf.DUMMYFUNCTION("IMPORTRANGE(""https://docs.google.com/spreadsheets/d/1K0Aa9s-6EuHE5M0FG1F9aHLXRCOV917xvycTdLdct0w/edit?usp=sharing"",""พะเยา!J340"")"),6)</f>
        <v>6</v>
      </c>
      <c r="W20" s="82">
        <f t="shared" ca="1" si="23"/>
        <v>120</v>
      </c>
      <c r="X20" s="81">
        <f ca="1">IFERROR(__xludf.DUMMYFUNCTION("IMPORTRANGE(""https://docs.google.com/spreadsheets/d/1K0Aa9s-6EuHE5M0FG1F9aHLXRCOV917xvycTdLdct0w/edit?usp=sharing"",""พะเยา!J341"")"),427)</f>
        <v>427</v>
      </c>
      <c r="Y20" s="81">
        <f ca="1">IFERROR(__xludf.DUMMYFUNCTION("IMPORTRANGE(""https://docs.google.com/spreadsheets/d/1K0Aa9s-6EuHE5M0FG1F9aHLXRCOV917xvycTdLdct0w/edit?usp=sharing"",""พะเยา!J342"")"),0)</f>
        <v>0</v>
      </c>
      <c r="Z20" s="81">
        <f ca="1">IFERROR(__xludf.DUMMYFUNCTION("IMPORTRANGE(""https://docs.google.com/spreadsheets/d/1K0Aa9s-6EuHE5M0FG1F9aHLXRCOV917xvycTdLdct0w/edit?usp=sharing"",""พะเยา!J343"")"),0)</f>
        <v>0</v>
      </c>
      <c r="AA20" s="81">
        <f t="shared" ca="1" si="31"/>
        <v>8463</v>
      </c>
      <c r="AB20" s="347">
        <f t="shared" ca="1" si="29"/>
        <v>528.9375</v>
      </c>
    </row>
    <row r="21" spans="1:28" ht="24" customHeight="1" x14ac:dyDescent="0.2">
      <c r="A21" s="73">
        <v>8</v>
      </c>
      <c r="B21" s="74" t="s">
        <v>43</v>
      </c>
      <c r="C21" s="75">
        <f t="shared" ca="1" si="0"/>
        <v>161000</v>
      </c>
      <c r="D21" s="76">
        <f t="shared" ca="1" si="30"/>
        <v>161000</v>
      </c>
      <c r="E21" s="77">
        <f ca="1">IFERROR(__xludf.DUMMYFUNCTION("IMPORTRANGE(""https://docs.google.com/spreadsheets/d/1MeEWN-I1oV_STSDYn1IFDPWt_1FKiwhDph83XaGc0o0/edit?usp=sharing"",""งบพรบ!EN21"")"),0)</f>
        <v>0</v>
      </c>
      <c r="F21" s="77">
        <f ca="1">IFERROR(__xludf.DUMMYFUNCTION("IMPORTRANGE(""https://docs.google.com/spreadsheets/d/1MeEWN-I1oV_STSDYn1IFDPWt_1FKiwhDph83XaGc0o0/edit?usp=sharing"",""งบพรบ!EO21"")"),161000)</f>
        <v>161000</v>
      </c>
      <c r="G21" s="77">
        <f ca="1">IFERROR(__xludf.DUMMYFUNCTION("IMPORTRANGE(""https://docs.google.com/spreadsheets/d/1MeEWN-I1oV_STSDYn1IFDPWt_1FKiwhDph83XaGc0o0/edit?usp=sharing"",""งบพรบ!EP21"")"),0)</f>
        <v>0</v>
      </c>
      <c r="H21" s="77">
        <f ca="1">IFERROR(__xludf.DUMMYFUNCTION("IMPORTRANGE(""https://docs.google.com/spreadsheets/d/1MeEWN-I1oV_STSDYn1IFDPWt_1FKiwhDph83XaGc0o0/edit?usp=sharing"",""งบพรบ!ER21"")"),163500)</f>
        <v>163500</v>
      </c>
      <c r="I21" s="77">
        <f ca="1">IFERROR(__xludf.DUMMYFUNCTION("IMPORTRANGE(""https://docs.google.com/spreadsheets/d/1MeEWN-I1oV_STSDYn1IFDPWt_1FKiwhDph83XaGc0o0/edit?usp=sharing"",""งบพรบ!ES21"")"),7160)</f>
        <v>7160</v>
      </c>
      <c r="J21" s="77">
        <f t="shared" ca="1" si="3"/>
        <v>149209</v>
      </c>
      <c r="K21" s="78">
        <f t="shared" ca="1" si="4"/>
        <v>92.676397515527952</v>
      </c>
      <c r="L21" s="77">
        <f ca="1">IFERROR(__xludf.DUMMYFUNCTION("IMPORTRANGE(""https://docs.google.com/spreadsheets/d/1MeEWN-I1oV_STSDYn1IFDPWt_1FKiwhDph83XaGc0o0/edit?usp=sharing"",""งบพรบ!ET21"")"),142049)</f>
        <v>142049</v>
      </c>
      <c r="M21" s="79">
        <f t="shared" ca="1" si="5"/>
        <v>88.229192546583846</v>
      </c>
      <c r="N21" s="79">
        <f t="shared" ca="1" si="6"/>
        <v>86.880122324159018</v>
      </c>
      <c r="O21" s="80">
        <f ca="1">IFERROR(__xludf.DUMMYFUNCTION("IMPORTRANGE(""https://docs.google.com/spreadsheets/d/1MeEWN-I1oV_STSDYn1IFDPWt_1FKiwhDph83XaGc0o0/edit?usp=sharing"",""งบพรบ!EU21"")"),7160)</f>
        <v>7160</v>
      </c>
      <c r="P21" s="80">
        <f t="shared" ca="1" si="25"/>
        <v>0</v>
      </c>
      <c r="Q21" s="79">
        <f t="shared" ca="1" si="8"/>
        <v>100</v>
      </c>
      <c r="R21" s="81">
        <f ca="1">IFERROR(__xludf.DUMMYFUNCTION("IMPORTRANGE(""https://docs.google.com/spreadsheets/d/1Y9LPKx95PyL5OKy09d-KbKJSuuEZCFdkhYjwC0XQjBA/edit?usp=sharing"",""พิจิตร!I338"")"),1000)</f>
        <v>1000</v>
      </c>
      <c r="S21" s="81">
        <f ca="1">IFERROR(__xludf.DUMMYFUNCTION("IMPORTRANGE(""https://docs.google.com/spreadsheets/d/1Y9LPKx95PyL5OKy09d-KbKJSuuEZCFdkhYjwC0XQjBA/edit?usp=sharing"",""พิจิตร!J338"")"),1140)</f>
        <v>1140</v>
      </c>
      <c r="T21" s="82">
        <f t="shared" ca="1" si="22"/>
        <v>114</v>
      </c>
      <c r="U21" s="81">
        <f ca="1">IFERROR(__xludf.DUMMYFUNCTION("IMPORTRANGE(""https://docs.google.com/spreadsheets/d/1Y9LPKx95PyL5OKy09d-KbKJSuuEZCFdkhYjwC0XQjBA/edit?usp=sharing"",""พิจิตร!I340"")"),4)</f>
        <v>4</v>
      </c>
      <c r="V21" s="81">
        <f ca="1">IFERROR(__xludf.DUMMYFUNCTION("IMPORTRANGE(""https://docs.google.com/spreadsheets/d/1Y9LPKx95PyL5OKy09d-KbKJSuuEZCFdkhYjwC0XQjBA/edit?usp=sharing"",""พิจิตร!J340"")"),4)</f>
        <v>4</v>
      </c>
      <c r="W21" s="82">
        <f t="shared" ca="1" si="23"/>
        <v>100</v>
      </c>
      <c r="X21" s="81">
        <f ca="1">IFERROR(__xludf.DUMMYFUNCTION("IMPORTRANGE(""https://docs.google.com/spreadsheets/d/1Y9LPKx95PyL5OKy09d-KbKJSuuEZCFdkhYjwC0XQjBA/edit?usp=sharing"",""พิจิตร!J341"")"),129)</f>
        <v>129</v>
      </c>
      <c r="Y21" s="81">
        <f ca="1">IFERROR(__xludf.DUMMYFUNCTION("IMPORTRANGE(""https://docs.google.com/spreadsheets/d/1Y9LPKx95PyL5OKy09d-KbKJSuuEZCFdkhYjwC0XQjBA/edit?usp=sharing"",""พิจิตร!J342"")"),3)</f>
        <v>3</v>
      </c>
      <c r="Z21" s="81">
        <f ca="1">IFERROR(__xludf.DUMMYFUNCTION("IMPORTRANGE(""https://docs.google.com/spreadsheets/d/1Y9LPKx95PyL5OKy09d-KbKJSuuEZCFdkhYjwC0XQjBA/edit?usp=sharing"",""พิจิตร!J343"")"),0)</f>
        <v>0</v>
      </c>
      <c r="AA21" s="81">
        <f t="shared" ca="1" si="31"/>
        <v>1272</v>
      </c>
      <c r="AB21" s="347">
        <f t="shared" ca="1" si="29"/>
        <v>127.2</v>
      </c>
    </row>
    <row r="22" spans="1:28" ht="24" customHeight="1" x14ac:dyDescent="0.2">
      <c r="A22" s="73">
        <v>9</v>
      </c>
      <c r="B22" s="74" t="s">
        <v>44</v>
      </c>
      <c r="C22" s="75">
        <f t="shared" ca="1" si="0"/>
        <v>174000</v>
      </c>
      <c r="D22" s="76">
        <f t="shared" ca="1" si="30"/>
        <v>174000</v>
      </c>
      <c r="E22" s="77">
        <f ca="1">IFERROR(__xludf.DUMMYFUNCTION("IMPORTRANGE(""https://docs.google.com/spreadsheets/d/1MeEWN-I1oV_STSDYn1IFDPWt_1FKiwhDph83XaGc0o0/edit?usp=sharing"",""งบพรบ!EN22"")"),0)</f>
        <v>0</v>
      </c>
      <c r="F22" s="77">
        <f ca="1">IFERROR(__xludf.DUMMYFUNCTION("IMPORTRANGE(""https://docs.google.com/spreadsheets/d/1MeEWN-I1oV_STSDYn1IFDPWt_1FKiwhDph83XaGc0o0/edit?usp=sharing"",""งบพรบ!EO22"")"),174000)</f>
        <v>174000</v>
      </c>
      <c r="G22" s="77">
        <f ca="1">IFERROR(__xludf.DUMMYFUNCTION("IMPORTRANGE(""https://docs.google.com/spreadsheets/d/1MeEWN-I1oV_STSDYn1IFDPWt_1FKiwhDph83XaGc0o0/edit?usp=sharing"",""งบพรบ!EP22"")"),0)</f>
        <v>0</v>
      </c>
      <c r="H22" s="77">
        <f ca="1">IFERROR(__xludf.DUMMYFUNCTION("IMPORTRANGE(""https://docs.google.com/spreadsheets/d/1MeEWN-I1oV_STSDYn1IFDPWt_1FKiwhDph83XaGc0o0/edit?usp=sharing"",""งบพรบ!ER22"")"),176500)</f>
        <v>176500</v>
      </c>
      <c r="I22" s="77">
        <f ca="1">IFERROR(__xludf.DUMMYFUNCTION("IMPORTRANGE(""https://docs.google.com/spreadsheets/d/1MeEWN-I1oV_STSDYn1IFDPWt_1FKiwhDph83XaGc0o0/edit?usp=sharing"",""งบพรบ!ES22"")"),0)</f>
        <v>0</v>
      </c>
      <c r="J22" s="77">
        <f t="shared" ca="1" si="3"/>
        <v>153575.04999999999</v>
      </c>
      <c r="K22" s="78">
        <f t="shared" ca="1" si="4"/>
        <v>88.261522988505732</v>
      </c>
      <c r="L22" s="77">
        <f ca="1">IFERROR(__xludf.DUMMYFUNCTION("IMPORTRANGE(""https://docs.google.com/spreadsheets/d/1MeEWN-I1oV_STSDYn1IFDPWt_1FKiwhDph83XaGc0o0/edit?usp=sharing"",""งบพรบ!ET22"")"),153575.05)</f>
        <v>153575.04999999999</v>
      </c>
      <c r="M22" s="79">
        <f t="shared" ca="1" si="5"/>
        <v>88.261522988505732</v>
      </c>
      <c r="N22" s="79">
        <f t="shared" ca="1" si="6"/>
        <v>87.011359773371098</v>
      </c>
      <c r="O22" s="80">
        <f ca="1">IFERROR(__xludf.DUMMYFUNCTION("IMPORTRANGE(""https://docs.google.com/spreadsheets/d/1MeEWN-I1oV_STSDYn1IFDPWt_1FKiwhDph83XaGc0o0/edit?usp=sharing"",""งบพรบ!EU22"")"),0)</f>
        <v>0</v>
      </c>
      <c r="P22" s="80">
        <f t="shared" ca="1" si="25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IFERROR(__xludf.DUMMYFUNCTION("IMPORTRANGE(""https://docs.google.com/spreadsheets/d/16OMuOwy2eVqZcYWOouQtTpa8X1L23h4660uVHc0C8os/edit?usp=sharing"",""พิษณุโลก!I338"")"),1600)</f>
        <v>1600</v>
      </c>
      <c r="S22" s="81">
        <f ca="1">IFERROR(__xludf.DUMMYFUNCTION("IMPORTRANGE(""https://docs.google.com/spreadsheets/d/16OMuOwy2eVqZcYWOouQtTpa8X1L23h4660uVHc0C8os/edit?usp=sharing"",""พิษณุโลก!J338"")"),2106)</f>
        <v>2106</v>
      </c>
      <c r="T22" s="82">
        <f t="shared" ca="1" si="22"/>
        <v>131.625</v>
      </c>
      <c r="U22" s="81">
        <f ca="1">IFERROR(__xludf.DUMMYFUNCTION("IMPORTRANGE(""https://docs.google.com/spreadsheets/d/16OMuOwy2eVqZcYWOouQtTpa8X1L23h4660uVHc0C8os/edit?usp=sharing"",""พิษณุโลก!I340"")"),8)</f>
        <v>8</v>
      </c>
      <c r="V22" s="81">
        <f ca="1">IFERROR(__xludf.DUMMYFUNCTION("IMPORTRANGE(""https://docs.google.com/spreadsheets/d/16OMuOwy2eVqZcYWOouQtTpa8X1L23h4660uVHc0C8os/edit?usp=sharing"",""พิษณุโลก!J340"")"),5)</f>
        <v>5</v>
      </c>
      <c r="W22" s="82">
        <f t="shared" ca="1" si="23"/>
        <v>62.5</v>
      </c>
      <c r="X22" s="81">
        <f ca="1">IFERROR(__xludf.DUMMYFUNCTION("IMPORTRANGE(""https://docs.google.com/spreadsheets/d/16OMuOwy2eVqZcYWOouQtTpa8X1L23h4660uVHc0C8os/edit?usp=sharing"",""พิษณุโลก!J341"")"),169)</f>
        <v>169</v>
      </c>
      <c r="Y22" s="81">
        <f ca="1">IFERROR(__xludf.DUMMYFUNCTION("IMPORTRANGE(""https://docs.google.com/spreadsheets/d/16OMuOwy2eVqZcYWOouQtTpa8X1L23h4660uVHc0C8os/edit?usp=sharing"",""พิษณุโลก!J342"")"),21)</f>
        <v>21</v>
      </c>
      <c r="Z22" s="81">
        <f ca="1">IFERROR(__xludf.DUMMYFUNCTION("IMPORTRANGE(""https://docs.google.com/spreadsheets/d/16OMuOwy2eVqZcYWOouQtTpa8X1L23h4660uVHc0C8os/edit?usp=sharing"",""พิษณุโลก!J343"")"),15)</f>
        <v>15</v>
      </c>
      <c r="AA22" s="81">
        <f t="shared" ca="1" si="31"/>
        <v>2311</v>
      </c>
      <c r="AB22" s="347">
        <f t="shared" ca="1" si="29"/>
        <v>144.4375</v>
      </c>
    </row>
    <row r="23" spans="1:28" ht="24" customHeight="1" x14ac:dyDescent="0.2">
      <c r="A23" s="73">
        <v>10</v>
      </c>
      <c r="B23" s="74" t="s">
        <v>45</v>
      </c>
      <c r="C23" s="75">
        <f t="shared" ca="1" si="0"/>
        <v>182000</v>
      </c>
      <c r="D23" s="76">
        <f t="shared" ca="1" si="30"/>
        <v>182000</v>
      </c>
      <c r="E23" s="77">
        <f ca="1">IFERROR(__xludf.DUMMYFUNCTION("IMPORTRANGE(""https://docs.google.com/spreadsheets/d/1MeEWN-I1oV_STSDYn1IFDPWt_1FKiwhDph83XaGc0o0/edit?usp=sharing"",""งบพรบ!EN23"")"),0)</f>
        <v>0</v>
      </c>
      <c r="F23" s="77">
        <f ca="1">IFERROR(__xludf.DUMMYFUNCTION("IMPORTRANGE(""https://docs.google.com/spreadsheets/d/1MeEWN-I1oV_STSDYn1IFDPWt_1FKiwhDph83XaGc0o0/edit?usp=sharing"",""งบพรบ!EO23"")"),182000)</f>
        <v>182000</v>
      </c>
      <c r="G23" s="77">
        <f ca="1">IFERROR(__xludf.DUMMYFUNCTION("IMPORTRANGE(""https://docs.google.com/spreadsheets/d/1MeEWN-I1oV_STSDYn1IFDPWt_1FKiwhDph83XaGc0o0/edit?usp=sharing"",""งบพรบ!EP23"")"),0)</f>
        <v>0</v>
      </c>
      <c r="H23" s="77">
        <f ca="1">IFERROR(__xludf.DUMMYFUNCTION("IMPORTRANGE(""https://docs.google.com/spreadsheets/d/1MeEWN-I1oV_STSDYn1IFDPWt_1FKiwhDph83XaGc0o0/edit?usp=sharing"",""งบพรบ!ER23"")"),184500)</f>
        <v>184500</v>
      </c>
      <c r="I23" s="77">
        <f ca="1">IFERROR(__xludf.DUMMYFUNCTION("IMPORTRANGE(""https://docs.google.com/spreadsheets/d/1MeEWN-I1oV_STSDYn1IFDPWt_1FKiwhDph83XaGc0o0/edit?usp=sharing"",""งบพรบ!ES23"")"),0)</f>
        <v>0</v>
      </c>
      <c r="J23" s="77">
        <f t="shared" ca="1" si="3"/>
        <v>172768</v>
      </c>
      <c r="K23" s="78">
        <f t="shared" ca="1" si="4"/>
        <v>94.927472527472531</v>
      </c>
      <c r="L23" s="77">
        <f ca="1">IFERROR(__xludf.DUMMYFUNCTION("IMPORTRANGE(""https://docs.google.com/spreadsheets/d/1MeEWN-I1oV_STSDYn1IFDPWt_1FKiwhDph83XaGc0o0/edit?usp=sharing"",""งบพรบ!ET23"")"),172768)</f>
        <v>172768</v>
      </c>
      <c r="M23" s="79">
        <f t="shared" ca="1" si="5"/>
        <v>94.927472527472531</v>
      </c>
      <c r="N23" s="79">
        <f t="shared" ca="1" si="6"/>
        <v>93.641192411924123</v>
      </c>
      <c r="O23" s="80">
        <f ca="1">IFERROR(__xludf.DUMMYFUNCTION("IMPORTRANGE(""https://docs.google.com/spreadsheets/d/1MeEWN-I1oV_STSDYn1IFDPWt_1FKiwhDph83XaGc0o0/edit?usp=sharing"",""งบพรบ!EU23"")"),0)</f>
        <v>0</v>
      </c>
      <c r="P23" s="80">
        <f t="shared" ca="1" si="25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IFERROR(__xludf.DUMMYFUNCTION("IMPORTRANGE(""https://docs.google.com/spreadsheets/d/1GfgTldLG6k77HXaMQzaafODklYuucJZQNs_GAPEfZyY/edit?usp=sharing"",""เพชรบูรณ์!I338"")"),7600)</f>
        <v>7600</v>
      </c>
      <c r="S23" s="81">
        <f ca="1">IFERROR(__xludf.DUMMYFUNCTION("IMPORTRANGE(""https://docs.google.com/spreadsheets/d/1GfgTldLG6k77HXaMQzaafODklYuucJZQNs_GAPEfZyY/edit?usp=sharing"",""เพชรบูรณ์!J338"")"),12749)</f>
        <v>12749</v>
      </c>
      <c r="T23" s="82">
        <f t="shared" ca="1" si="22"/>
        <v>167.75</v>
      </c>
      <c r="U23" s="81">
        <f ca="1">IFERROR(__xludf.DUMMYFUNCTION("IMPORTRANGE(""https://docs.google.com/spreadsheets/d/1GfgTldLG6k77HXaMQzaafODklYuucJZQNs_GAPEfZyY/edit?usp=sharing"",""เพชรบูรณ์!I340"")"),7)</f>
        <v>7</v>
      </c>
      <c r="V23" s="81">
        <f ca="1">IFERROR(__xludf.DUMMYFUNCTION("IMPORTRANGE(""https://docs.google.com/spreadsheets/d/1GfgTldLG6k77HXaMQzaafODklYuucJZQNs_GAPEfZyY/edit?usp=sharing"",""เพชรบูรณ์!J340"")"),7)</f>
        <v>7</v>
      </c>
      <c r="W23" s="82">
        <f t="shared" ca="1" si="23"/>
        <v>100</v>
      </c>
      <c r="X23" s="81">
        <f ca="1">IFERROR(__xludf.DUMMYFUNCTION("IMPORTRANGE(""https://docs.google.com/spreadsheets/d/1GfgTldLG6k77HXaMQzaafODklYuucJZQNs_GAPEfZyY/edit?usp=sharing"",""เพชรบูรณ์!J341"")"),1111)</f>
        <v>1111</v>
      </c>
      <c r="Y23" s="81">
        <f ca="1">IFERROR(__xludf.DUMMYFUNCTION("IMPORTRANGE(""https://docs.google.com/spreadsheets/d/1GfgTldLG6k77HXaMQzaafODklYuucJZQNs_GAPEfZyY/edit?usp=sharing"",""เพชรบูรณ์!J342"")"),23)</f>
        <v>23</v>
      </c>
      <c r="Z23" s="81">
        <f ca="1">IFERROR(__xludf.DUMMYFUNCTION("IMPORTRANGE(""https://docs.google.com/spreadsheets/d/1GfgTldLG6k77HXaMQzaafODklYuucJZQNs_GAPEfZyY/edit?usp=sharing"",""เพชรบูรณ์!J343"")"),1649)</f>
        <v>1649</v>
      </c>
      <c r="AA23" s="81">
        <f t="shared" ca="1" si="31"/>
        <v>15532</v>
      </c>
      <c r="AB23" s="347">
        <f t="shared" ca="1" si="29"/>
        <v>204.36842105263159</v>
      </c>
    </row>
    <row r="24" spans="1:28" ht="24" customHeight="1" x14ac:dyDescent="0.2">
      <c r="A24" s="73">
        <v>11</v>
      </c>
      <c r="B24" s="74" t="s">
        <v>46</v>
      </c>
      <c r="C24" s="75">
        <f t="shared" ca="1" si="0"/>
        <v>170000</v>
      </c>
      <c r="D24" s="76">
        <f t="shared" ca="1" si="30"/>
        <v>170000</v>
      </c>
      <c r="E24" s="77">
        <f ca="1">IFERROR(__xludf.DUMMYFUNCTION("IMPORTRANGE(""https://docs.google.com/spreadsheets/d/1MeEWN-I1oV_STSDYn1IFDPWt_1FKiwhDph83XaGc0o0/edit?usp=sharing"",""งบพรบ!EN24"")"),0)</f>
        <v>0</v>
      </c>
      <c r="F24" s="77">
        <f ca="1">IFERROR(__xludf.DUMMYFUNCTION("IMPORTRANGE(""https://docs.google.com/spreadsheets/d/1MeEWN-I1oV_STSDYn1IFDPWt_1FKiwhDph83XaGc0o0/edit?usp=sharing"",""งบพรบ!EO24"")"),170000)</f>
        <v>170000</v>
      </c>
      <c r="G24" s="77">
        <f ca="1">IFERROR(__xludf.DUMMYFUNCTION("IMPORTRANGE(""https://docs.google.com/spreadsheets/d/1MeEWN-I1oV_STSDYn1IFDPWt_1FKiwhDph83XaGc0o0/edit?usp=sharing"",""งบพรบ!EP24"")"),0)</f>
        <v>0</v>
      </c>
      <c r="H24" s="77">
        <f ca="1">IFERROR(__xludf.DUMMYFUNCTION("IMPORTRANGE(""https://docs.google.com/spreadsheets/d/1MeEWN-I1oV_STSDYn1IFDPWt_1FKiwhDph83XaGc0o0/edit?usp=sharing"",""งบพรบ!ER24"")"),172500)</f>
        <v>172500</v>
      </c>
      <c r="I24" s="77">
        <f ca="1">IFERROR(__xludf.DUMMYFUNCTION("IMPORTRANGE(""https://docs.google.com/spreadsheets/d/1MeEWN-I1oV_STSDYn1IFDPWt_1FKiwhDph83XaGc0o0/edit?usp=sharing"",""งบพรบ!ES24"")"),0)</f>
        <v>0</v>
      </c>
      <c r="J24" s="77">
        <f t="shared" ca="1" si="3"/>
        <v>159567</v>
      </c>
      <c r="K24" s="78">
        <f t="shared" ca="1" si="4"/>
        <v>93.862941176470585</v>
      </c>
      <c r="L24" s="77">
        <f ca="1">IFERROR(__xludf.DUMMYFUNCTION("IMPORTRANGE(""https://docs.google.com/spreadsheets/d/1MeEWN-I1oV_STSDYn1IFDPWt_1FKiwhDph83XaGc0o0/edit?usp=sharing"",""งบพรบ!ET24"")"),159567)</f>
        <v>159567</v>
      </c>
      <c r="M24" s="79">
        <f t="shared" ca="1" si="5"/>
        <v>93.862941176470585</v>
      </c>
      <c r="N24" s="79">
        <f t="shared" ca="1" si="6"/>
        <v>92.502608695652171</v>
      </c>
      <c r="O24" s="80">
        <f ca="1">IFERROR(__xludf.DUMMYFUNCTION("IMPORTRANGE(""https://docs.google.com/spreadsheets/d/1MeEWN-I1oV_STSDYn1IFDPWt_1FKiwhDph83XaGc0o0/edit?usp=sharing"",""งบพรบ!EU24"")"),0)</f>
        <v>0</v>
      </c>
      <c r="P24" s="80">
        <f t="shared" ca="1" si="25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IFERROR(__xludf.DUMMYFUNCTION("IMPORTRANGE(""https://docs.google.com/spreadsheets/d/1gvTMYAnm7v1yG1BKWFtr0DnaTsq59oW9dwWvFgq6hs0/edit?usp=sharing"",""แพร่!I338"")"),1700)</f>
        <v>1700</v>
      </c>
      <c r="S24" s="81">
        <f ca="1">IFERROR(__xludf.DUMMYFUNCTION("IMPORTRANGE(""https://docs.google.com/spreadsheets/d/1gvTMYAnm7v1yG1BKWFtr0DnaTsq59oW9dwWvFgq6hs0/edit?usp=sharing"",""แพร่!J338"")"),2987)</f>
        <v>2987</v>
      </c>
      <c r="T24" s="82">
        <f t="shared" ca="1" si="22"/>
        <v>175.70588235294119</v>
      </c>
      <c r="U24" s="81">
        <f ca="1">IFERROR(__xludf.DUMMYFUNCTION("IMPORTRANGE(""https://docs.google.com/spreadsheets/d/1gvTMYAnm7v1yG1BKWFtr0DnaTsq59oW9dwWvFgq6hs0/edit?usp=sharing"",""แพร่!I340"")"),6)</f>
        <v>6</v>
      </c>
      <c r="V24" s="81">
        <f ca="1">IFERROR(__xludf.DUMMYFUNCTION("IMPORTRANGE(""https://docs.google.com/spreadsheets/d/1gvTMYAnm7v1yG1BKWFtr0DnaTsq59oW9dwWvFgq6hs0/edit?usp=sharing"",""แพร่!J340"")"),6)</f>
        <v>6</v>
      </c>
      <c r="W24" s="82">
        <f t="shared" ca="1" si="23"/>
        <v>100</v>
      </c>
      <c r="X24" s="81">
        <f ca="1">IFERROR(__xludf.DUMMYFUNCTION("IMPORTRANGE(""https://docs.google.com/spreadsheets/d/1gvTMYAnm7v1yG1BKWFtr0DnaTsq59oW9dwWvFgq6hs0/edit?usp=sharing"",""แพร่!J341"")"),469)</f>
        <v>469</v>
      </c>
      <c r="Y24" s="81">
        <f ca="1">IFERROR(__xludf.DUMMYFUNCTION("IMPORTRANGE(""https://docs.google.com/spreadsheets/d/1gvTMYAnm7v1yG1BKWFtr0DnaTsq59oW9dwWvFgq6hs0/edit?usp=sharing"",""แพร่!J342"")"),4)</f>
        <v>4</v>
      </c>
      <c r="Z24" s="81">
        <f ca="1">IFERROR(__xludf.DUMMYFUNCTION("IMPORTRANGE(""https://docs.google.com/spreadsheets/d/1gvTMYAnm7v1yG1BKWFtr0DnaTsq59oW9dwWvFgq6hs0/edit?usp=sharing"",""แพร่!J343"")"),8)</f>
        <v>8</v>
      </c>
      <c r="AA24" s="81">
        <f t="shared" ca="1" si="31"/>
        <v>3468</v>
      </c>
      <c r="AB24" s="347">
        <f t="shared" ca="1" si="29"/>
        <v>204</v>
      </c>
    </row>
    <row r="25" spans="1:28" ht="24" customHeight="1" x14ac:dyDescent="0.2">
      <c r="A25" s="73">
        <v>12</v>
      </c>
      <c r="B25" s="74" t="s">
        <v>47</v>
      </c>
      <c r="C25" s="75">
        <f t="shared" ca="1" si="0"/>
        <v>165000</v>
      </c>
      <c r="D25" s="76">
        <f t="shared" ca="1" si="30"/>
        <v>165000</v>
      </c>
      <c r="E25" s="77">
        <f ca="1">IFERROR(__xludf.DUMMYFUNCTION("IMPORTRANGE(""https://docs.google.com/spreadsheets/d/1MeEWN-I1oV_STSDYn1IFDPWt_1FKiwhDph83XaGc0o0/edit?usp=sharing"",""งบพรบ!EN25"")"),0)</f>
        <v>0</v>
      </c>
      <c r="F25" s="77">
        <f ca="1">IFERROR(__xludf.DUMMYFUNCTION("IMPORTRANGE(""https://docs.google.com/spreadsheets/d/1MeEWN-I1oV_STSDYn1IFDPWt_1FKiwhDph83XaGc0o0/edit?usp=sharing"",""งบพรบ!EO25"")"),165000)</f>
        <v>165000</v>
      </c>
      <c r="G25" s="77">
        <f ca="1">IFERROR(__xludf.DUMMYFUNCTION("IMPORTRANGE(""https://docs.google.com/spreadsheets/d/1MeEWN-I1oV_STSDYn1IFDPWt_1FKiwhDph83XaGc0o0/edit?usp=sharing"",""งบพรบ!EP25"")"),0)</f>
        <v>0</v>
      </c>
      <c r="H25" s="77">
        <f ca="1">IFERROR(__xludf.DUMMYFUNCTION("IMPORTRANGE(""https://docs.google.com/spreadsheets/d/1MeEWN-I1oV_STSDYn1IFDPWt_1FKiwhDph83XaGc0o0/edit?usp=sharing"",""งบพรบ!ER25"")"),167500)</f>
        <v>167500</v>
      </c>
      <c r="I25" s="77">
        <f ca="1">IFERROR(__xludf.DUMMYFUNCTION("IMPORTRANGE(""https://docs.google.com/spreadsheets/d/1MeEWN-I1oV_STSDYn1IFDPWt_1FKiwhDph83XaGc0o0/edit?usp=sharing"",""งบพรบ!ES25"")"),0)</f>
        <v>0</v>
      </c>
      <c r="J25" s="77">
        <f t="shared" ca="1" si="3"/>
        <v>157500</v>
      </c>
      <c r="K25" s="78">
        <f t="shared" ca="1" si="4"/>
        <v>95.454545454545453</v>
      </c>
      <c r="L25" s="77">
        <f ca="1">IFERROR(__xludf.DUMMYFUNCTION("IMPORTRANGE(""https://docs.google.com/spreadsheets/d/1MeEWN-I1oV_STSDYn1IFDPWt_1FKiwhDph83XaGc0o0/edit?usp=sharing"",""งบพรบ!ET25"")"),157500)</f>
        <v>157500</v>
      </c>
      <c r="M25" s="79">
        <f t="shared" ca="1" si="5"/>
        <v>95.454545454545453</v>
      </c>
      <c r="N25" s="79">
        <f t="shared" ca="1" si="6"/>
        <v>94.02985074626865</v>
      </c>
      <c r="O25" s="80">
        <f ca="1">IFERROR(__xludf.DUMMYFUNCTION("IMPORTRANGE(""https://docs.google.com/spreadsheets/d/1MeEWN-I1oV_STSDYn1IFDPWt_1FKiwhDph83XaGc0o0/edit?usp=sharing"",""งบพรบ!EU25"")"),0)</f>
        <v>0</v>
      </c>
      <c r="P25" s="80">
        <f t="shared" ca="1" si="25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IFERROR(__xludf.DUMMYFUNCTION("IMPORTRANGE(""https://docs.google.com/spreadsheets/d/1Wbcosgy-Xa1xXUArJSOenub6EfZHUSzc_bpJFWwQUf0/edit?usp=sharing"",""แม่ฮ่องสอน!I338"")"),400)</f>
        <v>400</v>
      </c>
      <c r="S25" s="81">
        <f ca="1">IFERROR(__xludf.DUMMYFUNCTION("IMPORTRANGE(""https://docs.google.com/spreadsheets/d/1Wbcosgy-Xa1xXUArJSOenub6EfZHUSzc_bpJFWwQUf0/edit?usp=sharing"",""แม่ฮ่องสอน!J338"")"),81)</f>
        <v>81</v>
      </c>
      <c r="T25" s="82">
        <f t="shared" ca="1" si="22"/>
        <v>20.25</v>
      </c>
      <c r="U25" s="81">
        <f ca="1">IFERROR(__xludf.DUMMYFUNCTION("IMPORTRANGE(""https://docs.google.com/spreadsheets/d/1Wbcosgy-Xa1xXUArJSOenub6EfZHUSzc_bpJFWwQUf0/edit?usp=sharing"",""แม่ฮ่องสอน!I340"")"),6)</f>
        <v>6</v>
      </c>
      <c r="V25" s="81">
        <f ca="1">IFERROR(__xludf.DUMMYFUNCTION("IMPORTRANGE(""https://docs.google.com/spreadsheets/d/1Wbcosgy-Xa1xXUArJSOenub6EfZHUSzc_bpJFWwQUf0/edit?usp=sharing"",""แม่ฮ่องสอน!J340"")"),7)</f>
        <v>7</v>
      </c>
      <c r="W25" s="82">
        <f t="shared" ca="1" si="23"/>
        <v>116.66666666666667</v>
      </c>
      <c r="X25" s="81">
        <f ca="1">IFERROR(__xludf.DUMMYFUNCTION("IMPORTRANGE(""https://docs.google.com/spreadsheets/d/1Wbcosgy-Xa1xXUArJSOenub6EfZHUSzc_bpJFWwQUf0/edit?usp=sharing"",""แม่ฮ่องสอน!J341"")"),350)</f>
        <v>350</v>
      </c>
      <c r="Y25" s="81">
        <f ca="1">IFERROR(__xludf.DUMMYFUNCTION("IMPORTRANGE(""https://docs.google.com/spreadsheets/d/1Wbcosgy-Xa1xXUArJSOenub6EfZHUSzc_bpJFWwQUf0/edit?usp=sharing"",""แม่ฮ่องสอน!J342"")"),11)</f>
        <v>11</v>
      </c>
      <c r="Z25" s="81">
        <f ca="1">IFERROR(__xludf.DUMMYFUNCTION("IMPORTRANGE(""https://docs.google.com/spreadsheets/d/1Wbcosgy-Xa1xXUArJSOenub6EfZHUSzc_bpJFWwQUf0/edit?usp=sharing"",""แม่ฮ่องสอน!J343"")"),16)</f>
        <v>16</v>
      </c>
      <c r="AA25" s="81">
        <f t="shared" ca="1" si="31"/>
        <v>458</v>
      </c>
      <c r="AB25" s="347">
        <f t="shared" ca="1" si="29"/>
        <v>114.5</v>
      </c>
    </row>
    <row r="26" spans="1:28" ht="24" customHeight="1" x14ac:dyDescent="0.2">
      <c r="A26" s="73">
        <v>13</v>
      </c>
      <c r="B26" s="74" t="s">
        <v>48</v>
      </c>
      <c r="C26" s="75">
        <f t="shared" ca="1" si="0"/>
        <v>172000</v>
      </c>
      <c r="D26" s="76">
        <f t="shared" ca="1" si="30"/>
        <v>172000</v>
      </c>
      <c r="E26" s="77">
        <f ca="1">IFERROR(__xludf.DUMMYFUNCTION("IMPORTRANGE(""https://docs.google.com/spreadsheets/d/1MeEWN-I1oV_STSDYn1IFDPWt_1FKiwhDph83XaGc0o0/edit?usp=sharing"",""งบพรบ!EN26"")"),0)</f>
        <v>0</v>
      </c>
      <c r="F26" s="77">
        <f ca="1">IFERROR(__xludf.DUMMYFUNCTION("IMPORTRANGE(""https://docs.google.com/spreadsheets/d/1MeEWN-I1oV_STSDYn1IFDPWt_1FKiwhDph83XaGc0o0/edit?usp=sharing"",""งบพรบ!EO26"")"),172000)</f>
        <v>172000</v>
      </c>
      <c r="G26" s="77">
        <f ca="1">IFERROR(__xludf.DUMMYFUNCTION("IMPORTRANGE(""https://docs.google.com/spreadsheets/d/1MeEWN-I1oV_STSDYn1IFDPWt_1FKiwhDph83XaGc0o0/edit?usp=sharing"",""งบพรบ!EP26"")"),0)</f>
        <v>0</v>
      </c>
      <c r="H26" s="77">
        <f ca="1">IFERROR(__xludf.DUMMYFUNCTION("IMPORTRANGE(""https://docs.google.com/spreadsheets/d/1MeEWN-I1oV_STSDYn1IFDPWt_1FKiwhDph83XaGc0o0/edit?usp=sharing"",""งบพรบ!ER26"")"),174500)</f>
        <v>174500</v>
      </c>
      <c r="I26" s="77">
        <f ca="1">IFERROR(__xludf.DUMMYFUNCTION("IMPORTRANGE(""https://docs.google.com/spreadsheets/d/1MeEWN-I1oV_STSDYn1IFDPWt_1FKiwhDph83XaGc0o0/edit?usp=sharing"",""งบพรบ!ES26"")"),0)</f>
        <v>0</v>
      </c>
      <c r="J26" s="77">
        <f t="shared" ca="1" si="3"/>
        <v>159383</v>
      </c>
      <c r="K26" s="78">
        <f t="shared" ca="1" si="4"/>
        <v>92.664534883720933</v>
      </c>
      <c r="L26" s="77">
        <f ca="1">IFERROR(__xludf.DUMMYFUNCTION("IMPORTRANGE(""https://docs.google.com/spreadsheets/d/1MeEWN-I1oV_STSDYn1IFDPWt_1FKiwhDph83XaGc0o0/edit?usp=sharing"",""งบพรบ!ET26"")"),159383)</f>
        <v>159383</v>
      </c>
      <c r="M26" s="79">
        <f t="shared" ca="1" si="5"/>
        <v>92.664534883720933</v>
      </c>
      <c r="N26" s="79">
        <f t="shared" ca="1" si="6"/>
        <v>91.336962750716339</v>
      </c>
      <c r="O26" s="80">
        <f ca="1">IFERROR(__xludf.DUMMYFUNCTION("IMPORTRANGE(""https://docs.google.com/spreadsheets/d/1MeEWN-I1oV_STSDYn1IFDPWt_1FKiwhDph83XaGc0o0/edit?usp=sharing"",""งบพรบ!EU26"")"),0)</f>
        <v>0</v>
      </c>
      <c r="P26" s="80">
        <f t="shared" ca="1" si="25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IFERROR(__xludf.DUMMYFUNCTION("IMPORTRANGE(""https://docs.google.com/spreadsheets/d/1p7ERhsr0qZeSn-KSOdeHS9r0heI-lHtkcn2OH7hP0jQ/edit?usp=sharing"",""ลำปาง!I338"")"),2000)</f>
        <v>2000</v>
      </c>
      <c r="S26" s="81">
        <f ca="1">IFERROR(__xludf.DUMMYFUNCTION("IMPORTRANGE(""https://docs.google.com/spreadsheets/d/1p7ERhsr0qZeSn-KSOdeHS9r0heI-lHtkcn2OH7hP0jQ/edit?usp=sharing"",""ลำปาง!J338"")"),7304)</f>
        <v>7304</v>
      </c>
      <c r="T26" s="82">
        <f t="shared" ca="1" si="22"/>
        <v>365.2</v>
      </c>
      <c r="U26" s="81">
        <f ca="1">IFERROR(__xludf.DUMMYFUNCTION("IMPORTRANGE(""https://docs.google.com/spreadsheets/d/1p7ERhsr0qZeSn-KSOdeHS9r0heI-lHtkcn2OH7hP0jQ/edit?usp=sharing"",""ลำปาง!I340"")"),7)</f>
        <v>7</v>
      </c>
      <c r="V26" s="81">
        <f ca="1">IFERROR(__xludf.DUMMYFUNCTION("IMPORTRANGE(""https://docs.google.com/spreadsheets/d/1p7ERhsr0qZeSn-KSOdeHS9r0heI-lHtkcn2OH7hP0jQ/edit?usp=sharing"",""ลำปาง!J340"")"),7)</f>
        <v>7</v>
      </c>
      <c r="W26" s="82">
        <f t="shared" ca="1" si="23"/>
        <v>100</v>
      </c>
      <c r="X26" s="81">
        <f ca="1">IFERROR(__xludf.DUMMYFUNCTION("IMPORTRANGE(""https://docs.google.com/spreadsheets/d/1p7ERhsr0qZeSn-KSOdeHS9r0heI-lHtkcn2OH7hP0jQ/edit?usp=sharing"",""ลำปาง!J341"")"),429)</f>
        <v>429</v>
      </c>
      <c r="Y26" s="81">
        <f ca="1">IFERROR(__xludf.DUMMYFUNCTION("IMPORTRANGE(""https://docs.google.com/spreadsheets/d/1p7ERhsr0qZeSn-KSOdeHS9r0heI-lHtkcn2OH7hP0jQ/edit?usp=sharing"",""ลำปาง!J342"")"),1)</f>
        <v>1</v>
      </c>
      <c r="Z26" s="81">
        <f ca="1">IFERROR(__xludf.DUMMYFUNCTION("IMPORTRANGE(""https://docs.google.com/spreadsheets/d/1p7ERhsr0qZeSn-KSOdeHS9r0heI-lHtkcn2OH7hP0jQ/edit?usp=sharing"",""ลำปาง!J343"")"),0)</f>
        <v>0</v>
      </c>
      <c r="AA26" s="81">
        <f t="shared" ca="1" si="31"/>
        <v>7734</v>
      </c>
      <c r="AB26" s="347">
        <f t="shared" ca="1" si="29"/>
        <v>386.7</v>
      </c>
    </row>
    <row r="27" spans="1:28" ht="24" customHeight="1" x14ac:dyDescent="0.2">
      <c r="A27" s="73">
        <v>14</v>
      </c>
      <c r="B27" s="74" t="s">
        <v>49</v>
      </c>
      <c r="C27" s="75">
        <f t="shared" ca="1" si="0"/>
        <v>165000</v>
      </c>
      <c r="D27" s="76">
        <f t="shared" ca="1" si="30"/>
        <v>165000</v>
      </c>
      <c r="E27" s="77">
        <f ca="1">IFERROR(__xludf.DUMMYFUNCTION("IMPORTRANGE(""https://docs.google.com/spreadsheets/d/1MeEWN-I1oV_STSDYn1IFDPWt_1FKiwhDph83XaGc0o0/edit?usp=sharing"",""งบพรบ!EN27"")"),0)</f>
        <v>0</v>
      </c>
      <c r="F27" s="77">
        <f ca="1">IFERROR(__xludf.DUMMYFUNCTION("IMPORTRANGE(""https://docs.google.com/spreadsheets/d/1MeEWN-I1oV_STSDYn1IFDPWt_1FKiwhDph83XaGc0o0/edit?usp=sharing"",""งบพรบ!EO27"")"),165000)</f>
        <v>165000</v>
      </c>
      <c r="G27" s="77">
        <f ca="1">IFERROR(__xludf.DUMMYFUNCTION("IMPORTRANGE(""https://docs.google.com/spreadsheets/d/1MeEWN-I1oV_STSDYn1IFDPWt_1FKiwhDph83XaGc0o0/edit?usp=sharing"",""งบพรบ!EP27"")"),0)</f>
        <v>0</v>
      </c>
      <c r="H27" s="77">
        <f ca="1">IFERROR(__xludf.DUMMYFUNCTION("IMPORTRANGE(""https://docs.google.com/spreadsheets/d/1MeEWN-I1oV_STSDYn1IFDPWt_1FKiwhDph83XaGc0o0/edit?usp=sharing"",""งบพรบ!ER27"")"),167500)</f>
        <v>167500</v>
      </c>
      <c r="I27" s="77">
        <f ca="1">IFERROR(__xludf.DUMMYFUNCTION("IMPORTRANGE(""https://docs.google.com/spreadsheets/d/1MeEWN-I1oV_STSDYn1IFDPWt_1FKiwhDph83XaGc0o0/edit?usp=sharing"",""งบพรบ!ES27"")"),0)</f>
        <v>0</v>
      </c>
      <c r="J27" s="77">
        <f t="shared" ca="1" si="3"/>
        <v>143500</v>
      </c>
      <c r="K27" s="78">
        <f t="shared" ca="1" si="4"/>
        <v>86.969696969696969</v>
      </c>
      <c r="L27" s="77">
        <f ca="1">IFERROR(__xludf.DUMMYFUNCTION("IMPORTRANGE(""https://docs.google.com/spreadsheets/d/1MeEWN-I1oV_STSDYn1IFDPWt_1FKiwhDph83XaGc0o0/edit?usp=sharing"",""งบพรบ!ET27"")"),143500)</f>
        <v>143500</v>
      </c>
      <c r="M27" s="79">
        <f t="shared" ca="1" si="5"/>
        <v>86.969696969696969</v>
      </c>
      <c r="N27" s="79">
        <f t="shared" ca="1" si="6"/>
        <v>85.671641791044777</v>
      </c>
      <c r="O27" s="80">
        <f ca="1">IFERROR(__xludf.DUMMYFUNCTION("IMPORTRANGE(""https://docs.google.com/spreadsheets/d/1MeEWN-I1oV_STSDYn1IFDPWt_1FKiwhDph83XaGc0o0/edit?usp=sharing"",""งบพรบ!EU27"")"),0)</f>
        <v>0</v>
      </c>
      <c r="P27" s="80">
        <f t="shared" ca="1" si="25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IFERROR(__xludf.DUMMYFUNCTION("IMPORTRANGE(""https://docs.google.com/spreadsheets/d/1-uUXvimVhiU2U0bMN-xi2te0tS4X7DI2GLPnMjzl8cA/edit?usp=sharing"",""ลำพูน!I338"")"),700)</f>
        <v>700</v>
      </c>
      <c r="S27" s="81">
        <f ca="1">IFERROR(__xludf.DUMMYFUNCTION("IMPORTRANGE(""https://docs.google.com/spreadsheets/d/1-uUXvimVhiU2U0bMN-xi2te0tS4X7DI2GLPnMjzl8cA/edit?usp=sharing"",""ลำพูน!J338"")"),1171)</f>
        <v>1171</v>
      </c>
      <c r="T27" s="82">
        <f t="shared" ca="1" si="22"/>
        <v>167.28571428571428</v>
      </c>
      <c r="U27" s="81">
        <f ca="1">IFERROR(__xludf.DUMMYFUNCTION("IMPORTRANGE(""https://docs.google.com/spreadsheets/d/1-uUXvimVhiU2U0bMN-xi2te0tS4X7DI2GLPnMjzl8cA/edit?usp=sharing"",""ลำพูน!I340"")"),6)</f>
        <v>6</v>
      </c>
      <c r="V27" s="81">
        <f ca="1">IFERROR(__xludf.DUMMYFUNCTION("IMPORTRANGE(""https://docs.google.com/spreadsheets/d/1-uUXvimVhiU2U0bMN-xi2te0tS4X7DI2GLPnMjzl8cA/edit?usp=sharing"",""ลำพูน!J340"")"),8)</f>
        <v>8</v>
      </c>
      <c r="W27" s="82">
        <f t="shared" ca="1" si="23"/>
        <v>133.33333333333334</v>
      </c>
      <c r="X27" s="81">
        <f ca="1">IFERROR(__xludf.DUMMYFUNCTION("IMPORTRANGE(""https://docs.google.com/spreadsheets/d/1-uUXvimVhiU2U0bMN-xi2te0tS4X7DI2GLPnMjzl8cA/edit?usp=sharing"",""ลำพูน!J341"")"),375)</f>
        <v>375</v>
      </c>
      <c r="Y27" s="81">
        <f ca="1">IFERROR(__xludf.DUMMYFUNCTION("IMPORTRANGE(""https://docs.google.com/spreadsheets/d/1-uUXvimVhiU2U0bMN-xi2te0tS4X7DI2GLPnMjzl8cA/edit?usp=sharing"",""ลำพูน!J342"")"),0)</f>
        <v>0</v>
      </c>
      <c r="Z27" s="81">
        <f ca="1">IFERROR(__xludf.DUMMYFUNCTION("IMPORTRANGE(""https://docs.google.com/spreadsheets/d/1-uUXvimVhiU2U0bMN-xi2te0tS4X7DI2GLPnMjzl8cA/edit?usp=sharing"",""ลำพูน!J343"")"),165)</f>
        <v>165</v>
      </c>
      <c r="AA27" s="81">
        <f t="shared" ca="1" si="31"/>
        <v>1711</v>
      </c>
      <c r="AB27" s="347">
        <f t="shared" ca="1" si="29"/>
        <v>244.42857142857142</v>
      </c>
    </row>
    <row r="28" spans="1:28" ht="24" customHeight="1" x14ac:dyDescent="0.2">
      <c r="A28" s="73">
        <v>15</v>
      </c>
      <c r="B28" s="74" t="s">
        <v>50</v>
      </c>
      <c r="C28" s="75">
        <f t="shared" ca="1" si="0"/>
        <v>182000</v>
      </c>
      <c r="D28" s="76">
        <f t="shared" ca="1" si="30"/>
        <v>182000</v>
      </c>
      <c r="E28" s="77">
        <f ca="1">IFERROR(__xludf.DUMMYFUNCTION("IMPORTRANGE(""https://docs.google.com/spreadsheets/d/1MeEWN-I1oV_STSDYn1IFDPWt_1FKiwhDph83XaGc0o0/edit?usp=sharing"",""งบพรบ!EN28"")"),0)</f>
        <v>0</v>
      </c>
      <c r="F28" s="77">
        <f ca="1">IFERROR(__xludf.DUMMYFUNCTION("IMPORTRANGE(""https://docs.google.com/spreadsheets/d/1MeEWN-I1oV_STSDYn1IFDPWt_1FKiwhDph83XaGc0o0/edit?usp=sharing"",""งบพรบ!EO28"")"),182000)</f>
        <v>182000</v>
      </c>
      <c r="G28" s="77">
        <f ca="1">IFERROR(__xludf.DUMMYFUNCTION("IMPORTRANGE(""https://docs.google.com/spreadsheets/d/1MeEWN-I1oV_STSDYn1IFDPWt_1FKiwhDph83XaGc0o0/edit?usp=sharing"",""งบพรบ!EP28"")"),0)</f>
        <v>0</v>
      </c>
      <c r="H28" s="77">
        <f ca="1">IFERROR(__xludf.DUMMYFUNCTION("IMPORTRANGE(""https://docs.google.com/spreadsheets/d/1MeEWN-I1oV_STSDYn1IFDPWt_1FKiwhDph83XaGc0o0/edit?usp=sharing"",""งบพรบ!ER28"")"),184500)</f>
        <v>184500</v>
      </c>
      <c r="I28" s="77">
        <f ca="1">IFERROR(__xludf.DUMMYFUNCTION("IMPORTRANGE(""https://docs.google.com/spreadsheets/d/1MeEWN-I1oV_STSDYn1IFDPWt_1FKiwhDph83XaGc0o0/edit?usp=sharing"",""งบพรบ!ES28"")"),0)</f>
        <v>0</v>
      </c>
      <c r="J28" s="77">
        <f t="shared" ca="1" si="3"/>
        <v>141466.67000000001</v>
      </c>
      <c r="K28" s="78">
        <f t="shared" ca="1" si="4"/>
        <v>77.728939560439571</v>
      </c>
      <c r="L28" s="77">
        <f ca="1">IFERROR(__xludf.DUMMYFUNCTION("IMPORTRANGE(""https://docs.google.com/spreadsheets/d/1MeEWN-I1oV_STSDYn1IFDPWt_1FKiwhDph83XaGc0o0/edit?usp=sharing"",""งบพรบ!ET28"")"),141466.67)</f>
        <v>141466.67000000001</v>
      </c>
      <c r="M28" s="79">
        <f t="shared" ca="1" si="5"/>
        <v>77.728939560439571</v>
      </c>
      <c r="N28" s="79">
        <f t="shared" ca="1" si="6"/>
        <v>76.675701897018982</v>
      </c>
      <c r="O28" s="80">
        <f ca="1">IFERROR(__xludf.DUMMYFUNCTION("IMPORTRANGE(""https://docs.google.com/spreadsheets/d/1MeEWN-I1oV_STSDYn1IFDPWt_1FKiwhDph83XaGc0o0/edit?usp=sharing"",""งบพรบ!EU28"")"),0)</f>
        <v>0</v>
      </c>
      <c r="P28" s="80">
        <f t="shared" ca="1" si="25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IFERROR(__xludf.DUMMYFUNCTION("IMPORTRANGE(""https://docs.google.com/spreadsheets/d/17HrOaa5pBUI1onckFfumXB8xlg35qb2uBAFfF1D-Myo/edit?usp=sharing"",""สุโขทัย!I338"")"),5600)</f>
        <v>5600</v>
      </c>
      <c r="S28" s="81">
        <f ca="1">IFERROR(__xludf.DUMMYFUNCTION("IMPORTRANGE(""https://docs.google.com/spreadsheets/d/17HrOaa5pBUI1onckFfumXB8xlg35qb2uBAFfF1D-Myo/edit?usp=sharing"",""สุโขทัย!J338"")"),7518)</f>
        <v>7518</v>
      </c>
      <c r="T28" s="82">
        <f t="shared" ca="1" si="22"/>
        <v>134.25</v>
      </c>
      <c r="U28" s="81">
        <f ca="1">IFERROR(__xludf.DUMMYFUNCTION("IMPORTRANGE(""https://docs.google.com/spreadsheets/d/17HrOaa5pBUI1onckFfumXB8xlg35qb2uBAFfF1D-Myo/edit?usp=sharing"",""สุโขทัย!I340"")"),7)</f>
        <v>7</v>
      </c>
      <c r="V28" s="81">
        <f ca="1">IFERROR(__xludf.DUMMYFUNCTION("IMPORTRANGE(""https://docs.google.com/spreadsheets/d/17HrOaa5pBUI1onckFfumXB8xlg35qb2uBAFfF1D-Myo/edit?usp=sharing"",""สุโขทัย!J340"")"),9)</f>
        <v>9</v>
      </c>
      <c r="W28" s="82">
        <f t="shared" ca="1" si="23"/>
        <v>128.57142857142858</v>
      </c>
      <c r="X28" s="81">
        <f ca="1">IFERROR(__xludf.DUMMYFUNCTION("IMPORTRANGE(""https://docs.google.com/spreadsheets/d/17HrOaa5pBUI1onckFfumXB8xlg35qb2uBAFfF1D-Myo/edit?usp=sharing"",""สุโขทัย!J341"")"),620)</f>
        <v>620</v>
      </c>
      <c r="Y28" s="81">
        <f ca="1">IFERROR(__xludf.DUMMYFUNCTION("IMPORTRANGE(""https://docs.google.com/spreadsheets/d/17HrOaa5pBUI1onckFfumXB8xlg35qb2uBAFfF1D-Myo/edit?usp=sharing"",""สุโขทัย!J342"")"),5)</f>
        <v>5</v>
      </c>
      <c r="Z28" s="81">
        <f ca="1">IFERROR(__xludf.DUMMYFUNCTION("IMPORTRANGE(""https://docs.google.com/spreadsheets/d/17HrOaa5pBUI1onckFfumXB8xlg35qb2uBAFfF1D-Myo/edit?usp=sharing"",""สุโขทัย!J343"")"),0)</f>
        <v>0</v>
      </c>
      <c r="AA28" s="81">
        <f t="shared" ca="1" si="31"/>
        <v>8143</v>
      </c>
      <c r="AB28" s="347">
        <f t="shared" ca="1" si="29"/>
        <v>145.41071428571428</v>
      </c>
    </row>
    <row r="29" spans="1:28" ht="24" customHeight="1" x14ac:dyDescent="0.2">
      <c r="A29" s="73">
        <v>16</v>
      </c>
      <c r="B29" s="74" t="s">
        <v>51</v>
      </c>
      <c r="C29" s="75">
        <f t="shared" ca="1" si="0"/>
        <v>175000</v>
      </c>
      <c r="D29" s="76">
        <f t="shared" ca="1" si="30"/>
        <v>175000</v>
      </c>
      <c r="E29" s="77">
        <f ca="1">IFERROR(__xludf.DUMMYFUNCTION("IMPORTRANGE(""https://docs.google.com/spreadsheets/d/1MeEWN-I1oV_STSDYn1IFDPWt_1FKiwhDph83XaGc0o0/edit?usp=sharing"",""งบพรบ!EN29"")"),0)</f>
        <v>0</v>
      </c>
      <c r="F29" s="77">
        <f ca="1">IFERROR(__xludf.DUMMYFUNCTION("IMPORTRANGE(""https://docs.google.com/spreadsheets/d/1MeEWN-I1oV_STSDYn1IFDPWt_1FKiwhDph83XaGc0o0/edit?usp=sharing"",""งบพรบ!EO29"")"),175000)</f>
        <v>175000</v>
      </c>
      <c r="G29" s="77">
        <f ca="1">IFERROR(__xludf.DUMMYFUNCTION("IMPORTRANGE(""https://docs.google.com/spreadsheets/d/1MeEWN-I1oV_STSDYn1IFDPWt_1FKiwhDph83XaGc0o0/edit?usp=sharing"",""งบพรบ!EP29"")"),0)</f>
        <v>0</v>
      </c>
      <c r="H29" s="77">
        <f ca="1">IFERROR(__xludf.DUMMYFUNCTION("IMPORTRANGE(""https://docs.google.com/spreadsheets/d/1MeEWN-I1oV_STSDYn1IFDPWt_1FKiwhDph83XaGc0o0/edit?usp=sharing"",""งบพรบ!ER29"")"),177500)</f>
        <v>177500</v>
      </c>
      <c r="I29" s="77">
        <f ca="1">IFERROR(__xludf.DUMMYFUNCTION("IMPORTRANGE(""https://docs.google.com/spreadsheets/d/1MeEWN-I1oV_STSDYn1IFDPWt_1FKiwhDph83XaGc0o0/edit?usp=sharing"",""งบพรบ!ES29"")"),0)</f>
        <v>0</v>
      </c>
      <c r="J29" s="77">
        <f t="shared" ca="1" si="3"/>
        <v>164159.29999999999</v>
      </c>
      <c r="K29" s="78">
        <f t="shared" ca="1" si="4"/>
        <v>93.805314285714275</v>
      </c>
      <c r="L29" s="77">
        <f ca="1">IFERROR(__xludf.DUMMYFUNCTION("IMPORTRANGE(""https://docs.google.com/spreadsheets/d/1MeEWN-I1oV_STSDYn1IFDPWt_1FKiwhDph83XaGc0o0/edit?usp=sharing"",""งบพรบ!ET29"")"),164159.3)</f>
        <v>164159.29999999999</v>
      </c>
      <c r="M29" s="79">
        <f t="shared" ca="1" si="5"/>
        <v>93.805314285714275</v>
      </c>
      <c r="N29" s="79">
        <f t="shared" ca="1" si="6"/>
        <v>92.484112676056327</v>
      </c>
      <c r="O29" s="80">
        <f ca="1">IFERROR(__xludf.DUMMYFUNCTION("IMPORTRANGE(""https://docs.google.com/spreadsheets/d/1MeEWN-I1oV_STSDYn1IFDPWt_1FKiwhDph83XaGc0o0/edit?usp=sharing"",""งบพรบ!EU29"")"),0)</f>
        <v>0</v>
      </c>
      <c r="P29" s="80">
        <f t="shared" ca="1" si="25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IFERROR(__xludf.DUMMYFUNCTION("IMPORTRANGE(""https://docs.google.com/spreadsheets/d/1ubs5cl16eYL9gHbdHTJtmtYb9MGzHBs7CAphn8kNCgM/edit?usp=sharing"",""อุตรดิตถ์!I338"")"),1800)</f>
        <v>1800</v>
      </c>
      <c r="S29" s="81">
        <f ca="1">IFERROR(__xludf.DUMMYFUNCTION("IMPORTRANGE(""https://docs.google.com/spreadsheets/d/1ubs5cl16eYL9gHbdHTJtmtYb9MGzHBs7CAphn8kNCgM/edit?usp=sharing"",""อุตรดิตถ์!J338"")"),3266)</f>
        <v>3266</v>
      </c>
      <c r="T29" s="82">
        <f t="shared" ca="1" si="22"/>
        <v>181.44444444444446</v>
      </c>
      <c r="U29" s="81">
        <f ca="1">IFERROR(__xludf.DUMMYFUNCTION("IMPORTRANGE(""https://docs.google.com/spreadsheets/d/1ubs5cl16eYL9gHbdHTJtmtYb9MGzHBs7CAphn8kNCgM/edit?usp=sharing"",""อุตรดิตถ์!I340"")"),6)</f>
        <v>6</v>
      </c>
      <c r="V29" s="81">
        <f ca="1">IFERROR(__xludf.DUMMYFUNCTION("IMPORTRANGE(""https://docs.google.com/spreadsheets/d/1ubs5cl16eYL9gHbdHTJtmtYb9MGzHBs7CAphn8kNCgM/edit?usp=sharing"",""อุตรดิตถ์!J340"")"),6)</f>
        <v>6</v>
      </c>
      <c r="W29" s="82">
        <f t="shared" ca="1" si="23"/>
        <v>100</v>
      </c>
      <c r="X29" s="81">
        <f ca="1">IFERROR(__xludf.DUMMYFUNCTION("IMPORTRANGE(""https://docs.google.com/spreadsheets/d/1ubs5cl16eYL9gHbdHTJtmtYb9MGzHBs7CAphn8kNCgM/edit?usp=sharing"",""อุตรดิตถ์!J341"")"),352)</f>
        <v>352</v>
      </c>
      <c r="Y29" s="81">
        <f ca="1">IFERROR(__xludf.DUMMYFUNCTION("IMPORTRANGE(""https://docs.google.com/spreadsheets/d/1ubs5cl16eYL9gHbdHTJtmtYb9MGzHBs7CAphn8kNCgM/edit?usp=sharing"",""อุตรดิตถ์!J342"")"),5)</f>
        <v>5</v>
      </c>
      <c r="Z29" s="81">
        <f ca="1">IFERROR(__xludf.DUMMYFUNCTION("IMPORTRANGE(""https://docs.google.com/spreadsheets/d/1ubs5cl16eYL9gHbdHTJtmtYb9MGzHBs7CAphn8kNCgM/edit?usp=sharing"",""อุตรดิตถ์!J343"")"),899)</f>
        <v>899</v>
      </c>
      <c r="AA29" s="81">
        <f t="shared" ca="1" si="31"/>
        <v>4522</v>
      </c>
      <c r="AB29" s="347">
        <f t="shared" ca="1" si="29"/>
        <v>251.22222222222223</v>
      </c>
    </row>
    <row r="30" spans="1:28" ht="24" customHeight="1" x14ac:dyDescent="0.2">
      <c r="A30" s="84">
        <v>17</v>
      </c>
      <c r="B30" s="85" t="s">
        <v>52</v>
      </c>
      <c r="C30" s="86">
        <f t="shared" ca="1" si="0"/>
        <v>170000</v>
      </c>
      <c r="D30" s="87">
        <f t="shared" ca="1" si="30"/>
        <v>170000</v>
      </c>
      <c r="E30" s="88">
        <f ca="1">IFERROR(__xludf.DUMMYFUNCTION("IMPORTRANGE(""https://docs.google.com/spreadsheets/d/1MeEWN-I1oV_STSDYn1IFDPWt_1FKiwhDph83XaGc0o0/edit?usp=sharing"",""งบพรบ!EN30"")"),0)</f>
        <v>0</v>
      </c>
      <c r="F30" s="88">
        <f ca="1">IFERROR(__xludf.DUMMYFUNCTION("IMPORTRANGE(""https://docs.google.com/spreadsheets/d/1MeEWN-I1oV_STSDYn1IFDPWt_1FKiwhDph83XaGc0o0/edit?usp=sharing"",""งบพรบ!EO30"")"),170000)</f>
        <v>170000</v>
      </c>
      <c r="G30" s="88">
        <f ca="1">IFERROR(__xludf.DUMMYFUNCTION("IMPORTRANGE(""https://docs.google.com/spreadsheets/d/1MeEWN-I1oV_STSDYn1IFDPWt_1FKiwhDph83XaGc0o0/edit?usp=sharing"",""งบพรบ!EP30"")"),0)</f>
        <v>0</v>
      </c>
      <c r="H30" s="88">
        <f ca="1">IFERROR(__xludf.DUMMYFUNCTION("IMPORTRANGE(""https://docs.google.com/spreadsheets/d/1MeEWN-I1oV_STSDYn1IFDPWt_1FKiwhDph83XaGc0o0/edit?usp=sharing"",""งบพรบ!ER30"")"),172500)</f>
        <v>172500</v>
      </c>
      <c r="I30" s="88">
        <f ca="1">IFERROR(__xludf.DUMMYFUNCTION("IMPORTRANGE(""https://docs.google.com/spreadsheets/d/1MeEWN-I1oV_STSDYn1IFDPWt_1FKiwhDph83XaGc0o0/edit?usp=sharing"",""งบพรบ!ES30"")"),17108)</f>
        <v>17108</v>
      </c>
      <c r="J30" s="88">
        <f t="shared" ca="1" si="3"/>
        <v>175769</v>
      </c>
      <c r="K30" s="89">
        <f t="shared" ca="1" si="4"/>
        <v>103.3935294117647</v>
      </c>
      <c r="L30" s="88">
        <f ca="1">IFERROR(__xludf.DUMMYFUNCTION("IMPORTRANGE(""https://docs.google.com/spreadsheets/d/1MeEWN-I1oV_STSDYn1IFDPWt_1FKiwhDph83XaGc0o0/edit?usp=sharing"",""งบพรบ!ET30"")"),158661)</f>
        <v>158661</v>
      </c>
      <c r="M30" s="90">
        <f t="shared" ca="1" si="5"/>
        <v>93.33</v>
      </c>
      <c r="N30" s="90">
        <f t="shared" ca="1" si="6"/>
        <v>91.977391304347833</v>
      </c>
      <c r="O30" s="91">
        <f ca="1">IFERROR(__xludf.DUMMYFUNCTION("IMPORTRANGE(""https://docs.google.com/spreadsheets/d/1MeEWN-I1oV_STSDYn1IFDPWt_1FKiwhDph83XaGc0o0/edit?usp=sharing"",""งบพรบ!EU30"")"),17108)</f>
        <v>17108</v>
      </c>
      <c r="P30" s="91">
        <f t="shared" ca="1" si="25"/>
        <v>0</v>
      </c>
      <c r="Q30" s="90">
        <f t="shared" ca="1" si="8"/>
        <v>100</v>
      </c>
      <c r="R30" s="92">
        <f ca="1">IFERROR(__xludf.DUMMYFUNCTION("IMPORTRANGE(""https://docs.google.com/spreadsheets/d/1kII0BjS6CtVrBvI8IrytgPdxDrlyQDyigzMsohRtDMs/edit?usp=sharing"",""อุทัยธานี!I338"")"),2500)</f>
        <v>2500</v>
      </c>
      <c r="S30" s="92">
        <f ca="1">IFERROR(__xludf.DUMMYFUNCTION("IMPORTRANGE(""https://docs.google.com/spreadsheets/d/1kII0BjS6CtVrBvI8IrytgPdxDrlyQDyigzMsohRtDMs/edit?usp=sharing"",""อุทัยธานี!J338"")"),10583)</f>
        <v>10583</v>
      </c>
      <c r="T30" s="93">
        <f t="shared" ca="1" si="22"/>
        <v>423.32</v>
      </c>
      <c r="U30" s="92">
        <f ca="1">IFERROR(__xludf.DUMMYFUNCTION("IMPORTRANGE(""https://docs.google.com/spreadsheets/d/1kII0BjS6CtVrBvI8IrytgPdxDrlyQDyigzMsohRtDMs/edit?usp=sharing"",""อุทัยธานี!I340"")"),6)</f>
        <v>6</v>
      </c>
      <c r="V30" s="92">
        <f ca="1">IFERROR(__xludf.DUMMYFUNCTION("IMPORTRANGE(""https://docs.google.com/spreadsheets/d/1kII0BjS6CtVrBvI8IrytgPdxDrlyQDyigzMsohRtDMs/edit?usp=sharing"",""อุทัยธานี!J340"")"),6)</f>
        <v>6</v>
      </c>
      <c r="W30" s="93">
        <f t="shared" ca="1" si="23"/>
        <v>100</v>
      </c>
      <c r="X30" s="92">
        <f ca="1">IFERROR(__xludf.DUMMYFUNCTION("IMPORTRANGE(""https://docs.google.com/spreadsheets/d/1kII0BjS6CtVrBvI8IrytgPdxDrlyQDyigzMsohRtDMs/edit?usp=sharing"",""อุทัยธานี!J341"")"),544)</f>
        <v>544</v>
      </c>
      <c r="Y30" s="92">
        <f ca="1">IFERROR(__xludf.DUMMYFUNCTION("IMPORTRANGE(""https://docs.google.com/spreadsheets/d/1kII0BjS6CtVrBvI8IrytgPdxDrlyQDyigzMsohRtDMs/edit?usp=sharing"",""อุทัยธานี!J342"")"),4)</f>
        <v>4</v>
      </c>
      <c r="Z30" s="92">
        <f ca="1">IFERROR(__xludf.DUMMYFUNCTION("IMPORTRANGE(""https://docs.google.com/spreadsheets/d/1kII0BjS6CtVrBvI8IrytgPdxDrlyQDyigzMsohRtDMs/edit?usp=sharing"",""อุทัยธานี!J343"")"),0)</f>
        <v>0</v>
      </c>
      <c r="AA30" s="92">
        <f t="shared" ca="1" si="31"/>
        <v>11131</v>
      </c>
      <c r="AB30" s="348">
        <f t="shared" ca="1" si="29"/>
        <v>445.24</v>
      </c>
    </row>
    <row r="31" spans="1:28" ht="21" customHeight="1" x14ac:dyDescent="0.2">
      <c r="A31" s="383" t="s">
        <v>53</v>
      </c>
      <c r="B31" s="384"/>
      <c r="C31" s="94">
        <f t="shared" ca="1" si="0"/>
        <v>4688800</v>
      </c>
      <c r="D31" s="57">
        <f t="shared" ref="D31:I31" ca="1" si="32">SUM(D32:D51)</f>
        <v>3838800</v>
      </c>
      <c r="E31" s="57">
        <f t="shared" ca="1" si="32"/>
        <v>262800</v>
      </c>
      <c r="F31" s="57">
        <f t="shared" ca="1" si="32"/>
        <v>3576000</v>
      </c>
      <c r="G31" s="57">
        <f t="shared" ca="1" si="32"/>
        <v>850000</v>
      </c>
      <c r="H31" s="57">
        <f t="shared" ca="1" si="32"/>
        <v>3983800</v>
      </c>
      <c r="I31" s="57">
        <f t="shared" ca="1" si="32"/>
        <v>1031700</v>
      </c>
      <c r="J31" s="57">
        <f t="shared" ca="1" si="3"/>
        <v>4532970.16</v>
      </c>
      <c r="K31" s="95">
        <f t="shared" ca="1" si="4"/>
        <v>96.676551782972183</v>
      </c>
      <c r="L31" s="57">
        <f ca="1">SUM(L32:L51)</f>
        <v>3501270.1599999997</v>
      </c>
      <c r="M31" s="96">
        <f t="shared" ca="1" si="5"/>
        <v>91.207412733145759</v>
      </c>
      <c r="N31" s="96">
        <f t="shared" ca="1" si="6"/>
        <v>87.887699181685818</v>
      </c>
      <c r="O31" s="97">
        <f ca="1">SUM(O32:O51)</f>
        <v>1031700</v>
      </c>
      <c r="P31" s="97">
        <f t="shared" ca="1" si="25"/>
        <v>121.37647058823529</v>
      </c>
      <c r="Q31" s="96">
        <f t="shared" ca="1" si="8"/>
        <v>100</v>
      </c>
      <c r="R31" s="57">
        <f t="shared" ref="R31:S31" ca="1" si="33">SUM(R32:R51)</f>
        <v>85820</v>
      </c>
      <c r="S31" s="57">
        <f t="shared" ca="1" si="33"/>
        <v>168913</v>
      </c>
      <c r="T31" s="96">
        <f t="shared" ca="1" si="22"/>
        <v>196.82241901654626</v>
      </c>
      <c r="U31" s="57">
        <f t="shared" ref="U31:V31" ca="1" si="34">SUM(U32:U51)</f>
        <v>158</v>
      </c>
      <c r="V31" s="57">
        <f t="shared" ca="1" si="34"/>
        <v>176</v>
      </c>
      <c r="W31" s="96">
        <f t="shared" ca="1" si="23"/>
        <v>111.39240506329114</v>
      </c>
      <c r="X31" s="57">
        <f t="shared" ref="X31:AA31" ca="1" si="35">SUM(X32:X51)</f>
        <v>11360</v>
      </c>
      <c r="Y31" s="57">
        <f t="shared" ca="1" si="35"/>
        <v>2178</v>
      </c>
      <c r="Z31" s="57">
        <f t="shared" ca="1" si="35"/>
        <v>638</v>
      </c>
      <c r="AA31" s="57">
        <f t="shared" ca="1" si="35"/>
        <v>183089</v>
      </c>
      <c r="AB31" s="95">
        <f t="shared" ca="1" si="29"/>
        <v>213.34071312048474</v>
      </c>
    </row>
    <row r="32" spans="1:28" ht="21" customHeight="1" x14ac:dyDescent="0.2">
      <c r="A32" s="63">
        <v>1</v>
      </c>
      <c r="B32" s="64" t="s">
        <v>54</v>
      </c>
      <c r="C32" s="98">
        <f t="shared" ca="1" si="0"/>
        <v>174000</v>
      </c>
      <c r="D32" s="66">
        <f t="shared" ref="D32:D51" ca="1" si="36">+E32+F32</f>
        <v>174000</v>
      </c>
      <c r="E32" s="67">
        <f ca="1">IFERROR(__xludf.DUMMYFUNCTION("IMPORTRANGE(""https://docs.google.com/spreadsheets/d/1MeEWN-I1oV_STSDYn1IFDPWt_1FKiwhDph83XaGc0o0/edit?usp=sharing"",""งบพรบ!EN32"")"),0)</f>
        <v>0</v>
      </c>
      <c r="F32" s="67">
        <f ca="1">IFERROR(__xludf.DUMMYFUNCTION("IMPORTRANGE(""https://docs.google.com/spreadsheets/d/1MeEWN-I1oV_STSDYn1IFDPWt_1FKiwhDph83XaGc0o0/edit?usp=sharing"",""งบพรบ!EO32"")"),174000)</f>
        <v>174000</v>
      </c>
      <c r="G32" s="68">
        <f ca="1">IFERROR(__xludf.DUMMYFUNCTION("IMPORTRANGE(""https://docs.google.com/spreadsheets/d/1MeEWN-I1oV_STSDYn1IFDPWt_1FKiwhDph83XaGc0o0/edit?usp=sharing"",""งบพรบ!EP32"")"),0)</f>
        <v>0</v>
      </c>
      <c r="H32" s="68">
        <f ca="1">IFERROR(__xludf.DUMMYFUNCTION("IMPORTRANGE(""https://docs.google.com/spreadsheets/d/1MeEWN-I1oV_STSDYn1IFDPWt_1FKiwhDph83XaGc0o0/edit?usp=sharing"",""งบพรบ!ER32"")"),176500)</f>
        <v>176500</v>
      </c>
      <c r="I32" s="68">
        <f ca="1">IFERROR(__xludf.DUMMYFUNCTION("IMPORTRANGE(""https://docs.google.com/spreadsheets/d/1MeEWN-I1oV_STSDYn1IFDPWt_1FKiwhDph83XaGc0o0/edit?usp=sharing"",""งบพรบ!ES32"")"),0)</f>
        <v>0</v>
      </c>
      <c r="J32" s="68">
        <f t="shared" ca="1" si="3"/>
        <v>158934.07</v>
      </c>
      <c r="K32" s="69">
        <f t="shared" ca="1" si="4"/>
        <v>91.341419540229879</v>
      </c>
      <c r="L32" s="68">
        <f ca="1">IFERROR(__xludf.DUMMYFUNCTION("IMPORTRANGE(""https://docs.google.com/spreadsheets/d/1MeEWN-I1oV_STSDYn1IFDPWt_1FKiwhDph83XaGc0o0/edit?usp=sharing"",""งบพรบ!ET32"")"),158934.07)</f>
        <v>158934.07</v>
      </c>
      <c r="M32" s="70">
        <f t="shared" ca="1" si="5"/>
        <v>91.341419540229879</v>
      </c>
      <c r="N32" s="70">
        <f t="shared" ca="1" si="6"/>
        <v>90.047631728045332</v>
      </c>
      <c r="O32" s="71">
        <f ca="1">IFERROR(__xludf.DUMMYFUNCTION("IMPORTRANGE(""https://docs.google.com/spreadsheets/d/1MeEWN-I1oV_STSDYn1IFDPWt_1FKiwhDph83XaGc0o0/edit?usp=sharing"",""งบพรบ!EU32"")"),0)</f>
        <v>0</v>
      </c>
      <c r="P32" s="71">
        <f t="shared" ca="1" si="25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IFERROR(__xludf.DUMMYFUNCTION("IMPORTRANGE(""https://docs.google.com/spreadsheets/d/1fb2B9NLcpJgjIieIJvenUTNPn0TimZDUi0OtYeiSQ_s/edit?usp=sharing"",""กาฬสินธุ์!I338"")"),1800)</f>
        <v>1800</v>
      </c>
      <c r="S32" s="68">
        <f ca="1">IFERROR(__xludf.DUMMYFUNCTION("IMPORTRANGE(""https://docs.google.com/spreadsheets/d/1fb2B9NLcpJgjIieIJvenUTNPn0TimZDUi0OtYeiSQ_s/edit?usp=sharing"",""กาฬสินธุ์!J338"")"),3118)</f>
        <v>3118</v>
      </c>
      <c r="T32" s="72">
        <f t="shared" ca="1" si="22"/>
        <v>173.22222222222223</v>
      </c>
      <c r="U32" s="68">
        <f ca="1">IFERROR(__xludf.DUMMYFUNCTION("IMPORTRANGE(""https://docs.google.com/spreadsheets/d/1fb2B9NLcpJgjIieIJvenUTNPn0TimZDUi0OtYeiSQ_s/edit?usp=sharing"",""กาฬสินธุ์!I340"")"),8)</f>
        <v>8</v>
      </c>
      <c r="V32" s="68">
        <f ca="1">IFERROR(__xludf.DUMMYFUNCTION("IMPORTRANGE(""https://docs.google.com/spreadsheets/d/1fb2B9NLcpJgjIieIJvenUTNPn0TimZDUi0OtYeiSQ_s/edit?usp=sharing"",""กาฬสินธุ์!J340"")"),10)</f>
        <v>10</v>
      </c>
      <c r="W32" s="72">
        <f t="shared" ca="1" si="23"/>
        <v>125</v>
      </c>
      <c r="X32" s="68">
        <f ca="1">IFERROR(__xludf.DUMMYFUNCTION("IMPORTRANGE(""https://docs.google.com/spreadsheets/d/1fb2B9NLcpJgjIieIJvenUTNPn0TimZDUi0OtYeiSQ_s/edit?usp=sharing"",""กาฬสินธุ์!J341"")"),207)</f>
        <v>207</v>
      </c>
      <c r="Y32" s="68">
        <f ca="1">IFERROR(__xludf.DUMMYFUNCTION("IMPORTRANGE(""https://docs.google.com/spreadsheets/d/1fb2B9NLcpJgjIieIJvenUTNPn0TimZDUi0OtYeiSQ_s/edit?usp=sharing"",""กาฬสินธุ์!J342"")"),0)</f>
        <v>0</v>
      </c>
      <c r="Z32" s="68">
        <f ca="1">IFERROR(__xludf.DUMMYFUNCTION("IMPORTRANGE(""https://docs.google.com/spreadsheets/d/1fb2B9NLcpJgjIieIJvenUTNPn0TimZDUi0OtYeiSQ_s/edit?usp=sharing"",""กาฬสินธุ์!J343"")"),0)</f>
        <v>0</v>
      </c>
      <c r="AA32" s="68">
        <f t="shared" ref="AA32:AA51" ca="1" si="37">SUM(S32,X32,Y32,Z32)</f>
        <v>3325</v>
      </c>
      <c r="AB32" s="69">
        <f t="shared" ca="1" si="29"/>
        <v>184.72222222222223</v>
      </c>
    </row>
    <row r="33" spans="1:28" ht="21" customHeight="1" x14ac:dyDescent="0.2">
      <c r="A33" s="73">
        <v>2</v>
      </c>
      <c r="B33" s="74" t="s">
        <v>55</v>
      </c>
      <c r="C33" s="75">
        <f t="shared" ca="1" si="0"/>
        <v>183000</v>
      </c>
      <c r="D33" s="76">
        <f t="shared" ca="1" si="36"/>
        <v>183000</v>
      </c>
      <c r="E33" s="77">
        <f ca="1">IFERROR(__xludf.DUMMYFUNCTION("IMPORTRANGE(""https://docs.google.com/spreadsheets/d/1MeEWN-I1oV_STSDYn1IFDPWt_1FKiwhDph83XaGc0o0/edit?usp=sharing"",""งบพรบ!EN33"")"),0)</f>
        <v>0</v>
      </c>
      <c r="F33" s="77">
        <f ca="1">IFERROR(__xludf.DUMMYFUNCTION("IMPORTRANGE(""https://docs.google.com/spreadsheets/d/1MeEWN-I1oV_STSDYn1IFDPWt_1FKiwhDph83XaGc0o0/edit?usp=sharing"",""งบพรบ!EO33"")"),183000)</f>
        <v>183000</v>
      </c>
      <c r="G33" s="77">
        <f ca="1">IFERROR(__xludf.DUMMYFUNCTION("IMPORTRANGE(""https://docs.google.com/spreadsheets/d/1MeEWN-I1oV_STSDYn1IFDPWt_1FKiwhDph83XaGc0o0/edit?usp=sharing"",""งบพรบ!EP33"")"),0)</f>
        <v>0</v>
      </c>
      <c r="H33" s="77">
        <f ca="1">IFERROR(__xludf.DUMMYFUNCTION("IMPORTRANGE(""https://docs.google.com/spreadsheets/d/1MeEWN-I1oV_STSDYn1IFDPWt_1FKiwhDph83XaGc0o0/edit?usp=sharing"",""งบพรบ!ER33"")"),185500)</f>
        <v>185500</v>
      </c>
      <c r="I33" s="77">
        <f ca="1">IFERROR(__xludf.DUMMYFUNCTION("IMPORTRANGE(""https://docs.google.com/spreadsheets/d/1MeEWN-I1oV_STSDYn1IFDPWt_1FKiwhDph83XaGc0o0/edit?usp=sharing"",""งบพรบ!ES33"")"),0)</f>
        <v>0</v>
      </c>
      <c r="J33" s="77">
        <f t="shared" ca="1" si="3"/>
        <v>172138.6</v>
      </c>
      <c r="K33" s="78">
        <f t="shared" ca="1" si="4"/>
        <v>94.064808743169394</v>
      </c>
      <c r="L33" s="77">
        <f ca="1">IFERROR(__xludf.DUMMYFUNCTION("IMPORTRANGE(""https://docs.google.com/spreadsheets/d/1MeEWN-I1oV_STSDYn1IFDPWt_1FKiwhDph83XaGc0o0/edit?usp=sharing"",""งบพรบ!ET33"")"),172138.6)</f>
        <v>172138.6</v>
      </c>
      <c r="M33" s="79">
        <f t="shared" ca="1" si="5"/>
        <v>94.064808743169394</v>
      </c>
      <c r="N33" s="79">
        <f t="shared" ca="1" si="6"/>
        <v>92.797088948787064</v>
      </c>
      <c r="O33" s="80">
        <f ca="1">IFERROR(__xludf.DUMMYFUNCTION("IMPORTRANGE(""https://docs.google.com/spreadsheets/d/1MeEWN-I1oV_STSDYn1IFDPWt_1FKiwhDph83XaGc0o0/edit?usp=sharing"",""งบพรบ!EU33"")"),0)</f>
        <v>0</v>
      </c>
      <c r="P33" s="80">
        <f t="shared" ca="1" si="25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IFERROR(__xludf.DUMMYFUNCTION("IMPORTRANGE(""https://docs.google.com/spreadsheets/d/1SaMnqrwRGmFYNR0MhpWmHuL5niYUd5E7vDq8X7whAlI/edit?usp=sharing"",""ขอนแก่น!I338"")"),4300)</f>
        <v>4300</v>
      </c>
      <c r="S33" s="81">
        <f ca="1">IFERROR(__xludf.DUMMYFUNCTION("IMPORTRANGE(""https://docs.google.com/spreadsheets/d/1SaMnqrwRGmFYNR0MhpWmHuL5niYUd5E7vDq8X7whAlI/edit?usp=sharing"",""ขอนแก่น!J338"")"),8208)</f>
        <v>8208</v>
      </c>
      <c r="T33" s="82">
        <f t="shared" ca="1" si="22"/>
        <v>190.88372093023256</v>
      </c>
      <c r="U33" s="81">
        <f ca="1">IFERROR(__xludf.DUMMYFUNCTION("IMPORTRANGE(""https://docs.google.com/spreadsheets/d/1SaMnqrwRGmFYNR0MhpWmHuL5niYUd5E7vDq8X7whAlI/edit?usp=sharing"",""ขอนแก่น!I340"")"),10)</f>
        <v>10</v>
      </c>
      <c r="V33" s="81">
        <f ca="1">IFERROR(__xludf.DUMMYFUNCTION("IMPORTRANGE(""https://docs.google.com/spreadsheets/d/1SaMnqrwRGmFYNR0MhpWmHuL5niYUd5E7vDq8X7whAlI/edit?usp=sharing"",""ขอนแก่น!J340"")"),10)</f>
        <v>10</v>
      </c>
      <c r="W33" s="82">
        <f t="shared" ca="1" si="23"/>
        <v>100</v>
      </c>
      <c r="X33" s="81">
        <f ca="1">IFERROR(__xludf.DUMMYFUNCTION("IMPORTRANGE(""https://docs.google.com/spreadsheets/d/1SaMnqrwRGmFYNR0MhpWmHuL5niYUd5E7vDq8X7whAlI/edit?usp=sharing"",""ขอนแก่น!J341"")"),469)</f>
        <v>469</v>
      </c>
      <c r="Y33" s="81">
        <f ca="1">IFERROR(__xludf.DUMMYFUNCTION("IMPORTRANGE(""https://docs.google.com/spreadsheets/d/1SaMnqrwRGmFYNR0MhpWmHuL5niYUd5E7vDq8X7whAlI/edit?usp=sharing"",""ขอนแก่น!J342"")"),3)</f>
        <v>3</v>
      </c>
      <c r="Z33" s="81">
        <f ca="1">IFERROR(__xludf.DUMMYFUNCTION("IMPORTRANGE(""https://docs.google.com/spreadsheets/d/1SaMnqrwRGmFYNR0MhpWmHuL5niYUd5E7vDq8X7whAlI/edit?usp=sharing"",""ขอนแก่น!J343"")"),0)</f>
        <v>0</v>
      </c>
      <c r="AA33" s="81">
        <f t="shared" ca="1" si="37"/>
        <v>8680</v>
      </c>
      <c r="AB33" s="347">
        <f t="shared" ca="1" si="29"/>
        <v>201.86046511627907</v>
      </c>
    </row>
    <row r="34" spans="1:28" ht="21" customHeight="1" x14ac:dyDescent="0.2">
      <c r="A34" s="73">
        <v>3</v>
      </c>
      <c r="B34" s="74" t="s">
        <v>56</v>
      </c>
      <c r="C34" s="75">
        <f t="shared" ca="1" si="0"/>
        <v>183000</v>
      </c>
      <c r="D34" s="76">
        <f t="shared" ca="1" si="36"/>
        <v>183000</v>
      </c>
      <c r="E34" s="77">
        <f ca="1">IFERROR(__xludf.DUMMYFUNCTION("IMPORTRANGE(""https://docs.google.com/spreadsheets/d/1MeEWN-I1oV_STSDYn1IFDPWt_1FKiwhDph83XaGc0o0/edit?usp=sharing"",""งบพรบ!EN34"")"),0)</f>
        <v>0</v>
      </c>
      <c r="F34" s="77">
        <f ca="1">IFERROR(__xludf.DUMMYFUNCTION("IMPORTRANGE(""https://docs.google.com/spreadsheets/d/1MeEWN-I1oV_STSDYn1IFDPWt_1FKiwhDph83XaGc0o0/edit?usp=sharing"",""งบพรบ!EO34"")"),183000)</f>
        <v>183000</v>
      </c>
      <c r="G34" s="77">
        <f ca="1">IFERROR(__xludf.DUMMYFUNCTION("IMPORTRANGE(""https://docs.google.com/spreadsheets/d/1MeEWN-I1oV_STSDYn1IFDPWt_1FKiwhDph83XaGc0o0/edit?usp=sharing"",""งบพรบ!EP34"")"),0)</f>
        <v>0</v>
      </c>
      <c r="H34" s="77">
        <f ca="1">IFERROR(__xludf.DUMMYFUNCTION("IMPORTRANGE(""https://docs.google.com/spreadsheets/d/1MeEWN-I1oV_STSDYn1IFDPWt_1FKiwhDph83XaGc0o0/edit?usp=sharing"",""งบพรบ!ER34"")"),185500)</f>
        <v>185500</v>
      </c>
      <c r="I34" s="77">
        <f ca="1">IFERROR(__xludf.DUMMYFUNCTION("IMPORTRANGE(""https://docs.google.com/spreadsheets/d/1MeEWN-I1oV_STSDYn1IFDPWt_1FKiwhDph83XaGc0o0/edit?usp=sharing"",""งบพรบ!ES34"")"),0)</f>
        <v>0</v>
      </c>
      <c r="J34" s="77">
        <f t="shared" ca="1" si="3"/>
        <v>162210</v>
      </c>
      <c r="K34" s="78">
        <f t="shared" ca="1" si="4"/>
        <v>88.639344262295083</v>
      </c>
      <c r="L34" s="77">
        <f ca="1">IFERROR(__xludf.DUMMYFUNCTION("IMPORTRANGE(""https://docs.google.com/spreadsheets/d/1MeEWN-I1oV_STSDYn1IFDPWt_1FKiwhDph83XaGc0o0/edit?usp=sharing"",""งบพรบ!ET34"")"),162210)</f>
        <v>162210</v>
      </c>
      <c r="M34" s="79">
        <f t="shared" ca="1" si="5"/>
        <v>88.639344262295083</v>
      </c>
      <c r="N34" s="79">
        <f t="shared" ca="1" si="6"/>
        <v>87.444743935309972</v>
      </c>
      <c r="O34" s="80">
        <f ca="1">IFERROR(__xludf.DUMMYFUNCTION("IMPORTRANGE(""https://docs.google.com/spreadsheets/d/1MeEWN-I1oV_STSDYn1IFDPWt_1FKiwhDph83XaGc0o0/edit?usp=sharing"",""งบพรบ!EU34"")"),0)</f>
        <v>0</v>
      </c>
      <c r="P34" s="80">
        <f t="shared" ca="1" si="25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IFERROR(__xludf.DUMMYFUNCTION("IMPORTRANGE(""https://docs.google.com/spreadsheets/d/1xQzEtGHhTTgxHh6YUkKY1P4dRyjVhS74dGswLfAASA4/edit?usp=sharing"",""ชัยภูมิ!I338"")"),3400)</f>
        <v>3400</v>
      </c>
      <c r="S34" s="81">
        <f ca="1">IFERROR(__xludf.DUMMYFUNCTION("IMPORTRANGE(""https://docs.google.com/spreadsheets/d/1xQzEtGHhTTgxHh6YUkKY1P4dRyjVhS74dGswLfAASA4/edit?usp=sharing"",""ชัยภูมิ!J338"")"),9545)</f>
        <v>9545</v>
      </c>
      <c r="T34" s="82">
        <f t="shared" ca="1" si="22"/>
        <v>280.73529411764707</v>
      </c>
      <c r="U34" s="81">
        <f ca="1">IFERROR(__xludf.DUMMYFUNCTION("IMPORTRANGE(""https://docs.google.com/spreadsheets/d/1xQzEtGHhTTgxHh6YUkKY1P4dRyjVhS74dGswLfAASA4/edit?usp=sharing"",""ชัยภูมิ!I340"")"),10)</f>
        <v>10</v>
      </c>
      <c r="V34" s="81">
        <f ca="1">IFERROR(__xludf.DUMMYFUNCTION("IMPORTRANGE(""https://docs.google.com/spreadsheets/d/1xQzEtGHhTTgxHh6YUkKY1P4dRyjVhS74dGswLfAASA4/edit?usp=sharing"",""ชัยภูมิ!J340"")"),12)</f>
        <v>12</v>
      </c>
      <c r="W34" s="82">
        <f t="shared" ca="1" si="23"/>
        <v>120</v>
      </c>
      <c r="X34" s="81">
        <f ca="1">IFERROR(__xludf.DUMMYFUNCTION("IMPORTRANGE(""https://docs.google.com/spreadsheets/d/1xQzEtGHhTTgxHh6YUkKY1P4dRyjVhS74dGswLfAASA4/edit?usp=sharing"",""ชัยภูมิ!J341"")"),459)</f>
        <v>459</v>
      </c>
      <c r="Y34" s="81">
        <f ca="1">IFERROR(__xludf.DUMMYFUNCTION("IMPORTRANGE(""https://docs.google.com/spreadsheets/d/1xQzEtGHhTTgxHh6YUkKY1P4dRyjVhS74dGswLfAASA4/edit?usp=sharing"",""ชัยภูมิ!J342"")"),15)</f>
        <v>15</v>
      </c>
      <c r="Z34" s="81">
        <f ca="1">IFERROR(__xludf.DUMMYFUNCTION("IMPORTRANGE(""https://docs.google.com/spreadsheets/d/1xQzEtGHhTTgxHh6YUkKY1P4dRyjVhS74dGswLfAASA4/edit?usp=sharing"",""ชัยภูมิ!J343"")"),12)</f>
        <v>12</v>
      </c>
      <c r="AA34" s="81">
        <f t="shared" ca="1" si="37"/>
        <v>10031</v>
      </c>
      <c r="AB34" s="347">
        <f t="shared" ca="1" si="29"/>
        <v>295.02941176470586</v>
      </c>
    </row>
    <row r="35" spans="1:28" ht="21" customHeight="1" x14ac:dyDescent="0.2">
      <c r="A35" s="73">
        <v>4</v>
      </c>
      <c r="B35" s="74" t="s">
        <v>57</v>
      </c>
      <c r="C35" s="75">
        <f t="shared" ca="1" si="0"/>
        <v>170000</v>
      </c>
      <c r="D35" s="76">
        <f t="shared" ca="1" si="36"/>
        <v>170000</v>
      </c>
      <c r="E35" s="77">
        <f ca="1">IFERROR(__xludf.DUMMYFUNCTION("IMPORTRANGE(""https://docs.google.com/spreadsheets/d/1MeEWN-I1oV_STSDYn1IFDPWt_1FKiwhDph83XaGc0o0/edit?usp=sharing"",""งบพรบ!EN35"")"),0)</f>
        <v>0</v>
      </c>
      <c r="F35" s="77">
        <f ca="1">IFERROR(__xludf.DUMMYFUNCTION("IMPORTRANGE(""https://docs.google.com/spreadsheets/d/1MeEWN-I1oV_STSDYn1IFDPWt_1FKiwhDph83XaGc0o0/edit?usp=sharing"",""งบพรบ!EO35"")"),170000)</f>
        <v>170000</v>
      </c>
      <c r="G35" s="77">
        <f ca="1">IFERROR(__xludf.DUMMYFUNCTION("IMPORTRANGE(""https://docs.google.com/spreadsheets/d/1MeEWN-I1oV_STSDYn1IFDPWt_1FKiwhDph83XaGc0o0/edit?usp=sharing"",""งบพรบ!EP35"")"),0)</f>
        <v>0</v>
      </c>
      <c r="H35" s="77">
        <f ca="1">IFERROR(__xludf.DUMMYFUNCTION("IMPORTRANGE(""https://docs.google.com/spreadsheets/d/1MeEWN-I1oV_STSDYn1IFDPWt_1FKiwhDph83XaGc0o0/edit?usp=sharing"",""งบพรบ!ER35"")"),172500)</f>
        <v>172500</v>
      </c>
      <c r="I35" s="77">
        <f ca="1">IFERROR(__xludf.DUMMYFUNCTION("IMPORTRANGE(""https://docs.google.com/spreadsheets/d/1MeEWN-I1oV_STSDYn1IFDPWt_1FKiwhDph83XaGc0o0/edit?usp=sharing"",""งบพรบ!ES35"")"),0)</f>
        <v>0</v>
      </c>
      <c r="J35" s="77">
        <f t="shared" ca="1" si="3"/>
        <v>121828.57</v>
      </c>
      <c r="K35" s="78">
        <f t="shared" ca="1" si="4"/>
        <v>71.663864705882347</v>
      </c>
      <c r="L35" s="77">
        <f ca="1">IFERROR(__xludf.DUMMYFUNCTION("IMPORTRANGE(""https://docs.google.com/spreadsheets/d/1MeEWN-I1oV_STSDYn1IFDPWt_1FKiwhDph83XaGc0o0/edit?usp=sharing"",""งบพรบ!ET35"")"),121828.57)</f>
        <v>121828.57</v>
      </c>
      <c r="M35" s="79">
        <f t="shared" ca="1" si="5"/>
        <v>71.663864705882347</v>
      </c>
      <c r="N35" s="79">
        <f t="shared" ca="1" si="6"/>
        <v>70.625257971014491</v>
      </c>
      <c r="O35" s="80">
        <f ca="1">IFERROR(__xludf.DUMMYFUNCTION("IMPORTRANGE(""https://docs.google.com/spreadsheets/d/1MeEWN-I1oV_STSDYn1IFDPWt_1FKiwhDph83XaGc0o0/edit?usp=sharing"",""งบพรบ!EU35"")"),0)</f>
        <v>0</v>
      </c>
      <c r="P35" s="80">
        <f t="shared" ca="1" si="25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IFERROR(__xludf.DUMMYFUNCTION("IMPORTRANGE(""https://docs.google.com/spreadsheets/d/1EXMBoBxU3OFbjT2TRpneM33qFjqDzrKmn9ydcflfI0o/edit?usp=sharing"",""นครพนม!I338"")"),1300)</f>
        <v>1300</v>
      </c>
      <c r="S35" s="81">
        <f ca="1">IFERROR(__xludf.DUMMYFUNCTION("IMPORTRANGE(""https://docs.google.com/spreadsheets/d/1EXMBoBxU3OFbjT2TRpneM33qFjqDzrKmn9ydcflfI0o/edit?usp=sharing"",""นครพนม!J338"")"),2484)</f>
        <v>2484</v>
      </c>
      <c r="T35" s="82">
        <f t="shared" ca="1" si="22"/>
        <v>191.07692307692307</v>
      </c>
      <c r="U35" s="81">
        <f ca="1">IFERROR(__xludf.DUMMYFUNCTION("IMPORTRANGE(""https://docs.google.com/spreadsheets/d/1EXMBoBxU3OFbjT2TRpneM33qFjqDzrKmn9ydcflfI0o/edit?usp=sharing"",""นครพนม!I340"")"),6)</f>
        <v>6</v>
      </c>
      <c r="V35" s="81">
        <f ca="1">IFERROR(__xludf.DUMMYFUNCTION("IMPORTRANGE(""https://docs.google.com/spreadsheets/d/1EXMBoBxU3OFbjT2TRpneM33qFjqDzrKmn9ydcflfI0o/edit?usp=sharing"",""นครพนม!J340"")"),8)</f>
        <v>8</v>
      </c>
      <c r="W35" s="82">
        <f t="shared" ca="1" si="23"/>
        <v>133.33333333333334</v>
      </c>
      <c r="X35" s="81">
        <f ca="1">IFERROR(__xludf.DUMMYFUNCTION("IMPORTRANGE(""https://docs.google.com/spreadsheets/d/1EXMBoBxU3OFbjT2TRpneM33qFjqDzrKmn9ydcflfI0o/edit?usp=sharing"",""นครพนม!J341"")"),365)</f>
        <v>365</v>
      </c>
      <c r="Y35" s="81">
        <f ca="1">IFERROR(__xludf.DUMMYFUNCTION("IMPORTRANGE(""https://docs.google.com/spreadsheets/d/1EXMBoBxU3OFbjT2TRpneM33qFjqDzrKmn9ydcflfI0o/edit?usp=sharing"",""นครพนม!J342"")"),59)</f>
        <v>59</v>
      </c>
      <c r="Z35" s="81">
        <f ca="1">IFERROR(__xludf.DUMMYFUNCTION("IMPORTRANGE(""https://docs.google.com/spreadsheets/d/1EXMBoBxU3OFbjT2TRpneM33qFjqDzrKmn9ydcflfI0o/edit?usp=sharing"",""นครพนม!J343"")"),0)</f>
        <v>0</v>
      </c>
      <c r="AA35" s="81">
        <f t="shared" ca="1" si="37"/>
        <v>2908</v>
      </c>
      <c r="AB35" s="347">
        <f t="shared" ca="1" si="29"/>
        <v>223.69230769230768</v>
      </c>
    </row>
    <row r="36" spans="1:28" ht="21" customHeight="1" x14ac:dyDescent="0.2">
      <c r="A36" s="73">
        <v>5</v>
      </c>
      <c r="B36" s="74" t="s">
        <v>58</v>
      </c>
      <c r="C36" s="75">
        <f t="shared" ca="1" si="0"/>
        <v>198000</v>
      </c>
      <c r="D36" s="76">
        <f t="shared" ca="1" si="36"/>
        <v>198000</v>
      </c>
      <c r="E36" s="77">
        <f ca="1">IFERROR(__xludf.DUMMYFUNCTION("IMPORTRANGE(""https://docs.google.com/spreadsheets/d/1MeEWN-I1oV_STSDYn1IFDPWt_1FKiwhDph83XaGc0o0/edit?usp=sharing"",""งบพรบ!EN36"")"),0)</f>
        <v>0</v>
      </c>
      <c r="F36" s="77">
        <f ca="1">IFERROR(__xludf.DUMMYFUNCTION("IMPORTRANGE(""https://docs.google.com/spreadsheets/d/1MeEWN-I1oV_STSDYn1IFDPWt_1FKiwhDph83XaGc0o0/edit?usp=sharing"",""งบพรบ!EO36"")"),198000)</f>
        <v>198000</v>
      </c>
      <c r="G36" s="77">
        <f ca="1">IFERROR(__xludf.DUMMYFUNCTION("IMPORTRANGE(""https://docs.google.com/spreadsheets/d/1MeEWN-I1oV_STSDYn1IFDPWt_1FKiwhDph83XaGc0o0/edit?usp=sharing"",""งบพรบ!EP36"")"),0)</f>
        <v>0</v>
      </c>
      <c r="H36" s="77">
        <f ca="1">IFERROR(__xludf.DUMMYFUNCTION("IMPORTRANGE(""https://docs.google.com/spreadsheets/d/1MeEWN-I1oV_STSDYn1IFDPWt_1FKiwhDph83XaGc0o0/edit?usp=sharing"",""งบพรบ!ER36"")"),200500)</f>
        <v>200500</v>
      </c>
      <c r="I36" s="77">
        <f ca="1">IFERROR(__xludf.DUMMYFUNCTION("IMPORTRANGE(""https://docs.google.com/spreadsheets/d/1MeEWN-I1oV_STSDYn1IFDPWt_1FKiwhDph83XaGc0o0/edit?usp=sharing"",""งบพรบ!ES36"")"),0)</f>
        <v>0</v>
      </c>
      <c r="J36" s="77">
        <f t="shared" ca="1" si="3"/>
        <v>177327.04</v>
      </c>
      <c r="K36" s="78">
        <f t="shared" ca="1" si="4"/>
        <v>89.559111111111108</v>
      </c>
      <c r="L36" s="77">
        <f ca="1">IFERROR(__xludf.DUMMYFUNCTION("IMPORTRANGE(""https://docs.google.com/spreadsheets/d/1MeEWN-I1oV_STSDYn1IFDPWt_1FKiwhDph83XaGc0o0/edit?usp=sharing"",""งบพรบ!ET36"")"),177327.04)</f>
        <v>177327.04</v>
      </c>
      <c r="M36" s="79">
        <f t="shared" ca="1" si="5"/>
        <v>89.559111111111108</v>
      </c>
      <c r="N36" s="79">
        <f t="shared" ca="1" si="6"/>
        <v>88.442413965087283</v>
      </c>
      <c r="O36" s="80">
        <f ca="1">IFERROR(__xludf.DUMMYFUNCTION("IMPORTRANGE(""https://docs.google.com/spreadsheets/d/1MeEWN-I1oV_STSDYn1IFDPWt_1FKiwhDph83XaGc0o0/edit?usp=sharing"",""งบพรบ!EU36"")"),0)</f>
        <v>0</v>
      </c>
      <c r="P36" s="80">
        <f t="shared" ca="1" si="25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IFERROR(__xludf.DUMMYFUNCTION("IMPORTRANGE(""https://docs.google.com/spreadsheets/d/1bDQrolntRWtHumK8W-x-HXKntwxB9S3sF5aDeRS66Ko/edit?usp=sharing"",""นครราชสีมา!I338"")"),8620)</f>
        <v>8620</v>
      </c>
      <c r="S36" s="81">
        <f ca="1">IFERROR(__xludf.DUMMYFUNCTION("IMPORTRANGE(""https://docs.google.com/spreadsheets/d/1bDQrolntRWtHumK8W-x-HXKntwxB9S3sF5aDeRS66Ko/edit?usp=sharing"",""นครราชสีมา!J338"")"),10820)</f>
        <v>10820</v>
      </c>
      <c r="T36" s="82">
        <f t="shared" ca="1" si="22"/>
        <v>125.52204176334106</v>
      </c>
      <c r="U36" s="81">
        <f ca="1">IFERROR(__xludf.DUMMYFUNCTION("IMPORTRANGE(""https://docs.google.com/spreadsheets/d/1bDQrolntRWtHumK8W-x-HXKntwxB9S3sF5aDeRS66Ko/edit?usp=sharing"",""นครราชสีมา!I340"")"),15)</f>
        <v>15</v>
      </c>
      <c r="V36" s="81">
        <f ca="1">IFERROR(__xludf.DUMMYFUNCTION("IMPORTRANGE(""https://docs.google.com/spreadsheets/d/1bDQrolntRWtHumK8W-x-HXKntwxB9S3sF5aDeRS66Ko/edit?usp=sharing"",""นครราชสีมา!J340"")"),15)</f>
        <v>15</v>
      </c>
      <c r="W36" s="82">
        <f t="shared" ca="1" si="23"/>
        <v>100</v>
      </c>
      <c r="X36" s="81">
        <f ca="1">IFERROR(__xludf.DUMMYFUNCTION("IMPORTRANGE(""https://docs.google.com/spreadsheets/d/1bDQrolntRWtHumK8W-x-HXKntwxB9S3sF5aDeRS66Ko/edit?usp=sharing"",""นครราชสีมา!J341"")"),1503)</f>
        <v>1503</v>
      </c>
      <c r="Y36" s="81">
        <f ca="1">IFERROR(__xludf.DUMMYFUNCTION("IMPORTRANGE(""https://docs.google.com/spreadsheets/d/1bDQrolntRWtHumK8W-x-HXKntwxB9S3sF5aDeRS66Ko/edit?usp=sharing"",""นครราชสีมา!J342"")"),1261)</f>
        <v>1261</v>
      </c>
      <c r="Z36" s="81">
        <f ca="1">IFERROR(__xludf.DUMMYFUNCTION("IMPORTRANGE(""https://docs.google.com/spreadsheets/d/1bDQrolntRWtHumK8W-x-HXKntwxB9S3sF5aDeRS66Ko/edit?usp=sharing"",""นครราชสีมา!J343"")"),6)</f>
        <v>6</v>
      </c>
      <c r="AA36" s="81">
        <f t="shared" ca="1" si="37"/>
        <v>13590</v>
      </c>
      <c r="AB36" s="347">
        <f t="shared" ca="1" si="29"/>
        <v>157.65661252900233</v>
      </c>
    </row>
    <row r="37" spans="1:28" ht="21" customHeight="1" x14ac:dyDescent="0.2">
      <c r="A37" s="73">
        <v>6</v>
      </c>
      <c r="B37" s="74" t="s">
        <v>59</v>
      </c>
      <c r="C37" s="75">
        <f t="shared" ca="1" si="0"/>
        <v>179000</v>
      </c>
      <c r="D37" s="76">
        <f t="shared" ca="1" si="36"/>
        <v>179000</v>
      </c>
      <c r="E37" s="77">
        <f ca="1">IFERROR(__xludf.DUMMYFUNCTION("IMPORTRANGE(""https://docs.google.com/spreadsheets/d/1MeEWN-I1oV_STSDYn1IFDPWt_1FKiwhDph83XaGc0o0/edit?usp=sharing"",""งบพรบ!EN37"")"),0)</f>
        <v>0</v>
      </c>
      <c r="F37" s="77">
        <f ca="1">IFERROR(__xludf.DUMMYFUNCTION("IMPORTRANGE(""https://docs.google.com/spreadsheets/d/1MeEWN-I1oV_STSDYn1IFDPWt_1FKiwhDph83XaGc0o0/edit?usp=sharing"",""งบพรบ!EO37"")"),179000)</f>
        <v>179000</v>
      </c>
      <c r="G37" s="77">
        <f ca="1">IFERROR(__xludf.DUMMYFUNCTION("IMPORTRANGE(""https://docs.google.com/spreadsheets/d/1MeEWN-I1oV_STSDYn1IFDPWt_1FKiwhDph83XaGc0o0/edit?usp=sharing"",""งบพรบ!EP37"")"),0)</f>
        <v>0</v>
      </c>
      <c r="H37" s="77">
        <f ca="1">IFERROR(__xludf.DUMMYFUNCTION("IMPORTRANGE(""https://docs.google.com/spreadsheets/d/1MeEWN-I1oV_STSDYn1IFDPWt_1FKiwhDph83XaGc0o0/edit?usp=sharing"",""งบพรบ!ER37"")"),181500)</f>
        <v>181500</v>
      </c>
      <c r="I37" s="77">
        <f ca="1">IFERROR(__xludf.DUMMYFUNCTION("IMPORTRANGE(""https://docs.google.com/spreadsheets/d/1MeEWN-I1oV_STSDYn1IFDPWt_1FKiwhDph83XaGc0o0/edit?usp=sharing"",""งบพรบ!ES37"")"),0)</f>
        <v>0</v>
      </c>
      <c r="J37" s="77">
        <f t="shared" ca="1" si="3"/>
        <v>143556</v>
      </c>
      <c r="K37" s="78">
        <f t="shared" ca="1" si="4"/>
        <v>80.198882681564243</v>
      </c>
      <c r="L37" s="77">
        <f ca="1">IFERROR(__xludf.DUMMYFUNCTION("IMPORTRANGE(""https://docs.google.com/spreadsheets/d/1MeEWN-I1oV_STSDYn1IFDPWt_1FKiwhDph83XaGc0o0/edit?usp=sharing"",""งบพรบ!ET37"")"),143556)</f>
        <v>143556</v>
      </c>
      <c r="M37" s="79">
        <f t="shared" ca="1" si="5"/>
        <v>80.198882681564243</v>
      </c>
      <c r="N37" s="79">
        <f t="shared" ca="1" si="6"/>
        <v>79.094214876033064</v>
      </c>
      <c r="O37" s="80">
        <f ca="1">IFERROR(__xludf.DUMMYFUNCTION("IMPORTRANGE(""https://docs.google.com/spreadsheets/d/1MeEWN-I1oV_STSDYn1IFDPWt_1FKiwhDph83XaGc0o0/edit?usp=sharing"",""งบพรบ!EU37"")"),0)</f>
        <v>0</v>
      </c>
      <c r="P37" s="80">
        <f t="shared" ca="1" si="25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IFERROR(__xludf.DUMMYFUNCTION("IMPORTRANGE(""https://docs.google.com/spreadsheets/d/1_MzZ-2gVPiCW-d2VcafoCmFJQTSrZ6SQyFcMqRRQQ2w/edit?usp=sharing"",""บึงกาฬ!I338"")"),3600)</f>
        <v>3600</v>
      </c>
      <c r="S37" s="81">
        <f ca="1">IFERROR(__xludf.DUMMYFUNCTION("IMPORTRANGE(""https://docs.google.com/spreadsheets/d/1_MzZ-2gVPiCW-d2VcafoCmFJQTSrZ6SQyFcMqRRQQ2w/edit?usp=sharing"",""บึงกาฬ!J338"")"),4957)</f>
        <v>4957</v>
      </c>
      <c r="T37" s="82">
        <f t="shared" ca="1" si="22"/>
        <v>137.69444444444446</v>
      </c>
      <c r="U37" s="81">
        <f ca="1">IFERROR(__xludf.DUMMYFUNCTION("IMPORTRANGE(""https://docs.google.com/spreadsheets/d/1_MzZ-2gVPiCW-d2VcafoCmFJQTSrZ6SQyFcMqRRQQ2w/edit?usp=sharing"",""บึงกาฬ!I340"")"),8)</f>
        <v>8</v>
      </c>
      <c r="V37" s="81">
        <f ca="1">IFERROR(__xludf.DUMMYFUNCTION("IMPORTRANGE(""https://docs.google.com/spreadsheets/d/1_MzZ-2gVPiCW-d2VcafoCmFJQTSrZ6SQyFcMqRRQQ2w/edit?usp=sharing"",""บึงกาฬ!J340"")"),9)</f>
        <v>9</v>
      </c>
      <c r="W37" s="82">
        <f t="shared" ca="1" si="23"/>
        <v>112.5</v>
      </c>
      <c r="X37" s="81">
        <f ca="1">IFERROR(__xludf.DUMMYFUNCTION("IMPORTRANGE(""https://docs.google.com/spreadsheets/d/1_MzZ-2gVPiCW-d2VcafoCmFJQTSrZ6SQyFcMqRRQQ2w/edit?usp=sharing"",""บึงกาฬ!J341"")"),551)</f>
        <v>551</v>
      </c>
      <c r="Y37" s="81">
        <f ca="1">IFERROR(__xludf.DUMMYFUNCTION("IMPORTRANGE(""https://docs.google.com/spreadsheets/d/1_MzZ-2gVPiCW-d2VcafoCmFJQTSrZ6SQyFcMqRRQQ2w/edit?usp=sharing"",""บึงกาฬ!J342"")"),6)</f>
        <v>6</v>
      </c>
      <c r="Z37" s="81">
        <f ca="1">IFERROR(__xludf.DUMMYFUNCTION("IMPORTRANGE(""https://docs.google.com/spreadsheets/d/1_MzZ-2gVPiCW-d2VcafoCmFJQTSrZ6SQyFcMqRRQQ2w/edit?usp=sharing"",""บึงกาฬ!J343"")"),0)</f>
        <v>0</v>
      </c>
      <c r="AA37" s="81">
        <f t="shared" ca="1" si="37"/>
        <v>5514</v>
      </c>
      <c r="AB37" s="347">
        <f t="shared" ca="1" si="29"/>
        <v>153.16666666666666</v>
      </c>
    </row>
    <row r="38" spans="1:28" ht="21" customHeight="1" x14ac:dyDescent="0.2">
      <c r="A38" s="73">
        <v>7</v>
      </c>
      <c r="B38" s="74" t="s">
        <v>60</v>
      </c>
      <c r="C38" s="75">
        <f t="shared" ca="1" si="0"/>
        <v>355200</v>
      </c>
      <c r="D38" s="76">
        <f t="shared" ca="1" si="36"/>
        <v>355200</v>
      </c>
      <c r="E38" s="77">
        <f ca="1">IFERROR(__xludf.DUMMYFUNCTION("IMPORTRANGE(""https://docs.google.com/spreadsheets/d/1MeEWN-I1oV_STSDYn1IFDPWt_1FKiwhDph83XaGc0o0/edit?usp=sharing"",""งบพรบ!EN38"")"),175200)</f>
        <v>175200</v>
      </c>
      <c r="F38" s="77">
        <f ca="1">IFERROR(__xludf.DUMMYFUNCTION("IMPORTRANGE(""https://docs.google.com/spreadsheets/d/1MeEWN-I1oV_STSDYn1IFDPWt_1FKiwhDph83XaGc0o0/edit?usp=sharing"",""งบพรบ!EO38"")"),180000)</f>
        <v>180000</v>
      </c>
      <c r="G38" s="77">
        <f ca="1">IFERROR(__xludf.DUMMYFUNCTION("IMPORTRANGE(""https://docs.google.com/spreadsheets/d/1MeEWN-I1oV_STSDYn1IFDPWt_1FKiwhDph83XaGc0o0/edit?usp=sharing"",""งบพรบ!EP38"")"),0)</f>
        <v>0</v>
      </c>
      <c r="H38" s="77">
        <f ca="1">IFERROR(__xludf.DUMMYFUNCTION("IMPORTRANGE(""https://docs.google.com/spreadsheets/d/1MeEWN-I1oV_STSDYn1IFDPWt_1FKiwhDph83XaGc0o0/edit?usp=sharing"",""งบพรบ!ER38"")"),357700)</f>
        <v>357700</v>
      </c>
      <c r="I38" s="77">
        <f ca="1">IFERROR(__xludf.DUMMYFUNCTION("IMPORTRANGE(""https://docs.google.com/spreadsheets/d/1MeEWN-I1oV_STSDYn1IFDPWt_1FKiwhDph83XaGc0o0/edit?usp=sharing"",""งบพรบ!ES38"")"),0)</f>
        <v>0</v>
      </c>
      <c r="J38" s="77">
        <f t="shared" ca="1" si="3"/>
        <v>357700</v>
      </c>
      <c r="K38" s="78">
        <f t="shared" ca="1" si="4"/>
        <v>100.70382882882883</v>
      </c>
      <c r="L38" s="77">
        <f ca="1">IFERROR(__xludf.DUMMYFUNCTION("IMPORTRANGE(""https://docs.google.com/spreadsheets/d/1MeEWN-I1oV_STSDYn1IFDPWt_1FKiwhDph83XaGc0o0/edit?usp=sharing"",""งบพรบ!ET38"")"),357700)</f>
        <v>357700</v>
      </c>
      <c r="M38" s="79">
        <f t="shared" ca="1" si="5"/>
        <v>100.70382882882883</v>
      </c>
      <c r="N38" s="79">
        <f t="shared" ca="1" si="6"/>
        <v>100</v>
      </c>
      <c r="O38" s="80">
        <f ca="1">IFERROR(__xludf.DUMMYFUNCTION("IMPORTRANGE(""https://docs.google.com/spreadsheets/d/1MeEWN-I1oV_STSDYn1IFDPWt_1FKiwhDph83XaGc0o0/edit?usp=sharing"",""งบพรบ!EU38"")"),0)</f>
        <v>0</v>
      </c>
      <c r="P38" s="80">
        <f t="shared" ca="1" si="25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IFERROR(__xludf.DUMMYFUNCTION("IMPORTRANGE(""https://docs.google.com/spreadsheets/d/1B3lPpzOuaNwVItLwLEZYl_qEblfcx7dRnbRkAw0l-pE/edit?usp=sharing"",""บุรีรัมย์!I338"")"),6300)</f>
        <v>6300</v>
      </c>
      <c r="S38" s="81">
        <f ca="1">IFERROR(__xludf.DUMMYFUNCTION("IMPORTRANGE(""https://docs.google.com/spreadsheets/d/1B3lPpzOuaNwVItLwLEZYl_qEblfcx7dRnbRkAw0l-pE/edit?usp=sharing"",""บุรีรัมย์!J338"")"),9441)</f>
        <v>9441</v>
      </c>
      <c r="T38" s="82">
        <f t="shared" ca="1" si="22"/>
        <v>149.85714285714286</v>
      </c>
      <c r="U38" s="81">
        <f ca="1">IFERROR(__xludf.DUMMYFUNCTION("IMPORTRANGE(""https://docs.google.com/spreadsheets/d/1B3lPpzOuaNwVItLwLEZYl_qEblfcx7dRnbRkAw0l-pE/edit?usp=sharing"",""บุรีรัมย์!I340"")"),6)</f>
        <v>6</v>
      </c>
      <c r="V38" s="81">
        <f ca="1">IFERROR(__xludf.DUMMYFUNCTION("IMPORTRANGE(""https://docs.google.com/spreadsheets/d/1B3lPpzOuaNwVItLwLEZYl_qEblfcx7dRnbRkAw0l-pE/edit?usp=sharing"",""บุรีรัมย์!J340"")"),6)</f>
        <v>6</v>
      </c>
      <c r="W38" s="82">
        <f t="shared" ca="1" si="23"/>
        <v>100</v>
      </c>
      <c r="X38" s="81">
        <f ca="1">IFERROR(__xludf.DUMMYFUNCTION("IMPORTRANGE(""https://docs.google.com/spreadsheets/d/1B3lPpzOuaNwVItLwLEZYl_qEblfcx7dRnbRkAw0l-pE/edit?usp=sharing"",""บุรีรัมย์!J341"")"),305)</f>
        <v>305</v>
      </c>
      <c r="Y38" s="81">
        <f ca="1">IFERROR(__xludf.DUMMYFUNCTION("IMPORTRANGE(""https://docs.google.com/spreadsheets/d/1B3lPpzOuaNwVItLwLEZYl_qEblfcx7dRnbRkAw0l-pE/edit?usp=sharing"",""บุรีรัมย์!J342"")"),1)</f>
        <v>1</v>
      </c>
      <c r="Z38" s="81">
        <f ca="1">IFERROR(__xludf.DUMMYFUNCTION("IMPORTRANGE(""https://docs.google.com/spreadsheets/d/1B3lPpzOuaNwVItLwLEZYl_qEblfcx7dRnbRkAw0l-pE/edit?usp=sharing"",""บุรีรัมย์!J343"")"),0)</f>
        <v>0</v>
      </c>
      <c r="AA38" s="81">
        <f t="shared" ca="1" si="37"/>
        <v>9747</v>
      </c>
      <c r="AB38" s="347">
        <f t="shared" ca="1" si="29"/>
        <v>154.71428571428572</v>
      </c>
    </row>
    <row r="39" spans="1:28" ht="21" customHeight="1" x14ac:dyDescent="0.2">
      <c r="A39" s="73">
        <v>8</v>
      </c>
      <c r="B39" s="74" t="s">
        <v>61</v>
      </c>
      <c r="C39" s="75">
        <f t="shared" ca="1" si="0"/>
        <v>161000</v>
      </c>
      <c r="D39" s="76">
        <f t="shared" ca="1" si="36"/>
        <v>161000</v>
      </c>
      <c r="E39" s="77">
        <f ca="1">IFERROR(__xludf.DUMMYFUNCTION("IMPORTRANGE(""https://docs.google.com/spreadsheets/d/1MeEWN-I1oV_STSDYn1IFDPWt_1FKiwhDph83XaGc0o0/edit?usp=sharing"",""งบพรบ!EN39"")"),0)</f>
        <v>0</v>
      </c>
      <c r="F39" s="77">
        <f ca="1">IFERROR(__xludf.DUMMYFUNCTION("IMPORTRANGE(""https://docs.google.com/spreadsheets/d/1MeEWN-I1oV_STSDYn1IFDPWt_1FKiwhDph83XaGc0o0/edit?usp=sharing"",""งบพรบ!EO39"")"),161000)</f>
        <v>161000</v>
      </c>
      <c r="G39" s="77">
        <f ca="1">IFERROR(__xludf.DUMMYFUNCTION("IMPORTRANGE(""https://docs.google.com/spreadsheets/d/1MeEWN-I1oV_STSDYn1IFDPWt_1FKiwhDph83XaGc0o0/edit?usp=sharing"",""งบพรบ!EP39"")"),0)</f>
        <v>0</v>
      </c>
      <c r="H39" s="77">
        <f ca="1">IFERROR(__xludf.DUMMYFUNCTION("IMPORTRANGE(""https://docs.google.com/spreadsheets/d/1MeEWN-I1oV_STSDYn1IFDPWt_1FKiwhDph83XaGc0o0/edit?usp=sharing"",""งบพรบ!ER39"")"),163500)</f>
        <v>163500</v>
      </c>
      <c r="I39" s="77">
        <f ca="1">IFERROR(__xludf.DUMMYFUNCTION("IMPORTRANGE(""https://docs.google.com/spreadsheets/d/1MeEWN-I1oV_STSDYn1IFDPWt_1FKiwhDph83XaGc0o0/edit?usp=sharing"",""งบพรบ!ES39"")"),0)</f>
        <v>0</v>
      </c>
      <c r="J39" s="77">
        <f t="shared" ca="1" si="3"/>
        <v>150500</v>
      </c>
      <c r="K39" s="78">
        <f t="shared" ca="1" si="4"/>
        <v>93.478260869565219</v>
      </c>
      <c r="L39" s="77">
        <f ca="1">IFERROR(__xludf.DUMMYFUNCTION("IMPORTRANGE(""https://docs.google.com/spreadsheets/d/1MeEWN-I1oV_STSDYn1IFDPWt_1FKiwhDph83XaGc0o0/edit?usp=sharing"",""งบพรบ!ET39"")"),150500)</f>
        <v>150500</v>
      </c>
      <c r="M39" s="79">
        <f t="shared" ca="1" si="5"/>
        <v>93.478260869565219</v>
      </c>
      <c r="N39" s="79">
        <f t="shared" ca="1" si="6"/>
        <v>92.048929663608561</v>
      </c>
      <c r="O39" s="80">
        <f ca="1">IFERROR(__xludf.DUMMYFUNCTION("IMPORTRANGE(""https://docs.google.com/spreadsheets/d/1MeEWN-I1oV_STSDYn1IFDPWt_1FKiwhDph83XaGc0o0/edit?usp=sharing"",""งบพรบ!EU39"")"),0)</f>
        <v>0</v>
      </c>
      <c r="P39" s="80">
        <f t="shared" ca="1" si="25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IFERROR(__xludf.DUMMYFUNCTION("IMPORTRANGE(""https://docs.google.com/spreadsheets/d/19GOkiOqnzYbevLYWrMk4qFOXe3rX14BkSA8X-mq-a40/edit?usp=sharing"",""มหาสารคาม!I338"")"),1000)</f>
        <v>1000</v>
      </c>
      <c r="S39" s="81">
        <f ca="1">IFERROR(__xludf.DUMMYFUNCTION("IMPORTRANGE(""https://docs.google.com/spreadsheets/d/19GOkiOqnzYbevLYWrMk4qFOXe3rX14BkSA8X-mq-a40/edit?usp=sharing"",""มหาสารคาม!J338"")"),2593)</f>
        <v>2593</v>
      </c>
      <c r="T39" s="82">
        <f t="shared" ca="1" si="22"/>
        <v>259.3</v>
      </c>
      <c r="U39" s="81">
        <f ca="1">IFERROR(__xludf.DUMMYFUNCTION("IMPORTRANGE(""https://docs.google.com/spreadsheets/d/19GOkiOqnzYbevLYWrMk4qFOXe3rX14BkSA8X-mq-a40/edit?usp=sharing"",""มหาสารคาม!I340"")"),4)</f>
        <v>4</v>
      </c>
      <c r="V39" s="81">
        <f ca="1">IFERROR(__xludf.DUMMYFUNCTION("IMPORTRANGE(""https://docs.google.com/spreadsheets/d/19GOkiOqnzYbevLYWrMk4qFOXe3rX14BkSA8X-mq-a40/edit?usp=sharing"",""มหาสารคาม!J340"")"),7)</f>
        <v>7</v>
      </c>
      <c r="W39" s="82">
        <f t="shared" ca="1" si="23"/>
        <v>175</v>
      </c>
      <c r="X39" s="81">
        <f ca="1">IFERROR(__xludf.DUMMYFUNCTION("IMPORTRANGE(""https://docs.google.com/spreadsheets/d/19GOkiOqnzYbevLYWrMk4qFOXe3rX14BkSA8X-mq-a40/edit?usp=sharing"",""มหาสารคาม!J341"")"),156)</f>
        <v>156</v>
      </c>
      <c r="Y39" s="81">
        <f ca="1">IFERROR(__xludf.DUMMYFUNCTION("IMPORTRANGE(""https://docs.google.com/spreadsheets/d/19GOkiOqnzYbevLYWrMk4qFOXe3rX14BkSA8X-mq-a40/edit?usp=sharing"",""มหาสารคาม!J342"")"),0)</f>
        <v>0</v>
      </c>
      <c r="Z39" s="81">
        <f ca="1">IFERROR(__xludf.DUMMYFUNCTION("IMPORTRANGE(""https://docs.google.com/spreadsheets/d/19GOkiOqnzYbevLYWrMk4qFOXe3rX14BkSA8X-mq-a40/edit?usp=sharing"",""มหาสารคาม!J343"")"),0)</f>
        <v>0</v>
      </c>
      <c r="AA39" s="81">
        <f t="shared" ca="1" si="37"/>
        <v>2749</v>
      </c>
      <c r="AB39" s="347">
        <f t="shared" ca="1" si="29"/>
        <v>274.89999999999998</v>
      </c>
    </row>
    <row r="40" spans="1:28" ht="21" customHeight="1" x14ac:dyDescent="0.2">
      <c r="A40" s="73">
        <v>9</v>
      </c>
      <c r="B40" s="74" t="s">
        <v>62</v>
      </c>
      <c r="C40" s="75">
        <f t="shared" ca="1" si="0"/>
        <v>1020000</v>
      </c>
      <c r="D40" s="76">
        <f t="shared" ca="1" si="36"/>
        <v>170000</v>
      </c>
      <c r="E40" s="77">
        <f ca="1">IFERROR(__xludf.DUMMYFUNCTION("IMPORTRANGE(""https://docs.google.com/spreadsheets/d/1MeEWN-I1oV_STSDYn1IFDPWt_1FKiwhDph83XaGc0o0/edit?usp=sharing"",""งบพรบ!EN40"")"),0)</f>
        <v>0</v>
      </c>
      <c r="F40" s="77">
        <f ca="1">IFERROR(__xludf.DUMMYFUNCTION("IMPORTRANGE(""https://docs.google.com/spreadsheets/d/1MeEWN-I1oV_STSDYn1IFDPWt_1FKiwhDph83XaGc0o0/edit?usp=sharing"",""งบพรบ!EO40"")"),170000)</f>
        <v>170000</v>
      </c>
      <c r="G40" s="77">
        <f ca="1">IFERROR(__xludf.DUMMYFUNCTION("IMPORTRANGE(""https://docs.google.com/spreadsheets/d/1MeEWN-I1oV_STSDYn1IFDPWt_1FKiwhDph83XaGc0o0/edit?usp=sharing"",""งบพรบ!EP40"")"),850000)</f>
        <v>850000</v>
      </c>
      <c r="H40" s="77">
        <f ca="1">IFERROR(__xludf.DUMMYFUNCTION("IMPORTRANGE(""https://docs.google.com/spreadsheets/d/1MeEWN-I1oV_STSDYn1IFDPWt_1FKiwhDph83XaGc0o0/edit?usp=sharing"",""งบพรบ!ER40"")"),267500)</f>
        <v>267500</v>
      </c>
      <c r="I40" s="77">
        <f ca="1">IFERROR(__xludf.DUMMYFUNCTION("IMPORTRANGE(""https://docs.google.com/spreadsheets/d/1MeEWN-I1oV_STSDYn1IFDPWt_1FKiwhDph83XaGc0o0/edit?usp=sharing"",""งบพรบ!ES40"")"),754700)</f>
        <v>754700</v>
      </c>
      <c r="J40" s="77">
        <f t="shared" ca="1" si="3"/>
        <v>1008930</v>
      </c>
      <c r="K40" s="78">
        <f t="shared" ca="1" si="4"/>
        <v>98.914705882352948</v>
      </c>
      <c r="L40" s="77">
        <f ca="1">IFERROR(__xludf.DUMMYFUNCTION("IMPORTRANGE(""https://docs.google.com/spreadsheets/d/1MeEWN-I1oV_STSDYn1IFDPWt_1FKiwhDph83XaGc0o0/edit?usp=sharing"",""งบพรบ!ET40"")"),254230)</f>
        <v>254230</v>
      </c>
      <c r="M40" s="79">
        <f t="shared" ca="1" si="5"/>
        <v>149.54705882352943</v>
      </c>
      <c r="N40" s="79">
        <f t="shared" ca="1" si="6"/>
        <v>95.039252336448598</v>
      </c>
      <c r="O40" s="80">
        <f ca="1">IFERROR(__xludf.DUMMYFUNCTION("IMPORTRANGE(""https://docs.google.com/spreadsheets/d/1MeEWN-I1oV_STSDYn1IFDPWt_1FKiwhDph83XaGc0o0/edit?usp=sharing"",""งบพรบ!EU40"")"),754700)</f>
        <v>754700</v>
      </c>
      <c r="P40" s="80">
        <f t="shared" ca="1" si="25"/>
        <v>88.788235294117641</v>
      </c>
      <c r="Q40" s="79">
        <f t="shared" ca="1" si="8"/>
        <v>100</v>
      </c>
      <c r="R40" s="81">
        <f ca="1">IFERROR(__xludf.DUMMYFUNCTION("IMPORTRANGE(""https://docs.google.com/spreadsheets/d/1uMKqWwuNQ-TCKboGA3Bb1qXb5uj2-faACNUINCz8PN4/edit?usp=sharing"",""มุกดาหาร!I338"")"),2300)</f>
        <v>2300</v>
      </c>
      <c r="S40" s="81">
        <f ca="1">IFERROR(__xludf.DUMMYFUNCTION("IMPORTRANGE(""https://docs.google.com/spreadsheets/d/1uMKqWwuNQ-TCKboGA3Bb1qXb5uj2-faACNUINCz8PN4/edit?usp=sharing"",""มุกดาหาร!J338"")"),2355)</f>
        <v>2355</v>
      </c>
      <c r="T40" s="82">
        <f t="shared" ca="1" si="22"/>
        <v>102.39130434782609</v>
      </c>
      <c r="U40" s="81">
        <f ca="1">IFERROR(__xludf.DUMMYFUNCTION("IMPORTRANGE(""https://docs.google.com/spreadsheets/d/1uMKqWwuNQ-TCKboGA3Bb1qXb5uj2-faACNUINCz8PN4/edit?usp=sharing"",""มุกดาหาร!I340"")"),6)</f>
        <v>6</v>
      </c>
      <c r="V40" s="81">
        <f ca="1">IFERROR(__xludf.DUMMYFUNCTION("IMPORTRANGE(""https://docs.google.com/spreadsheets/d/1uMKqWwuNQ-TCKboGA3Bb1qXb5uj2-faACNUINCz8PN4/edit?usp=sharing"",""มุกดาหาร!J340"")"),6)</f>
        <v>6</v>
      </c>
      <c r="W40" s="82">
        <f t="shared" ca="1" si="23"/>
        <v>100</v>
      </c>
      <c r="X40" s="81">
        <f ca="1">IFERROR(__xludf.DUMMYFUNCTION("IMPORTRANGE(""https://docs.google.com/spreadsheets/d/1uMKqWwuNQ-TCKboGA3Bb1qXb5uj2-faACNUINCz8PN4/edit?usp=sharing"",""มุกดาหาร!J341"")"),541)</f>
        <v>541</v>
      </c>
      <c r="Y40" s="81">
        <f ca="1">IFERROR(__xludf.DUMMYFUNCTION("IMPORTRANGE(""https://docs.google.com/spreadsheets/d/1uMKqWwuNQ-TCKboGA3Bb1qXb5uj2-faACNUINCz8PN4/edit?usp=sharing"",""มุกดาหาร!J342"")"),0)</f>
        <v>0</v>
      </c>
      <c r="Z40" s="81">
        <f ca="1">IFERROR(__xludf.DUMMYFUNCTION("IMPORTRANGE(""https://docs.google.com/spreadsheets/d/1uMKqWwuNQ-TCKboGA3Bb1qXb5uj2-faACNUINCz8PN4/edit?usp=sharing"",""มุกดาหาร!J343"")"),0)</f>
        <v>0</v>
      </c>
      <c r="AA40" s="81">
        <f t="shared" ca="1" si="37"/>
        <v>2896</v>
      </c>
      <c r="AB40" s="347">
        <f t="shared" ca="1" si="29"/>
        <v>125.91304347826087</v>
      </c>
    </row>
    <row r="41" spans="1:28" ht="21" customHeight="1" x14ac:dyDescent="0.2">
      <c r="A41" s="73">
        <v>10</v>
      </c>
      <c r="B41" s="74" t="s">
        <v>63</v>
      </c>
      <c r="C41" s="75">
        <f t="shared" ca="1" si="0"/>
        <v>179000</v>
      </c>
      <c r="D41" s="76">
        <f t="shared" ca="1" si="36"/>
        <v>179000</v>
      </c>
      <c r="E41" s="77">
        <f ca="1">IFERROR(__xludf.DUMMYFUNCTION("IMPORTRANGE(""https://docs.google.com/spreadsheets/d/1MeEWN-I1oV_STSDYn1IFDPWt_1FKiwhDph83XaGc0o0/edit?usp=sharing"",""งบพรบ!EN41"")"),0)</f>
        <v>0</v>
      </c>
      <c r="F41" s="77">
        <f ca="1">IFERROR(__xludf.DUMMYFUNCTION("IMPORTRANGE(""https://docs.google.com/spreadsheets/d/1MeEWN-I1oV_STSDYn1IFDPWt_1FKiwhDph83XaGc0o0/edit?usp=sharing"",""งบพรบ!EO41"")"),179000)</f>
        <v>179000</v>
      </c>
      <c r="G41" s="77">
        <f ca="1">IFERROR(__xludf.DUMMYFUNCTION("IMPORTRANGE(""https://docs.google.com/spreadsheets/d/1MeEWN-I1oV_STSDYn1IFDPWt_1FKiwhDph83XaGc0o0/edit?usp=sharing"",""งบพรบ!EP41"")"),0)</f>
        <v>0</v>
      </c>
      <c r="H41" s="77">
        <f ca="1">IFERROR(__xludf.DUMMYFUNCTION("IMPORTRANGE(""https://docs.google.com/spreadsheets/d/1MeEWN-I1oV_STSDYn1IFDPWt_1FKiwhDph83XaGc0o0/edit?usp=sharing"",""งบพรบ!ER41"")"),181500)</f>
        <v>181500</v>
      </c>
      <c r="I41" s="77">
        <f ca="1">IFERROR(__xludf.DUMMYFUNCTION("IMPORTRANGE(""https://docs.google.com/spreadsheets/d/1MeEWN-I1oV_STSDYn1IFDPWt_1FKiwhDph83XaGc0o0/edit?usp=sharing"",""งบพรบ!ES41"")"),196000)</f>
        <v>196000</v>
      </c>
      <c r="J41" s="77">
        <f t="shared" ca="1" si="3"/>
        <v>365553</v>
      </c>
      <c r="K41" s="78">
        <f t="shared" ca="1" si="4"/>
        <v>204.2195530726257</v>
      </c>
      <c r="L41" s="77">
        <f ca="1">IFERROR(__xludf.DUMMYFUNCTION("IMPORTRANGE(""https://docs.google.com/spreadsheets/d/1MeEWN-I1oV_STSDYn1IFDPWt_1FKiwhDph83XaGc0o0/edit?usp=sharing"",""งบพรบ!ET41"")"),169553)</f>
        <v>169553</v>
      </c>
      <c r="M41" s="79">
        <f t="shared" ca="1" si="5"/>
        <v>94.72234636871508</v>
      </c>
      <c r="N41" s="79">
        <f t="shared" ca="1" si="6"/>
        <v>93.417630853994496</v>
      </c>
      <c r="O41" s="80">
        <f ca="1">IFERROR(__xludf.DUMMYFUNCTION("IMPORTRANGE(""https://docs.google.com/spreadsheets/d/1MeEWN-I1oV_STSDYn1IFDPWt_1FKiwhDph83XaGc0o0/edit?usp=sharing"",""งบพรบ!EU41"")"),196000)</f>
        <v>196000</v>
      </c>
      <c r="P41" s="80">
        <f t="shared" ca="1" si="25"/>
        <v>0</v>
      </c>
      <c r="Q41" s="79">
        <f t="shared" ca="1" si="8"/>
        <v>100</v>
      </c>
      <c r="R41" s="81">
        <f ca="1">IFERROR(__xludf.DUMMYFUNCTION("IMPORTRANGE(""https://docs.google.com/spreadsheets/d/1oKaccgDdQABndOzGr688Dbfxb_V3YcF67VqEPBtdzsc/edit?usp=sharing"",""ยโสธร!I338"")"),3200)</f>
        <v>3200</v>
      </c>
      <c r="S41" s="81">
        <f ca="1">IFERROR(__xludf.DUMMYFUNCTION("IMPORTRANGE(""https://docs.google.com/spreadsheets/d/1oKaccgDdQABndOzGr688Dbfxb_V3YcF67VqEPBtdzsc/edit?usp=sharing"",""ยโสธร!J338"")"),9441)</f>
        <v>9441</v>
      </c>
      <c r="T41" s="82">
        <f t="shared" ca="1" si="22"/>
        <v>295.03125</v>
      </c>
      <c r="U41" s="81">
        <f ca="1">IFERROR(__xludf.DUMMYFUNCTION("IMPORTRANGE(""https://docs.google.com/spreadsheets/d/1oKaccgDdQABndOzGr688Dbfxb_V3YcF67VqEPBtdzsc/edit?usp=sharing"",""ยโสธร!I340"")"),8)</f>
        <v>8</v>
      </c>
      <c r="V41" s="81">
        <f ca="1">IFERROR(__xludf.DUMMYFUNCTION("IMPORTRANGE(""https://docs.google.com/spreadsheets/d/1oKaccgDdQABndOzGr688Dbfxb_V3YcF67VqEPBtdzsc/edit?usp=sharing"",""ยโสธร!J340"")"),18)</f>
        <v>18</v>
      </c>
      <c r="W41" s="82">
        <f t="shared" ca="1" si="23"/>
        <v>225</v>
      </c>
      <c r="X41" s="81">
        <f ca="1">IFERROR(__xludf.DUMMYFUNCTION("IMPORTRANGE(""https://docs.google.com/spreadsheets/d/1oKaccgDdQABndOzGr688Dbfxb_V3YcF67VqEPBtdzsc/edit?usp=sharing"",""ยโสธร!J341"")"),458)</f>
        <v>458</v>
      </c>
      <c r="Y41" s="81">
        <f ca="1">IFERROR(__xludf.DUMMYFUNCTION("IMPORTRANGE(""https://docs.google.com/spreadsheets/d/1oKaccgDdQABndOzGr688Dbfxb_V3YcF67VqEPBtdzsc/edit?usp=sharing"",""ยโสธร!J342"")"),0)</f>
        <v>0</v>
      </c>
      <c r="Z41" s="81">
        <f ca="1">IFERROR(__xludf.DUMMYFUNCTION("IMPORTRANGE(""https://docs.google.com/spreadsheets/d/1oKaccgDdQABndOzGr688Dbfxb_V3YcF67VqEPBtdzsc/edit?usp=sharing"",""ยโสธร!J343"")"),0)</f>
        <v>0</v>
      </c>
      <c r="AA41" s="81">
        <f t="shared" ca="1" si="37"/>
        <v>9899</v>
      </c>
      <c r="AB41" s="347">
        <f t="shared" ca="1" si="29"/>
        <v>309.34375</v>
      </c>
    </row>
    <row r="42" spans="1:28" ht="21" customHeight="1" x14ac:dyDescent="0.2">
      <c r="A42" s="73">
        <v>11</v>
      </c>
      <c r="B42" s="74" t="s">
        <v>64</v>
      </c>
      <c r="C42" s="75">
        <f t="shared" ca="1" si="0"/>
        <v>271600</v>
      </c>
      <c r="D42" s="76">
        <f t="shared" ca="1" si="36"/>
        <v>271600</v>
      </c>
      <c r="E42" s="77">
        <f ca="1">IFERROR(__xludf.DUMMYFUNCTION("IMPORTRANGE(""https://docs.google.com/spreadsheets/d/1MeEWN-I1oV_STSDYn1IFDPWt_1FKiwhDph83XaGc0o0/edit?usp=sharing"",""งบพรบ!EN42"")"),87600)</f>
        <v>87600</v>
      </c>
      <c r="F42" s="77">
        <f ca="1">IFERROR(__xludf.DUMMYFUNCTION("IMPORTRANGE(""https://docs.google.com/spreadsheets/d/1MeEWN-I1oV_STSDYn1IFDPWt_1FKiwhDph83XaGc0o0/edit?usp=sharing"",""งบพรบ!EO42"")"),184000)</f>
        <v>184000</v>
      </c>
      <c r="G42" s="77">
        <f ca="1">IFERROR(__xludf.DUMMYFUNCTION("IMPORTRANGE(""https://docs.google.com/spreadsheets/d/1MeEWN-I1oV_STSDYn1IFDPWt_1FKiwhDph83XaGc0o0/edit?usp=sharing"",""งบพรบ!EP42"")"),0)</f>
        <v>0</v>
      </c>
      <c r="H42" s="77">
        <f ca="1">IFERROR(__xludf.DUMMYFUNCTION("IMPORTRANGE(""https://docs.google.com/spreadsheets/d/1MeEWN-I1oV_STSDYn1IFDPWt_1FKiwhDph83XaGc0o0/edit?usp=sharing"",""งบพรบ!ER42"")"),274100)</f>
        <v>274100</v>
      </c>
      <c r="I42" s="77">
        <f ca="1">IFERROR(__xludf.DUMMYFUNCTION("IMPORTRANGE(""https://docs.google.com/spreadsheets/d/1MeEWN-I1oV_STSDYn1IFDPWt_1FKiwhDph83XaGc0o0/edit?usp=sharing"",""งบพรบ!ES42"")"),0)</f>
        <v>0</v>
      </c>
      <c r="J42" s="77">
        <f t="shared" ca="1" si="3"/>
        <v>272340</v>
      </c>
      <c r="K42" s="78">
        <f t="shared" ca="1" si="4"/>
        <v>100.27245949926362</v>
      </c>
      <c r="L42" s="77">
        <f ca="1">IFERROR(__xludf.DUMMYFUNCTION("IMPORTRANGE(""https://docs.google.com/spreadsheets/d/1MeEWN-I1oV_STSDYn1IFDPWt_1FKiwhDph83XaGc0o0/edit?usp=sharing"",""งบพรบ!ET42"")"),272340)</f>
        <v>272340</v>
      </c>
      <c r="M42" s="79">
        <f t="shared" ca="1" si="5"/>
        <v>100.27245949926362</v>
      </c>
      <c r="N42" s="79">
        <f t="shared" ca="1" si="6"/>
        <v>99.35789857716162</v>
      </c>
      <c r="O42" s="80">
        <f ca="1">IFERROR(__xludf.DUMMYFUNCTION("IMPORTRANGE(""https://docs.google.com/spreadsheets/d/1MeEWN-I1oV_STSDYn1IFDPWt_1FKiwhDph83XaGc0o0/edit?usp=sharing"",""งบพรบ!EU42"")"),0)</f>
        <v>0</v>
      </c>
      <c r="P42" s="80">
        <f t="shared" ca="1" si="25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IFERROR(__xludf.DUMMYFUNCTION("IMPORTRANGE(""https://docs.google.com/spreadsheets/d/1BRgc8xKpxZ0PX-gauieMVkV_IOxKSotf0yW8MabGprQ/edit?usp=sharing"",""ร้อยเอ็ด!I338"")"),5600)</f>
        <v>5600</v>
      </c>
      <c r="S42" s="81">
        <f ca="1">IFERROR(__xludf.DUMMYFUNCTION("IMPORTRANGE(""https://docs.google.com/spreadsheets/d/1BRgc8xKpxZ0PX-gauieMVkV_IOxKSotf0yW8MabGprQ/edit?usp=sharing"",""ร้อยเอ็ด!J338"")"),9824)</f>
        <v>9824</v>
      </c>
      <c r="T42" s="82">
        <f t="shared" ca="1" si="22"/>
        <v>175.42857142857142</v>
      </c>
      <c r="U42" s="81">
        <f ca="1">IFERROR(__xludf.DUMMYFUNCTION("IMPORTRANGE(""https://docs.google.com/spreadsheets/d/1BRgc8xKpxZ0PX-gauieMVkV_IOxKSotf0yW8MabGprQ/edit?usp=sharing"",""ร้อยเอ็ด!I340"")"),8)</f>
        <v>8</v>
      </c>
      <c r="V42" s="81">
        <f ca="1">IFERROR(__xludf.DUMMYFUNCTION("IMPORTRANGE(""https://docs.google.com/spreadsheets/d/1BRgc8xKpxZ0PX-gauieMVkV_IOxKSotf0yW8MabGprQ/edit?usp=sharing"",""ร้อยเอ็ด!J340"")"),8)</f>
        <v>8</v>
      </c>
      <c r="W42" s="82">
        <f t="shared" ca="1" si="23"/>
        <v>100</v>
      </c>
      <c r="X42" s="81">
        <f ca="1">IFERROR(__xludf.DUMMYFUNCTION("IMPORTRANGE(""https://docs.google.com/spreadsheets/d/1BRgc8xKpxZ0PX-gauieMVkV_IOxKSotf0yW8MabGprQ/edit?usp=sharing"",""ร้อยเอ็ด!J341"")"),155)</f>
        <v>155</v>
      </c>
      <c r="Y42" s="81">
        <f ca="1">IFERROR(__xludf.DUMMYFUNCTION("IMPORTRANGE(""https://docs.google.com/spreadsheets/d/1BRgc8xKpxZ0PX-gauieMVkV_IOxKSotf0yW8MabGprQ/edit?usp=sharing"",""ร้อยเอ็ด!J342"")"),3)</f>
        <v>3</v>
      </c>
      <c r="Z42" s="81">
        <f ca="1">IFERROR(__xludf.DUMMYFUNCTION("IMPORTRANGE(""https://docs.google.com/spreadsheets/d/1BRgc8xKpxZ0PX-gauieMVkV_IOxKSotf0yW8MabGprQ/edit?usp=sharing"",""ร้อยเอ็ด!J343"")"),0)</f>
        <v>0</v>
      </c>
      <c r="AA42" s="81">
        <f t="shared" ca="1" si="37"/>
        <v>9982</v>
      </c>
      <c r="AB42" s="347">
        <f t="shared" ca="1" si="29"/>
        <v>178.25</v>
      </c>
    </row>
    <row r="43" spans="1:28" ht="21" customHeight="1" x14ac:dyDescent="0.2">
      <c r="A43" s="73">
        <v>12</v>
      </c>
      <c r="B43" s="74" t="s">
        <v>65</v>
      </c>
      <c r="C43" s="75">
        <f t="shared" ca="1" si="0"/>
        <v>177000</v>
      </c>
      <c r="D43" s="76">
        <f t="shared" ca="1" si="36"/>
        <v>177000</v>
      </c>
      <c r="E43" s="77">
        <f ca="1">IFERROR(__xludf.DUMMYFUNCTION("IMPORTRANGE(""https://docs.google.com/spreadsheets/d/1MeEWN-I1oV_STSDYn1IFDPWt_1FKiwhDph83XaGc0o0/edit?usp=sharing"",""งบพรบ!EN43"")"),0)</f>
        <v>0</v>
      </c>
      <c r="F43" s="77">
        <f ca="1">IFERROR(__xludf.DUMMYFUNCTION("IMPORTRANGE(""https://docs.google.com/spreadsheets/d/1MeEWN-I1oV_STSDYn1IFDPWt_1FKiwhDph83XaGc0o0/edit?usp=sharing"",""งบพรบ!EO43"")"),177000)</f>
        <v>177000</v>
      </c>
      <c r="G43" s="77">
        <f ca="1">IFERROR(__xludf.DUMMYFUNCTION("IMPORTRANGE(""https://docs.google.com/spreadsheets/d/1MeEWN-I1oV_STSDYn1IFDPWt_1FKiwhDph83XaGc0o0/edit?usp=sharing"",""งบพรบ!EP43"")"),0)</f>
        <v>0</v>
      </c>
      <c r="H43" s="77">
        <f ca="1">IFERROR(__xludf.DUMMYFUNCTION("IMPORTRANGE(""https://docs.google.com/spreadsheets/d/1MeEWN-I1oV_STSDYn1IFDPWt_1FKiwhDph83XaGc0o0/edit?usp=sharing"",""งบพรบ!ER43"")"),179500)</f>
        <v>179500</v>
      </c>
      <c r="I43" s="77">
        <f ca="1">IFERROR(__xludf.DUMMYFUNCTION("IMPORTRANGE(""https://docs.google.com/spreadsheets/d/1MeEWN-I1oV_STSDYn1IFDPWt_1FKiwhDph83XaGc0o0/edit?usp=sharing"",""งบพรบ!ES43"")"),0)</f>
        <v>0</v>
      </c>
      <c r="J43" s="77">
        <f t="shared" ca="1" si="3"/>
        <v>163562</v>
      </c>
      <c r="K43" s="78">
        <f t="shared" ca="1" si="4"/>
        <v>92.407909604519773</v>
      </c>
      <c r="L43" s="77">
        <f ca="1">IFERROR(__xludf.DUMMYFUNCTION("IMPORTRANGE(""https://docs.google.com/spreadsheets/d/1MeEWN-I1oV_STSDYn1IFDPWt_1FKiwhDph83XaGc0o0/edit?usp=sharing"",""งบพรบ!ET43"")"),163562)</f>
        <v>163562</v>
      </c>
      <c r="M43" s="79">
        <f t="shared" ca="1" si="5"/>
        <v>92.407909604519773</v>
      </c>
      <c r="N43" s="79">
        <f t="shared" ca="1" si="6"/>
        <v>91.120891364902505</v>
      </c>
      <c r="O43" s="80">
        <f ca="1">IFERROR(__xludf.DUMMYFUNCTION("IMPORTRANGE(""https://docs.google.com/spreadsheets/d/1MeEWN-I1oV_STSDYn1IFDPWt_1FKiwhDph83XaGc0o0/edit?usp=sharing"",""งบพรบ!EU43"")"),0)</f>
        <v>0</v>
      </c>
      <c r="P43" s="80">
        <f t="shared" ca="1" si="25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IFERROR(__xludf.DUMMYFUNCTION("IMPORTRANGE(""https://docs.google.com/spreadsheets/d/1IdolZc-dfdgMwAm_KZxYJl1sUOcIgnbGQzbWOlddedo/edit?usp=sharing"",""เลย!I338"")"),3800)</f>
        <v>3800</v>
      </c>
      <c r="S43" s="81">
        <f ca="1">IFERROR(__xludf.DUMMYFUNCTION("IMPORTRANGE(""https://docs.google.com/spreadsheets/d/1IdolZc-dfdgMwAm_KZxYJl1sUOcIgnbGQzbWOlddedo/edit?usp=sharing"",""เลย!J338"")"),5787)</f>
        <v>5787</v>
      </c>
      <c r="T43" s="82">
        <f t="shared" ca="1" si="22"/>
        <v>152.28947368421052</v>
      </c>
      <c r="U43" s="81">
        <f ca="1">IFERROR(__xludf.DUMMYFUNCTION("IMPORTRANGE(""https://docs.google.com/spreadsheets/d/1IdolZc-dfdgMwAm_KZxYJl1sUOcIgnbGQzbWOlddedo/edit?usp=sharing"",""เลย!I340"")"),7)</f>
        <v>7</v>
      </c>
      <c r="V43" s="81">
        <f ca="1">IFERROR(__xludf.DUMMYFUNCTION("IMPORTRANGE(""https://docs.google.com/spreadsheets/d/1IdolZc-dfdgMwAm_KZxYJl1sUOcIgnbGQzbWOlddedo/edit?usp=sharing"",""เลย!J340"")"),7)</f>
        <v>7</v>
      </c>
      <c r="W43" s="82">
        <f t="shared" ca="1" si="23"/>
        <v>100</v>
      </c>
      <c r="X43" s="81">
        <f ca="1">IFERROR(__xludf.DUMMYFUNCTION("IMPORTRANGE(""https://docs.google.com/spreadsheets/d/1IdolZc-dfdgMwAm_KZxYJl1sUOcIgnbGQzbWOlddedo/edit?usp=sharing"",""เลย!J341"")"),795)</f>
        <v>795</v>
      </c>
      <c r="Y43" s="81">
        <f ca="1">IFERROR(__xludf.DUMMYFUNCTION("IMPORTRANGE(""https://docs.google.com/spreadsheets/d/1IdolZc-dfdgMwAm_KZxYJl1sUOcIgnbGQzbWOlddedo/edit?usp=sharing"",""เลย!J342"")"),341)</f>
        <v>341</v>
      </c>
      <c r="Z43" s="81">
        <f ca="1">IFERROR(__xludf.DUMMYFUNCTION("IMPORTRANGE(""https://docs.google.com/spreadsheets/d/1IdolZc-dfdgMwAm_KZxYJl1sUOcIgnbGQzbWOlddedo/edit?usp=sharing"",""เลย!J343"")"),117)</f>
        <v>117</v>
      </c>
      <c r="AA43" s="81">
        <f t="shared" ca="1" si="37"/>
        <v>7040</v>
      </c>
      <c r="AB43" s="347">
        <f t="shared" ca="1" si="29"/>
        <v>185.26315789473685</v>
      </c>
    </row>
    <row r="44" spans="1:28" ht="21" customHeight="1" x14ac:dyDescent="0.2">
      <c r="A44" s="73">
        <v>13</v>
      </c>
      <c r="B44" s="74" t="s">
        <v>66</v>
      </c>
      <c r="C44" s="75">
        <f t="shared" ca="1" si="0"/>
        <v>186000</v>
      </c>
      <c r="D44" s="76">
        <f t="shared" ca="1" si="36"/>
        <v>186000</v>
      </c>
      <c r="E44" s="77">
        <f ca="1">IFERROR(__xludf.DUMMYFUNCTION("IMPORTRANGE(""https://docs.google.com/spreadsheets/d/1MeEWN-I1oV_STSDYn1IFDPWt_1FKiwhDph83XaGc0o0/edit?usp=sharing"",""งบพรบ!EN44"")"),0)</f>
        <v>0</v>
      </c>
      <c r="F44" s="77">
        <f ca="1">IFERROR(__xludf.DUMMYFUNCTION("IMPORTRANGE(""https://docs.google.com/spreadsheets/d/1MeEWN-I1oV_STSDYn1IFDPWt_1FKiwhDph83XaGc0o0/edit?usp=sharing"",""งบพรบ!EO44"")"),186000)</f>
        <v>186000</v>
      </c>
      <c r="G44" s="77">
        <f ca="1">IFERROR(__xludf.DUMMYFUNCTION("IMPORTRANGE(""https://docs.google.com/spreadsheets/d/1MeEWN-I1oV_STSDYn1IFDPWt_1FKiwhDph83XaGc0o0/edit?usp=sharing"",""งบพรบ!EP44"")"),0)</f>
        <v>0</v>
      </c>
      <c r="H44" s="77">
        <f ca="1">IFERROR(__xludf.DUMMYFUNCTION("IMPORTRANGE(""https://docs.google.com/spreadsheets/d/1MeEWN-I1oV_STSDYn1IFDPWt_1FKiwhDph83XaGc0o0/edit?usp=sharing"",""งบพรบ!ER44"")"),188500)</f>
        <v>188500</v>
      </c>
      <c r="I44" s="77">
        <f ca="1">IFERROR(__xludf.DUMMYFUNCTION("IMPORTRANGE(""https://docs.google.com/spreadsheets/d/1MeEWN-I1oV_STSDYn1IFDPWt_1FKiwhDph83XaGc0o0/edit?usp=sharing"",""งบพรบ!ES44"")"),81000)</f>
        <v>81000</v>
      </c>
      <c r="J44" s="77">
        <f t="shared" ca="1" si="3"/>
        <v>238488.78</v>
      </c>
      <c r="K44" s="78">
        <f t="shared" ca="1" si="4"/>
        <v>128.21977419354837</v>
      </c>
      <c r="L44" s="77">
        <f ca="1">IFERROR(__xludf.DUMMYFUNCTION("IMPORTRANGE(""https://docs.google.com/spreadsheets/d/1MeEWN-I1oV_STSDYn1IFDPWt_1FKiwhDph83XaGc0o0/edit?usp=sharing"",""งบพรบ!ET44"")"),157488.78)</f>
        <v>157488.78</v>
      </c>
      <c r="M44" s="79">
        <f t="shared" ca="1" si="5"/>
        <v>84.671387096774197</v>
      </c>
      <c r="N44" s="79">
        <f t="shared" ca="1" si="6"/>
        <v>83.54842440318302</v>
      </c>
      <c r="O44" s="80">
        <f ca="1">IFERROR(__xludf.DUMMYFUNCTION("IMPORTRANGE(""https://docs.google.com/spreadsheets/d/1MeEWN-I1oV_STSDYn1IFDPWt_1FKiwhDph83XaGc0o0/edit?usp=sharing"",""งบพรบ!EU44"")"),81000)</f>
        <v>81000</v>
      </c>
      <c r="P44" s="80">
        <f t="shared" ca="1" si="25"/>
        <v>0</v>
      </c>
      <c r="Q44" s="79">
        <f t="shared" ca="1" si="8"/>
        <v>100</v>
      </c>
      <c r="R44" s="81">
        <f ca="1">IFERROR(__xludf.DUMMYFUNCTION("IMPORTRANGE(""https://docs.google.com/spreadsheets/d/1tZ0nmtGuIRCaGAMXHlQU8EpR9LOAJvyKfc4f7EFmE34/edit?usp=sharing"",""ศรีสะเกษ!I338"")"),6700)</f>
        <v>6700</v>
      </c>
      <c r="S44" s="81">
        <f ca="1">IFERROR(__xludf.DUMMYFUNCTION("IMPORTRANGE(""https://docs.google.com/spreadsheets/d/1tZ0nmtGuIRCaGAMXHlQU8EpR9LOAJvyKfc4f7EFmE34/edit?usp=sharing"",""ศรีสะเกษ!J338"")"),8157)</f>
        <v>8157</v>
      </c>
      <c r="T44" s="82">
        <f t="shared" ca="1" si="22"/>
        <v>121.74626865671642</v>
      </c>
      <c r="U44" s="81">
        <f ca="1">IFERROR(__xludf.DUMMYFUNCTION("IMPORTRANGE(""https://docs.google.com/spreadsheets/d/1tZ0nmtGuIRCaGAMXHlQU8EpR9LOAJvyKfc4f7EFmE34/edit?usp=sharing"",""ศรีสะเกษ!I340"")"),9)</f>
        <v>9</v>
      </c>
      <c r="V44" s="81">
        <f ca="1">IFERROR(__xludf.DUMMYFUNCTION("IMPORTRANGE(""https://docs.google.com/spreadsheets/d/1tZ0nmtGuIRCaGAMXHlQU8EpR9LOAJvyKfc4f7EFmE34/edit?usp=sharing"",""ศรีสะเกษ!J340"")"),9)</f>
        <v>9</v>
      </c>
      <c r="W44" s="82">
        <f t="shared" ca="1" si="23"/>
        <v>100</v>
      </c>
      <c r="X44" s="81">
        <f ca="1">IFERROR(__xludf.DUMMYFUNCTION("IMPORTRANGE(""https://docs.google.com/spreadsheets/d/1tZ0nmtGuIRCaGAMXHlQU8EpR9LOAJvyKfc4f7EFmE34/edit?usp=sharing"",""ศรีสะเกษ!J341"")"),927)</f>
        <v>927</v>
      </c>
      <c r="Y44" s="81">
        <f ca="1">IFERROR(__xludf.DUMMYFUNCTION("IMPORTRANGE(""https://docs.google.com/spreadsheets/d/1tZ0nmtGuIRCaGAMXHlQU8EpR9LOAJvyKfc4f7EFmE34/edit?usp=sharing"",""ศรีสะเกษ!J342"")"),1)</f>
        <v>1</v>
      </c>
      <c r="Z44" s="81">
        <f ca="1">IFERROR(__xludf.DUMMYFUNCTION("IMPORTRANGE(""https://docs.google.com/spreadsheets/d/1tZ0nmtGuIRCaGAMXHlQU8EpR9LOAJvyKfc4f7EFmE34/edit?usp=sharing"",""ศรีสะเกษ!J343"")"),13)</f>
        <v>13</v>
      </c>
      <c r="AA44" s="81">
        <f t="shared" ca="1" si="37"/>
        <v>9098</v>
      </c>
      <c r="AB44" s="347">
        <f t="shared" ca="1" si="29"/>
        <v>135.79104477611941</v>
      </c>
    </row>
    <row r="45" spans="1:28" ht="21" customHeight="1" x14ac:dyDescent="0.2">
      <c r="A45" s="73">
        <v>14</v>
      </c>
      <c r="B45" s="74" t="s">
        <v>67</v>
      </c>
      <c r="C45" s="75">
        <f t="shared" ca="1" si="0"/>
        <v>176000</v>
      </c>
      <c r="D45" s="76">
        <f t="shared" ca="1" si="36"/>
        <v>176000</v>
      </c>
      <c r="E45" s="77">
        <f ca="1">IFERROR(__xludf.DUMMYFUNCTION("IMPORTRANGE(""https://docs.google.com/spreadsheets/d/1MeEWN-I1oV_STSDYn1IFDPWt_1FKiwhDph83XaGc0o0/edit?usp=sharing"",""งบพรบ!EN45"")"),0)</f>
        <v>0</v>
      </c>
      <c r="F45" s="77">
        <f ca="1">IFERROR(__xludf.DUMMYFUNCTION("IMPORTRANGE(""https://docs.google.com/spreadsheets/d/1MeEWN-I1oV_STSDYn1IFDPWt_1FKiwhDph83XaGc0o0/edit?usp=sharing"",""งบพรบ!EO45"")"),176000)</f>
        <v>176000</v>
      </c>
      <c r="G45" s="77">
        <f ca="1">IFERROR(__xludf.DUMMYFUNCTION("IMPORTRANGE(""https://docs.google.com/spreadsheets/d/1MeEWN-I1oV_STSDYn1IFDPWt_1FKiwhDph83XaGc0o0/edit?usp=sharing"",""งบพรบ!EP45"")"),0)</f>
        <v>0</v>
      </c>
      <c r="H45" s="77">
        <f ca="1">IFERROR(__xludf.DUMMYFUNCTION("IMPORTRANGE(""https://docs.google.com/spreadsheets/d/1MeEWN-I1oV_STSDYn1IFDPWt_1FKiwhDph83XaGc0o0/edit?usp=sharing"",""งบพรบ!ER45"")"),178500)</f>
        <v>178500</v>
      </c>
      <c r="I45" s="77">
        <f ca="1">IFERROR(__xludf.DUMMYFUNCTION("IMPORTRANGE(""https://docs.google.com/spreadsheets/d/1MeEWN-I1oV_STSDYn1IFDPWt_1FKiwhDph83XaGc0o0/edit?usp=sharing"",""งบพรบ!ES45"")"),0)</f>
        <v>0</v>
      </c>
      <c r="J45" s="77">
        <f t="shared" ca="1" si="3"/>
        <v>93200</v>
      </c>
      <c r="K45" s="78">
        <f t="shared" ca="1" si="4"/>
        <v>52.954545454545453</v>
      </c>
      <c r="L45" s="77">
        <f ca="1">IFERROR(__xludf.DUMMYFUNCTION("IMPORTRANGE(""https://docs.google.com/spreadsheets/d/1MeEWN-I1oV_STSDYn1IFDPWt_1FKiwhDph83XaGc0o0/edit?usp=sharing"",""งบพรบ!ET45"")"),93200)</f>
        <v>93200</v>
      </c>
      <c r="M45" s="79">
        <f t="shared" ca="1" si="5"/>
        <v>52.954545454545453</v>
      </c>
      <c r="N45" s="79">
        <f t="shared" ca="1" si="6"/>
        <v>52.212885154061624</v>
      </c>
      <c r="O45" s="80">
        <f ca="1">IFERROR(__xludf.DUMMYFUNCTION("IMPORTRANGE(""https://docs.google.com/spreadsheets/d/1MeEWN-I1oV_STSDYn1IFDPWt_1FKiwhDph83XaGc0o0/edit?usp=sharing"",""งบพรบ!EU45"")"),0)</f>
        <v>0</v>
      </c>
      <c r="P45" s="80">
        <f t="shared" ca="1" si="25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IFERROR(__xludf.DUMMYFUNCTION("IMPORTRANGE(""https://docs.google.com/spreadsheets/d/1QC8psz9w0f9IVE9Xuc2FT_btkaOzZbbUSgYObpBuetM/edit?usp=sharing"",""สกลนคร!I338"")"),3000)</f>
        <v>3000</v>
      </c>
      <c r="S45" s="81">
        <f ca="1">IFERROR(__xludf.DUMMYFUNCTION("IMPORTRANGE(""https://docs.google.com/spreadsheets/d/1QC8psz9w0f9IVE9Xuc2FT_btkaOzZbbUSgYObpBuetM/edit?usp=sharing"",""สกลนคร!J338"")"),8442)</f>
        <v>8442</v>
      </c>
      <c r="T45" s="82">
        <f t="shared" ca="1" si="22"/>
        <v>281.39999999999998</v>
      </c>
      <c r="U45" s="81">
        <f ca="1">IFERROR(__xludf.DUMMYFUNCTION("IMPORTRANGE(""https://docs.google.com/spreadsheets/d/1QC8psz9w0f9IVE9Xuc2FT_btkaOzZbbUSgYObpBuetM/edit?usp=sharing"",""สกลนคร!I340"")"),9)</f>
        <v>9</v>
      </c>
      <c r="V45" s="81">
        <f ca="1">IFERROR(__xludf.DUMMYFUNCTION("IMPORTRANGE(""https://docs.google.com/spreadsheets/d/1QC8psz9w0f9IVE9Xuc2FT_btkaOzZbbUSgYObpBuetM/edit?usp=sharing"",""สกลนคร!J340"")"),9)</f>
        <v>9</v>
      </c>
      <c r="W45" s="82">
        <f t="shared" ca="1" si="23"/>
        <v>100</v>
      </c>
      <c r="X45" s="81">
        <f ca="1">IFERROR(__xludf.DUMMYFUNCTION("IMPORTRANGE(""https://docs.google.com/spreadsheets/d/1QC8psz9w0f9IVE9Xuc2FT_btkaOzZbbUSgYObpBuetM/edit?usp=sharing"",""สกลนคร!J341"")"),1195)</f>
        <v>1195</v>
      </c>
      <c r="Y45" s="81">
        <f ca="1">IFERROR(__xludf.DUMMYFUNCTION("IMPORTRANGE(""https://docs.google.com/spreadsheets/d/1QC8psz9w0f9IVE9Xuc2FT_btkaOzZbbUSgYObpBuetM/edit?usp=sharing"",""สกลนคร!J342"")"),1)</f>
        <v>1</v>
      </c>
      <c r="Z45" s="81">
        <f ca="1">IFERROR(__xludf.DUMMYFUNCTION("IMPORTRANGE(""https://docs.google.com/spreadsheets/d/1QC8psz9w0f9IVE9Xuc2FT_btkaOzZbbUSgYObpBuetM/edit?usp=sharing"",""สกลนคร!J343"")"),0)</f>
        <v>0</v>
      </c>
      <c r="AA45" s="81">
        <f t="shared" ca="1" si="37"/>
        <v>9638</v>
      </c>
      <c r="AB45" s="347">
        <f t="shared" ca="1" si="29"/>
        <v>321.26666666666665</v>
      </c>
    </row>
    <row r="46" spans="1:28" ht="21" customHeight="1" x14ac:dyDescent="0.2">
      <c r="A46" s="73">
        <v>15</v>
      </c>
      <c r="B46" s="74" t="s">
        <v>68</v>
      </c>
      <c r="C46" s="75">
        <f t="shared" ca="1" si="0"/>
        <v>178000</v>
      </c>
      <c r="D46" s="76">
        <f t="shared" ca="1" si="36"/>
        <v>178000</v>
      </c>
      <c r="E46" s="77">
        <f ca="1">IFERROR(__xludf.DUMMYFUNCTION("IMPORTRANGE(""https://docs.google.com/spreadsheets/d/1MeEWN-I1oV_STSDYn1IFDPWt_1FKiwhDph83XaGc0o0/edit?usp=sharing"",""งบพรบ!EN46"")"),0)</f>
        <v>0</v>
      </c>
      <c r="F46" s="77">
        <f ca="1">IFERROR(__xludf.DUMMYFUNCTION("IMPORTRANGE(""https://docs.google.com/spreadsheets/d/1MeEWN-I1oV_STSDYn1IFDPWt_1FKiwhDph83XaGc0o0/edit?usp=sharing"",""งบพรบ!EO46"")"),178000)</f>
        <v>178000</v>
      </c>
      <c r="G46" s="77">
        <f ca="1">IFERROR(__xludf.DUMMYFUNCTION("IMPORTRANGE(""https://docs.google.com/spreadsheets/d/1MeEWN-I1oV_STSDYn1IFDPWt_1FKiwhDph83XaGc0o0/edit?usp=sharing"",""งบพรบ!EP46"")"),0)</f>
        <v>0</v>
      </c>
      <c r="H46" s="77">
        <f ca="1">IFERROR(__xludf.DUMMYFUNCTION("IMPORTRANGE(""https://docs.google.com/spreadsheets/d/1MeEWN-I1oV_STSDYn1IFDPWt_1FKiwhDph83XaGc0o0/edit?usp=sharing"",""งบพรบ!ER46"")"),180500)</f>
        <v>180500</v>
      </c>
      <c r="I46" s="77">
        <f ca="1">IFERROR(__xludf.DUMMYFUNCTION("IMPORTRANGE(""https://docs.google.com/spreadsheets/d/1MeEWN-I1oV_STSDYn1IFDPWt_1FKiwhDph83XaGc0o0/edit?usp=sharing"",""งบพรบ!ES46"")"),0)</f>
        <v>0</v>
      </c>
      <c r="J46" s="77">
        <f t="shared" ca="1" si="3"/>
        <v>180150</v>
      </c>
      <c r="K46" s="78">
        <f t="shared" ca="1" si="4"/>
        <v>101.20786516853933</v>
      </c>
      <c r="L46" s="77">
        <f ca="1">IFERROR(__xludf.DUMMYFUNCTION("IMPORTRANGE(""https://docs.google.com/spreadsheets/d/1MeEWN-I1oV_STSDYn1IFDPWt_1FKiwhDph83XaGc0o0/edit?usp=sharing"",""งบพรบ!ET46"")"),180150)</f>
        <v>180150</v>
      </c>
      <c r="M46" s="79">
        <f t="shared" ca="1" si="5"/>
        <v>101.20786516853933</v>
      </c>
      <c r="N46" s="79">
        <f t="shared" ca="1" si="6"/>
        <v>99.80609418282549</v>
      </c>
      <c r="O46" s="80">
        <f ca="1">IFERROR(__xludf.DUMMYFUNCTION("IMPORTRANGE(""https://docs.google.com/spreadsheets/d/1MeEWN-I1oV_STSDYn1IFDPWt_1FKiwhDph83XaGc0o0/edit?usp=sharing"",""งบพรบ!EU46"")"),0)</f>
        <v>0</v>
      </c>
      <c r="P46" s="80">
        <f t="shared" ca="1" si="25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IFERROR(__xludf.DUMMYFUNCTION("IMPORTRANGE(""https://docs.google.com/spreadsheets/d/1wPdvRbu02d33MYVlbsCnyTiZpefEBs9NNktAnT1HZvw/edit?usp=sharing"",""สุรินทร์!I338"")"),5300)</f>
        <v>5300</v>
      </c>
      <c r="S46" s="81">
        <f ca="1">IFERROR(__xludf.DUMMYFUNCTION("IMPORTRANGE(""https://docs.google.com/spreadsheets/d/1wPdvRbu02d33MYVlbsCnyTiZpefEBs9NNktAnT1HZvw/edit?usp=sharing"",""สุรินทร์!J338"")"),6395)</f>
        <v>6395</v>
      </c>
      <c r="T46" s="82">
        <f t="shared" ca="1" si="22"/>
        <v>120.66037735849056</v>
      </c>
      <c r="U46" s="81">
        <f ca="1">IFERROR(__xludf.DUMMYFUNCTION("IMPORTRANGE(""https://docs.google.com/spreadsheets/d/1wPdvRbu02d33MYVlbsCnyTiZpefEBs9NNktAnT1HZvw/edit?usp=sharing"",""สุรินทร์!I340"")"),5)</f>
        <v>5</v>
      </c>
      <c r="V46" s="81">
        <f ca="1">IFERROR(__xludf.DUMMYFUNCTION("IMPORTRANGE(""https://docs.google.com/spreadsheets/d/1wPdvRbu02d33MYVlbsCnyTiZpefEBs9NNktAnT1HZvw/edit?usp=sharing"",""สุรินทร์!J340"")"),5)</f>
        <v>5</v>
      </c>
      <c r="W46" s="82">
        <f t="shared" ca="1" si="23"/>
        <v>100</v>
      </c>
      <c r="X46" s="81">
        <f ca="1">IFERROR(__xludf.DUMMYFUNCTION("IMPORTRANGE(""https://docs.google.com/spreadsheets/d/1wPdvRbu02d33MYVlbsCnyTiZpefEBs9NNktAnT1HZvw/edit?usp=sharing"",""สุรินทร์!J341"")"),696)</f>
        <v>696</v>
      </c>
      <c r="Y46" s="81">
        <f ca="1">IFERROR(__xludf.DUMMYFUNCTION("IMPORTRANGE(""https://docs.google.com/spreadsheets/d/1wPdvRbu02d33MYVlbsCnyTiZpefEBs9NNktAnT1HZvw/edit?usp=sharing"",""สุรินทร์!J342"")"),17)</f>
        <v>17</v>
      </c>
      <c r="Z46" s="81">
        <f ca="1">IFERROR(__xludf.DUMMYFUNCTION("IMPORTRANGE(""https://docs.google.com/spreadsheets/d/1wPdvRbu02d33MYVlbsCnyTiZpefEBs9NNktAnT1HZvw/edit?usp=sharing"",""สุรินทร์!J343"")"),29)</f>
        <v>29</v>
      </c>
      <c r="AA46" s="81">
        <f t="shared" ca="1" si="37"/>
        <v>7137</v>
      </c>
      <c r="AB46" s="347">
        <f t="shared" ca="1" si="29"/>
        <v>134.66037735849056</v>
      </c>
    </row>
    <row r="47" spans="1:28" ht="21" customHeight="1" x14ac:dyDescent="0.2">
      <c r="A47" s="73">
        <v>16</v>
      </c>
      <c r="B47" s="74" t="s">
        <v>69</v>
      </c>
      <c r="C47" s="75">
        <f t="shared" ca="1" si="0"/>
        <v>177000</v>
      </c>
      <c r="D47" s="76">
        <f t="shared" ca="1" si="36"/>
        <v>177000</v>
      </c>
      <c r="E47" s="77">
        <f ca="1">IFERROR(__xludf.DUMMYFUNCTION("IMPORTRANGE(""https://docs.google.com/spreadsheets/d/1MeEWN-I1oV_STSDYn1IFDPWt_1FKiwhDph83XaGc0o0/edit?usp=sharing"",""งบพรบ!EN47"")"),0)</f>
        <v>0</v>
      </c>
      <c r="F47" s="77">
        <f ca="1">IFERROR(__xludf.DUMMYFUNCTION("IMPORTRANGE(""https://docs.google.com/spreadsheets/d/1MeEWN-I1oV_STSDYn1IFDPWt_1FKiwhDph83XaGc0o0/edit?usp=sharing"",""งบพรบ!EO47"")"),177000)</f>
        <v>177000</v>
      </c>
      <c r="G47" s="77">
        <f ca="1">IFERROR(__xludf.DUMMYFUNCTION("IMPORTRANGE(""https://docs.google.com/spreadsheets/d/1MeEWN-I1oV_STSDYn1IFDPWt_1FKiwhDph83XaGc0o0/edit?usp=sharing"",""งบพรบ!EP47"")"),0)</f>
        <v>0</v>
      </c>
      <c r="H47" s="77">
        <f ca="1">IFERROR(__xludf.DUMMYFUNCTION("IMPORTRANGE(""https://docs.google.com/spreadsheets/d/1MeEWN-I1oV_STSDYn1IFDPWt_1FKiwhDph83XaGc0o0/edit?usp=sharing"",""งบพรบ!ER47"")"),179500)</f>
        <v>179500</v>
      </c>
      <c r="I47" s="77">
        <f ca="1">IFERROR(__xludf.DUMMYFUNCTION("IMPORTRANGE(""https://docs.google.com/spreadsheets/d/1MeEWN-I1oV_STSDYn1IFDPWt_1FKiwhDph83XaGc0o0/edit?usp=sharing"",""งบพรบ!ES47"")"),0)</f>
        <v>0</v>
      </c>
      <c r="J47" s="77">
        <f t="shared" ca="1" si="3"/>
        <v>165990</v>
      </c>
      <c r="K47" s="78">
        <f t="shared" ca="1" si="4"/>
        <v>93.779661016949149</v>
      </c>
      <c r="L47" s="77">
        <f ca="1">IFERROR(__xludf.DUMMYFUNCTION("IMPORTRANGE(""https://docs.google.com/spreadsheets/d/1MeEWN-I1oV_STSDYn1IFDPWt_1FKiwhDph83XaGc0o0/edit?usp=sharing"",""งบพรบ!ET47"")"),165990)</f>
        <v>165990</v>
      </c>
      <c r="M47" s="79">
        <f t="shared" ca="1" si="5"/>
        <v>93.779661016949149</v>
      </c>
      <c r="N47" s="79">
        <f t="shared" ca="1" si="6"/>
        <v>92.473537604456823</v>
      </c>
      <c r="O47" s="80">
        <f ca="1">IFERROR(__xludf.DUMMYFUNCTION("IMPORTRANGE(""https://docs.google.com/spreadsheets/d/1MeEWN-I1oV_STSDYn1IFDPWt_1FKiwhDph83XaGc0o0/edit?usp=sharing"",""งบพรบ!EU47"")"),0)</f>
        <v>0</v>
      </c>
      <c r="P47" s="80">
        <f t="shared" ca="1" si="25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IFERROR(__xludf.DUMMYFUNCTION("IMPORTRANGE(""https://docs.google.com/spreadsheets/d/1GVExpf-Exi_2gmuqTYH28fseTB9MoKPXWcXCbSt_YrM/edit?usp=sharing"",""หนองคาย!I338"")"),3800)</f>
        <v>3800</v>
      </c>
      <c r="S47" s="81">
        <f ca="1">IFERROR(__xludf.DUMMYFUNCTION("IMPORTRANGE(""https://docs.google.com/spreadsheets/d/1GVExpf-Exi_2gmuqTYH28fseTB9MoKPXWcXCbSt_YrM/edit?usp=sharing"",""หนองคาย!J338"")"),4796)</f>
        <v>4796</v>
      </c>
      <c r="T47" s="82">
        <f t="shared" ca="1" si="22"/>
        <v>126.21052631578948</v>
      </c>
      <c r="U47" s="81">
        <f ca="1">IFERROR(__xludf.DUMMYFUNCTION("IMPORTRANGE(""https://docs.google.com/spreadsheets/d/1GVExpf-Exi_2gmuqTYH28fseTB9MoKPXWcXCbSt_YrM/edit?usp=sharing"",""หนองคาย!I340"")"),7)</f>
        <v>7</v>
      </c>
      <c r="V47" s="81">
        <f ca="1">IFERROR(__xludf.DUMMYFUNCTION("IMPORTRANGE(""https://docs.google.com/spreadsheets/d/1GVExpf-Exi_2gmuqTYH28fseTB9MoKPXWcXCbSt_YrM/edit?usp=sharing"",""หนองคาย!J340"")"),7)</f>
        <v>7</v>
      </c>
      <c r="W47" s="82">
        <f t="shared" ca="1" si="23"/>
        <v>100</v>
      </c>
      <c r="X47" s="81">
        <f ca="1">IFERROR(__xludf.DUMMYFUNCTION("IMPORTRANGE(""https://docs.google.com/spreadsheets/d/1GVExpf-Exi_2gmuqTYH28fseTB9MoKPXWcXCbSt_YrM/edit?usp=sharing"",""หนองคาย!J341"")"),830)</f>
        <v>830</v>
      </c>
      <c r="Y47" s="81">
        <f ca="1">IFERROR(__xludf.DUMMYFUNCTION("IMPORTRANGE(""https://docs.google.com/spreadsheets/d/1GVExpf-Exi_2gmuqTYH28fseTB9MoKPXWcXCbSt_YrM/edit?usp=sharing"",""หนองคาย!J342"")"),1)</f>
        <v>1</v>
      </c>
      <c r="Z47" s="81">
        <f ca="1">IFERROR(__xludf.DUMMYFUNCTION("IMPORTRANGE(""https://docs.google.com/spreadsheets/d/1GVExpf-Exi_2gmuqTYH28fseTB9MoKPXWcXCbSt_YrM/edit?usp=sharing"",""หนองคาย!J343"")"),0)</f>
        <v>0</v>
      </c>
      <c r="AA47" s="81">
        <f t="shared" ca="1" si="37"/>
        <v>5627</v>
      </c>
      <c r="AB47" s="347">
        <f t="shared" ca="1" si="29"/>
        <v>148.07894736842104</v>
      </c>
    </row>
    <row r="48" spans="1:28" ht="21" customHeight="1" x14ac:dyDescent="0.2">
      <c r="A48" s="73">
        <v>17</v>
      </c>
      <c r="B48" s="74" t="s">
        <v>70</v>
      </c>
      <c r="C48" s="75">
        <f t="shared" ca="1" si="0"/>
        <v>175000</v>
      </c>
      <c r="D48" s="76">
        <f t="shared" ca="1" si="36"/>
        <v>175000</v>
      </c>
      <c r="E48" s="77">
        <f ca="1">IFERROR(__xludf.DUMMYFUNCTION("IMPORTRANGE(""https://docs.google.com/spreadsheets/d/1MeEWN-I1oV_STSDYn1IFDPWt_1FKiwhDph83XaGc0o0/edit?usp=sharing"",""งบพรบ!EN48"")"),0)</f>
        <v>0</v>
      </c>
      <c r="F48" s="77">
        <f ca="1">IFERROR(__xludf.DUMMYFUNCTION("IMPORTRANGE(""https://docs.google.com/spreadsheets/d/1MeEWN-I1oV_STSDYn1IFDPWt_1FKiwhDph83XaGc0o0/edit?usp=sharing"",""งบพรบ!EO48"")"),175000)</f>
        <v>175000</v>
      </c>
      <c r="G48" s="77">
        <f ca="1">IFERROR(__xludf.DUMMYFUNCTION("IMPORTRANGE(""https://docs.google.com/spreadsheets/d/1MeEWN-I1oV_STSDYn1IFDPWt_1FKiwhDph83XaGc0o0/edit?usp=sharing"",""งบพรบ!EP48"")"),0)</f>
        <v>0</v>
      </c>
      <c r="H48" s="77">
        <f ca="1">IFERROR(__xludf.DUMMYFUNCTION("IMPORTRANGE(""https://docs.google.com/spreadsheets/d/1MeEWN-I1oV_STSDYn1IFDPWt_1FKiwhDph83XaGc0o0/edit?usp=sharing"",""งบพรบ!ER48"")"),177500)</f>
        <v>177500</v>
      </c>
      <c r="I48" s="77">
        <f ca="1">IFERROR(__xludf.DUMMYFUNCTION("IMPORTRANGE(""https://docs.google.com/spreadsheets/d/1MeEWN-I1oV_STSDYn1IFDPWt_1FKiwhDph83XaGc0o0/edit?usp=sharing"",""งบพรบ!ES48"")"),0)</f>
        <v>0</v>
      </c>
      <c r="J48" s="77">
        <f t="shared" ca="1" si="3"/>
        <v>144699.98000000001</v>
      </c>
      <c r="K48" s="78">
        <f t="shared" ca="1" si="4"/>
        <v>82.685702857142871</v>
      </c>
      <c r="L48" s="77">
        <f ca="1">IFERROR(__xludf.DUMMYFUNCTION("IMPORTRANGE(""https://docs.google.com/spreadsheets/d/1MeEWN-I1oV_STSDYn1IFDPWt_1FKiwhDph83XaGc0o0/edit?usp=sharing"",""งบพรบ!ET48"")"),144699.98)</f>
        <v>144699.98000000001</v>
      </c>
      <c r="M48" s="79">
        <f t="shared" ca="1" si="5"/>
        <v>82.685702857142871</v>
      </c>
      <c r="N48" s="79">
        <f t="shared" ca="1" si="6"/>
        <v>81.521115492957762</v>
      </c>
      <c r="O48" s="80">
        <f ca="1">IFERROR(__xludf.DUMMYFUNCTION("IMPORTRANGE(""https://docs.google.com/spreadsheets/d/1MeEWN-I1oV_STSDYn1IFDPWt_1FKiwhDph83XaGc0o0/edit?usp=sharing"",""งบพรบ!EU48"")"),0)</f>
        <v>0</v>
      </c>
      <c r="P48" s="80">
        <f t="shared" ca="1" si="25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IFERROR(__xludf.DUMMYFUNCTION("IMPORTRANGE(""https://docs.google.com/spreadsheets/d/16UeMz0UgOB5BZcoxP75eYGcLFtGYRn9GoesD4OX9m5U/edit?usp=sharing"",""หนองบัวลำภู!I338"")"),4600)</f>
        <v>4600</v>
      </c>
      <c r="S48" s="81">
        <f ca="1">IFERROR(__xludf.DUMMYFUNCTION("IMPORTRANGE(""https://docs.google.com/spreadsheets/d/16UeMz0UgOB5BZcoxP75eYGcLFtGYRn9GoesD4OX9m5U/edit?usp=sharing"",""หนองบัวลำภู!J338"")"),6888)</f>
        <v>6888</v>
      </c>
      <c r="T48" s="82">
        <f t="shared" ca="1" si="22"/>
        <v>149.7391304347826</v>
      </c>
      <c r="U48" s="81">
        <f ca="1">IFERROR(__xludf.DUMMYFUNCTION("IMPORTRANGE(""https://docs.google.com/spreadsheets/d/16UeMz0UgOB5BZcoxP75eYGcLFtGYRn9GoesD4OX9m5U/edit?usp=sharing"",""หนองบัวลำภู!I340"")"),6)</f>
        <v>6</v>
      </c>
      <c r="V48" s="81">
        <f ca="1">IFERROR(__xludf.DUMMYFUNCTION("IMPORTRANGE(""https://docs.google.com/spreadsheets/d/16UeMz0UgOB5BZcoxP75eYGcLFtGYRn9GoesD4OX9m5U/edit?usp=sharing"",""หนองบัวลำภู!J340"")"),6)</f>
        <v>6</v>
      </c>
      <c r="W48" s="82">
        <f t="shared" ca="1" si="23"/>
        <v>100</v>
      </c>
      <c r="X48" s="81">
        <f ca="1">IFERROR(__xludf.DUMMYFUNCTION("IMPORTRANGE(""https://docs.google.com/spreadsheets/d/16UeMz0UgOB5BZcoxP75eYGcLFtGYRn9GoesD4OX9m5U/edit?usp=sharing"",""หนองบัวลำภู!J341"")"),422)</f>
        <v>422</v>
      </c>
      <c r="Y48" s="81">
        <f ca="1">IFERROR(__xludf.DUMMYFUNCTION("IMPORTRANGE(""https://docs.google.com/spreadsheets/d/16UeMz0UgOB5BZcoxP75eYGcLFtGYRn9GoesD4OX9m5U/edit?usp=sharing"",""หนองบัวลำภู!J342"")"),0)</f>
        <v>0</v>
      </c>
      <c r="Z48" s="81">
        <f ca="1">IFERROR(__xludf.DUMMYFUNCTION("IMPORTRANGE(""https://docs.google.com/spreadsheets/d/16UeMz0UgOB5BZcoxP75eYGcLFtGYRn9GoesD4OX9m5U/edit?usp=sharing"",""หนองบัวลำภู!J343"")"),0)</f>
        <v>0</v>
      </c>
      <c r="AA48" s="81">
        <f t="shared" ca="1" si="37"/>
        <v>7310</v>
      </c>
      <c r="AB48" s="347">
        <f t="shared" ca="1" si="29"/>
        <v>158.91304347826087</v>
      </c>
    </row>
    <row r="49" spans="1:28" ht="21" customHeight="1" x14ac:dyDescent="0.2">
      <c r="A49" s="73">
        <v>18</v>
      </c>
      <c r="B49" s="74" t="s">
        <v>71</v>
      </c>
      <c r="C49" s="75">
        <f t="shared" ca="1" si="0"/>
        <v>166000</v>
      </c>
      <c r="D49" s="76">
        <f t="shared" ca="1" si="36"/>
        <v>166000</v>
      </c>
      <c r="E49" s="77">
        <f ca="1">IFERROR(__xludf.DUMMYFUNCTION("IMPORTRANGE(""https://docs.google.com/spreadsheets/d/1MeEWN-I1oV_STSDYn1IFDPWt_1FKiwhDph83XaGc0o0/edit?usp=sharing"",""งบพรบ!EN49"")"),0)</f>
        <v>0</v>
      </c>
      <c r="F49" s="77">
        <f ca="1">IFERROR(__xludf.DUMMYFUNCTION("IMPORTRANGE(""https://docs.google.com/spreadsheets/d/1MeEWN-I1oV_STSDYn1IFDPWt_1FKiwhDph83XaGc0o0/edit?usp=sharing"",""งบพรบ!EO49"")"),166000)</f>
        <v>166000</v>
      </c>
      <c r="G49" s="77">
        <f ca="1">IFERROR(__xludf.DUMMYFUNCTION("IMPORTRANGE(""https://docs.google.com/spreadsheets/d/1MeEWN-I1oV_STSDYn1IFDPWt_1FKiwhDph83XaGc0o0/edit?usp=sharing"",""งบพรบ!EP49"")"),0)</f>
        <v>0</v>
      </c>
      <c r="H49" s="77">
        <f ca="1">IFERROR(__xludf.DUMMYFUNCTION("IMPORTRANGE(""https://docs.google.com/spreadsheets/d/1MeEWN-I1oV_STSDYn1IFDPWt_1FKiwhDph83XaGc0o0/edit?usp=sharing"",""งบพรบ!ER49"")"),168500)</f>
        <v>168500</v>
      </c>
      <c r="I49" s="77">
        <f ca="1">IFERROR(__xludf.DUMMYFUNCTION("IMPORTRANGE(""https://docs.google.com/spreadsheets/d/1MeEWN-I1oV_STSDYn1IFDPWt_1FKiwhDph83XaGc0o0/edit?usp=sharing"",""งบพรบ!ES49"")"),0)</f>
        <v>0</v>
      </c>
      <c r="J49" s="77">
        <f t="shared" ca="1" si="3"/>
        <v>126975</v>
      </c>
      <c r="K49" s="78">
        <f t="shared" ca="1" si="4"/>
        <v>76.490963855421683</v>
      </c>
      <c r="L49" s="77">
        <f ca="1">IFERROR(__xludf.DUMMYFUNCTION("IMPORTRANGE(""https://docs.google.com/spreadsheets/d/1MeEWN-I1oV_STSDYn1IFDPWt_1FKiwhDph83XaGc0o0/edit?usp=sharing"",""งบพรบ!ET49"")"),126975)</f>
        <v>126975</v>
      </c>
      <c r="M49" s="79">
        <f t="shared" ca="1" si="5"/>
        <v>76.490963855421683</v>
      </c>
      <c r="N49" s="79">
        <f t="shared" ca="1" si="6"/>
        <v>75.356083086053417</v>
      </c>
      <c r="O49" s="80">
        <f ca="1">IFERROR(__xludf.DUMMYFUNCTION("IMPORTRANGE(""https://docs.google.com/spreadsheets/d/1MeEWN-I1oV_STSDYn1IFDPWt_1FKiwhDph83XaGc0o0/edit?usp=sharing"",""งบพรบ!EU49"")"),0)</f>
        <v>0</v>
      </c>
      <c r="P49" s="80">
        <f t="shared" ca="1" si="25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IFERROR(__xludf.DUMMYFUNCTION("IMPORTRANGE(""https://docs.google.com/spreadsheets/d/1uUP8Zo1-qaJLuIkRU0qlwLSE3DHkbdrrj2JGJiWBQZE/edit?usp=sharing"",""อำนาจเจริญ!I338"")"),1900)</f>
        <v>1900</v>
      </c>
      <c r="S49" s="81">
        <f ca="1">IFERROR(__xludf.DUMMYFUNCTION("IMPORTRANGE(""https://docs.google.com/spreadsheets/d/1uUP8Zo1-qaJLuIkRU0qlwLSE3DHkbdrrj2JGJiWBQZE/edit?usp=sharing"",""อำนาจเจริญ!J338"")"),2736)</f>
        <v>2736</v>
      </c>
      <c r="T49" s="82">
        <f t="shared" ca="1" si="22"/>
        <v>144</v>
      </c>
      <c r="U49" s="81">
        <f ca="1">IFERROR(__xludf.DUMMYFUNCTION("IMPORTRANGE(""https://docs.google.com/spreadsheets/d/1uUP8Zo1-qaJLuIkRU0qlwLSE3DHkbdrrj2JGJiWBQZE/edit?usp=sharing"",""อำนาจเจริญ!I340"")"),4)</f>
        <v>4</v>
      </c>
      <c r="V49" s="81">
        <f ca="1">IFERROR(__xludf.DUMMYFUNCTION("IMPORTRANGE(""https://docs.google.com/spreadsheets/d/1uUP8Zo1-qaJLuIkRU0qlwLSE3DHkbdrrj2JGJiWBQZE/edit?usp=sharing"",""อำนาจเจริญ!J340"")"),4)</f>
        <v>4</v>
      </c>
      <c r="W49" s="82">
        <f t="shared" ca="1" si="23"/>
        <v>100</v>
      </c>
      <c r="X49" s="81">
        <f ca="1">IFERROR(__xludf.DUMMYFUNCTION("IMPORTRANGE(""https://docs.google.com/spreadsheets/d/1uUP8Zo1-qaJLuIkRU0qlwLSE3DHkbdrrj2JGJiWBQZE/edit?usp=sharing"",""อำนาจเจริญ!J341"")"),219)</f>
        <v>219</v>
      </c>
      <c r="Y49" s="81">
        <f ca="1">IFERROR(__xludf.DUMMYFUNCTION("IMPORTRANGE(""https://docs.google.com/spreadsheets/d/1uUP8Zo1-qaJLuIkRU0qlwLSE3DHkbdrrj2JGJiWBQZE/edit?usp=sharing"",""อำนาจเจริญ!J342"")"),2)</f>
        <v>2</v>
      </c>
      <c r="Z49" s="81">
        <f ca="1">IFERROR(__xludf.DUMMYFUNCTION("IMPORTRANGE(""https://docs.google.com/spreadsheets/d/1uUP8Zo1-qaJLuIkRU0qlwLSE3DHkbdrrj2JGJiWBQZE/edit?usp=sharing"",""อำนาจเจริญ!J343"")"),132)</f>
        <v>132</v>
      </c>
      <c r="AA49" s="81">
        <f t="shared" ca="1" si="37"/>
        <v>3089</v>
      </c>
      <c r="AB49" s="347">
        <f t="shared" ca="1" si="29"/>
        <v>162.57894736842104</v>
      </c>
    </row>
    <row r="50" spans="1:28" ht="21" customHeight="1" x14ac:dyDescent="0.2">
      <c r="A50" s="73">
        <v>19</v>
      </c>
      <c r="B50" s="74" t="s">
        <v>72</v>
      </c>
      <c r="C50" s="75">
        <f t="shared" ca="1" si="0"/>
        <v>192000</v>
      </c>
      <c r="D50" s="76">
        <f t="shared" ca="1" si="36"/>
        <v>192000</v>
      </c>
      <c r="E50" s="77">
        <f ca="1">IFERROR(__xludf.DUMMYFUNCTION("IMPORTRANGE(""https://docs.google.com/spreadsheets/d/1MeEWN-I1oV_STSDYn1IFDPWt_1FKiwhDph83XaGc0o0/edit?usp=sharing"",""งบพรบ!EN50"")"),0)</f>
        <v>0</v>
      </c>
      <c r="F50" s="77">
        <f ca="1">IFERROR(__xludf.DUMMYFUNCTION("IMPORTRANGE(""https://docs.google.com/spreadsheets/d/1MeEWN-I1oV_STSDYn1IFDPWt_1FKiwhDph83XaGc0o0/edit?usp=sharing"",""งบพรบ!EO50"")"),192000)</f>
        <v>192000</v>
      </c>
      <c r="G50" s="77">
        <f ca="1">IFERROR(__xludf.DUMMYFUNCTION("IMPORTRANGE(""https://docs.google.com/spreadsheets/d/1MeEWN-I1oV_STSDYn1IFDPWt_1FKiwhDph83XaGc0o0/edit?usp=sharing"",""งบพรบ!EP50"")"),0)</f>
        <v>0</v>
      </c>
      <c r="H50" s="77">
        <f ca="1">IFERROR(__xludf.DUMMYFUNCTION("IMPORTRANGE(""https://docs.google.com/spreadsheets/d/1MeEWN-I1oV_STSDYn1IFDPWt_1FKiwhDph83XaGc0o0/edit?usp=sharing"",""งบพรบ!ER50"")"),194500)</f>
        <v>194500</v>
      </c>
      <c r="I50" s="77">
        <f ca="1">IFERROR(__xludf.DUMMYFUNCTION("IMPORTRANGE(""https://docs.google.com/spreadsheets/d/1MeEWN-I1oV_STSDYn1IFDPWt_1FKiwhDph83XaGc0o0/edit?usp=sharing"",""งบพรบ!ES50"")"),0)</f>
        <v>0</v>
      </c>
      <c r="J50" s="77">
        <f t="shared" ca="1" si="3"/>
        <v>155372.32</v>
      </c>
      <c r="K50" s="78">
        <f t="shared" ca="1" si="4"/>
        <v>80.923083333333338</v>
      </c>
      <c r="L50" s="77">
        <f ca="1">IFERROR(__xludf.DUMMYFUNCTION("IMPORTRANGE(""https://docs.google.com/spreadsheets/d/1MeEWN-I1oV_STSDYn1IFDPWt_1FKiwhDph83XaGc0o0/edit?usp=sharing"",""งบพรบ!ET50"")"),155372.32)</f>
        <v>155372.32</v>
      </c>
      <c r="M50" s="79">
        <f t="shared" ca="1" si="5"/>
        <v>80.923083333333338</v>
      </c>
      <c r="N50" s="79">
        <f t="shared" ca="1" si="6"/>
        <v>79.882940874035995</v>
      </c>
      <c r="O50" s="80">
        <f ca="1">IFERROR(__xludf.DUMMYFUNCTION("IMPORTRANGE(""https://docs.google.com/spreadsheets/d/1MeEWN-I1oV_STSDYn1IFDPWt_1FKiwhDph83XaGc0o0/edit?usp=sharing"",""งบพรบ!EU50"")"),0)</f>
        <v>0</v>
      </c>
      <c r="P50" s="80">
        <f t="shared" ca="1" si="25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IFERROR(__xludf.DUMMYFUNCTION("IMPORTRANGE(""https://docs.google.com/spreadsheets/d/1hb_taSOHanzRjqfzWPiFo8yiT83VV1L7vvUCLhOiHKc/edit?usp=sharing"",""อุดรธานี!I338"")"),8800)</f>
        <v>8800</v>
      </c>
      <c r="S50" s="81">
        <f ca="1">IFERROR(__xludf.DUMMYFUNCTION("IMPORTRANGE(""https://docs.google.com/spreadsheets/d/1hb_taSOHanzRjqfzWPiFo8yiT83VV1L7vvUCLhOiHKc/edit?usp=sharing"",""อุดรธานี!J338"")"),30311)</f>
        <v>30311</v>
      </c>
      <c r="T50" s="82">
        <f t="shared" ca="1" si="22"/>
        <v>344.44318181818181</v>
      </c>
      <c r="U50" s="81">
        <f ca="1">IFERROR(__xludf.DUMMYFUNCTION("IMPORTRANGE(""https://docs.google.com/spreadsheets/d/1hb_taSOHanzRjqfzWPiFo8yiT83VV1L7vvUCLhOiHKc/edit?usp=sharing"",""อุดรธานี!I340"")"),12)</f>
        <v>12</v>
      </c>
      <c r="V50" s="81">
        <f ca="1">IFERROR(__xludf.DUMMYFUNCTION("IMPORTRANGE(""https://docs.google.com/spreadsheets/d/1hb_taSOHanzRjqfzWPiFo8yiT83VV1L7vvUCLhOiHKc/edit?usp=sharing"",""อุดรธานี!J340"")"),10)</f>
        <v>10</v>
      </c>
      <c r="W50" s="82">
        <f t="shared" ca="1" si="23"/>
        <v>83.333333333333329</v>
      </c>
      <c r="X50" s="81">
        <f ca="1">IFERROR(__xludf.DUMMYFUNCTION("IMPORTRANGE(""https://docs.google.com/spreadsheets/d/1hb_taSOHanzRjqfzWPiFo8yiT83VV1L7vvUCLhOiHKc/edit?usp=sharing"",""อุดรธานี!J341"")"),405)</f>
        <v>405</v>
      </c>
      <c r="Y50" s="81">
        <f ca="1">IFERROR(__xludf.DUMMYFUNCTION("IMPORTRANGE(""https://docs.google.com/spreadsheets/d/1hb_taSOHanzRjqfzWPiFo8yiT83VV1L7vvUCLhOiHKc/edit?usp=sharing"",""อุดรธานี!J342"")"),359)</f>
        <v>359</v>
      </c>
      <c r="Z50" s="81">
        <f ca="1">IFERROR(__xludf.DUMMYFUNCTION("IMPORTRANGE(""https://docs.google.com/spreadsheets/d/1hb_taSOHanzRjqfzWPiFo8yiT83VV1L7vvUCLhOiHKc/edit?usp=sharing"",""อุดรธานี!J343"")"),0)</f>
        <v>0</v>
      </c>
      <c r="AA50" s="81">
        <f t="shared" ca="1" si="37"/>
        <v>31075</v>
      </c>
      <c r="AB50" s="347">
        <f t="shared" ca="1" si="29"/>
        <v>353.125</v>
      </c>
    </row>
    <row r="51" spans="1:28" ht="21" customHeight="1" x14ac:dyDescent="0.2">
      <c r="A51" s="84">
        <v>20</v>
      </c>
      <c r="B51" s="85" t="s">
        <v>73</v>
      </c>
      <c r="C51" s="86">
        <f t="shared" ca="1" si="0"/>
        <v>188000</v>
      </c>
      <c r="D51" s="87">
        <f t="shared" ca="1" si="36"/>
        <v>188000</v>
      </c>
      <c r="E51" s="88">
        <f ca="1">IFERROR(__xludf.DUMMYFUNCTION("IMPORTRANGE(""https://docs.google.com/spreadsheets/d/1MeEWN-I1oV_STSDYn1IFDPWt_1FKiwhDph83XaGc0o0/edit?usp=sharing"",""งบพรบ!EN51"")"),0)</f>
        <v>0</v>
      </c>
      <c r="F51" s="88">
        <f ca="1">IFERROR(__xludf.DUMMYFUNCTION("IMPORTRANGE(""https://docs.google.com/spreadsheets/d/1MeEWN-I1oV_STSDYn1IFDPWt_1FKiwhDph83XaGc0o0/edit?usp=sharing"",""งบพรบ!EO51"")"),188000)</f>
        <v>188000</v>
      </c>
      <c r="G51" s="88">
        <f ca="1">IFERROR(__xludf.DUMMYFUNCTION("IMPORTRANGE(""https://docs.google.com/spreadsheets/d/1MeEWN-I1oV_STSDYn1IFDPWt_1FKiwhDph83XaGc0o0/edit?usp=sharing"",""งบพรบ!EP51"")"),0)</f>
        <v>0</v>
      </c>
      <c r="H51" s="88">
        <f ca="1">IFERROR(__xludf.DUMMYFUNCTION("IMPORTRANGE(""https://docs.google.com/spreadsheets/d/1MeEWN-I1oV_STSDYn1IFDPWt_1FKiwhDph83XaGc0o0/edit?usp=sharing"",""งบพรบ!ER51"")"),190500)</f>
        <v>190500</v>
      </c>
      <c r="I51" s="88">
        <f ca="1">IFERROR(__xludf.DUMMYFUNCTION("IMPORTRANGE(""https://docs.google.com/spreadsheets/d/1MeEWN-I1oV_STSDYn1IFDPWt_1FKiwhDph83XaGc0o0/edit?usp=sharing"",""งบพรบ!ES51"")"),0)</f>
        <v>0</v>
      </c>
      <c r="J51" s="88">
        <f t="shared" ca="1" si="3"/>
        <v>173514.8</v>
      </c>
      <c r="K51" s="89">
        <f t="shared" ca="1" si="4"/>
        <v>92.29510638297873</v>
      </c>
      <c r="L51" s="88">
        <f ca="1">IFERROR(__xludf.DUMMYFUNCTION("IMPORTRANGE(""https://docs.google.com/spreadsheets/d/1MeEWN-I1oV_STSDYn1IFDPWt_1FKiwhDph83XaGc0o0/edit?usp=sharing"",""งบพรบ!ET51"")"),173514.8)</f>
        <v>173514.8</v>
      </c>
      <c r="M51" s="90">
        <f t="shared" ca="1" si="5"/>
        <v>92.29510638297873</v>
      </c>
      <c r="N51" s="90">
        <f t="shared" ca="1" si="6"/>
        <v>91.083884514435695</v>
      </c>
      <c r="O51" s="91">
        <f ca="1">IFERROR(__xludf.DUMMYFUNCTION("IMPORTRANGE(""https://docs.google.com/spreadsheets/d/1MeEWN-I1oV_STSDYn1IFDPWt_1FKiwhDph83XaGc0o0/edit?usp=sharing"",""งบพรบ!EU51"")"),0)</f>
        <v>0</v>
      </c>
      <c r="P51" s="91">
        <f t="shared" ca="1" si="25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IFERROR(__xludf.DUMMYFUNCTION("IMPORTRANGE(""https://docs.google.com/spreadsheets/d/17IOkEwkUd63EGNfyNDnM5de9YlZ7rwzTiW6-dokVjKI/edit?usp=sharing"",""อุบลราชธานี!I338"")"),6500)</f>
        <v>6500</v>
      </c>
      <c r="S51" s="92">
        <f ca="1">IFERROR(__xludf.DUMMYFUNCTION("IMPORTRANGE(""https://docs.google.com/spreadsheets/d/17IOkEwkUd63EGNfyNDnM5de9YlZ7rwzTiW6-dokVjKI/edit?usp=sharing"",""อุบลราชธานี!J338"")"),22615)</f>
        <v>22615</v>
      </c>
      <c r="T51" s="93">
        <f t="shared" ca="1" si="22"/>
        <v>347.92307692307691</v>
      </c>
      <c r="U51" s="92">
        <f ca="1">IFERROR(__xludf.DUMMYFUNCTION("IMPORTRANGE(""https://docs.google.com/spreadsheets/d/17IOkEwkUd63EGNfyNDnM5de9YlZ7rwzTiW6-dokVjKI/edit?usp=sharing"",""อุบลราชธานี!I340"")"),10)</f>
        <v>10</v>
      </c>
      <c r="V51" s="92">
        <f ca="1">IFERROR(__xludf.DUMMYFUNCTION("IMPORTRANGE(""https://docs.google.com/spreadsheets/d/17IOkEwkUd63EGNfyNDnM5de9YlZ7rwzTiW6-dokVjKI/edit?usp=sharing"",""อุบลราชธานี!J340"")"),10)</f>
        <v>10</v>
      </c>
      <c r="W51" s="93">
        <f t="shared" ca="1" si="23"/>
        <v>100</v>
      </c>
      <c r="X51" s="92">
        <f ca="1">IFERROR(__xludf.DUMMYFUNCTION("IMPORTRANGE(""https://docs.google.com/spreadsheets/d/17IOkEwkUd63EGNfyNDnM5de9YlZ7rwzTiW6-dokVjKI/edit?usp=sharing"",""อุบลราชธานี!J341"")"),702)</f>
        <v>702</v>
      </c>
      <c r="Y51" s="92">
        <f ca="1">IFERROR(__xludf.DUMMYFUNCTION("IMPORTRANGE(""https://docs.google.com/spreadsheets/d/17IOkEwkUd63EGNfyNDnM5de9YlZ7rwzTiW6-dokVjKI/edit?usp=sharing"",""อุบลราชธานี!J342"")"),108)</f>
        <v>108</v>
      </c>
      <c r="Z51" s="92">
        <f ca="1">IFERROR(__xludf.DUMMYFUNCTION("IMPORTRANGE(""https://docs.google.com/spreadsheets/d/17IOkEwkUd63EGNfyNDnM5de9YlZ7rwzTiW6-dokVjKI/edit?usp=sharing"",""อุบลราชธานี!J343"")"),329)</f>
        <v>329</v>
      </c>
      <c r="AA51" s="92">
        <f t="shared" ca="1" si="37"/>
        <v>23754</v>
      </c>
      <c r="AB51" s="348">
        <f t="shared" ca="1" si="29"/>
        <v>365.44615384615383</v>
      </c>
    </row>
    <row r="52" spans="1:28" ht="21" customHeight="1" x14ac:dyDescent="0.2">
      <c r="A52" s="385" t="s">
        <v>74</v>
      </c>
      <c r="B52" s="384"/>
      <c r="C52" s="94">
        <f t="shared" ca="1" si="0"/>
        <v>7746800</v>
      </c>
      <c r="D52" s="57">
        <f t="shared" ref="D52:I52" ca="1" si="38">SUM(D53:D73)</f>
        <v>5934800</v>
      </c>
      <c r="E52" s="57">
        <f t="shared" ca="1" si="38"/>
        <v>2506800</v>
      </c>
      <c r="F52" s="57">
        <f t="shared" ca="1" si="38"/>
        <v>3428000</v>
      </c>
      <c r="G52" s="57">
        <f t="shared" ca="1" si="38"/>
        <v>1812000</v>
      </c>
      <c r="H52" s="57">
        <f t="shared" ca="1" si="38"/>
        <v>5987300</v>
      </c>
      <c r="I52" s="57">
        <f t="shared" ca="1" si="38"/>
        <v>1775000</v>
      </c>
      <c r="J52" s="57">
        <f t="shared" ca="1" si="3"/>
        <v>7150037.9199999999</v>
      </c>
      <c r="K52" s="95">
        <f t="shared" ca="1" si="4"/>
        <v>92.296663396499198</v>
      </c>
      <c r="L52" s="57">
        <f ca="1">SUM(L53:L73)</f>
        <v>5375037.9199999999</v>
      </c>
      <c r="M52" s="96">
        <f t="shared" ca="1" si="5"/>
        <v>90.568139111680253</v>
      </c>
      <c r="N52" s="96">
        <f t="shared" ca="1" si="6"/>
        <v>89.773986939020929</v>
      </c>
      <c r="O52" s="97">
        <f ca="1">SUM(O53:O73)</f>
        <v>1775000</v>
      </c>
      <c r="P52" s="97">
        <f t="shared" ca="1" si="25"/>
        <v>97.958057395143484</v>
      </c>
      <c r="Q52" s="96">
        <f t="shared" ca="1" si="8"/>
        <v>100</v>
      </c>
      <c r="R52" s="57">
        <f t="shared" ref="R52:S52" ca="1" si="39">SUM(R53:R73)</f>
        <v>29100</v>
      </c>
      <c r="S52" s="57">
        <f t="shared" ca="1" si="39"/>
        <v>54399</v>
      </c>
      <c r="T52" s="96">
        <f t="shared" ca="1" si="22"/>
        <v>186.93814432989691</v>
      </c>
      <c r="U52" s="57">
        <f t="shared" ref="U52:V52" ca="1" si="40">SUM(U53:U73)</f>
        <v>80</v>
      </c>
      <c r="V52" s="57">
        <f t="shared" ca="1" si="40"/>
        <v>93</v>
      </c>
      <c r="W52" s="96">
        <f t="shared" ca="1" si="23"/>
        <v>116.25</v>
      </c>
      <c r="X52" s="57">
        <f t="shared" ref="X52:AA52" ca="1" si="41">SUM(X53:X73)</f>
        <v>5117</v>
      </c>
      <c r="Y52" s="57">
        <f t="shared" ca="1" si="41"/>
        <v>886</v>
      </c>
      <c r="Z52" s="57">
        <f t="shared" ca="1" si="41"/>
        <v>186</v>
      </c>
      <c r="AA52" s="57">
        <f t="shared" ca="1" si="41"/>
        <v>60588</v>
      </c>
      <c r="AB52" s="95">
        <f t="shared" ca="1" si="29"/>
        <v>208.20618556701032</v>
      </c>
    </row>
    <row r="53" spans="1:28" ht="21" customHeight="1" x14ac:dyDescent="0.2">
      <c r="A53" s="63">
        <v>1</v>
      </c>
      <c r="B53" s="64" t="s">
        <v>75</v>
      </c>
      <c r="C53" s="98">
        <f t="shared" ca="1" si="0"/>
        <v>168000</v>
      </c>
      <c r="D53" s="66">
        <f t="shared" ref="D53:D73" ca="1" si="42">+E53+F53</f>
        <v>168000</v>
      </c>
      <c r="E53" s="67">
        <f ca="1">IFERROR(__xludf.DUMMYFUNCTION("IMPORTRANGE(""https://docs.google.com/spreadsheets/d/1MeEWN-I1oV_STSDYn1IFDPWt_1FKiwhDph83XaGc0o0/edit?usp=sharing"",""งบพรบ!EN53"")"),0)</f>
        <v>0</v>
      </c>
      <c r="F53" s="67">
        <f ca="1">IFERROR(__xludf.DUMMYFUNCTION("IMPORTRANGE(""https://docs.google.com/spreadsheets/d/1MeEWN-I1oV_STSDYn1IFDPWt_1FKiwhDph83XaGc0o0/edit?usp=sharing"",""งบพรบ!EO53"")"),168000)</f>
        <v>168000</v>
      </c>
      <c r="G53" s="68">
        <f ca="1">IFERROR(__xludf.DUMMYFUNCTION("IMPORTRANGE(""https://docs.google.com/spreadsheets/d/1MeEWN-I1oV_STSDYn1IFDPWt_1FKiwhDph83XaGc0o0/edit?usp=sharing"",""งบพรบ!EP53"")"),0)</f>
        <v>0</v>
      </c>
      <c r="H53" s="68">
        <f ca="1">IFERROR(__xludf.DUMMYFUNCTION("IMPORTRANGE(""https://docs.google.com/spreadsheets/d/1MeEWN-I1oV_STSDYn1IFDPWt_1FKiwhDph83XaGc0o0/edit?usp=sharing"",""งบพรบ!ER53"")"),170500)</f>
        <v>170500</v>
      </c>
      <c r="I53" s="68">
        <f ca="1">IFERROR(__xludf.DUMMYFUNCTION("IMPORTRANGE(""https://docs.google.com/spreadsheets/d/1MeEWN-I1oV_STSDYn1IFDPWt_1FKiwhDph83XaGc0o0/edit?usp=sharing"",""งบพรบ!ES53"")"),0)</f>
        <v>0</v>
      </c>
      <c r="J53" s="68">
        <f t="shared" ca="1" si="3"/>
        <v>156201</v>
      </c>
      <c r="K53" s="69">
        <f t="shared" ca="1" si="4"/>
        <v>92.976785714285711</v>
      </c>
      <c r="L53" s="68">
        <f ca="1">IFERROR(__xludf.DUMMYFUNCTION("IMPORTRANGE(""https://docs.google.com/spreadsheets/d/1MeEWN-I1oV_STSDYn1IFDPWt_1FKiwhDph83XaGc0o0/edit?usp=sharing"",""งบพรบ!ET53"")"),156201)</f>
        <v>156201</v>
      </c>
      <c r="M53" s="70">
        <f t="shared" ca="1" si="5"/>
        <v>92.976785714285711</v>
      </c>
      <c r="N53" s="70">
        <f t="shared" ca="1" si="6"/>
        <v>91.613489736070377</v>
      </c>
      <c r="O53" s="71">
        <f ca="1">IFERROR(__xludf.DUMMYFUNCTION("IMPORTRANGE(""https://docs.google.com/spreadsheets/d/1MeEWN-I1oV_STSDYn1IFDPWt_1FKiwhDph83XaGc0o0/edit?usp=sharing"",""งบพรบ!EU53"")"),0)</f>
        <v>0</v>
      </c>
      <c r="P53" s="71">
        <f t="shared" ca="1" si="25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IFERROR(__xludf.DUMMYFUNCTION("IMPORTRANGE(""https://docs.google.com/spreadsheets/d/1hKO5uv94SSRZWOvrh72HRcpyoEQF9TsE_Cvxl77XNU4/edit?usp=sharing"",""กาญจนบุรี!I338"")"),1600)</f>
        <v>1600</v>
      </c>
      <c r="S53" s="68">
        <f ca="1">IFERROR(__xludf.DUMMYFUNCTION("IMPORTRANGE(""https://docs.google.com/spreadsheets/d/1hKO5uv94SSRZWOvrh72HRcpyoEQF9TsE_Cvxl77XNU4/edit?usp=sharing"",""กาญจนบุรี!J338"")"),4543)</f>
        <v>4543</v>
      </c>
      <c r="T53" s="72">
        <f t="shared" ca="1" si="22"/>
        <v>283.9375</v>
      </c>
      <c r="U53" s="68">
        <f ca="1">IFERROR(__xludf.DUMMYFUNCTION("IMPORTRANGE(""https://docs.google.com/spreadsheets/d/1hKO5uv94SSRZWOvrh72HRcpyoEQF9TsE_Cvxl77XNU4/edit?usp=sharing"",""กาญจนบุรี!I340"")"),5)</f>
        <v>5</v>
      </c>
      <c r="V53" s="68">
        <f ca="1">IFERROR(__xludf.DUMMYFUNCTION("IMPORTRANGE(""https://docs.google.com/spreadsheets/d/1hKO5uv94SSRZWOvrh72HRcpyoEQF9TsE_Cvxl77XNU4/edit?usp=sharing"",""กาญจนบุรี!J340"")"),4)</f>
        <v>4</v>
      </c>
      <c r="W53" s="72">
        <f t="shared" ca="1" si="23"/>
        <v>80</v>
      </c>
      <c r="X53" s="68">
        <f ca="1">IFERROR(__xludf.DUMMYFUNCTION("IMPORTRANGE(""https://docs.google.com/spreadsheets/d/1hKO5uv94SSRZWOvrh72HRcpyoEQF9TsE_Cvxl77XNU4/edit?usp=sharing"",""กาญจนบุรี!J341"")"),246)</f>
        <v>246</v>
      </c>
      <c r="Y53" s="68">
        <f ca="1">IFERROR(__xludf.DUMMYFUNCTION("IMPORTRANGE(""https://docs.google.com/spreadsheets/d/1hKO5uv94SSRZWOvrh72HRcpyoEQF9TsE_Cvxl77XNU4/edit?usp=sharing"",""กาญจนบุรี!J342"")"),3)</f>
        <v>3</v>
      </c>
      <c r="Z53" s="68">
        <f ca="1">IFERROR(__xludf.DUMMYFUNCTION("IMPORTRANGE(""https://docs.google.com/spreadsheets/d/1hKO5uv94SSRZWOvrh72HRcpyoEQF9TsE_Cvxl77XNU4/edit?usp=sharing"",""กาญจนบุรี!J343"")"),0)</f>
        <v>0</v>
      </c>
      <c r="AA53" s="68">
        <f t="shared" ref="AA53:AA73" ca="1" si="43">SUM(S53,X53,Y53,Z53)</f>
        <v>4792</v>
      </c>
      <c r="AB53" s="69">
        <f t="shared" ca="1" si="29"/>
        <v>299.5</v>
      </c>
    </row>
    <row r="54" spans="1:28" ht="21" customHeight="1" x14ac:dyDescent="0.2">
      <c r="A54" s="73">
        <v>2</v>
      </c>
      <c r="B54" s="74" t="s">
        <v>76</v>
      </c>
      <c r="C54" s="75">
        <f t="shared" ca="1" si="0"/>
        <v>170000</v>
      </c>
      <c r="D54" s="76">
        <f t="shared" ca="1" si="42"/>
        <v>170000</v>
      </c>
      <c r="E54" s="77">
        <f ca="1">IFERROR(__xludf.DUMMYFUNCTION("IMPORTRANGE(""https://docs.google.com/spreadsheets/d/1MeEWN-I1oV_STSDYn1IFDPWt_1FKiwhDph83XaGc0o0/edit?usp=sharing"",""งบพรบ!EN54"")"),0)</f>
        <v>0</v>
      </c>
      <c r="F54" s="77">
        <f ca="1">IFERROR(__xludf.DUMMYFUNCTION("IMPORTRANGE(""https://docs.google.com/spreadsheets/d/1MeEWN-I1oV_STSDYn1IFDPWt_1FKiwhDph83XaGc0o0/edit?usp=sharing"",""งบพรบ!EO54"")"),170000)</f>
        <v>170000</v>
      </c>
      <c r="G54" s="77">
        <f ca="1">IFERROR(__xludf.DUMMYFUNCTION("IMPORTRANGE(""https://docs.google.com/spreadsheets/d/1MeEWN-I1oV_STSDYn1IFDPWt_1FKiwhDph83XaGc0o0/edit?usp=sharing"",""งบพรบ!EP54"")"),0)</f>
        <v>0</v>
      </c>
      <c r="H54" s="77">
        <f ca="1">IFERROR(__xludf.DUMMYFUNCTION("IMPORTRANGE(""https://docs.google.com/spreadsheets/d/1MeEWN-I1oV_STSDYn1IFDPWt_1FKiwhDph83XaGc0o0/edit?usp=sharing"",""งบพรบ!ER54"")"),172500)</f>
        <v>172500</v>
      </c>
      <c r="I54" s="77">
        <f ca="1">IFERROR(__xludf.DUMMYFUNCTION("IMPORTRANGE(""https://docs.google.com/spreadsheets/d/1MeEWN-I1oV_STSDYn1IFDPWt_1FKiwhDph83XaGc0o0/edit?usp=sharing"",""งบพรบ!ES54"")"),0)</f>
        <v>0</v>
      </c>
      <c r="J54" s="77">
        <f t="shared" ca="1" si="3"/>
        <v>155412</v>
      </c>
      <c r="K54" s="78">
        <f t="shared" ca="1" si="4"/>
        <v>91.418823529411767</v>
      </c>
      <c r="L54" s="77">
        <f ca="1">IFERROR(__xludf.DUMMYFUNCTION("IMPORTRANGE(""https://docs.google.com/spreadsheets/d/1MeEWN-I1oV_STSDYn1IFDPWt_1FKiwhDph83XaGc0o0/edit?usp=sharing"",""งบพรบ!ET54"")"),155412)</f>
        <v>155412</v>
      </c>
      <c r="M54" s="79">
        <f t="shared" ca="1" si="5"/>
        <v>91.418823529411767</v>
      </c>
      <c r="N54" s="79">
        <f t="shared" ca="1" si="6"/>
        <v>90.093913043478267</v>
      </c>
      <c r="O54" s="80">
        <f ca="1">IFERROR(__xludf.DUMMYFUNCTION("IMPORTRANGE(""https://docs.google.com/spreadsheets/d/1MeEWN-I1oV_STSDYn1IFDPWt_1FKiwhDph83XaGc0o0/edit?usp=sharing"",""งบพรบ!EU54"")"),0)</f>
        <v>0</v>
      </c>
      <c r="P54" s="80">
        <f t="shared" ca="1" si="25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IFERROR(__xludf.DUMMYFUNCTION("IMPORTRANGE(""https://docs.google.com/spreadsheets/d/1njBaP_xXd-Uotvo2D9zb01TTCFkLJLDK97Tk1l9Qux0/edit?usp=sharing"",""จันทบุรี!I338"")"),1600)</f>
        <v>1600</v>
      </c>
      <c r="S54" s="81">
        <f ca="1">IFERROR(__xludf.DUMMYFUNCTION("IMPORTRANGE(""https://docs.google.com/spreadsheets/d/1njBaP_xXd-Uotvo2D9zb01TTCFkLJLDK97Tk1l9Qux0/edit?usp=sharing"",""จันทบุรี!J338"")"),2235)</f>
        <v>2235</v>
      </c>
      <c r="T54" s="82">
        <f t="shared" ca="1" si="22"/>
        <v>139.6875</v>
      </c>
      <c r="U54" s="81">
        <f ca="1">IFERROR(__xludf.DUMMYFUNCTION("IMPORTRANGE(""https://docs.google.com/spreadsheets/d/1njBaP_xXd-Uotvo2D9zb01TTCFkLJLDK97Tk1l9Qux0/edit?usp=sharing"",""จันทบุรี!I340"")"),6)</f>
        <v>6</v>
      </c>
      <c r="V54" s="81">
        <f ca="1">IFERROR(__xludf.DUMMYFUNCTION("IMPORTRANGE(""https://docs.google.com/spreadsheets/d/1njBaP_xXd-Uotvo2D9zb01TTCFkLJLDK97Tk1l9Qux0/edit?usp=sharing"",""จันทบุรี!J340"")"),5)</f>
        <v>5</v>
      </c>
      <c r="W54" s="82">
        <f t="shared" ca="1" si="23"/>
        <v>83.333333333333329</v>
      </c>
      <c r="X54" s="81">
        <f ca="1">IFERROR(__xludf.DUMMYFUNCTION("IMPORTRANGE(""https://docs.google.com/spreadsheets/d/1njBaP_xXd-Uotvo2D9zb01TTCFkLJLDK97Tk1l9Qux0/edit?usp=sharing"",""จันทบุรี!J341"")"),114)</f>
        <v>114</v>
      </c>
      <c r="Y54" s="81">
        <f ca="1">IFERROR(__xludf.DUMMYFUNCTION("IMPORTRANGE(""https://docs.google.com/spreadsheets/d/1njBaP_xXd-Uotvo2D9zb01TTCFkLJLDK97Tk1l9Qux0/edit?usp=sharing"",""จันทบุรี!J342"")"),440)</f>
        <v>440</v>
      </c>
      <c r="Z54" s="81">
        <f ca="1">IFERROR(__xludf.DUMMYFUNCTION("IMPORTRANGE(""https://docs.google.com/spreadsheets/d/1njBaP_xXd-Uotvo2D9zb01TTCFkLJLDK97Tk1l9Qux0/edit?usp=sharing"",""จันทบุรี!J343"")"),10)</f>
        <v>10</v>
      </c>
      <c r="AA54" s="81">
        <f t="shared" ca="1" si="43"/>
        <v>2799</v>
      </c>
      <c r="AB54" s="347">
        <f t="shared" ca="1" si="29"/>
        <v>174.9375</v>
      </c>
    </row>
    <row r="55" spans="1:28" ht="21" customHeight="1" x14ac:dyDescent="0.2">
      <c r="A55" s="73">
        <v>3</v>
      </c>
      <c r="B55" s="74" t="s">
        <v>77</v>
      </c>
      <c r="C55" s="75">
        <f t="shared" ca="1" si="0"/>
        <v>1139000</v>
      </c>
      <c r="D55" s="76">
        <f t="shared" ca="1" si="42"/>
        <v>177000</v>
      </c>
      <c r="E55" s="77">
        <f ca="1">IFERROR(__xludf.DUMMYFUNCTION("IMPORTRANGE(""https://docs.google.com/spreadsheets/d/1MeEWN-I1oV_STSDYn1IFDPWt_1FKiwhDph83XaGc0o0/edit?usp=sharing"",""งบพรบ!EN55"")"),0)</f>
        <v>0</v>
      </c>
      <c r="F55" s="77">
        <f ca="1">IFERROR(__xludf.DUMMYFUNCTION("IMPORTRANGE(""https://docs.google.com/spreadsheets/d/1MeEWN-I1oV_STSDYn1IFDPWt_1FKiwhDph83XaGc0o0/edit?usp=sharing"",""งบพรบ!EO55"")"),177000)</f>
        <v>177000</v>
      </c>
      <c r="G55" s="77">
        <f ca="1">IFERROR(__xludf.DUMMYFUNCTION("IMPORTRANGE(""https://docs.google.com/spreadsheets/d/1MeEWN-I1oV_STSDYn1IFDPWt_1FKiwhDph83XaGc0o0/edit?usp=sharing"",""งบพรบ!EP55"")"),962000)</f>
        <v>962000</v>
      </c>
      <c r="H55" s="77">
        <f ca="1">IFERROR(__xludf.DUMMYFUNCTION("IMPORTRANGE(""https://docs.google.com/spreadsheets/d/1MeEWN-I1oV_STSDYn1IFDPWt_1FKiwhDph83XaGc0o0/edit?usp=sharing"",""งบพรบ!ER55"")"),179500)</f>
        <v>179500</v>
      </c>
      <c r="I55" s="77">
        <f ca="1">IFERROR(__xludf.DUMMYFUNCTION("IMPORTRANGE(""https://docs.google.com/spreadsheets/d/1MeEWN-I1oV_STSDYn1IFDPWt_1FKiwhDph83XaGc0o0/edit?usp=sharing"",""งบพรบ!ES55"")"),895000)</f>
        <v>895000</v>
      </c>
      <c r="J55" s="77">
        <f t="shared" ca="1" si="3"/>
        <v>1059840</v>
      </c>
      <c r="K55" s="78">
        <f t="shared" ca="1" si="4"/>
        <v>93.050043898156275</v>
      </c>
      <c r="L55" s="77">
        <f ca="1">IFERROR(__xludf.DUMMYFUNCTION("IMPORTRANGE(""https://docs.google.com/spreadsheets/d/1MeEWN-I1oV_STSDYn1IFDPWt_1FKiwhDph83XaGc0o0/edit?usp=sharing"",""งบพรบ!ET55"")"),164840)</f>
        <v>164840</v>
      </c>
      <c r="M55" s="79">
        <f t="shared" ca="1" si="5"/>
        <v>93.129943502824858</v>
      </c>
      <c r="N55" s="79">
        <f t="shared" ca="1" si="6"/>
        <v>91.832869080779943</v>
      </c>
      <c r="O55" s="80">
        <f ca="1">IFERROR(__xludf.DUMMYFUNCTION("IMPORTRANGE(""https://docs.google.com/spreadsheets/d/1MeEWN-I1oV_STSDYn1IFDPWt_1FKiwhDph83XaGc0o0/edit?usp=sharing"",""งบพรบ!EU55"")"),895000)</f>
        <v>895000</v>
      </c>
      <c r="P55" s="80">
        <f t="shared" ca="1" si="25"/>
        <v>93.035343035343033</v>
      </c>
      <c r="Q55" s="79">
        <f t="shared" ca="1" si="8"/>
        <v>100</v>
      </c>
      <c r="R55" s="81">
        <f ca="1">IFERROR(__xludf.DUMMYFUNCTION("IMPORTRANGE(""https://docs.google.com/spreadsheets/d/14xp6qUzrGFnUk_qnc1eEmfiaNRd4_grkhpfQH_46fa8/edit?usp=sharing"",""ฉะเชิงเทรา!I338"")"),4300)</f>
        <v>4300</v>
      </c>
      <c r="S55" s="81">
        <f ca="1">IFERROR(__xludf.DUMMYFUNCTION("IMPORTRANGE(""https://docs.google.com/spreadsheets/d/14xp6qUzrGFnUk_qnc1eEmfiaNRd4_grkhpfQH_46fa8/edit?usp=sharing"",""ฉะเชิงเทรา!J338"")"),8970)</f>
        <v>8970</v>
      </c>
      <c r="T55" s="82">
        <f t="shared" ca="1" si="22"/>
        <v>208.6046511627907</v>
      </c>
      <c r="U55" s="81">
        <f ca="1">IFERROR(__xludf.DUMMYFUNCTION("IMPORTRANGE(""https://docs.google.com/spreadsheets/d/14xp6qUzrGFnUk_qnc1eEmfiaNRd4_grkhpfQH_46fa8/edit?usp=sharing"",""ฉะเชิงเทรา!I340"")"),7)</f>
        <v>7</v>
      </c>
      <c r="V55" s="81">
        <f ca="1">IFERROR(__xludf.DUMMYFUNCTION("IMPORTRANGE(""https://docs.google.com/spreadsheets/d/14xp6qUzrGFnUk_qnc1eEmfiaNRd4_grkhpfQH_46fa8/edit?usp=sharing"",""ฉะเชิงเทรา!J340"")"),7)</f>
        <v>7</v>
      </c>
      <c r="W55" s="82">
        <f t="shared" ca="1" si="23"/>
        <v>100</v>
      </c>
      <c r="X55" s="81">
        <f ca="1">IFERROR(__xludf.DUMMYFUNCTION("IMPORTRANGE(""https://docs.google.com/spreadsheets/d/14xp6qUzrGFnUk_qnc1eEmfiaNRd4_grkhpfQH_46fa8/edit?usp=sharing"",""ฉะเชิงเทรา!J341"")"),946)</f>
        <v>946</v>
      </c>
      <c r="Y55" s="81">
        <f ca="1">IFERROR(__xludf.DUMMYFUNCTION("IMPORTRANGE(""https://docs.google.com/spreadsheets/d/14xp6qUzrGFnUk_qnc1eEmfiaNRd4_grkhpfQH_46fa8/edit?usp=sharing"",""ฉะเชิงเทรา!J342"")"),14)</f>
        <v>14</v>
      </c>
      <c r="Z55" s="81">
        <f ca="1">IFERROR(__xludf.DUMMYFUNCTION("IMPORTRANGE(""https://docs.google.com/spreadsheets/d/14xp6qUzrGFnUk_qnc1eEmfiaNRd4_grkhpfQH_46fa8/edit?usp=sharing"",""ฉะเชิงเทรา!J343"")"),0)</f>
        <v>0</v>
      </c>
      <c r="AA55" s="81">
        <f t="shared" ca="1" si="43"/>
        <v>9930</v>
      </c>
      <c r="AB55" s="347">
        <f t="shared" ca="1" si="29"/>
        <v>230.93023255813952</v>
      </c>
    </row>
    <row r="56" spans="1:28" ht="21" customHeight="1" x14ac:dyDescent="0.2">
      <c r="A56" s="73">
        <v>4</v>
      </c>
      <c r="B56" s="74" t="s">
        <v>78</v>
      </c>
      <c r="C56" s="75">
        <f t="shared" ca="1" si="0"/>
        <v>1016000</v>
      </c>
      <c r="D56" s="76">
        <f t="shared" ca="1" si="42"/>
        <v>166000</v>
      </c>
      <c r="E56" s="77">
        <f ca="1">IFERROR(__xludf.DUMMYFUNCTION("IMPORTRANGE(""https://docs.google.com/spreadsheets/d/1MeEWN-I1oV_STSDYn1IFDPWt_1FKiwhDph83XaGc0o0/edit?usp=sharing"",""งบพรบ!EN56"")"),0)</f>
        <v>0</v>
      </c>
      <c r="F56" s="77">
        <f ca="1">IFERROR(__xludf.DUMMYFUNCTION("IMPORTRANGE(""https://docs.google.com/spreadsheets/d/1MeEWN-I1oV_STSDYn1IFDPWt_1FKiwhDph83XaGc0o0/edit?usp=sharing"",""งบพรบ!EO56"")"),166000)</f>
        <v>166000</v>
      </c>
      <c r="G56" s="77">
        <f ca="1">IFERROR(__xludf.DUMMYFUNCTION("IMPORTRANGE(""https://docs.google.com/spreadsheets/d/1MeEWN-I1oV_STSDYn1IFDPWt_1FKiwhDph83XaGc0o0/edit?usp=sharing"",""งบพรบ!EP56"")"),850000)</f>
        <v>850000</v>
      </c>
      <c r="H56" s="77">
        <f ca="1">IFERROR(__xludf.DUMMYFUNCTION("IMPORTRANGE(""https://docs.google.com/spreadsheets/d/1MeEWN-I1oV_STSDYn1IFDPWt_1FKiwhDph83XaGc0o0/edit?usp=sharing"",""งบพรบ!ER56"")"),168500)</f>
        <v>168500</v>
      </c>
      <c r="I56" s="77">
        <f ca="1">IFERROR(__xludf.DUMMYFUNCTION("IMPORTRANGE(""https://docs.google.com/spreadsheets/d/1MeEWN-I1oV_STSDYn1IFDPWt_1FKiwhDph83XaGc0o0/edit?usp=sharing"",""งบพรบ!ES56"")"),880000)</f>
        <v>880000</v>
      </c>
      <c r="J56" s="77">
        <f t="shared" ca="1" si="3"/>
        <v>1041903.77</v>
      </c>
      <c r="K56" s="78">
        <f t="shared" ca="1" si="4"/>
        <v>102.54958366141732</v>
      </c>
      <c r="L56" s="77">
        <f ca="1">IFERROR(__xludf.DUMMYFUNCTION("IMPORTRANGE(""https://docs.google.com/spreadsheets/d/1MeEWN-I1oV_STSDYn1IFDPWt_1FKiwhDph83XaGc0o0/edit?usp=sharing"",""งบพรบ!ET56"")"),161903.77)</f>
        <v>161903.76999999999</v>
      </c>
      <c r="M56" s="79">
        <f t="shared" ca="1" si="5"/>
        <v>97.532391566265048</v>
      </c>
      <c r="N56" s="79">
        <f t="shared" ca="1" si="6"/>
        <v>96.085323442136485</v>
      </c>
      <c r="O56" s="80">
        <f ca="1">IFERROR(__xludf.DUMMYFUNCTION("IMPORTRANGE(""https://docs.google.com/spreadsheets/d/1MeEWN-I1oV_STSDYn1IFDPWt_1FKiwhDph83XaGc0o0/edit?usp=sharing"",""งบพรบ!EU56"")"),880000)</f>
        <v>880000</v>
      </c>
      <c r="P56" s="80">
        <f t="shared" ca="1" si="25"/>
        <v>103.52941176470588</v>
      </c>
      <c r="Q56" s="79">
        <f t="shared" ca="1" si="8"/>
        <v>100</v>
      </c>
      <c r="R56" s="81">
        <f ca="1">IFERROR(__xludf.DUMMYFUNCTION("IMPORTRANGE(""https://docs.google.com/spreadsheets/d/1_Zwps30dlVa-pZFsorjVf1Pil6WXwzCsJU0U2whO3NI/edit?usp=sharing"",""ชลบุรี!I338"")"),1400)</f>
        <v>1400</v>
      </c>
      <c r="S56" s="81">
        <f ca="1">IFERROR(__xludf.DUMMYFUNCTION("IMPORTRANGE(""https://docs.google.com/spreadsheets/d/1_Zwps30dlVa-pZFsorjVf1Pil6WXwzCsJU0U2whO3NI/edit?usp=sharing"",""ชลบุรี!J338"")"),3027)</f>
        <v>3027</v>
      </c>
      <c r="T56" s="82">
        <f t="shared" ca="1" si="22"/>
        <v>216.21428571428572</v>
      </c>
      <c r="U56" s="81">
        <f ca="1">IFERROR(__xludf.DUMMYFUNCTION("IMPORTRANGE(""https://docs.google.com/spreadsheets/d/1_Zwps30dlVa-pZFsorjVf1Pil6WXwzCsJU0U2whO3NI/edit?usp=sharing"",""ชลบุรี!I340"")"),4)</f>
        <v>4</v>
      </c>
      <c r="V56" s="81">
        <f ca="1">IFERROR(__xludf.DUMMYFUNCTION("IMPORTRANGE(""https://docs.google.com/spreadsheets/d/1_Zwps30dlVa-pZFsorjVf1Pil6WXwzCsJU0U2whO3NI/edit?usp=sharing"",""ชลบุรี!J340"")"),4)</f>
        <v>4</v>
      </c>
      <c r="W56" s="82">
        <f t="shared" ca="1" si="23"/>
        <v>100</v>
      </c>
      <c r="X56" s="81">
        <f ca="1">IFERROR(__xludf.DUMMYFUNCTION("IMPORTRANGE(""https://docs.google.com/spreadsheets/d/1_Zwps30dlVa-pZFsorjVf1Pil6WXwzCsJU0U2whO3NI/edit?usp=sharing"",""ชลบุรี!J341"")"),206)</f>
        <v>206</v>
      </c>
      <c r="Y56" s="81">
        <f ca="1">IFERROR(__xludf.DUMMYFUNCTION("IMPORTRANGE(""https://docs.google.com/spreadsheets/d/1_Zwps30dlVa-pZFsorjVf1Pil6WXwzCsJU0U2whO3NI/edit?usp=sharing"",""ชลบุรี!J342"")"),1)</f>
        <v>1</v>
      </c>
      <c r="Z56" s="81">
        <f ca="1">IFERROR(__xludf.DUMMYFUNCTION("IMPORTRANGE(""https://docs.google.com/spreadsheets/d/1_Zwps30dlVa-pZFsorjVf1Pil6WXwzCsJU0U2whO3NI/edit?usp=sharing"",""ชลบุรี!J343"")"),0)</f>
        <v>0</v>
      </c>
      <c r="AA56" s="81">
        <f t="shared" ca="1" si="43"/>
        <v>3234</v>
      </c>
      <c r="AB56" s="347">
        <f t="shared" ca="1" si="29"/>
        <v>231</v>
      </c>
    </row>
    <row r="57" spans="1:28" ht="21" customHeight="1" x14ac:dyDescent="0.2">
      <c r="A57" s="73">
        <v>5</v>
      </c>
      <c r="B57" s="74" t="s">
        <v>79</v>
      </c>
      <c r="C57" s="75">
        <f t="shared" ca="1" si="0"/>
        <v>163000</v>
      </c>
      <c r="D57" s="76">
        <f t="shared" ca="1" si="42"/>
        <v>163000</v>
      </c>
      <c r="E57" s="77">
        <f ca="1">IFERROR(__xludf.DUMMYFUNCTION("IMPORTRANGE(""https://docs.google.com/spreadsheets/d/1MeEWN-I1oV_STSDYn1IFDPWt_1FKiwhDph83XaGc0o0/edit?usp=sharing"",""งบพรบ!EN57"")"),0)</f>
        <v>0</v>
      </c>
      <c r="F57" s="77">
        <f ca="1">IFERROR(__xludf.DUMMYFUNCTION("IMPORTRANGE(""https://docs.google.com/spreadsheets/d/1MeEWN-I1oV_STSDYn1IFDPWt_1FKiwhDph83XaGc0o0/edit?usp=sharing"",""งบพรบ!EO57"")"),163000)</f>
        <v>163000</v>
      </c>
      <c r="G57" s="77">
        <f ca="1">IFERROR(__xludf.DUMMYFUNCTION("IMPORTRANGE(""https://docs.google.com/spreadsheets/d/1MeEWN-I1oV_STSDYn1IFDPWt_1FKiwhDph83XaGc0o0/edit?usp=sharing"",""งบพรบ!EP57"")"),0)</f>
        <v>0</v>
      </c>
      <c r="H57" s="77">
        <f ca="1">IFERROR(__xludf.DUMMYFUNCTION("IMPORTRANGE(""https://docs.google.com/spreadsheets/d/1MeEWN-I1oV_STSDYn1IFDPWt_1FKiwhDph83XaGc0o0/edit?usp=sharing"",""งบพรบ!ER57"")"),165500)</f>
        <v>165500</v>
      </c>
      <c r="I57" s="77">
        <f ca="1">IFERROR(__xludf.DUMMYFUNCTION("IMPORTRANGE(""https://docs.google.com/spreadsheets/d/1MeEWN-I1oV_STSDYn1IFDPWt_1FKiwhDph83XaGc0o0/edit?usp=sharing"",""งบพรบ!ES57"")"),0)</f>
        <v>0</v>
      </c>
      <c r="J57" s="77">
        <f t="shared" ca="1" si="3"/>
        <v>144540</v>
      </c>
      <c r="K57" s="78">
        <f t="shared" ca="1" si="4"/>
        <v>88.674846625766875</v>
      </c>
      <c r="L57" s="77">
        <f ca="1">IFERROR(__xludf.DUMMYFUNCTION("IMPORTRANGE(""https://docs.google.com/spreadsheets/d/1MeEWN-I1oV_STSDYn1IFDPWt_1FKiwhDph83XaGc0o0/edit?usp=sharing"",""งบพรบ!ET57"")"),144540)</f>
        <v>144540</v>
      </c>
      <c r="M57" s="79">
        <f t="shared" ca="1" si="5"/>
        <v>88.674846625766875</v>
      </c>
      <c r="N57" s="79">
        <f t="shared" ca="1" si="6"/>
        <v>87.335347432024165</v>
      </c>
      <c r="O57" s="80">
        <f ca="1">IFERROR(__xludf.DUMMYFUNCTION("IMPORTRANGE(""https://docs.google.com/spreadsheets/d/1MeEWN-I1oV_STSDYn1IFDPWt_1FKiwhDph83XaGc0o0/edit?usp=sharing"",""งบพรบ!EU57"")"),0)</f>
        <v>0</v>
      </c>
      <c r="P57" s="80">
        <f t="shared" ca="1" si="25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IFERROR(__xludf.DUMMYFUNCTION("IMPORTRANGE(""https://docs.google.com/spreadsheets/d/1xAsT4sUbBlom7l0acStESh_15nvjZcXjZM7fK5uZSq8/edit?usp=sharing"",""ชัยนาท!I338"")"),800)</f>
        <v>800</v>
      </c>
      <c r="S57" s="81">
        <f ca="1">IFERROR(__xludf.DUMMYFUNCTION("IMPORTRANGE(""https://docs.google.com/spreadsheets/d/1xAsT4sUbBlom7l0acStESh_15nvjZcXjZM7fK5uZSq8/edit?usp=sharing"",""ชัยนาท!J338"")"),1170)</f>
        <v>1170</v>
      </c>
      <c r="T57" s="82">
        <f t="shared" ca="1" si="22"/>
        <v>146.25</v>
      </c>
      <c r="U57" s="81">
        <f ca="1">IFERROR(__xludf.DUMMYFUNCTION("IMPORTRANGE(""https://docs.google.com/spreadsheets/d/1xAsT4sUbBlom7l0acStESh_15nvjZcXjZM7fK5uZSq8/edit?usp=sharing"",""ชัยนาท!I340"")"),5)</f>
        <v>5</v>
      </c>
      <c r="V57" s="81">
        <f ca="1">IFERROR(__xludf.DUMMYFUNCTION("IMPORTRANGE(""https://docs.google.com/spreadsheets/d/1xAsT4sUbBlom7l0acStESh_15nvjZcXjZM7fK5uZSq8/edit?usp=sharing"",""ชัยนาท!J340"")"),3)</f>
        <v>3</v>
      </c>
      <c r="W57" s="82">
        <f t="shared" ca="1" si="23"/>
        <v>60</v>
      </c>
      <c r="X57" s="81">
        <f ca="1">IFERROR(__xludf.DUMMYFUNCTION("IMPORTRANGE(""https://docs.google.com/spreadsheets/d/1xAsT4sUbBlom7l0acStESh_15nvjZcXjZM7fK5uZSq8/edit?usp=sharing"",""ชัยนาท!J341"")"),119)</f>
        <v>119</v>
      </c>
      <c r="Y57" s="81">
        <f ca="1">IFERROR(__xludf.DUMMYFUNCTION("IMPORTRANGE(""https://docs.google.com/spreadsheets/d/1xAsT4sUbBlom7l0acStESh_15nvjZcXjZM7fK5uZSq8/edit?usp=sharing"",""ชัยนาท!J342"")"),21)</f>
        <v>21</v>
      </c>
      <c r="Z57" s="81">
        <f ca="1">IFERROR(__xludf.DUMMYFUNCTION("IMPORTRANGE(""https://docs.google.com/spreadsheets/d/1xAsT4sUbBlom7l0acStESh_15nvjZcXjZM7fK5uZSq8/edit?usp=sharing"",""ชัยนาท!J343"")"),0)</f>
        <v>0</v>
      </c>
      <c r="AA57" s="81">
        <f t="shared" ca="1" si="43"/>
        <v>1310</v>
      </c>
      <c r="AB57" s="347">
        <f t="shared" ca="1" si="29"/>
        <v>163.75</v>
      </c>
    </row>
    <row r="58" spans="1:28" ht="21" customHeight="1" x14ac:dyDescent="0.2">
      <c r="A58" s="73">
        <v>6</v>
      </c>
      <c r="B58" s="74" t="s">
        <v>80</v>
      </c>
      <c r="C58" s="75">
        <f t="shared" ca="1" si="0"/>
        <v>157000</v>
      </c>
      <c r="D58" s="76">
        <f t="shared" ca="1" si="42"/>
        <v>157000</v>
      </c>
      <c r="E58" s="77">
        <f ca="1">IFERROR(__xludf.DUMMYFUNCTION("IMPORTRANGE(""https://docs.google.com/spreadsheets/d/1MeEWN-I1oV_STSDYn1IFDPWt_1FKiwhDph83XaGc0o0/edit?usp=sharing"",""งบพรบ!EN58"")"),0)</f>
        <v>0</v>
      </c>
      <c r="F58" s="77">
        <f ca="1">IFERROR(__xludf.DUMMYFUNCTION("IMPORTRANGE(""https://docs.google.com/spreadsheets/d/1MeEWN-I1oV_STSDYn1IFDPWt_1FKiwhDph83XaGc0o0/edit?usp=sharing"",""งบพรบ!EO58"")"),157000)</f>
        <v>157000</v>
      </c>
      <c r="G58" s="77">
        <f ca="1">IFERROR(__xludf.DUMMYFUNCTION("IMPORTRANGE(""https://docs.google.com/spreadsheets/d/1MeEWN-I1oV_STSDYn1IFDPWt_1FKiwhDph83XaGc0o0/edit?usp=sharing"",""งบพรบ!EP58"")"),0)</f>
        <v>0</v>
      </c>
      <c r="H58" s="77">
        <f ca="1">IFERROR(__xludf.DUMMYFUNCTION("IMPORTRANGE(""https://docs.google.com/spreadsheets/d/1MeEWN-I1oV_STSDYn1IFDPWt_1FKiwhDph83XaGc0o0/edit?usp=sharing"",""งบพรบ!ER58"")"),159500)</f>
        <v>159500</v>
      </c>
      <c r="I58" s="77">
        <f ca="1">IFERROR(__xludf.DUMMYFUNCTION("IMPORTRANGE(""https://docs.google.com/spreadsheets/d/1MeEWN-I1oV_STSDYn1IFDPWt_1FKiwhDph83XaGc0o0/edit?usp=sharing"",""งบพรบ!ES58"")"),0)</f>
        <v>0</v>
      </c>
      <c r="J58" s="77">
        <f t="shared" ca="1" si="3"/>
        <v>152792</v>
      </c>
      <c r="K58" s="78">
        <f t="shared" ca="1" si="4"/>
        <v>97.319745222929939</v>
      </c>
      <c r="L58" s="77">
        <f ca="1">IFERROR(__xludf.DUMMYFUNCTION("IMPORTRANGE(""https://docs.google.com/spreadsheets/d/1MeEWN-I1oV_STSDYn1IFDPWt_1FKiwhDph83XaGc0o0/edit?usp=sharing"",""งบพรบ!ET58"")"),152792)</f>
        <v>152792</v>
      </c>
      <c r="M58" s="79">
        <f t="shared" ca="1" si="5"/>
        <v>97.319745222929939</v>
      </c>
      <c r="N58" s="79">
        <f t="shared" ca="1" si="6"/>
        <v>95.794357366771166</v>
      </c>
      <c r="O58" s="80">
        <f ca="1">IFERROR(__xludf.DUMMYFUNCTION("IMPORTRANGE(""https://docs.google.com/spreadsheets/d/1MeEWN-I1oV_STSDYn1IFDPWt_1FKiwhDph83XaGc0o0/edit?usp=sharing"",""งบพรบ!EU58"")"),0)</f>
        <v>0</v>
      </c>
      <c r="P58" s="80">
        <f t="shared" ca="1" si="25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IFERROR(__xludf.DUMMYFUNCTION("IMPORTRANGE(""https://docs.google.com/spreadsheets/d/1vWPVBOAaZ6mHSI8yf95DNqHwTJ1cpeFsvqt6cxV34QA/edit?usp=sharing"",""ตราด!I338"")"),600)</f>
        <v>600</v>
      </c>
      <c r="S58" s="81">
        <f ca="1">IFERROR(__xludf.DUMMYFUNCTION("IMPORTRANGE(""https://docs.google.com/spreadsheets/d/1vWPVBOAaZ6mHSI8yf95DNqHwTJ1cpeFsvqt6cxV34QA/edit?usp=sharing"",""ตราด!J338"")"),3032)</f>
        <v>3032</v>
      </c>
      <c r="T58" s="82">
        <f t="shared" ca="1" si="22"/>
        <v>505.33333333333331</v>
      </c>
      <c r="U58" s="81">
        <f ca="1">IFERROR(__xludf.DUMMYFUNCTION("IMPORTRANGE(""https://docs.google.com/spreadsheets/d/1vWPVBOAaZ6mHSI8yf95DNqHwTJ1cpeFsvqt6cxV34QA/edit?usp=sharing"",""ตราด!I340"")"),2)</f>
        <v>2</v>
      </c>
      <c r="V58" s="81">
        <f ca="1">IFERROR(__xludf.DUMMYFUNCTION("IMPORTRANGE(""https://docs.google.com/spreadsheets/d/1vWPVBOAaZ6mHSI8yf95DNqHwTJ1cpeFsvqt6cxV34QA/edit?usp=sharing"",""ตราด!J340"")"),2)</f>
        <v>2</v>
      </c>
      <c r="W58" s="82">
        <f t="shared" ca="1" si="23"/>
        <v>100</v>
      </c>
      <c r="X58" s="81">
        <f ca="1">IFERROR(__xludf.DUMMYFUNCTION("IMPORTRANGE(""https://docs.google.com/spreadsheets/d/1vWPVBOAaZ6mHSI8yf95DNqHwTJ1cpeFsvqt6cxV34QA/edit?usp=sharing"",""ตราด!J341"")"),56)</f>
        <v>56</v>
      </c>
      <c r="Y58" s="81">
        <f ca="1">IFERROR(__xludf.DUMMYFUNCTION("IMPORTRANGE(""https://docs.google.com/spreadsheets/d/1vWPVBOAaZ6mHSI8yf95DNqHwTJ1cpeFsvqt6cxV34QA/edit?usp=sharing"",""ตราด!J342"")"),54)</f>
        <v>54</v>
      </c>
      <c r="Z58" s="81">
        <f ca="1">IFERROR(__xludf.DUMMYFUNCTION("IMPORTRANGE(""https://docs.google.com/spreadsheets/d/1vWPVBOAaZ6mHSI8yf95DNqHwTJ1cpeFsvqt6cxV34QA/edit?usp=sharing"",""ตราด!J343"")"),0)</f>
        <v>0</v>
      </c>
      <c r="AA58" s="81">
        <f t="shared" ca="1" si="43"/>
        <v>3142</v>
      </c>
      <c r="AB58" s="347">
        <f t="shared" ca="1" si="29"/>
        <v>523.66666666666663</v>
      </c>
    </row>
    <row r="59" spans="1:28" ht="21" customHeight="1" x14ac:dyDescent="0.2">
      <c r="A59" s="73">
        <v>7</v>
      </c>
      <c r="B59" s="74" t="s">
        <v>81</v>
      </c>
      <c r="C59" s="75">
        <f t="shared" ca="1" si="0"/>
        <v>788200</v>
      </c>
      <c r="D59" s="76">
        <f t="shared" ca="1" si="42"/>
        <v>788200</v>
      </c>
      <c r="E59" s="77">
        <f ca="1">IFERROR(__xludf.DUMMYFUNCTION("IMPORTRANGE(""https://docs.google.com/spreadsheets/d/1MeEWN-I1oV_STSDYn1IFDPWt_1FKiwhDph83XaGc0o0/edit?usp=sharing"",""งบพรบ!EN59"")"),631200)</f>
        <v>631200</v>
      </c>
      <c r="F59" s="77">
        <f ca="1">IFERROR(__xludf.DUMMYFUNCTION("IMPORTRANGE(""https://docs.google.com/spreadsheets/d/1MeEWN-I1oV_STSDYn1IFDPWt_1FKiwhDph83XaGc0o0/edit?usp=sharing"",""งบพรบ!EO59"")"),157000)</f>
        <v>157000</v>
      </c>
      <c r="G59" s="77">
        <f ca="1">IFERROR(__xludf.DUMMYFUNCTION("IMPORTRANGE(""https://docs.google.com/spreadsheets/d/1MeEWN-I1oV_STSDYn1IFDPWt_1FKiwhDph83XaGc0o0/edit?usp=sharing"",""งบพรบ!EP59"")"),0)</f>
        <v>0</v>
      </c>
      <c r="H59" s="77">
        <f ca="1">IFERROR(__xludf.DUMMYFUNCTION("IMPORTRANGE(""https://docs.google.com/spreadsheets/d/1MeEWN-I1oV_STSDYn1IFDPWt_1FKiwhDph83XaGc0o0/edit?usp=sharing"",""งบพรบ!ER59"")"),790700)</f>
        <v>790700</v>
      </c>
      <c r="I59" s="77">
        <f ca="1">IFERROR(__xludf.DUMMYFUNCTION("IMPORTRANGE(""https://docs.google.com/spreadsheets/d/1MeEWN-I1oV_STSDYn1IFDPWt_1FKiwhDph83XaGc0o0/edit?usp=sharing"",""งบพรบ!ES59"")"),0)</f>
        <v>0</v>
      </c>
      <c r="J59" s="77">
        <f t="shared" ca="1" si="3"/>
        <v>679380</v>
      </c>
      <c r="K59" s="78">
        <f t="shared" ca="1" si="4"/>
        <v>86.193859426541493</v>
      </c>
      <c r="L59" s="77">
        <f ca="1">IFERROR(__xludf.DUMMYFUNCTION("IMPORTRANGE(""https://docs.google.com/spreadsheets/d/1MeEWN-I1oV_STSDYn1IFDPWt_1FKiwhDph83XaGc0o0/edit?usp=sharing"",""งบพรบ!ET59"")"),679380)</f>
        <v>679380</v>
      </c>
      <c r="M59" s="79">
        <f t="shared" ca="1" si="5"/>
        <v>86.193859426541493</v>
      </c>
      <c r="N59" s="79">
        <f t="shared" ca="1" si="6"/>
        <v>85.921335525483755</v>
      </c>
      <c r="O59" s="80">
        <f ca="1">IFERROR(__xludf.DUMMYFUNCTION("IMPORTRANGE(""https://docs.google.com/spreadsheets/d/1MeEWN-I1oV_STSDYn1IFDPWt_1FKiwhDph83XaGc0o0/edit?usp=sharing"",""งบพรบ!EU59"")"),0)</f>
        <v>0</v>
      </c>
      <c r="P59" s="80">
        <f t="shared" ca="1" si="25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IFERROR(__xludf.DUMMYFUNCTION("IMPORTRANGE(""https://docs.google.com/spreadsheets/d/1phaeSb9lTGgzDpbvVqI9hfmOQQzUom07-HEvpbARzEg/edit?usp=sharing"",""นครนายก!I338"")"),600)</f>
        <v>600</v>
      </c>
      <c r="S59" s="81">
        <f ca="1">IFERROR(__xludf.DUMMYFUNCTION("IMPORTRANGE(""https://docs.google.com/spreadsheets/d/1phaeSb9lTGgzDpbvVqI9hfmOQQzUom07-HEvpbARzEg/edit?usp=sharing"",""นครนายก!J338"")"),766)</f>
        <v>766</v>
      </c>
      <c r="T59" s="82">
        <f t="shared" ca="1" si="22"/>
        <v>127.66666666666667</v>
      </c>
      <c r="U59" s="81">
        <f ca="1">IFERROR(__xludf.DUMMYFUNCTION("IMPORTRANGE(""https://docs.google.com/spreadsheets/d/1phaeSb9lTGgzDpbvVqI9hfmOQQzUom07-HEvpbARzEg/edit?usp=sharing"",""นครนายก!I340"")"),2)</f>
        <v>2</v>
      </c>
      <c r="V59" s="81">
        <f ca="1">IFERROR(__xludf.DUMMYFUNCTION("IMPORTRANGE(""https://docs.google.com/spreadsheets/d/1phaeSb9lTGgzDpbvVqI9hfmOQQzUom07-HEvpbARzEg/edit?usp=sharing"",""นครนายก!J340"")"),1)</f>
        <v>1</v>
      </c>
      <c r="W59" s="82">
        <f t="shared" ca="1" si="23"/>
        <v>50</v>
      </c>
      <c r="X59" s="81">
        <f ca="1">IFERROR(__xludf.DUMMYFUNCTION("IMPORTRANGE(""https://docs.google.com/spreadsheets/d/1phaeSb9lTGgzDpbvVqI9hfmOQQzUom07-HEvpbARzEg/edit?usp=sharing"",""นครนายก!J341"")"),33)</f>
        <v>33</v>
      </c>
      <c r="Y59" s="81">
        <f ca="1">IFERROR(__xludf.DUMMYFUNCTION("IMPORTRANGE(""https://docs.google.com/spreadsheets/d/1phaeSb9lTGgzDpbvVqI9hfmOQQzUom07-HEvpbARzEg/edit?usp=sharing"",""นครนายก!J342"")"),1)</f>
        <v>1</v>
      </c>
      <c r="Z59" s="81">
        <f ca="1">IFERROR(__xludf.DUMMYFUNCTION("IMPORTRANGE(""https://docs.google.com/spreadsheets/d/1phaeSb9lTGgzDpbvVqI9hfmOQQzUom07-HEvpbARzEg/edit?usp=sharing"",""นครนายก!J343"")"),0)</f>
        <v>0</v>
      </c>
      <c r="AA59" s="81">
        <f t="shared" ca="1" si="43"/>
        <v>800</v>
      </c>
      <c r="AB59" s="347">
        <f t="shared" ca="1" si="29"/>
        <v>133.33333333333334</v>
      </c>
    </row>
    <row r="60" spans="1:28" ht="21" customHeight="1" x14ac:dyDescent="0.2">
      <c r="A60" s="73">
        <v>8</v>
      </c>
      <c r="B60" s="74" t="s">
        <v>82</v>
      </c>
      <c r="C60" s="75">
        <f t="shared" ca="1" si="0"/>
        <v>244600</v>
      </c>
      <c r="D60" s="76">
        <f t="shared" ca="1" si="42"/>
        <v>244600</v>
      </c>
      <c r="E60" s="77">
        <f ca="1">IFERROR(__xludf.DUMMYFUNCTION("IMPORTRANGE(""https://docs.google.com/spreadsheets/d/1MeEWN-I1oV_STSDYn1IFDPWt_1FKiwhDph83XaGc0o0/edit?usp=sharing"",""งบพรบ!EN60"")"),87600)</f>
        <v>87600</v>
      </c>
      <c r="F60" s="77">
        <f ca="1">IFERROR(__xludf.DUMMYFUNCTION("IMPORTRANGE(""https://docs.google.com/spreadsheets/d/1MeEWN-I1oV_STSDYn1IFDPWt_1FKiwhDph83XaGc0o0/edit?usp=sharing"",""งบพรบ!EO60"")"),157000)</f>
        <v>157000</v>
      </c>
      <c r="G60" s="77">
        <f ca="1">IFERROR(__xludf.DUMMYFUNCTION("IMPORTRANGE(""https://docs.google.com/spreadsheets/d/1MeEWN-I1oV_STSDYn1IFDPWt_1FKiwhDph83XaGc0o0/edit?usp=sharing"",""งบพรบ!EP60"")"),0)</f>
        <v>0</v>
      </c>
      <c r="H60" s="77">
        <f ca="1">IFERROR(__xludf.DUMMYFUNCTION("IMPORTRANGE(""https://docs.google.com/spreadsheets/d/1MeEWN-I1oV_STSDYn1IFDPWt_1FKiwhDph83XaGc0o0/edit?usp=sharing"",""งบพรบ!ER60"")"),247100)</f>
        <v>247100</v>
      </c>
      <c r="I60" s="77">
        <f ca="1">IFERROR(__xludf.DUMMYFUNCTION("IMPORTRANGE(""https://docs.google.com/spreadsheets/d/1MeEWN-I1oV_STSDYn1IFDPWt_1FKiwhDph83XaGc0o0/edit?usp=sharing"",""งบพรบ!ES60"")"),0)</f>
        <v>0</v>
      </c>
      <c r="J60" s="77">
        <f t="shared" ca="1" si="3"/>
        <v>225555</v>
      </c>
      <c r="K60" s="78">
        <f t="shared" ca="1" si="4"/>
        <v>92.213818479149637</v>
      </c>
      <c r="L60" s="77">
        <f ca="1">IFERROR(__xludf.DUMMYFUNCTION("IMPORTRANGE(""https://docs.google.com/spreadsheets/d/1MeEWN-I1oV_STSDYn1IFDPWt_1FKiwhDph83XaGc0o0/edit?usp=sharing"",""งบพรบ!ET60"")"),225555)</f>
        <v>225555</v>
      </c>
      <c r="M60" s="79">
        <f t="shared" ca="1" si="5"/>
        <v>92.213818479149637</v>
      </c>
      <c r="N60" s="79">
        <f t="shared" ca="1" si="6"/>
        <v>91.280857952246052</v>
      </c>
      <c r="O60" s="80">
        <f ca="1">IFERROR(__xludf.DUMMYFUNCTION("IMPORTRANGE(""https://docs.google.com/spreadsheets/d/1MeEWN-I1oV_STSDYn1IFDPWt_1FKiwhDph83XaGc0o0/edit?usp=sharing"",""งบพรบ!EU60"")"),0)</f>
        <v>0</v>
      </c>
      <c r="P60" s="80">
        <f t="shared" ca="1" si="25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IFERROR(__xludf.DUMMYFUNCTION("IMPORTRANGE(""https://docs.google.com/spreadsheets/d/1tpwhWwkqkBeiSWCcfB5f2fbwPRbM9hHOEDSDHpl2MIc/edit?usp=sharing"",""นครปฐม!I338"")"),200)</f>
        <v>200</v>
      </c>
      <c r="S60" s="81">
        <f ca="1">IFERROR(__xludf.DUMMYFUNCTION("IMPORTRANGE(""https://docs.google.com/spreadsheets/d/1tpwhWwkqkBeiSWCcfB5f2fbwPRbM9hHOEDSDHpl2MIc/edit?usp=sharing"",""นครปฐม!J338"")"),185)</f>
        <v>185</v>
      </c>
      <c r="T60" s="82">
        <f t="shared" ca="1" si="22"/>
        <v>92.5</v>
      </c>
      <c r="U60" s="81">
        <f ca="1">IFERROR(__xludf.DUMMYFUNCTION("IMPORTRANGE(""https://docs.google.com/spreadsheets/d/1tpwhWwkqkBeiSWCcfB5f2fbwPRbM9hHOEDSDHpl2MIc/edit?usp=sharing"",""นครปฐม!I340"")"),2)</f>
        <v>2</v>
      </c>
      <c r="V60" s="81">
        <f ca="1">IFERROR(__xludf.DUMMYFUNCTION("IMPORTRANGE(""https://docs.google.com/spreadsheets/d/1tpwhWwkqkBeiSWCcfB5f2fbwPRbM9hHOEDSDHpl2MIc/edit?usp=sharing"",""นครปฐม!J340"")"),2)</f>
        <v>2</v>
      </c>
      <c r="W60" s="82">
        <f t="shared" ca="1" si="23"/>
        <v>100</v>
      </c>
      <c r="X60" s="81">
        <f ca="1">IFERROR(__xludf.DUMMYFUNCTION("IMPORTRANGE(""https://docs.google.com/spreadsheets/d/1tpwhWwkqkBeiSWCcfB5f2fbwPRbM9hHOEDSDHpl2MIc/edit?usp=sharing"",""นครปฐม!J341"")"),102)</f>
        <v>102</v>
      </c>
      <c r="Y60" s="81">
        <f ca="1">IFERROR(__xludf.DUMMYFUNCTION("IMPORTRANGE(""https://docs.google.com/spreadsheets/d/1tpwhWwkqkBeiSWCcfB5f2fbwPRbM9hHOEDSDHpl2MIc/edit?usp=sharing"",""นครปฐม!J342"")"),7)</f>
        <v>7</v>
      </c>
      <c r="Z60" s="81">
        <f ca="1">IFERROR(__xludf.DUMMYFUNCTION("IMPORTRANGE(""https://docs.google.com/spreadsheets/d/1tpwhWwkqkBeiSWCcfB5f2fbwPRbM9hHOEDSDHpl2MIc/edit?usp=sharing"",""นครปฐม!J343"")"),0)</f>
        <v>0</v>
      </c>
      <c r="AA60" s="81">
        <f t="shared" ca="1" si="43"/>
        <v>294</v>
      </c>
      <c r="AB60" s="347">
        <f t="shared" ca="1" si="29"/>
        <v>147</v>
      </c>
    </row>
    <row r="61" spans="1:28" ht="21" customHeight="1" x14ac:dyDescent="0.2">
      <c r="A61" s="73">
        <v>9</v>
      </c>
      <c r="B61" s="74" t="s">
        <v>83</v>
      </c>
      <c r="C61" s="75">
        <f t="shared" ca="1" si="0"/>
        <v>337200</v>
      </c>
      <c r="D61" s="76">
        <f t="shared" ca="1" si="42"/>
        <v>337200</v>
      </c>
      <c r="E61" s="77">
        <f ca="1">IFERROR(__xludf.DUMMYFUNCTION("IMPORTRANGE(""https://docs.google.com/spreadsheets/d/1MeEWN-I1oV_STSDYn1IFDPWt_1FKiwhDph83XaGc0o0/edit?usp=sharing"",""งบพรบ!EN61"")"),175200)</f>
        <v>175200</v>
      </c>
      <c r="F61" s="77">
        <f ca="1">IFERROR(__xludf.DUMMYFUNCTION("IMPORTRANGE(""https://docs.google.com/spreadsheets/d/1MeEWN-I1oV_STSDYn1IFDPWt_1FKiwhDph83XaGc0o0/edit?usp=sharing"",""งบพรบ!EO61"")"),162000)</f>
        <v>162000</v>
      </c>
      <c r="G61" s="77">
        <f ca="1">IFERROR(__xludf.DUMMYFUNCTION("IMPORTRANGE(""https://docs.google.com/spreadsheets/d/1MeEWN-I1oV_STSDYn1IFDPWt_1FKiwhDph83XaGc0o0/edit?usp=sharing"",""งบพรบ!EP61"")"),0)</f>
        <v>0</v>
      </c>
      <c r="H61" s="77">
        <f ca="1">IFERROR(__xludf.DUMMYFUNCTION("IMPORTRANGE(""https://docs.google.com/spreadsheets/d/1MeEWN-I1oV_STSDYn1IFDPWt_1FKiwhDph83XaGc0o0/edit?usp=sharing"",""งบพรบ!ER61"")"),339700)</f>
        <v>339700</v>
      </c>
      <c r="I61" s="77">
        <f ca="1">IFERROR(__xludf.DUMMYFUNCTION("IMPORTRANGE(""https://docs.google.com/spreadsheets/d/1MeEWN-I1oV_STSDYn1IFDPWt_1FKiwhDph83XaGc0o0/edit?usp=sharing"",""งบพรบ!ES61"")"),0)</f>
        <v>0</v>
      </c>
      <c r="J61" s="77">
        <f t="shared" ca="1" si="3"/>
        <v>307133.36</v>
      </c>
      <c r="K61" s="78">
        <f t="shared" ca="1" si="4"/>
        <v>91.083440094899174</v>
      </c>
      <c r="L61" s="77">
        <f ca="1">IFERROR(__xludf.DUMMYFUNCTION("IMPORTRANGE(""https://docs.google.com/spreadsheets/d/1MeEWN-I1oV_STSDYn1IFDPWt_1FKiwhDph83XaGc0o0/edit?usp=sharing"",""งบพรบ!ET61"")"),307133.36)</f>
        <v>307133.36</v>
      </c>
      <c r="M61" s="79">
        <f t="shared" ca="1" si="5"/>
        <v>91.083440094899174</v>
      </c>
      <c r="N61" s="79">
        <f t="shared" ca="1" si="6"/>
        <v>90.413117456579329</v>
      </c>
      <c r="O61" s="80">
        <f ca="1">IFERROR(__xludf.DUMMYFUNCTION("IMPORTRANGE(""https://docs.google.com/spreadsheets/d/1MeEWN-I1oV_STSDYn1IFDPWt_1FKiwhDph83XaGc0o0/edit?usp=sharing"",""งบพรบ!EU61"")"),0)</f>
        <v>0</v>
      </c>
      <c r="P61" s="80">
        <f t="shared" ca="1" si="25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IFERROR(__xludf.DUMMYFUNCTION("IMPORTRANGE(""https://docs.google.com/spreadsheets/d/1fJJCVBkBnhriyv0Cp5ZFMr0I_yrfdEITNpb4zILJgUQ/edit?usp=sharing"",""ปทุมธานี!I338"")"),1400)</f>
        <v>1400</v>
      </c>
      <c r="S61" s="81">
        <f ca="1">IFERROR(__xludf.DUMMYFUNCTION("IMPORTRANGE(""https://docs.google.com/spreadsheets/d/1fJJCVBkBnhriyv0Cp5ZFMr0I_yrfdEITNpb4zILJgUQ/edit?usp=sharing"",""ปทุมธานี!J338"")"),978)</f>
        <v>978</v>
      </c>
      <c r="T61" s="82">
        <f t="shared" ca="1" si="22"/>
        <v>69.857142857142861</v>
      </c>
      <c r="U61" s="81">
        <f ca="1">IFERROR(__xludf.DUMMYFUNCTION("IMPORTRANGE(""https://docs.google.com/spreadsheets/d/1fJJCVBkBnhriyv0Cp5ZFMr0I_yrfdEITNpb4zILJgUQ/edit?usp=sharing"",""ปทุมธานี!I340"")"),2)</f>
        <v>2</v>
      </c>
      <c r="V61" s="81">
        <f ca="1">IFERROR(__xludf.DUMMYFUNCTION("IMPORTRANGE(""https://docs.google.com/spreadsheets/d/1fJJCVBkBnhriyv0Cp5ZFMr0I_yrfdEITNpb4zILJgUQ/edit?usp=sharing"",""ปทุมธานี!J340"")"),10)</f>
        <v>10</v>
      </c>
      <c r="W61" s="82">
        <f t="shared" ca="1" si="23"/>
        <v>500</v>
      </c>
      <c r="X61" s="81">
        <f ca="1">IFERROR(__xludf.DUMMYFUNCTION("IMPORTRANGE(""https://docs.google.com/spreadsheets/d/1fJJCVBkBnhriyv0Cp5ZFMr0I_yrfdEITNpb4zILJgUQ/edit?usp=sharing"",""ปทุมธานี!J341"")"),750)</f>
        <v>750</v>
      </c>
      <c r="Y61" s="81">
        <f ca="1">IFERROR(__xludf.DUMMYFUNCTION("IMPORTRANGE(""https://docs.google.com/spreadsheets/d/1fJJCVBkBnhriyv0Cp5ZFMr0I_yrfdEITNpb4zILJgUQ/edit?usp=sharing"",""ปทุมธานี!J342"")"),3)</f>
        <v>3</v>
      </c>
      <c r="Z61" s="81">
        <f ca="1">IFERROR(__xludf.DUMMYFUNCTION("IMPORTRANGE(""https://docs.google.com/spreadsheets/d/1fJJCVBkBnhriyv0Cp5ZFMr0I_yrfdEITNpb4zILJgUQ/edit?usp=sharing"",""ปทุมธานี!J343"")"),0)</f>
        <v>0</v>
      </c>
      <c r="AA61" s="81">
        <f t="shared" ca="1" si="43"/>
        <v>1731</v>
      </c>
      <c r="AB61" s="347">
        <f t="shared" ca="1" si="29"/>
        <v>123.64285714285714</v>
      </c>
    </row>
    <row r="62" spans="1:28" ht="21" customHeight="1" x14ac:dyDescent="0.2">
      <c r="A62" s="73">
        <v>10</v>
      </c>
      <c r="B62" s="74" t="s">
        <v>84</v>
      </c>
      <c r="C62" s="75">
        <f t="shared" ca="1" si="0"/>
        <v>159000</v>
      </c>
      <c r="D62" s="76">
        <f t="shared" ca="1" si="42"/>
        <v>159000</v>
      </c>
      <c r="E62" s="77">
        <f ca="1">IFERROR(__xludf.DUMMYFUNCTION("IMPORTRANGE(""https://docs.google.com/spreadsheets/d/1MeEWN-I1oV_STSDYn1IFDPWt_1FKiwhDph83XaGc0o0/edit?usp=sharing"",""งบพรบ!EN62"")"),0)</f>
        <v>0</v>
      </c>
      <c r="F62" s="77">
        <f ca="1">IFERROR(__xludf.DUMMYFUNCTION("IMPORTRANGE(""https://docs.google.com/spreadsheets/d/1MeEWN-I1oV_STSDYn1IFDPWt_1FKiwhDph83XaGc0o0/edit?usp=sharing"",""งบพรบ!EO62"")"),159000)</f>
        <v>159000</v>
      </c>
      <c r="G62" s="77">
        <f ca="1">IFERROR(__xludf.DUMMYFUNCTION("IMPORTRANGE(""https://docs.google.com/spreadsheets/d/1MeEWN-I1oV_STSDYn1IFDPWt_1FKiwhDph83XaGc0o0/edit?usp=sharing"",""งบพรบ!EP62"")"),0)</f>
        <v>0</v>
      </c>
      <c r="H62" s="77">
        <f ca="1">IFERROR(__xludf.DUMMYFUNCTION("IMPORTRANGE(""https://docs.google.com/spreadsheets/d/1MeEWN-I1oV_STSDYn1IFDPWt_1FKiwhDph83XaGc0o0/edit?usp=sharing"",""งบพรบ!ER62"")"),161500)</f>
        <v>161500</v>
      </c>
      <c r="I62" s="77">
        <f ca="1">IFERROR(__xludf.DUMMYFUNCTION("IMPORTRANGE(""https://docs.google.com/spreadsheets/d/1MeEWN-I1oV_STSDYn1IFDPWt_1FKiwhDph83XaGc0o0/edit?usp=sharing"",""งบพรบ!ES62"")"),0)</f>
        <v>0</v>
      </c>
      <c r="J62" s="77">
        <f t="shared" ca="1" si="3"/>
        <v>135500</v>
      </c>
      <c r="K62" s="78">
        <f t="shared" ca="1" si="4"/>
        <v>85.220125786163521</v>
      </c>
      <c r="L62" s="77">
        <f ca="1">IFERROR(__xludf.DUMMYFUNCTION("IMPORTRANGE(""https://docs.google.com/spreadsheets/d/1MeEWN-I1oV_STSDYn1IFDPWt_1FKiwhDph83XaGc0o0/edit?usp=sharing"",""งบพรบ!ET62"")"),135500)</f>
        <v>135500</v>
      </c>
      <c r="M62" s="79">
        <f t="shared" ca="1" si="5"/>
        <v>85.220125786163521</v>
      </c>
      <c r="N62" s="79">
        <f t="shared" ca="1" si="6"/>
        <v>83.900928792569658</v>
      </c>
      <c r="O62" s="80">
        <f ca="1">IFERROR(__xludf.DUMMYFUNCTION("IMPORTRANGE(""https://docs.google.com/spreadsheets/d/1MeEWN-I1oV_STSDYn1IFDPWt_1FKiwhDph83XaGc0o0/edit?usp=sharing"",""งบพรบ!EU62"")"),0)</f>
        <v>0</v>
      </c>
      <c r="P62" s="80">
        <f t="shared" ca="1" si="25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81">
        <f ca="1">IFERROR(__xludf.DUMMYFUNCTION("IMPORTRANGE(""https://docs.google.com/spreadsheets/d/1W5Jj_S0gYw6wSO7QcMI02YgyOBDKYgmm0NSUk-AQEac/edit?usp=sharing"",""ประจวบคีรีขันธ์!J338"")"),1606)</f>
        <v>1606</v>
      </c>
      <c r="T62" s="82">
        <f t="shared" ca="1" si="22"/>
        <v>200.75</v>
      </c>
      <c r="U62" s="81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81">
        <f ca="1">IFERROR(__xludf.DUMMYFUNCTION("IMPORTRANGE(""https://docs.google.com/spreadsheets/d/1W5Jj_S0gYw6wSO7QcMI02YgyOBDKYgmm0NSUk-AQEac/edit?usp=sharing"",""ประจวบคีรีขันธ์!J340"")"),3)</f>
        <v>3</v>
      </c>
      <c r="W62" s="82">
        <f t="shared" ca="1" si="23"/>
        <v>100</v>
      </c>
      <c r="X62" s="81">
        <f ca="1">IFERROR(__xludf.DUMMYFUNCTION("IMPORTRANGE(""https://docs.google.com/spreadsheets/d/1W5Jj_S0gYw6wSO7QcMI02YgyOBDKYgmm0NSUk-AQEac/edit?usp=sharing"",""ประจวบคีรีขันธ์!J341"")"),111)</f>
        <v>111</v>
      </c>
      <c r="Y62" s="81">
        <f ca="1">IFERROR(__xludf.DUMMYFUNCTION("IMPORTRANGE(""https://docs.google.com/spreadsheets/d/1W5Jj_S0gYw6wSO7QcMI02YgyOBDKYgmm0NSUk-AQEac/edit?usp=sharing"",""ประจวบคีรีขันธ์!J342"")"),1)</f>
        <v>1</v>
      </c>
      <c r="Z62" s="81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81">
        <f t="shared" ca="1" si="43"/>
        <v>1765</v>
      </c>
      <c r="AB62" s="347">
        <f t="shared" ca="1" si="29"/>
        <v>220.625</v>
      </c>
    </row>
    <row r="63" spans="1:28" ht="21" customHeight="1" x14ac:dyDescent="0.2">
      <c r="A63" s="73">
        <v>11</v>
      </c>
      <c r="B63" s="74" t="s">
        <v>85</v>
      </c>
      <c r="C63" s="75">
        <f t="shared" ca="1" si="0"/>
        <v>159000</v>
      </c>
      <c r="D63" s="76">
        <f t="shared" ca="1" si="42"/>
        <v>159000</v>
      </c>
      <c r="E63" s="77">
        <f ca="1">IFERROR(__xludf.DUMMYFUNCTION("IMPORTRANGE(""https://docs.google.com/spreadsheets/d/1MeEWN-I1oV_STSDYn1IFDPWt_1FKiwhDph83XaGc0o0/edit?usp=sharing"",""งบพรบ!EN63"")"),0)</f>
        <v>0</v>
      </c>
      <c r="F63" s="77">
        <f ca="1">IFERROR(__xludf.DUMMYFUNCTION("IMPORTRANGE(""https://docs.google.com/spreadsheets/d/1MeEWN-I1oV_STSDYn1IFDPWt_1FKiwhDph83XaGc0o0/edit?usp=sharing"",""งบพรบ!EO63"")"),159000)</f>
        <v>159000</v>
      </c>
      <c r="G63" s="77">
        <f ca="1">IFERROR(__xludf.DUMMYFUNCTION("IMPORTRANGE(""https://docs.google.com/spreadsheets/d/1MeEWN-I1oV_STSDYn1IFDPWt_1FKiwhDph83XaGc0o0/edit?usp=sharing"",""งบพรบ!EP63"")"),0)</f>
        <v>0</v>
      </c>
      <c r="H63" s="77">
        <f ca="1">IFERROR(__xludf.DUMMYFUNCTION("IMPORTRANGE(""https://docs.google.com/spreadsheets/d/1MeEWN-I1oV_STSDYn1IFDPWt_1FKiwhDph83XaGc0o0/edit?usp=sharing"",""งบพรบ!ER63"")"),161500)</f>
        <v>161500</v>
      </c>
      <c r="I63" s="77">
        <f ca="1">IFERROR(__xludf.DUMMYFUNCTION("IMPORTRANGE(""https://docs.google.com/spreadsheets/d/1MeEWN-I1oV_STSDYn1IFDPWt_1FKiwhDph83XaGc0o0/edit?usp=sharing"",""งบพรบ!ES63"")"),0)</f>
        <v>0</v>
      </c>
      <c r="J63" s="77">
        <f t="shared" ca="1" si="3"/>
        <v>144500</v>
      </c>
      <c r="K63" s="78">
        <f t="shared" ca="1" si="4"/>
        <v>90.880503144654085</v>
      </c>
      <c r="L63" s="77">
        <f ca="1">IFERROR(__xludf.DUMMYFUNCTION("IMPORTRANGE(""https://docs.google.com/spreadsheets/d/1MeEWN-I1oV_STSDYn1IFDPWt_1FKiwhDph83XaGc0o0/edit?usp=sharing"",""งบพรบ!ET63"")"),144500)</f>
        <v>144500</v>
      </c>
      <c r="M63" s="79">
        <f t="shared" ca="1" si="5"/>
        <v>90.880503144654085</v>
      </c>
      <c r="N63" s="79">
        <f t="shared" ca="1" si="6"/>
        <v>89.473684210526315</v>
      </c>
      <c r="O63" s="80">
        <f ca="1">IFERROR(__xludf.DUMMYFUNCTION("IMPORTRANGE(""https://docs.google.com/spreadsheets/d/1MeEWN-I1oV_STSDYn1IFDPWt_1FKiwhDph83XaGc0o0/edit?usp=sharing"",""งบพรบ!EU63"")"),0)</f>
        <v>0</v>
      </c>
      <c r="P63" s="80">
        <f t="shared" ca="1" si="25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IFERROR(__xludf.DUMMYFUNCTION("IMPORTRANGE(""https://docs.google.com/spreadsheets/d/1nYxRXgnCfTXtqUY1otYuTlnrzE0Tn-Y0YRsW5pkRVqo/edit?usp=sharing"",""ปราจีนบุรี!I338"")"),1000)</f>
        <v>1000</v>
      </c>
      <c r="S63" s="81">
        <f ca="1">IFERROR(__xludf.DUMMYFUNCTION("IMPORTRANGE(""https://docs.google.com/spreadsheets/d/1nYxRXgnCfTXtqUY1otYuTlnrzE0Tn-Y0YRsW5pkRVqo/edit?usp=sharing"",""ปราจีนบุรี!J338"")"),1803)</f>
        <v>1803</v>
      </c>
      <c r="T63" s="82">
        <f t="shared" ca="1" si="22"/>
        <v>180.3</v>
      </c>
      <c r="U63" s="81">
        <f ca="1">IFERROR(__xludf.DUMMYFUNCTION("IMPORTRANGE(""https://docs.google.com/spreadsheets/d/1nYxRXgnCfTXtqUY1otYuTlnrzE0Tn-Y0YRsW5pkRVqo/edit?usp=sharing"",""ปราจีนบุรี!I340"")"),3)</f>
        <v>3</v>
      </c>
      <c r="V63" s="81">
        <f ca="1">IFERROR(__xludf.DUMMYFUNCTION("IMPORTRANGE(""https://docs.google.com/spreadsheets/d/1nYxRXgnCfTXtqUY1otYuTlnrzE0Tn-Y0YRsW5pkRVqo/edit?usp=sharing"",""ปราจีนบุรี!J340"")"),6)</f>
        <v>6</v>
      </c>
      <c r="W63" s="82">
        <f t="shared" ca="1" si="23"/>
        <v>200</v>
      </c>
      <c r="X63" s="81">
        <f ca="1">IFERROR(__xludf.DUMMYFUNCTION("IMPORTRANGE(""https://docs.google.com/spreadsheets/d/1nYxRXgnCfTXtqUY1otYuTlnrzE0Tn-Y0YRsW5pkRVqo/edit?usp=sharing"",""ปราจีนบุรี!J341"")"),93)</f>
        <v>93</v>
      </c>
      <c r="Y63" s="81">
        <f ca="1">IFERROR(__xludf.DUMMYFUNCTION("IMPORTRANGE(""https://docs.google.com/spreadsheets/d/1nYxRXgnCfTXtqUY1otYuTlnrzE0Tn-Y0YRsW5pkRVqo/edit?usp=sharing"",""ปราจีนบุรี!J342"")"),1)</f>
        <v>1</v>
      </c>
      <c r="Z63" s="81">
        <f ca="1">IFERROR(__xludf.DUMMYFUNCTION("IMPORTRANGE(""https://docs.google.com/spreadsheets/d/1nYxRXgnCfTXtqUY1otYuTlnrzE0Tn-Y0YRsW5pkRVqo/edit?usp=sharing"",""ปราจีนบุรี!J343"")"),0)</f>
        <v>0</v>
      </c>
      <c r="AA63" s="81">
        <f t="shared" ca="1" si="43"/>
        <v>1897</v>
      </c>
      <c r="AB63" s="347">
        <f t="shared" ca="1" si="29"/>
        <v>189.7</v>
      </c>
    </row>
    <row r="64" spans="1:28" ht="21" customHeight="1" x14ac:dyDescent="0.2">
      <c r="A64" s="73">
        <v>12</v>
      </c>
      <c r="B64" s="74" t="s">
        <v>86</v>
      </c>
      <c r="C64" s="75">
        <f t="shared" ca="1" si="0"/>
        <v>588600</v>
      </c>
      <c r="D64" s="76">
        <f t="shared" ca="1" si="42"/>
        <v>588600</v>
      </c>
      <c r="E64" s="77">
        <f ca="1">IFERROR(__xludf.DUMMYFUNCTION("IMPORTRANGE(""https://docs.google.com/spreadsheets/d/1MeEWN-I1oV_STSDYn1IFDPWt_1FKiwhDph83XaGc0o0/edit?usp=sharing"",""งบพรบ!EN64"")"),429600)</f>
        <v>429600</v>
      </c>
      <c r="F64" s="77">
        <f ca="1">IFERROR(__xludf.DUMMYFUNCTION("IMPORTRANGE(""https://docs.google.com/spreadsheets/d/1MeEWN-I1oV_STSDYn1IFDPWt_1FKiwhDph83XaGc0o0/edit?usp=sharing"",""งบพรบ!EO64"")"),159000)</f>
        <v>159000</v>
      </c>
      <c r="G64" s="77">
        <f ca="1">IFERROR(__xludf.DUMMYFUNCTION("IMPORTRANGE(""https://docs.google.com/spreadsheets/d/1MeEWN-I1oV_STSDYn1IFDPWt_1FKiwhDph83XaGc0o0/edit?usp=sharing"",""งบพรบ!EP64"")"),0)</f>
        <v>0</v>
      </c>
      <c r="H64" s="77">
        <f ca="1">IFERROR(__xludf.DUMMYFUNCTION("IMPORTRANGE(""https://docs.google.com/spreadsheets/d/1MeEWN-I1oV_STSDYn1IFDPWt_1FKiwhDph83XaGc0o0/edit?usp=sharing"",""งบพรบ!ER64"")"),591100)</f>
        <v>591100</v>
      </c>
      <c r="I64" s="77">
        <f ca="1">IFERROR(__xludf.DUMMYFUNCTION("IMPORTRANGE(""https://docs.google.com/spreadsheets/d/1MeEWN-I1oV_STSDYn1IFDPWt_1FKiwhDph83XaGc0o0/edit?usp=sharing"",""งบพรบ!ES64"")"),0)</f>
        <v>0</v>
      </c>
      <c r="J64" s="77">
        <f t="shared" ca="1" si="3"/>
        <v>512791.44</v>
      </c>
      <c r="K64" s="78">
        <f t="shared" ca="1" si="4"/>
        <v>87.120530071355759</v>
      </c>
      <c r="L64" s="77">
        <f ca="1">IFERROR(__xludf.DUMMYFUNCTION("IMPORTRANGE(""https://docs.google.com/spreadsheets/d/1MeEWN-I1oV_STSDYn1IFDPWt_1FKiwhDph83XaGc0o0/edit?usp=sharing"",""งบพรบ!ET64"")"),512791.44)</f>
        <v>512791.44</v>
      </c>
      <c r="M64" s="79">
        <f t="shared" ca="1" si="5"/>
        <v>87.120530071355759</v>
      </c>
      <c r="N64" s="79">
        <f t="shared" ca="1" si="6"/>
        <v>86.752062256809339</v>
      </c>
      <c r="O64" s="80">
        <f ca="1">IFERROR(__xludf.DUMMYFUNCTION("IMPORTRANGE(""https://docs.google.com/spreadsheets/d/1MeEWN-I1oV_STSDYn1IFDPWt_1FKiwhDph83XaGc0o0/edit?usp=sharing"",""งบพรบ!EU64"")"),0)</f>
        <v>0</v>
      </c>
      <c r="P64" s="80">
        <f t="shared" ca="1" si="25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81">
        <f ca="1">IFERROR(__xludf.DUMMYFUNCTION("IMPORTRANGE(""https://docs.google.com/spreadsheets/d/1nNHCLO8ZAXOMfQvxux7cf_hrzPAh8FAvaHq_ClKbZNo/edit?usp=sharing"",""พระนครศรีอยุธยา!J338"")"),990)</f>
        <v>990</v>
      </c>
      <c r="T64" s="82">
        <f t="shared" ca="1" si="22"/>
        <v>123.75</v>
      </c>
      <c r="U64" s="81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81">
        <f ca="1">IFERROR(__xludf.DUMMYFUNCTION("IMPORTRANGE(""https://docs.google.com/spreadsheets/d/1nNHCLO8ZAXOMfQvxux7cf_hrzPAh8FAvaHq_ClKbZNo/edit?usp=sharing"",""พระนครศรีอยุธยา!J340"")"),7)</f>
        <v>7</v>
      </c>
      <c r="W64" s="82">
        <f t="shared" ca="1" si="23"/>
        <v>233.33333333333334</v>
      </c>
      <c r="X64" s="81">
        <f ca="1">IFERROR(__xludf.DUMMYFUNCTION("IMPORTRANGE(""https://docs.google.com/spreadsheets/d/1nNHCLO8ZAXOMfQvxux7cf_hrzPAh8FAvaHq_ClKbZNo/edit?usp=sharing"",""พระนครศรีอยุธยา!J341"")"),581)</f>
        <v>581</v>
      </c>
      <c r="Y64" s="81">
        <f ca="1">IFERROR(__xludf.DUMMYFUNCTION("IMPORTRANGE(""https://docs.google.com/spreadsheets/d/1nNHCLO8ZAXOMfQvxux7cf_hrzPAh8FAvaHq_ClKbZNo/edit?usp=sharing"",""พระนครศรีอยุธยา!J342"")"),1)</f>
        <v>1</v>
      </c>
      <c r="Z64" s="81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81">
        <f t="shared" ca="1" si="43"/>
        <v>1572</v>
      </c>
      <c r="AB64" s="347">
        <f t="shared" ca="1" si="29"/>
        <v>196.5</v>
      </c>
    </row>
    <row r="65" spans="1:28" ht="21" customHeight="1" x14ac:dyDescent="0.2">
      <c r="A65" s="73">
        <v>13</v>
      </c>
      <c r="B65" s="74" t="s">
        <v>87</v>
      </c>
      <c r="C65" s="75">
        <f t="shared" ca="1" si="0"/>
        <v>161000</v>
      </c>
      <c r="D65" s="76">
        <f t="shared" ca="1" si="42"/>
        <v>161000</v>
      </c>
      <c r="E65" s="77">
        <f ca="1">IFERROR(__xludf.DUMMYFUNCTION("IMPORTRANGE(""https://docs.google.com/spreadsheets/d/1MeEWN-I1oV_STSDYn1IFDPWt_1FKiwhDph83XaGc0o0/edit?usp=sharing"",""งบพรบ!EN65"")"),0)</f>
        <v>0</v>
      </c>
      <c r="F65" s="77">
        <f ca="1">IFERROR(__xludf.DUMMYFUNCTION("IMPORTRANGE(""https://docs.google.com/spreadsheets/d/1MeEWN-I1oV_STSDYn1IFDPWt_1FKiwhDph83XaGc0o0/edit?usp=sharing"",""งบพรบ!EO65"")"),161000)</f>
        <v>161000</v>
      </c>
      <c r="G65" s="77">
        <f ca="1">IFERROR(__xludf.DUMMYFUNCTION("IMPORTRANGE(""https://docs.google.com/spreadsheets/d/1MeEWN-I1oV_STSDYn1IFDPWt_1FKiwhDph83XaGc0o0/edit?usp=sharing"",""งบพรบ!EP65"")"),0)</f>
        <v>0</v>
      </c>
      <c r="H65" s="77">
        <f ca="1">IFERROR(__xludf.DUMMYFUNCTION("IMPORTRANGE(""https://docs.google.com/spreadsheets/d/1MeEWN-I1oV_STSDYn1IFDPWt_1FKiwhDph83XaGc0o0/edit?usp=sharing"",""งบพรบ!ER65"")"),163500)</f>
        <v>163500</v>
      </c>
      <c r="I65" s="77">
        <f ca="1">IFERROR(__xludf.DUMMYFUNCTION("IMPORTRANGE(""https://docs.google.com/spreadsheets/d/1MeEWN-I1oV_STSDYn1IFDPWt_1FKiwhDph83XaGc0o0/edit?usp=sharing"",""งบพรบ!ES65"")"),0)</f>
        <v>0</v>
      </c>
      <c r="J65" s="77">
        <f t="shared" ca="1" si="3"/>
        <v>146990</v>
      </c>
      <c r="K65" s="78">
        <f t="shared" ca="1" si="4"/>
        <v>91.298136645962728</v>
      </c>
      <c r="L65" s="77">
        <f ca="1">IFERROR(__xludf.DUMMYFUNCTION("IMPORTRANGE(""https://docs.google.com/spreadsheets/d/1MeEWN-I1oV_STSDYn1IFDPWt_1FKiwhDph83XaGc0o0/edit?usp=sharing"",""งบพรบ!ET65"")"),146990)</f>
        <v>146990</v>
      </c>
      <c r="M65" s="79">
        <f t="shared" ca="1" si="5"/>
        <v>91.298136645962728</v>
      </c>
      <c r="N65" s="79">
        <f t="shared" ca="1" si="6"/>
        <v>89.902140672782878</v>
      </c>
      <c r="O65" s="80">
        <f ca="1">IFERROR(__xludf.DUMMYFUNCTION("IMPORTRANGE(""https://docs.google.com/spreadsheets/d/1MeEWN-I1oV_STSDYn1IFDPWt_1FKiwhDph83XaGc0o0/edit?usp=sharing"",""งบพรบ!EU65"")"),0)</f>
        <v>0</v>
      </c>
      <c r="P65" s="80">
        <f t="shared" ca="1" si="25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IFERROR(__xludf.DUMMYFUNCTION("IMPORTRANGE(""https://docs.google.com/spreadsheets/d/1CdNicvf3i6yt4tJlCePe3V1Va76wYqW0QzMzTsaGRrA/edit?usp=sharing"",""เพชรบุรี!I338"")"),700)</f>
        <v>700</v>
      </c>
      <c r="S65" s="81">
        <f ca="1">IFERROR(__xludf.DUMMYFUNCTION("IMPORTRANGE(""https://docs.google.com/spreadsheets/d/1CdNicvf3i6yt4tJlCePe3V1Va76wYqW0QzMzTsaGRrA/edit?usp=sharing"",""เพชรบุรี!J338"")"),466)</f>
        <v>466</v>
      </c>
      <c r="T65" s="82">
        <f t="shared" ca="1" si="22"/>
        <v>66.571428571428569</v>
      </c>
      <c r="U65" s="81">
        <f ca="1">IFERROR(__xludf.DUMMYFUNCTION("IMPORTRANGE(""https://docs.google.com/spreadsheets/d/1CdNicvf3i6yt4tJlCePe3V1Va76wYqW0QzMzTsaGRrA/edit?usp=sharing"",""เพชรบุรี!I340"")"),4)</f>
        <v>4</v>
      </c>
      <c r="V65" s="81">
        <f ca="1">IFERROR(__xludf.DUMMYFUNCTION("IMPORTRANGE(""https://docs.google.com/spreadsheets/d/1CdNicvf3i6yt4tJlCePe3V1Va76wYqW0QzMzTsaGRrA/edit?usp=sharing"",""เพชรบุรี!J340"")"),4)</f>
        <v>4</v>
      </c>
      <c r="W65" s="82">
        <f t="shared" ca="1" si="23"/>
        <v>100</v>
      </c>
      <c r="X65" s="81">
        <f ca="1">IFERROR(__xludf.DUMMYFUNCTION("IMPORTRANGE(""https://docs.google.com/spreadsheets/d/1CdNicvf3i6yt4tJlCePe3V1Va76wYqW0QzMzTsaGRrA/edit?usp=sharing"",""เพชรบุรี!J341"")"),137)</f>
        <v>137</v>
      </c>
      <c r="Y65" s="81">
        <f ca="1">IFERROR(__xludf.DUMMYFUNCTION("IMPORTRANGE(""https://docs.google.com/spreadsheets/d/1CdNicvf3i6yt4tJlCePe3V1Va76wYqW0QzMzTsaGRrA/edit?usp=sharing"",""เพชรบุรี!J342"")"),3)</f>
        <v>3</v>
      </c>
      <c r="Z65" s="81">
        <f ca="1">IFERROR(__xludf.DUMMYFUNCTION("IMPORTRANGE(""https://docs.google.com/spreadsheets/d/1CdNicvf3i6yt4tJlCePe3V1Va76wYqW0QzMzTsaGRrA/edit?usp=sharing"",""เพชรบุรี!J343"")"),48)</f>
        <v>48</v>
      </c>
      <c r="AA65" s="81">
        <f t="shared" ca="1" si="43"/>
        <v>654</v>
      </c>
      <c r="AB65" s="347">
        <f t="shared" ca="1" si="29"/>
        <v>93.428571428571431</v>
      </c>
    </row>
    <row r="66" spans="1:28" ht="21" customHeight="1" x14ac:dyDescent="0.2">
      <c r="A66" s="73">
        <v>14</v>
      </c>
      <c r="B66" s="74" t="s">
        <v>88</v>
      </c>
      <c r="C66" s="75">
        <f t="shared" ca="1" si="0"/>
        <v>157000</v>
      </c>
      <c r="D66" s="76">
        <f t="shared" ca="1" si="42"/>
        <v>157000</v>
      </c>
      <c r="E66" s="77">
        <f ca="1">IFERROR(__xludf.DUMMYFUNCTION("IMPORTRANGE(""https://docs.google.com/spreadsheets/d/1MeEWN-I1oV_STSDYn1IFDPWt_1FKiwhDph83XaGc0o0/edit?usp=sharing"",""งบพรบ!EN66"")"),0)</f>
        <v>0</v>
      </c>
      <c r="F66" s="77">
        <f ca="1">IFERROR(__xludf.DUMMYFUNCTION("IMPORTRANGE(""https://docs.google.com/spreadsheets/d/1MeEWN-I1oV_STSDYn1IFDPWt_1FKiwhDph83XaGc0o0/edit?usp=sharing"",""งบพรบ!EO66"")"),157000)</f>
        <v>157000</v>
      </c>
      <c r="G66" s="77">
        <f ca="1">IFERROR(__xludf.DUMMYFUNCTION("IMPORTRANGE(""https://docs.google.com/spreadsheets/d/1MeEWN-I1oV_STSDYn1IFDPWt_1FKiwhDph83XaGc0o0/edit?usp=sharing"",""งบพรบ!EP66"")"),0)</f>
        <v>0</v>
      </c>
      <c r="H66" s="77">
        <f ca="1">IFERROR(__xludf.DUMMYFUNCTION("IMPORTRANGE(""https://docs.google.com/spreadsheets/d/1MeEWN-I1oV_STSDYn1IFDPWt_1FKiwhDph83XaGc0o0/edit?usp=sharing"",""งบพรบ!ER66"")"),159500)</f>
        <v>159500</v>
      </c>
      <c r="I66" s="77">
        <f ca="1">IFERROR(__xludf.DUMMYFUNCTION("IMPORTRANGE(""https://docs.google.com/spreadsheets/d/1MeEWN-I1oV_STSDYn1IFDPWt_1FKiwhDph83XaGc0o0/edit?usp=sharing"",""งบพรบ!ES66"")"),0)</f>
        <v>0</v>
      </c>
      <c r="J66" s="77">
        <f t="shared" ca="1" si="3"/>
        <v>145243.04</v>
      </c>
      <c r="K66" s="78">
        <f t="shared" ca="1" si="4"/>
        <v>92.511490445859877</v>
      </c>
      <c r="L66" s="77">
        <f ca="1">IFERROR(__xludf.DUMMYFUNCTION("IMPORTRANGE(""https://docs.google.com/spreadsheets/d/1MeEWN-I1oV_STSDYn1IFDPWt_1FKiwhDph83XaGc0o0/edit?usp=sharing"",""งบพรบ!ET66"")"),145243.04)</f>
        <v>145243.04</v>
      </c>
      <c r="M66" s="79">
        <f t="shared" ca="1" si="5"/>
        <v>92.511490445859877</v>
      </c>
      <c r="N66" s="79">
        <f t="shared" ca="1" si="6"/>
        <v>91.061467084639503</v>
      </c>
      <c r="O66" s="80">
        <f ca="1">IFERROR(__xludf.DUMMYFUNCTION("IMPORTRANGE(""https://docs.google.com/spreadsheets/d/1MeEWN-I1oV_STSDYn1IFDPWt_1FKiwhDph83XaGc0o0/edit?usp=sharing"",""งบพรบ!EU66"")"),0)</f>
        <v>0</v>
      </c>
      <c r="P66" s="80">
        <f t="shared" ca="1" si="25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IFERROR(__xludf.DUMMYFUNCTION("IMPORTRANGE(""https://docs.google.com/spreadsheets/d/1XiF77UIVHV0Kjc6xbXuOuJ10WgJYxd4p_22ngKVV5oM/edit?usp=sharing"",""ระยอง!I338"")"),400)</f>
        <v>400</v>
      </c>
      <c r="S66" s="81">
        <f ca="1">IFERROR(__xludf.DUMMYFUNCTION("IMPORTRANGE(""https://docs.google.com/spreadsheets/d/1XiF77UIVHV0Kjc6xbXuOuJ10WgJYxd4p_22ngKVV5oM/edit?usp=sharing"",""ระยอง!J338"")"),515)</f>
        <v>515</v>
      </c>
      <c r="T66" s="82">
        <f t="shared" ca="1" si="22"/>
        <v>128.75</v>
      </c>
      <c r="U66" s="81">
        <f ca="1">IFERROR(__xludf.DUMMYFUNCTION("IMPORTRANGE(""https://docs.google.com/spreadsheets/d/1XiF77UIVHV0Kjc6xbXuOuJ10WgJYxd4p_22ngKVV5oM/edit?usp=sharing"",""ระยอง!I340"")"),2)</f>
        <v>2</v>
      </c>
      <c r="V66" s="81">
        <f ca="1">IFERROR(__xludf.DUMMYFUNCTION("IMPORTRANGE(""https://docs.google.com/spreadsheets/d/1XiF77UIVHV0Kjc6xbXuOuJ10WgJYxd4p_22ngKVV5oM/edit?usp=sharing"",""ระยอง!J340"")"),4)</f>
        <v>4</v>
      </c>
      <c r="W66" s="82">
        <f t="shared" ca="1" si="23"/>
        <v>200</v>
      </c>
      <c r="X66" s="81">
        <f ca="1">IFERROR(__xludf.DUMMYFUNCTION("IMPORTRANGE(""https://docs.google.com/spreadsheets/d/1XiF77UIVHV0Kjc6xbXuOuJ10WgJYxd4p_22ngKVV5oM/edit?usp=sharing"",""ระยอง!J341"")"),137)</f>
        <v>137</v>
      </c>
      <c r="Y66" s="81">
        <f ca="1">IFERROR(__xludf.DUMMYFUNCTION("IMPORTRANGE(""https://docs.google.com/spreadsheets/d/1XiF77UIVHV0Kjc6xbXuOuJ10WgJYxd4p_22ngKVV5oM/edit?usp=sharing"",""ระยอง!J342"")"),8)</f>
        <v>8</v>
      </c>
      <c r="Z66" s="81">
        <f ca="1">IFERROR(__xludf.DUMMYFUNCTION("IMPORTRANGE(""https://docs.google.com/spreadsheets/d/1XiF77UIVHV0Kjc6xbXuOuJ10WgJYxd4p_22ngKVV5oM/edit?usp=sharing"",""ระยอง!J343"")"),81)</f>
        <v>81</v>
      </c>
      <c r="AA66" s="81">
        <f t="shared" ca="1" si="43"/>
        <v>741</v>
      </c>
      <c r="AB66" s="347">
        <f t="shared" ca="1" si="29"/>
        <v>185.25</v>
      </c>
    </row>
    <row r="67" spans="1:28" ht="21" customHeight="1" x14ac:dyDescent="0.2">
      <c r="A67" s="73">
        <v>15</v>
      </c>
      <c r="B67" s="74" t="s">
        <v>89</v>
      </c>
      <c r="C67" s="75">
        <f t="shared" ca="1" si="0"/>
        <v>687200</v>
      </c>
      <c r="D67" s="76">
        <f t="shared" ca="1" si="42"/>
        <v>687200</v>
      </c>
      <c r="E67" s="77">
        <f ca="1">IFERROR(__xludf.DUMMYFUNCTION("IMPORTRANGE(""https://docs.google.com/spreadsheets/d/1MeEWN-I1oV_STSDYn1IFDPWt_1FKiwhDph83XaGc0o0/edit?usp=sharing"",""งบพรบ!EN67"")"),517200)</f>
        <v>517200</v>
      </c>
      <c r="F67" s="77">
        <f ca="1">IFERROR(__xludf.DUMMYFUNCTION("IMPORTRANGE(""https://docs.google.com/spreadsheets/d/1MeEWN-I1oV_STSDYn1IFDPWt_1FKiwhDph83XaGc0o0/edit?usp=sharing"",""งบพรบ!EO67"")"),170000)</f>
        <v>170000</v>
      </c>
      <c r="G67" s="77">
        <f ca="1">IFERROR(__xludf.DUMMYFUNCTION("IMPORTRANGE(""https://docs.google.com/spreadsheets/d/1MeEWN-I1oV_STSDYn1IFDPWt_1FKiwhDph83XaGc0o0/edit?usp=sharing"",""งบพรบ!EP67"")"),0)</f>
        <v>0</v>
      </c>
      <c r="H67" s="77">
        <f ca="1">IFERROR(__xludf.DUMMYFUNCTION("IMPORTRANGE(""https://docs.google.com/spreadsheets/d/1MeEWN-I1oV_STSDYn1IFDPWt_1FKiwhDph83XaGc0o0/edit?usp=sharing"",""งบพรบ!ER67"")"),689700)</f>
        <v>689700</v>
      </c>
      <c r="I67" s="77">
        <f ca="1">IFERROR(__xludf.DUMMYFUNCTION("IMPORTRANGE(""https://docs.google.com/spreadsheets/d/1MeEWN-I1oV_STSDYn1IFDPWt_1FKiwhDph83XaGc0o0/edit?usp=sharing"",""งบพรบ!ES67"")"),0)</f>
        <v>0</v>
      </c>
      <c r="J67" s="77">
        <f t="shared" ca="1" si="3"/>
        <v>611942.94999999995</v>
      </c>
      <c r="K67" s="78">
        <f t="shared" ca="1" si="4"/>
        <v>89.04874126891734</v>
      </c>
      <c r="L67" s="77">
        <f ca="1">IFERROR(__xludf.DUMMYFUNCTION("IMPORTRANGE(""https://docs.google.com/spreadsheets/d/1MeEWN-I1oV_STSDYn1IFDPWt_1FKiwhDph83XaGc0o0/edit?usp=sharing"",""งบพรบ!ET67"")"),611942.95)</f>
        <v>611942.94999999995</v>
      </c>
      <c r="M67" s="79">
        <f t="shared" ca="1" si="5"/>
        <v>89.04874126891734</v>
      </c>
      <c r="N67" s="79">
        <f t="shared" ca="1" si="6"/>
        <v>88.725960562563429</v>
      </c>
      <c r="O67" s="80">
        <f ca="1">IFERROR(__xludf.DUMMYFUNCTION("IMPORTRANGE(""https://docs.google.com/spreadsheets/d/1MeEWN-I1oV_STSDYn1IFDPWt_1FKiwhDph83XaGc0o0/edit?usp=sharing"",""งบพรบ!EU67"")"),0)</f>
        <v>0</v>
      </c>
      <c r="P67" s="80">
        <f t="shared" ca="1" si="25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IFERROR(__xludf.DUMMYFUNCTION("IMPORTRANGE(""https://docs.google.com/spreadsheets/d/1qU-W_9MCQD1pgIVXGEOjCFo9QqlmJywuebyGgaN92r8/edit?usp=sharing"",""ราชบุรี!I338"")"),1600)</f>
        <v>1600</v>
      </c>
      <c r="S67" s="81">
        <f ca="1">IFERROR(__xludf.DUMMYFUNCTION("IMPORTRANGE(""https://docs.google.com/spreadsheets/d/1qU-W_9MCQD1pgIVXGEOjCFo9QqlmJywuebyGgaN92r8/edit?usp=sharing"",""ราชบุรี!J338"")"),5472)</f>
        <v>5472</v>
      </c>
      <c r="T67" s="82">
        <f t="shared" ca="1" si="22"/>
        <v>342</v>
      </c>
      <c r="U67" s="81">
        <f ca="1">IFERROR(__xludf.DUMMYFUNCTION("IMPORTRANGE(""https://docs.google.com/spreadsheets/d/1qU-W_9MCQD1pgIVXGEOjCFo9QqlmJywuebyGgaN92r8/edit?usp=sharing"",""ราชบุรี!I340"")"),6)</f>
        <v>6</v>
      </c>
      <c r="V67" s="81">
        <f ca="1">IFERROR(__xludf.DUMMYFUNCTION("IMPORTRANGE(""https://docs.google.com/spreadsheets/d/1qU-W_9MCQD1pgIVXGEOjCFo9QqlmJywuebyGgaN92r8/edit?usp=sharing"",""ราชบุรี!J340"")"),6)</f>
        <v>6</v>
      </c>
      <c r="W67" s="82">
        <f t="shared" ca="1" si="23"/>
        <v>100</v>
      </c>
      <c r="X67" s="81">
        <f ca="1">IFERROR(__xludf.DUMMYFUNCTION("IMPORTRANGE(""https://docs.google.com/spreadsheets/d/1qU-W_9MCQD1pgIVXGEOjCFo9QqlmJywuebyGgaN92r8/edit?usp=sharing"",""ราชบุรี!J341"")"),167)</f>
        <v>167</v>
      </c>
      <c r="Y67" s="81">
        <f ca="1">IFERROR(__xludf.DUMMYFUNCTION("IMPORTRANGE(""https://docs.google.com/spreadsheets/d/1qU-W_9MCQD1pgIVXGEOjCFo9QqlmJywuebyGgaN92r8/edit?usp=sharing"",""ราชบุรี!J342"")"),9)</f>
        <v>9</v>
      </c>
      <c r="Z67" s="81">
        <f ca="1">IFERROR(__xludf.DUMMYFUNCTION("IMPORTRANGE(""https://docs.google.com/spreadsheets/d/1qU-W_9MCQD1pgIVXGEOjCFo9QqlmJywuebyGgaN92r8/edit?usp=sharing"",""ราชบุรี!J343"")"),0)</f>
        <v>0</v>
      </c>
      <c r="AA67" s="81">
        <f t="shared" ca="1" si="43"/>
        <v>5648</v>
      </c>
      <c r="AB67" s="347">
        <f t="shared" ca="1" si="29"/>
        <v>353</v>
      </c>
    </row>
    <row r="68" spans="1:28" ht="24" customHeight="1" x14ac:dyDescent="0.2">
      <c r="A68" s="73">
        <v>16</v>
      </c>
      <c r="B68" s="74" t="s">
        <v>90</v>
      </c>
      <c r="C68" s="75">
        <f t="shared" ca="1" si="0"/>
        <v>170000</v>
      </c>
      <c r="D68" s="76">
        <f t="shared" ca="1" si="42"/>
        <v>170000</v>
      </c>
      <c r="E68" s="77">
        <f ca="1">IFERROR(__xludf.DUMMYFUNCTION("IMPORTRANGE(""https://docs.google.com/spreadsheets/d/1MeEWN-I1oV_STSDYn1IFDPWt_1FKiwhDph83XaGc0o0/edit?usp=sharing"",""งบพรบ!EN68"")"),0)</f>
        <v>0</v>
      </c>
      <c r="F68" s="77">
        <f ca="1">IFERROR(__xludf.DUMMYFUNCTION("IMPORTRANGE(""https://docs.google.com/spreadsheets/d/1MeEWN-I1oV_STSDYn1IFDPWt_1FKiwhDph83XaGc0o0/edit?usp=sharing"",""งบพรบ!EO68"")"),170000)</f>
        <v>170000</v>
      </c>
      <c r="G68" s="77">
        <f ca="1">IFERROR(__xludf.DUMMYFUNCTION("IMPORTRANGE(""https://docs.google.com/spreadsheets/d/1MeEWN-I1oV_STSDYn1IFDPWt_1FKiwhDph83XaGc0o0/edit?usp=sharing"",""งบพรบ!EP68"")"),0)</f>
        <v>0</v>
      </c>
      <c r="H68" s="77">
        <f ca="1">IFERROR(__xludf.DUMMYFUNCTION("IMPORTRANGE(""https://docs.google.com/spreadsheets/d/1MeEWN-I1oV_STSDYn1IFDPWt_1FKiwhDph83XaGc0o0/edit?usp=sharing"",""งบพรบ!ER68"")"),172500)</f>
        <v>172500</v>
      </c>
      <c r="I68" s="77">
        <f ca="1">IFERROR(__xludf.DUMMYFUNCTION("IMPORTRANGE(""https://docs.google.com/spreadsheets/d/1MeEWN-I1oV_STSDYn1IFDPWt_1FKiwhDph83XaGc0o0/edit?usp=sharing"",""งบพรบ!ES68"")"),0)</f>
        <v>0</v>
      </c>
      <c r="J68" s="77">
        <f t="shared" ca="1" si="3"/>
        <v>148400</v>
      </c>
      <c r="K68" s="78">
        <f t="shared" ca="1" si="4"/>
        <v>87.294117647058826</v>
      </c>
      <c r="L68" s="77">
        <f ca="1">IFERROR(__xludf.DUMMYFUNCTION("IMPORTRANGE(""https://docs.google.com/spreadsheets/d/1MeEWN-I1oV_STSDYn1IFDPWt_1FKiwhDph83XaGc0o0/edit?usp=sharing"",""งบพรบ!ET68"")"),148400)</f>
        <v>148400</v>
      </c>
      <c r="M68" s="79">
        <f t="shared" ca="1" si="5"/>
        <v>87.294117647058826</v>
      </c>
      <c r="N68" s="79">
        <f t="shared" ca="1" si="6"/>
        <v>86.028985507246375</v>
      </c>
      <c r="O68" s="80">
        <f ca="1">IFERROR(__xludf.DUMMYFUNCTION("IMPORTRANGE(""https://docs.google.com/spreadsheets/d/1MeEWN-I1oV_STSDYn1IFDPWt_1FKiwhDph83XaGc0o0/edit?usp=sharing"",""งบพรบ!EU68"")"),0)</f>
        <v>0</v>
      </c>
      <c r="P68" s="80">
        <f t="shared" ca="1" si="25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IFERROR(__xludf.DUMMYFUNCTION("IMPORTRANGE(""https://docs.google.com/spreadsheets/d/1xYFIxIM_CspAP5Q-5Zx_V0T_Ut3cjryrjd2hss28vGk/edit?usp=sharing"",""ลพบุรี!I338"")"),2100)</f>
        <v>2100</v>
      </c>
      <c r="S68" s="81">
        <f ca="1">IFERROR(__xludf.DUMMYFUNCTION("IMPORTRANGE(""https://docs.google.com/spreadsheets/d/1xYFIxIM_CspAP5Q-5Zx_V0T_Ut3cjryrjd2hss28vGk/edit?usp=sharing"",""ลพบุรี!J338"")"),3968)</f>
        <v>3968</v>
      </c>
      <c r="T68" s="82">
        <f t="shared" ca="1" si="22"/>
        <v>188.95238095238096</v>
      </c>
      <c r="U68" s="81">
        <f ca="1">IFERROR(__xludf.DUMMYFUNCTION("IMPORTRANGE(""https://docs.google.com/spreadsheets/d/1xYFIxIM_CspAP5Q-5Zx_V0T_Ut3cjryrjd2hss28vGk/edit?usp=sharing"",""ลพบุรี!I340"")"),6)</f>
        <v>6</v>
      </c>
      <c r="V68" s="81">
        <f ca="1">IFERROR(__xludf.DUMMYFUNCTION("IMPORTRANGE(""https://docs.google.com/spreadsheets/d/1xYFIxIM_CspAP5Q-5Zx_V0T_Ut3cjryrjd2hss28vGk/edit?usp=sharing"",""ลพบุรี!J340"")"),6)</f>
        <v>6</v>
      </c>
      <c r="W68" s="82">
        <f t="shared" ca="1" si="23"/>
        <v>100</v>
      </c>
      <c r="X68" s="81">
        <f ca="1">IFERROR(__xludf.DUMMYFUNCTION("IMPORTRANGE(""https://docs.google.com/spreadsheets/d/1xYFIxIM_CspAP5Q-5Zx_V0T_Ut3cjryrjd2hss28vGk/edit?usp=sharing"",""ลพบุรี!J341"")"),339)</f>
        <v>339</v>
      </c>
      <c r="Y68" s="81">
        <f ca="1">IFERROR(__xludf.DUMMYFUNCTION("IMPORTRANGE(""https://docs.google.com/spreadsheets/d/1xYFIxIM_CspAP5Q-5Zx_V0T_Ut3cjryrjd2hss28vGk/edit?usp=sharing"",""ลพบุรี!J342"")"),0)</f>
        <v>0</v>
      </c>
      <c r="Z68" s="81">
        <f ca="1">IFERROR(__xludf.DUMMYFUNCTION("IMPORTRANGE(""https://docs.google.com/spreadsheets/d/1xYFIxIM_CspAP5Q-5Zx_V0T_Ut3cjryrjd2hss28vGk/edit?usp=sharing"",""ลพบุรี!J343"")"),0)</f>
        <v>0</v>
      </c>
      <c r="AA68" s="81">
        <f t="shared" ca="1" si="43"/>
        <v>4307</v>
      </c>
      <c r="AB68" s="347">
        <f t="shared" ca="1" si="29"/>
        <v>205.0952380952381</v>
      </c>
    </row>
    <row r="69" spans="1:28" ht="21" customHeight="1" x14ac:dyDescent="0.2">
      <c r="A69" s="73">
        <v>17</v>
      </c>
      <c r="B69" s="74" t="s">
        <v>91</v>
      </c>
      <c r="C69" s="75">
        <f t="shared" ca="1" si="0"/>
        <v>182000</v>
      </c>
      <c r="D69" s="76">
        <f t="shared" ca="1" si="42"/>
        <v>182000</v>
      </c>
      <c r="E69" s="77">
        <f ca="1">IFERROR(__xludf.DUMMYFUNCTION("IMPORTRANGE(""https://docs.google.com/spreadsheets/d/1MeEWN-I1oV_STSDYn1IFDPWt_1FKiwhDph83XaGc0o0/edit?usp=sharing"",""งบพรบ!EN69"")"),0)</f>
        <v>0</v>
      </c>
      <c r="F69" s="77">
        <f ca="1">IFERROR(__xludf.DUMMYFUNCTION("IMPORTRANGE(""https://docs.google.com/spreadsheets/d/1MeEWN-I1oV_STSDYn1IFDPWt_1FKiwhDph83XaGc0o0/edit?usp=sharing"",""งบพรบ!EO69"")"),182000)</f>
        <v>182000</v>
      </c>
      <c r="G69" s="77">
        <f ca="1">IFERROR(__xludf.DUMMYFUNCTION("IMPORTRANGE(""https://docs.google.com/spreadsheets/d/1MeEWN-I1oV_STSDYn1IFDPWt_1FKiwhDph83XaGc0o0/edit?usp=sharing"",""งบพรบ!EP69"")"),0)</f>
        <v>0</v>
      </c>
      <c r="H69" s="77">
        <f ca="1">IFERROR(__xludf.DUMMYFUNCTION("IMPORTRANGE(""https://docs.google.com/spreadsheets/d/1MeEWN-I1oV_STSDYn1IFDPWt_1FKiwhDph83XaGc0o0/edit?usp=sharing"",""งบพรบ!ER69"")"),184500)</f>
        <v>184500</v>
      </c>
      <c r="I69" s="77">
        <f ca="1">IFERROR(__xludf.DUMMYFUNCTION("IMPORTRANGE(""https://docs.google.com/spreadsheets/d/1MeEWN-I1oV_STSDYn1IFDPWt_1FKiwhDph83XaGc0o0/edit?usp=sharing"",""งบพรบ!ES69"")"),0)</f>
        <v>0</v>
      </c>
      <c r="J69" s="77">
        <f t="shared" ca="1" si="3"/>
        <v>172012.59</v>
      </c>
      <c r="K69" s="78">
        <f t="shared" ca="1" si="4"/>
        <v>94.512412087912082</v>
      </c>
      <c r="L69" s="77">
        <f ca="1">IFERROR(__xludf.DUMMYFUNCTION("IMPORTRANGE(""https://docs.google.com/spreadsheets/d/1MeEWN-I1oV_STSDYn1IFDPWt_1FKiwhDph83XaGc0o0/edit?usp=sharing"",""งบพรบ!ET69"")"),172012.59)</f>
        <v>172012.59</v>
      </c>
      <c r="M69" s="79">
        <f t="shared" ca="1" si="5"/>
        <v>94.512412087912082</v>
      </c>
      <c r="N69" s="79">
        <f t="shared" ca="1" si="6"/>
        <v>93.231756097560975</v>
      </c>
      <c r="O69" s="80">
        <f ca="1">IFERROR(__xludf.DUMMYFUNCTION("IMPORTRANGE(""https://docs.google.com/spreadsheets/d/1MeEWN-I1oV_STSDYn1IFDPWt_1FKiwhDph83XaGc0o0/edit?usp=sharing"",""งบพรบ!EU69"")"),0)</f>
        <v>0</v>
      </c>
      <c r="P69" s="80">
        <f t="shared" ca="1" si="25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IFERROR(__xludf.DUMMYFUNCTION("IMPORTRANGE(""https://docs.google.com/spreadsheets/d/11s9m3tKsCBdPWq6syhZm27eBGbKneDLZc75co106bio/edit?usp=sharing"",""สระแก้ว!I338"")"),5300)</f>
        <v>5300</v>
      </c>
      <c r="S69" s="81">
        <f ca="1">IFERROR(__xludf.DUMMYFUNCTION("IMPORTRANGE(""https://docs.google.com/spreadsheets/d/11s9m3tKsCBdPWq6syhZm27eBGbKneDLZc75co106bio/edit?usp=sharing"",""สระแก้ว!J338"")"),8819)</f>
        <v>8819</v>
      </c>
      <c r="T69" s="82">
        <f t="shared" ca="1" si="22"/>
        <v>166.39622641509433</v>
      </c>
      <c r="U69" s="81">
        <f ca="1">IFERROR(__xludf.DUMMYFUNCTION("IMPORTRANGE(""https://docs.google.com/spreadsheets/d/11s9m3tKsCBdPWq6syhZm27eBGbKneDLZc75co106bio/edit?usp=sharing"",""สระแก้ว!I340"")"),7)</f>
        <v>7</v>
      </c>
      <c r="V69" s="81">
        <f ca="1">IFERROR(__xludf.DUMMYFUNCTION("IMPORTRANGE(""https://docs.google.com/spreadsheets/d/11s9m3tKsCBdPWq6syhZm27eBGbKneDLZc75co106bio/edit?usp=sharing"",""สระแก้ว!J340"")"),8)</f>
        <v>8</v>
      </c>
      <c r="W69" s="82">
        <f t="shared" ca="1" si="23"/>
        <v>114.28571428571429</v>
      </c>
      <c r="X69" s="81">
        <f ca="1">IFERROR(__xludf.DUMMYFUNCTION("IMPORTRANGE(""https://docs.google.com/spreadsheets/d/11s9m3tKsCBdPWq6syhZm27eBGbKneDLZc75co106bio/edit?usp=sharing"",""สระแก้ว!J341"")"),78)</f>
        <v>78</v>
      </c>
      <c r="Y69" s="81">
        <f ca="1">IFERROR(__xludf.DUMMYFUNCTION("IMPORTRANGE(""https://docs.google.com/spreadsheets/d/11s9m3tKsCBdPWq6syhZm27eBGbKneDLZc75co106bio/edit?usp=sharing"",""สระแก้ว!J342"")"),258)</f>
        <v>258</v>
      </c>
      <c r="Z69" s="81">
        <f ca="1">IFERROR(__xludf.DUMMYFUNCTION("IMPORTRANGE(""https://docs.google.com/spreadsheets/d/11s9m3tKsCBdPWq6syhZm27eBGbKneDLZc75co106bio/edit?usp=sharing"",""สระแก้ว!J343"")"),0)</f>
        <v>0</v>
      </c>
      <c r="AA69" s="81">
        <f t="shared" ca="1" si="43"/>
        <v>9155</v>
      </c>
      <c r="AB69" s="347">
        <f t="shared" ca="1" si="29"/>
        <v>172.73584905660377</v>
      </c>
    </row>
    <row r="70" spans="1:28" ht="21" customHeight="1" x14ac:dyDescent="0.2">
      <c r="A70" s="73">
        <v>18</v>
      </c>
      <c r="B70" s="74" t="s">
        <v>92</v>
      </c>
      <c r="C70" s="75">
        <f t="shared" ca="1" si="0"/>
        <v>426800</v>
      </c>
      <c r="D70" s="76">
        <f t="shared" ca="1" si="42"/>
        <v>426800</v>
      </c>
      <c r="E70" s="77">
        <f ca="1">IFERROR(__xludf.DUMMYFUNCTION("IMPORTRANGE(""https://docs.google.com/spreadsheets/d/1MeEWN-I1oV_STSDYn1IFDPWt_1FKiwhDph83XaGc0o0/edit?usp=sharing"",""งบพรบ!EN70"")"),262800)</f>
        <v>262800</v>
      </c>
      <c r="F70" s="77">
        <f ca="1">IFERROR(__xludf.DUMMYFUNCTION("IMPORTRANGE(""https://docs.google.com/spreadsheets/d/1MeEWN-I1oV_STSDYn1IFDPWt_1FKiwhDph83XaGc0o0/edit?usp=sharing"",""งบพรบ!EO70"")"),164000)</f>
        <v>164000</v>
      </c>
      <c r="G70" s="77">
        <f ca="1">IFERROR(__xludf.DUMMYFUNCTION("IMPORTRANGE(""https://docs.google.com/spreadsheets/d/1MeEWN-I1oV_STSDYn1IFDPWt_1FKiwhDph83XaGc0o0/edit?usp=sharing"",""งบพรบ!EP70"")"),0)</f>
        <v>0</v>
      </c>
      <c r="H70" s="77">
        <f ca="1">IFERROR(__xludf.DUMMYFUNCTION("IMPORTRANGE(""https://docs.google.com/spreadsheets/d/1MeEWN-I1oV_STSDYn1IFDPWt_1FKiwhDph83XaGc0o0/edit?usp=sharing"",""งบพรบ!ER70"")"),429300)</f>
        <v>429300</v>
      </c>
      <c r="I70" s="77">
        <f ca="1">IFERROR(__xludf.DUMMYFUNCTION("IMPORTRANGE(""https://docs.google.com/spreadsheets/d/1MeEWN-I1oV_STSDYn1IFDPWt_1FKiwhDph83XaGc0o0/edit?usp=sharing"",""งบพรบ!ES70"")"),0)</f>
        <v>0</v>
      </c>
      <c r="J70" s="77">
        <f t="shared" ca="1" si="3"/>
        <v>402733.33</v>
      </c>
      <c r="K70" s="78">
        <f t="shared" ca="1" si="4"/>
        <v>94.361136363636362</v>
      </c>
      <c r="L70" s="77">
        <f ca="1">IFERROR(__xludf.DUMMYFUNCTION("IMPORTRANGE(""https://docs.google.com/spreadsheets/d/1MeEWN-I1oV_STSDYn1IFDPWt_1FKiwhDph83XaGc0o0/edit?usp=sharing"",""งบพรบ!ET70"")"),402733.33)</f>
        <v>402733.33</v>
      </c>
      <c r="M70" s="79">
        <f t="shared" ca="1" si="5"/>
        <v>94.361136363636362</v>
      </c>
      <c r="N70" s="79">
        <f t="shared" ca="1" si="6"/>
        <v>93.81163056137899</v>
      </c>
      <c r="O70" s="80">
        <f ca="1">IFERROR(__xludf.DUMMYFUNCTION("IMPORTRANGE(""https://docs.google.com/spreadsheets/d/1MeEWN-I1oV_STSDYn1IFDPWt_1FKiwhDph83XaGc0o0/edit?usp=sharing"",""งบพรบ!EU70"")"),0)</f>
        <v>0</v>
      </c>
      <c r="P70" s="80">
        <f t="shared" ca="1" si="25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IFERROR(__xludf.DUMMYFUNCTION("IMPORTRANGE(""https://docs.google.com/spreadsheets/d/1Nn1EvsFPtXldgpgVb3Rcng2K2cls68LFQsBh2FyW0Bg/edit?usp=sharing"",""สระบุรี!I338"")"),1500)</f>
        <v>1500</v>
      </c>
      <c r="S70" s="81">
        <f ca="1">IFERROR(__xludf.DUMMYFUNCTION("IMPORTRANGE(""https://docs.google.com/spreadsheets/d/1Nn1EvsFPtXldgpgVb3Rcng2K2cls68LFQsBh2FyW0Bg/edit?usp=sharing"",""สระบุรี!J338"")"),1962)</f>
        <v>1962</v>
      </c>
      <c r="T70" s="82">
        <f t="shared" ca="1" si="22"/>
        <v>130.80000000000001</v>
      </c>
      <c r="U70" s="81">
        <f ca="1">IFERROR(__xludf.DUMMYFUNCTION("IMPORTRANGE(""https://docs.google.com/spreadsheets/d/1Nn1EvsFPtXldgpgVb3Rcng2K2cls68LFQsBh2FyW0Bg/edit?usp=sharing"",""สระบุรี!I340"")"),3)</f>
        <v>3</v>
      </c>
      <c r="V70" s="81">
        <f ca="1">IFERROR(__xludf.DUMMYFUNCTION("IMPORTRANGE(""https://docs.google.com/spreadsheets/d/1Nn1EvsFPtXldgpgVb3Rcng2K2cls68LFQsBh2FyW0Bg/edit?usp=sharing"",""สระบุรี!J340"")"),3)</f>
        <v>3</v>
      </c>
      <c r="W70" s="82">
        <f t="shared" ca="1" si="23"/>
        <v>100</v>
      </c>
      <c r="X70" s="81">
        <f ca="1">IFERROR(__xludf.DUMMYFUNCTION("IMPORTRANGE(""https://docs.google.com/spreadsheets/d/1Nn1EvsFPtXldgpgVb3Rcng2K2cls68LFQsBh2FyW0Bg/edit?usp=sharing"",""สระบุรี!J341"")"),336)</f>
        <v>336</v>
      </c>
      <c r="Y70" s="81">
        <f ca="1">IFERROR(__xludf.DUMMYFUNCTION("IMPORTRANGE(""https://docs.google.com/spreadsheets/d/1Nn1EvsFPtXldgpgVb3Rcng2K2cls68LFQsBh2FyW0Bg/edit?usp=sharing"",""สระบุรี!J342"")"),1)</f>
        <v>1</v>
      </c>
      <c r="Z70" s="81">
        <f ca="1">IFERROR(__xludf.DUMMYFUNCTION("IMPORTRANGE(""https://docs.google.com/spreadsheets/d/1Nn1EvsFPtXldgpgVb3Rcng2K2cls68LFQsBh2FyW0Bg/edit?usp=sharing"",""สระบุรี!J343"")"),0)</f>
        <v>0</v>
      </c>
      <c r="AA70" s="81">
        <f t="shared" ca="1" si="43"/>
        <v>2299</v>
      </c>
      <c r="AB70" s="347">
        <f t="shared" ca="1" si="29"/>
        <v>153.26666666666668</v>
      </c>
    </row>
    <row r="71" spans="1:28" ht="21" customHeight="1" x14ac:dyDescent="0.2">
      <c r="A71" s="73">
        <v>19</v>
      </c>
      <c r="B71" s="74" t="s">
        <v>93</v>
      </c>
      <c r="C71" s="75">
        <f t="shared" ca="1" si="0"/>
        <v>353600</v>
      </c>
      <c r="D71" s="76">
        <f t="shared" ca="1" si="42"/>
        <v>353600</v>
      </c>
      <c r="E71" s="77">
        <f ca="1">IFERROR(__xludf.DUMMYFUNCTION("IMPORTRANGE(""https://docs.google.com/spreadsheets/d/1MeEWN-I1oV_STSDYn1IFDPWt_1FKiwhDph83XaGc0o0/edit?usp=sharing"",""งบพรบ!EN71"")"),201600)</f>
        <v>201600</v>
      </c>
      <c r="F71" s="77">
        <f ca="1">IFERROR(__xludf.DUMMYFUNCTION("IMPORTRANGE(""https://docs.google.com/spreadsheets/d/1MeEWN-I1oV_STSDYn1IFDPWt_1FKiwhDph83XaGc0o0/edit?usp=sharing"",""งบพรบ!EO71"")"),152000)</f>
        <v>152000</v>
      </c>
      <c r="G71" s="77">
        <f ca="1">IFERROR(__xludf.DUMMYFUNCTION("IMPORTRANGE(""https://docs.google.com/spreadsheets/d/1MeEWN-I1oV_STSDYn1IFDPWt_1FKiwhDph83XaGc0o0/edit?usp=sharing"",""งบพรบ!EP71"")"),0)</f>
        <v>0</v>
      </c>
      <c r="H71" s="77">
        <f ca="1">IFERROR(__xludf.DUMMYFUNCTION("IMPORTRANGE(""https://docs.google.com/spreadsheets/d/1MeEWN-I1oV_STSDYn1IFDPWt_1FKiwhDph83XaGc0o0/edit?usp=sharing"",""งบพรบ!ER71"")"),356100)</f>
        <v>356100</v>
      </c>
      <c r="I71" s="77">
        <f ca="1">IFERROR(__xludf.DUMMYFUNCTION("IMPORTRANGE(""https://docs.google.com/spreadsheets/d/1MeEWN-I1oV_STSDYn1IFDPWt_1FKiwhDph83XaGc0o0/edit?usp=sharing"",""งบพรบ!ES71"")"),0)</f>
        <v>0</v>
      </c>
      <c r="J71" s="77">
        <f t="shared" ca="1" si="3"/>
        <v>322533.44</v>
      </c>
      <c r="K71" s="78">
        <f t="shared" ca="1" si="4"/>
        <v>91.214208144796373</v>
      </c>
      <c r="L71" s="77">
        <f ca="1">IFERROR(__xludf.DUMMYFUNCTION("IMPORTRANGE(""https://docs.google.com/spreadsheets/d/1MeEWN-I1oV_STSDYn1IFDPWt_1FKiwhDph83XaGc0o0/edit?usp=sharing"",""งบพรบ!ET71"")"),322533.44)</f>
        <v>322533.44</v>
      </c>
      <c r="M71" s="79">
        <f t="shared" ca="1" si="5"/>
        <v>91.214208144796373</v>
      </c>
      <c r="N71" s="79">
        <f t="shared" ca="1" si="6"/>
        <v>90.57383880932322</v>
      </c>
      <c r="O71" s="80">
        <f ca="1">IFERROR(__xludf.DUMMYFUNCTION("IMPORTRANGE(""https://docs.google.com/spreadsheets/d/1MeEWN-I1oV_STSDYn1IFDPWt_1FKiwhDph83XaGc0o0/edit?usp=sharing"",""งบพรบ!EU71"")"),0)</f>
        <v>0</v>
      </c>
      <c r="P71" s="80">
        <f t="shared" ca="1" si="25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IFERROR(__xludf.DUMMYFUNCTION("IMPORTRANGE(""https://docs.google.com/spreadsheets/d/149xufxukrnEciK3WPbNpHwUK8BKEJxp3UcBG3Al6dA4/edit?usp=sharing"",""สิงห์บุรี!I338"")"),50)</f>
        <v>50</v>
      </c>
      <c r="S71" s="81">
        <f ca="1">IFERROR(__xludf.DUMMYFUNCTION("IMPORTRANGE(""https://docs.google.com/spreadsheets/d/149xufxukrnEciK3WPbNpHwUK8BKEJxp3UcBG3Al6dA4/edit?usp=sharing"",""สิงห์บุรี!J338"")"),29)</f>
        <v>29</v>
      </c>
      <c r="T71" s="82">
        <f t="shared" ca="1" si="22"/>
        <v>58</v>
      </c>
      <c r="U71" s="81">
        <f ca="1">IFERROR(__xludf.DUMMYFUNCTION("IMPORTRANGE(""https://docs.google.com/spreadsheets/d/149xufxukrnEciK3WPbNpHwUK8BKEJxp3UcBG3Al6dA4/edit?usp=sharing"",""สิงห์บุรี!I340"")"),2)</f>
        <v>2</v>
      </c>
      <c r="V71" s="81">
        <f ca="1">IFERROR(__xludf.DUMMYFUNCTION("IMPORTRANGE(""https://docs.google.com/spreadsheets/d/149xufxukrnEciK3WPbNpHwUK8BKEJxp3UcBG3Al6dA4/edit?usp=sharing"",""สิงห์บุรี!J340"")"),2)</f>
        <v>2</v>
      </c>
      <c r="W71" s="82">
        <f t="shared" ca="1" si="23"/>
        <v>100</v>
      </c>
      <c r="X71" s="81">
        <f ca="1">IFERROR(__xludf.DUMMYFUNCTION("IMPORTRANGE(""https://docs.google.com/spreadsheets/d/149xufxukrnEciK3WPbNpHwUK8BKEJxp3UcBG3Al6dA4/edit?usp=sharing"",""สิงห์บุรี!J341"")"),21)</f>
        <v>21</v>
      </c>
      <c r="Y71" s="81">
        <f ca="1">IFERROR(__xludf.DUMMYFUNCTION("IMPORTRANGE(""https://docs.google.com/spreadsheets/d/149xufxukrnEciK3WPbNpHwUK8BKEJxp3UcBG3Al6dA4/edit?usp=sharing"",""สิงห์บุรี!J342"")"),0)</f>
        <v>0</v>
      </c>
      <c r="Z71" s="81">
        <f ca="1">IFERROR(__xludf.DUMMYFUNCTION("IMPORTRANGE(""https://docs.google.com/spreadsheets/d/149xufxukrnEciK3WPbNpHwUK8BKEJxp3UcBG3Al6dA4/edit?usp=sharing"",""สิงห์บุรี!J343"")"),0)</f>
        <v>0</v>
      </c>
      <c r="AA71" s="81">
        <f t="shared" ca="1" si="43"/>
        <v>50</v>
      </c>
      <c r="AB71" s="347">
        <f t="shared" ca="1" si="29"/>
        <v>100</v>
      </c>
    </row>
    <row r="72" spans="1:28" ht="21" customHeight="1" x14ac:dyDescent="0.2">
      <c r="A72" s="73">
        <v>20</v>
      </c>
      <c r="B72" s="74" t="s">
        <v>94</v>
      </c>
      <c r="C72" s="75">
        <f t="shared" ca="1" si="0"/>
        <v>166000</v>
      </c>
      <c r="D72" s="76">
        <f t="shared" ca="1" si="42"/>
        <v>166000</v>
      </c>
      <c r="E72" s="77">
        <f ca="1">IFERROR(__xludf.DUMMYFUNCTION("IMPORTRANGE(""https://docs.google.com/spreadsheets/d/1MeEWN-I1oV_STSDYn1IFDPWt_1FKiwhDph83XaGc0o0/edit?usp=sharing"",""งบพรบ!EN72"")"),0)</f>
        <v>0</v>
      </c>
      <c r="F72" s="77">
        <f ca="1">IFERROR(__xludf.DUMMYFUNCTION("IMPORTRANGE(""https://docs.google.com/spreadsheets/d/1MeEWN-I1oV_STSDYn1IFDPWt_1FKiwhDph83XaGc0o0/edit?usp=sharing"",""งบพรบ!EO72"")"),166000)</f>
        <v>166000</v>
      </c>
      <c r="G72" s="77">
        <f ca="1">IFERROR(__xludf.DUMMYFUNCTION("IMPORTRANGE(""https://docs.google.com/spreadsheets/d/1MeEWN-I1oV_STSDYn1IFDPWt_1FKiwhDph83XaGc0o0/edit?usp=sharing"",""งบพรบ!EP72"")"),0)</f>
        <v>0</v>
      </c>
      <c r="H72" s="77">
        <f ca="1">IFERROR(__xludf.DUMMYFUNCTION("IMPORTRANGE(""https://docs.google.com/spreadsheets/d/1MeEWN-I1oV_STSDYn1IFDPWt_1FKiwhDph83XaGc0o0/edit?usp=sharing"",""งบพรบ!ER72"")"),168500)</f>
        <v>168500</v>
      </c>
      <c r="I72" s="77">
        <f ca="1">IFERROR(__xludf.DUMMYFUNCTION("IMPORTRANGE(""https://docs.google.com/spreadsheets/d/1MeEWN-I1oV_STSDYn1IFDPWt_1FKiwhDph83XaGc0o0/edit?usp=sharing"",""งบพรบ!ES72"")"),0)</f>
        <v>0</v>
      </c>
      <c r="J72" s="77">
        <f t="shared" ca="1" si="3"/>
        <v>156500</v>
      </c>
      <c r="K72" s="78">
        <f t="shared" ca="1" si="4"/>
        <v>94.277108433734938</v>
      </c>
      <c r="L72" s="77">
        <f ca="1">IFERROR(__xludf.DUMMYFUNCTION("IMPORTRANGE(""https://docs.google.com/spreadsheets/d/1MeEWN-I1oV_STSDYn1IFDPWt_1FKiwhDph83XaGc0o0/edit?usp=sharing"",""งบพรบ!ET72"")"),156500)</f>
        <v>156500</v>
      </c>
      <c r="M72" s="79">
        <f t="shared" ca="1" si="5"/>
        <v>94.277108433734938</v>
      </c>
      <c r="N72" s="79">
        <f t="shared" ca="1" si="6"/>
        <v>92.87833827893175</v>
      </c>
      <c r="O72" s="80">
        <f ca="1">IFERROR(__xludf.DUMMYFUNCTION("IMPORTRANGE(""https://docs.google.com/spreadsheets/d/1MeEWN-I1oV_STSDYn1IFDPWt_1FKiwhDph83XaGc0o0/edit?usp=sharing"",""งบพรบ!EU72"")"),0)</f>
        <v>0</v>
      </c>
      <c r="P72" s="80">
        <f t="shared" ca="1" si="25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IFERROR(__xludf.DUMMYFUNCTION("IMPORTRANGE(""https://docs.google.com/spreadsheets/d/132g-zJpz2uMKimp17uOIx8A7o3w1Z25zwJyXnwsB56c/edit?usp=sharing"",""สุพรรณบุรี!I338"")"),2300)</f>
        <v>2300</v>
      </c>
      <c r="S72" s="81">
        <f ca="1">IFERROR(__xludf.DUMMYFUNCTION("IMPORTRANGE(""https://docs.google.com/spreadsheets/d/132g-zJpz2uMKimp17uOIx8A7o3w1Z25zwJyXnwsB56c/edit?usp=sharing"",""สุพรรณบุรี!J338"")"),3830)</f>
        <v>3830</v>
      </c>
      <c r="T72" s="82">
        <f t="shared" ca="1" si="22"/>
        <v>166.52173913043478</v>
      </c>
      <c r="U72" s="81">
        <f ca="1">IFERROR(__xludf.DUMMYFUNCTION("IMPORTRANGE(""https://docs.google.com/spreadsheets/d/132g-zJpz2uMKimp17uOIx8A7o3w1Z25zwJyXnwsB56c/edit?usp=sharing"",""สุพรรณบุรี!I340"")"),4)</f>
        <v>4</v>
      </c>
      <c r="V72" s="81">
        <f ca="1">IFERROR(__xludf.DUMMYFUNCTION("IMPORTRANGE(""https://docs.google.com/spreadsheets/d/132g-zJpz2uMKimp17uOIx8A7o3w1Z25zwJyXnwsB56c/edit?usp=sharing"",""สุพรรณบุรี!J340"")"),4)</f>
        <v>4</v>
      </c>
      <c r="W72" s="82">
        <f t="shared" ca="1" si="23"/>
        <v>100</v>
      </c>
      <c r="X72" s="81">
        <f ca="1">IFERROR(__xludf.DUMMYFUNCTION("IMPORTRANGE(""https://docs.google.com/spreadsheets/d/132g-zJpz2uMKimp17uOIx8A7o3w1Z25zwJyXnwsB56c/edit?usp=sharing"",""สุพรรณบุรี!J341"")"),493)</f>
        <v>493</v>
      </c>
      <c r="Y72" s="81">
        <f ca="1">IFERROR(__xludf.DUMMYFUNCTION("IMPORTRANGE(""https://docs.google.com/spreadsheets/d/132g-zJpz2uMKimp17uOIx8A7o3w1Z25zwJyXnwsB56c/edit?usp=sharing"",""สุพรรณบุรี!J342"")"),60)</f>
        <v>60</v>
      </c>
      <c r="Z72" s="81">
        <f ca="1">IFERROR(__xludf.DUMMYFUNCTION("IMPORTRANGE(""https://docs.google.com/spreadsheets/d/132g-zJpz2uMKimp17uOIx8A7o3w1Z25zwJyXnwsB56c/edit?usp=sharing"",""สุพรรณบุรี!J343"")"),0)</f>
        <v>0</v>
      </c>
      <c r="AA72" s="81">
        <f t="shared" ca="1" si="43"/>
        <v>4383</v>
      </c>
      <c r="AB72" s="347">
        <f t="shared" ca="1" si="29"/>
        <v>190.56521739130434</v>
      </c>
    </row>
    <row r="73" spans="1:28" ht="21" customHeight="1" x14ac:dyDescent="0.2">
      <c r="A73" s="84">
        <v>21</v>
      </c>
      <c r="B73" s="85" t="s">
        <v>95</v>
      </c>
      <c r="C73" s="86">
        <f t="shared" ca="1" si="0"/>
        <v>353600</v>
      </c>
      <c r="D73" s="87">
        <f t="shared" ca="1" si="42"/>
        <v>353600</v>
      </c>
      <c r="E73" s="88">
        <f ca="1">IFERROR(__xludf.DUMMYFUNCTION("IMPORTRANGE(""https://docs.google.com/spreadsheets/d/1MeEWN-I1oV_STSDYn1IFDPWt_1FKiwhDph83XaGc0o0/edit?usp=sharing"",""งบพรบ!EN73"")"),201600)</f>
        <v>201600</v>
      </c>
      <c r="F73" s="88">
        <f ca="1">IFERROR(__xludf.DUMMYFUNCTION("IMPORTRANGE(""https://docs.google.com/spreadsheets/d/1MeEWN-I1oV_STSDYn1IFDPWt_1FKiwhDph83XaGc0o0/edit?usp=sharing"",""งบพรบ!EO73"")"),152000)</f>
        <v>152000</v>
      </c>
      <c r="G73" s="88">
        <f ca="1">IFERROR(__xludf.DUMMYFUNCTION("IMPORTRANGE(""https://docs.google.com/spreadsheets/d/1MeEWN-I1oV_STSDYn1IFDPWt_1FKiwhDph83XaGc0o0/edit?usp=sharing"",""งบพรบ!EP73"")"),0)</f>
        <v>0</v>
      </c>
      <c r="H73" s="88">
        <f ca="1">IFERROR(__xludf.DUMMYFUNCTION("IMPORTRANGE(""https://docs.google.com/spreadsheets/d/1MeEWN-I1oV_STSDYn1IFDPWt_1FKiwhDph83XaGc0o0/edit?usp=sharing"",""งบพรบ!ER73"")"),356100)</f>
        <v>356100</v>
      </c>
      <c r="I73" s="88">
        <f ca="1">IFERROR(__xludf.DUMMYFUNCTION("IMPORTRANGE(""https://docs.google.com/spreadsheets/d/1MeEWN-I1oV_STSDYn1IFDPWt_1FKiwhDph83XaGc0o0/edit?usp=sharing"",""งบพรบ!ES73"")"),0)</f>
        <v>0</v>
      </c>
      <c r="J73" s="88">
        <f t="shared" ca="1" si="3"/>
        <v>328134</v>
      </c>
      <c r="K73" s="89">
        <f t="shared" ca="1" si="4"/>
        <v>92.79807692307692</v>
      </c>
      <c r="L73" s="88">
        <f ca="1">IFERROR(__xludf.DUMMYFUNCTION("IMPORTRANGE(""https://docs.google.com/spreadsheets/d/1MeEWN-I1oV_STSDYn1IFDPWt_1FKiwhDph83XaGc0o0/edit?usp=sharing"",""งบพรบ!ET73"")"),328134)</f>
        <v>328134</v>
      </c>
      <c r="M73" s="90">
        <f t="shared" ca="1" si="5"/>
        <v>92.79807692307692</v>
      </c>
      <c r="N73" s="90">
        <f t="shared" ca="1" si="6"/>
        <v>92.146588037068241</v>
      </c>
      <c r="O73" s="91">
        <f ca="1">IFERROR(__xludf.DUMMYFUNCTION("IMPORTRANGE(""https://docs.google.com/spreadsheets/d/1MeEWN-I1oV_STSDYn1IFDPWt_1FKiwhDph83XaGc0o0/edit?usp=sharing"",""งบพรบ!EU73"")"),0)</f>
        <v>0</v>
      </c>
      <c r="P73" s="91">
        <f t="shared" ca="1" si="25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IFERROR(__xludf.DUMMYFUNCTION("IMPORTRANGE(""https://docs.google.com/spreadsheets/d/12Q_U0nVnFdxDFwa0pej9xvx8ZvLC9Dpi_vRro_aiG5g/edit?usp=sharing"",""อ่างทอง!I338"")"),50)</f>
        <v>50</v>
      </c>
      <c r="S73" s="92">
        <f ca="1">IFERROR(__xludf.DUMMYFUNCTION("IMPORTRANGE(""https://docs.google.com/spreadsheets/d/12Q_U0nVnFdxDFwa0pej9xvx8ZvLC9Dpi_vRro_aiG5g/edit?usp=sharing"",""อ่างทอง!J338"")"),33)</f>
        <v>33</v>
      </c>
      <c r="T73" s="93">
        <f t="shared" ca="1" si="22"/>
        <v>66</v>
      </c>
      <c r="U73" s="92">
        <f ca="1">IFERROR(__xludf.DUMMYFUNCTION("IMPORTRANGE(""https://docs.google.com/spreadsheets/d/12Q_U0nVnFdxDFwa0pej9xvx8ZvLC9Dpi_vRro_aiG5g/edit?usp=sharing"",""อ่างทอง!I340"")"),2)</f>
        <v>2</v>
      </c>
      <c r="V73" s="92">
        <f ca="1">IFERROR(__xludf.DUMMYFUNCTION("IMPORTRANGE(""https://docs.google.com/spreadsheets/d/12Q_U0nVnFdxDFwa0pej9xvx8ZvLC9Dpi_vRro_aiG5g/edit?usp=sharing"",""อ่างทอง!J340"")"),2)</f>
        <v>2</v>
      </c>
      <c r="W73" s="93">
        <f t="shared" ca="1" si="23"/>
        <v>100</v>
      </c>
      <c r="X73" s="92">
        <f ca="1">IFERROR(__xludf.DUMMYFUNCTION("IMPORTRANGE(""https://docs.google.com/spreadsheets/d/12Q_U0nVnFdxDFwa0pej9xvx8ZvLC9Dpi_vRro_aiG5g/edit?usp=sharing"",""อ่างทอง!J341"")"),52)</f>
        <v>52</v>
      </c>
      <c r="Y73" s="92">
        <f ca="1">IFERROR(__xludf.DUMMYFUNCTION("IMPORTRANGE(""https://docs.google.com/spreadsheets/d/12Q_U0nVnFdxDFwa0pej9xvx8ZvLC9Dpi_vRro_aiG5g/edit?usp=sharing"",""อ่างทอง!J342"")"),0)</f>
        <v>0</v>
      </c>
      <c r="Z73" s="92">
        <f ca="1">IFERROR(__xludf.DUMMYFUNCTION("IMPORTRANGE(""https://docs.google.com/spreadsheets/d/12Q_U0nVnFdxDFwa0pej9xvx8ZvLC9Dpi_vRro_aiG5g/edit?usp=sharing"",""อ่างทอง!J343"")"),0)</f>
        <v>0</v>
      </c>
      <c r="AA73" s="92">
        <f t="shared" ca="1" si="43"/>
        <v>85</v>
      </c>
      <c r="AB73" s="348">
        <f t="shared" ca="1" si="29"/>
        <v>170</v>
      </c>
    </row>
    <row r="74" spans="1:28" ht="21" customHeight="1" x14ac:dyDescent="0.2">
      <c r="A74" s="381" t="s">
        <v>96</v>
      </c>
      <c r="B74" s="370"/>
      <c r="C74" s="99">
        <f t="shared" ca="1" si="0"/>
        <v>2297000</v>
      </c>
      <c r="D74" s="57">
        <f t="shared" ref="D74:I74" ca="1" si="44">SUM(D75:D88)</f>
        <v>2297000</v>
      </c>
      <c r="E74" s="57">
        <f t="shared" ca="1" si="44"/>
        <v>0</v>
      </c>
      <c r="F74" s="57">
        <f t="shared" ca="1" si="44"/>
        <v>2297000</v>
      </c>
      <c r="G74" s="57">
        <f t="shared" ca="1" si="44"/>
        <v>0</v>
      </c>
      <c r="H74" s="57">
        <f t="shared" ca="1" si="44"/>
        <v>2332000</v>
      </c>
      <c r="I74" s="57">
        <f t="shared" ca="1" si="44"/>
        <v>9000</v>
      </c>
      <c r="J74" s="57">
        <f t="shared" ca="1" si="3"/>
        <v>1965484.98</v>
      </c>
      <c r="K74" s="95">
        <f t="shared" ca="1" si="4"/>
        <v>85.567478450152379</v>
      </c>
      <c r="L74" s="57">
        <f ca="1">SUM(L75:L88)</f>
        <v>1956484.98</v>
      </c>
      <c r="M74" s="96">
        <f t="shared" ca="1" si="5"/>
        <v>85.175663038746194</v>
      </c>
      <c r="N74" s="96">
        <f t="shared" ca="1" si="6"/>
        <v>83.897297598627787</v>
      </c>
      <c r="O74" s="97">
        <f ca="1">SUM(O75:O88)</f>
        <v>9000</v>
      </c>
      <c r="P74" s="97">
        <f t="shared" ca="1" si="25"/>
        <v>0</v>
      </c>
      <c r="Q74" s="96">
        <f t="shared" ca="1" si="8"/>
        <v>100</v>
      </c>
      <c r="R74" s="57">
        <f t="shared" ref="R74:S74" ca="1" si="45">SUM(R75:R88)</f>
        <v>18180</v>
      </c>
      <c r="S74" s="57">
        <f t="shared" ca="1" si="45"/>
        <v>41234</v>
      </c>
      <c r="T74" s="96">
        <f t="shared" ca="1" si="22"/>
        <v>226.80968096809681</v>
      </c>
      <c r="U74" s="57">
        <f t="shared" ref="U74:V74" ca="1" si="46">SUM(U75:U88)</f>
        <v>55</v>
      </c>
      <c r="V74" s="57">
        <f t="shared" ca="1" si="46"/>
        <v>58</v>
      </c>
      <c r="W74" s="96">
        <f t="shared" ca="1" si="23"/>
        <v>105.45454545454545</v>
      </c>
      <c r="X74" s="57">
        <f t="shared" ref="X74:AA74" ca="1" si="47">SUM(X75:X88)</f>
        <v>1936</v>
      </c>
      <c r="Y74" s="57">
        <f t="shared" ca="1" si="47"/>
        <v>138</v>
      </c>
      <c r="Z74" s="57">
        <f t="shared" ca="1" si="47"/>
        <v>56</v>
      </c>
      <c r="AA74" s="57">
        <f t="shared" ca="1" si="47"/>
        <v>43364</v>
      </c>
      <c r="AB74" s="95">
        <f t="shared" ca="1" si="29"/>
        <v>238.52585258525852</v>
      </c>
    </row>
    <row r="75" spans="1:28" ht="21" customHeight="1" x14ac:dyDescent="0.2">
      <c r="A75" s="63">
        <v>1</v>
      </c>
      <c r="B75" s="64" t="s">
        <v>97</v>
      </c>
      <c r="C75" s="98">
        <f t="shared" ca="1" si="0"/>
        <v>168000</v>
      </c>
      <c r="D75" s="66">
        <f t="shared" ref="D75:D88" ca="1" si="48">+E75+F75</f>
        <v>168000</v>
      </c>
      <c r="E75" s="67">
        <f ca="1">IFERROR(__xludf.DUMMYFUNCTION("IMPORTRANGE(""https://docs.google.com/spreadsheets/d/1MeEWN-I1oV_STSDYn1IFDPWt_1FKiwhDph83XaGc0o0/edit?usp=sharing"",""งบพรบ!EN75"")"),0)</f>
        <v>0</v>
      </c>
      <c r="F75" s="67">
        <f ca="1">IFERROR(__xludf.DUMMYFUNCTION("IMPORTRANGE(""https://docs.google.com/spreadsheets/d/1MeEWN-I1oV_STSDYn1IFDPWt_1FKiwhDph83XaGc0o0/edit?usp=sharing"",""งบพรบ!EO75"")"),168000)</f>
        <v>168000</v>
      </c>
      <c r="G75" s="100">
        <f ca="1">IFERROR(__xludf.DUMMYFUNCTION("IMPORTRANGE(""https://docs.google.com/spreadsheets/d/1MeEWN-I1oV_STSDYn1IFDPWt_1FKiwhDph83XaGc0o0/edit?usp=sharing"",""งบพรบ!EP75"")"),0)</f>
        <v>0</v>
      </c>
      <c r="H75" s="100">
        <f ca="1">IFERROR(__xludf.DUMMYFUNCTION("IMPORTRANGE(""https://docs.google.com/spreadsheets/d/1MeEWN-I1oV_STSDYn1IFDPWt_1FKiwhDph83XaGc0o0/edit?usp=sharing"",""งบพรบ!ER75"")"),170500)</f>
        <v>170500</v>
      </c>
      <c r="I75" s="100">
        <f ca="1">IFERROR(__xludf.DUMMYFUNCTION("IMPORTRANGE(""https://docs.google.com/spreadsheets/d/1MeEWN-I1oV_STSDYn1IFDPWt_1FKiwhDph83XaGc0o0/edit?usp=sharing"",""งบพรบ!ES75"")"),0)</f>
        <v>0</v>
      </c>
      <c r="J75" s="100">
        <f t="shared" ca="1" si="3"/>
        <v>134912.64000000001</v>
      </c>
      <c r="K75" s="101">
        <f t="shared" ca="1" si="4"/>
        <v>80.305142857142869</v>
      </c>
      <c r="L75" s="77">
        <f ca="1">IFERROR(__xludf.DUMMYFUNCTION("IMPORTRANGE(""https://docs.google.com/spreadsheets/d/1MeEWN-I1oV_STSDYn1IFDPWt_1FKiwhDph83XaGc0o0/edit?usp=sharing"",""งบพรบ!ET75"")"),134912.64)</f>
        <v>134912.64000000001</v>
      </c>
      <c r="M75" s="70">
        <f t="shared" ca="1" si="5"/>
        <v>80.305142857142869</v>
      </c>
      <c r="N75" s="70">
        <f t="shared" ca="1" si="6"/>
        <v>79.127648093841657</v>
      </c>
      <c r="O75" s="71">
        <f ca="1">IFERROR(__xludf.DUMMYFUNCTION("IMPORTRANGE(""https://docs.google.com/spreadsheets/d/1MeEWN-I1oV_STSDYn1IFDPWt_1FKiwhDph83XaGc0o0/edit?usp=sharing"",""งบพรบ!EU75"")"),0)</f>
        <v>0</v>
      </c>
      <c r="P75" s="71">
        <f t="shared" ca="1" si="25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IFERROR(__xludf.DUMMYFUNCTION("IMPORTRANGE(""https://docs.google.com/spreadsheets/d/1kC41EOXpGBFOW658Fs3oD8beYlym0-zO54WY-2Qnp9I/edit?usp=sharing"",""กระบี่!I338"")"),2000)</f>
        <v>2000</v>
      </c>
      <c r="S75" s="68">
        <f ca="1">IFERROR(__xludf.DUMMYFUNCTION("IMPORTRANGE(""https://docs.google.com/spreadsheets/d/1kC41EOXpGBFOW658Fs3oD8beYlym0-zO54WY-2Qnp9I/edit?usp=sharing"",""กระบี่!J338"")"),3970)</f>
        <v>3970</v>
      </c>
      <c r="T75" s="72">
        <f t="shared" ca="1" si="22"/>
        <v>198.5</v>
      </c>
      <c r="U75" s="68">
        <f ca="1">IFERROR(__xludf.DUMMYFUNCTION("IMPORTRANGE(""https://docs.google.com/spreadsheets/d/1kC41EOXpGBFOW658Fs3oD8beYlym0-zO54WY-2Qnp9I/edit?usp=sharing"",""กระบี่!I340"")"),5)</f>
        <v>5</v>
      </c>
      <c r="V75" s="68">
        <f ca="1">IFERROR(__xludf.DUMMYFUNCTION("IMPORTRANGE(""https://docs.google.com/spreadsheets/d/1kC41EOXpGBFOW658Fs3oD8beYlym0-zO54WY-2Qnp9I/edit?usp=sharing"",""กระบี่!J340"")"),6)</f>
        <v>6</v>
      </c>
      <c r="W75" s="72">
        <f t="shared" ca="1" si="23"/>
        <v>120</v>
      </c>
      <c r="X75" s="68">
        <f ca="1">IFERROR(__xludf.DUMMYFUNCTION("IMPORTRANGE(""https://docs.google.com/spreadsheets/d/1kC41EOXpGBFOW658Fs3oD8beYlym0-zO54WY-2Qnp9I/edit?usp=sharing"",""กระบี่!J341"")"),64)</f>
        <v>64</v>
      </c>
      <c r="Y75" s="68">
        <f ca="1">IFERROR(__xludf.DUMMYFUNCTION("IMPORTRANGE(""https://docs.google.com/spreadsheets/d/1kC41EOXpGBFOW658Fs3oD8beYlym0-zO54WY-2Qnp9I/edit?usp=sharing"",""กระบี่!J342"")"),63)</f>
        <v>63</v>
      </c>
      <c r="Z75" s="68">
        <f ca="1">IFERROR(__xludf.DUMMYFUNCTION("IMPORTRANGE(""https://docs.google.com/spreadsheets/d/1kC41EOXpGBFOW658Fs3oD8beYlym0-zO54WY-2Qnp9I/edit?usp=sharing"",""กระบี่!J343"")"),0)</f>
        <v>0</v>
      </c>
      <c r="AA75" s="68">
        <f t="shared" ref="AA75:AA88" ca="1" si="49">SUM(S75,X75,Y75,Z75)</f>
        <v>4097</v>
      </c>
      <c r="AB75" s="69">
        <f t="shared" ca="1" si="29"/>
        <v>204.85</v>
      </c>
    </row>
    <row r="76" spans="1:28" ht="21" customHeight="1" x14ac:dyDescent="0.2">
      <c r="A76" s="73">
        <v>2</v>
      </c>
      <c r="B76" s="74" t="s">
        <v>98</v>
      </c>
      <c r="C76" s="75">
        <f t="shared" ca="1" si="0"/>
        <v>173000</v>
      </c>
      <c r="D76" s="76">
        <f t="shared" ca="1" si="48"/>
        <v>173000</v>
      </c>
      <c r="E76" s="77">
        <f ca="1">IFERROR(__xludf.DUMMYFUNCTION("IMPORTRANGE(""https://docs.google.com/spreadsheets/d/1MeEWN-I1oV_STSDYn1IFDPWt_1FKiwhDph83XaGc0o0/edit?usp=sharing"",""งบพรบ!EN76"")"),0)</f>
        <v>0</v>
      </c>
      <c r="F76" s="77">
        <f ca="1">IFERROR(__xludf.DUMMYFUNCTION("IMPORTRANGE(""https://docs.google.com/spreadsheets/d/1MeEWN-I1oV_STSDYn1IFDPWt_1FKiwhDph83XaGc0o0/edit?usp=sharing"",""งบพรบ!EO76"")"),173000)</f>
        <v>173000</v>
      </c>
      <c r="G76" s="77">
        <f ca="1">IFERROR(__xludf.DUMMYFUNCTION("IMPORTRANGE(""https://docs.google.com/spreadsheets/d/1MeEWN-I1oV_STSDYn1IFDPWt_1FKiwhDph83XaGc0o0/edit?usp=sharing"",""งบพรบ!EP76"")"),0)</f>
        <v>0</v>
      </c>
      <c r="H76" s="77">
        <f ca="1">IFERROR(__xludf.DUMMYFUNCTION("IMPORTRANGE(""https://docs.google.com/spreadsheets/d/1MeEWN-I1oV_STSDYn1IFDPWt_1FKiwhDph83XaGc0o0/edit?usp=sharing"",""งบพรบ!ER76"")"),175500)</f>
        <v>175500</v>
      </c>
      <c r="I76" s="77">
        <f ca="1">IFERROR(__xludf.DUMMYFUNCTION("IMPORTRANGE(""https://docs.google.com/spreadsheets/d/1MeEWN-I1oV_STSDYn1IFDPWt_1FKiwhDph83XaGc0o0/edit?usp=sharing"",""งบพรบ!ES76"")"),0)</f>
        <v>0</v>
      </c>
      <c r="J76" s="77">
        <f t="shared" ca="1" si="3"/>
        <v>151204</v>
      </c>
      <c r="K76" s="78">
        <f t="shared" ca="1" si="4"/>
        <v>87.401156069364163</v>
      </c>
      <c r="L76" s="77">
        <f ca="1">IFERROR(__xludf.DUMMYFUNCTION("IMPORTRANGE(""https://docs.google.com/spreadsheets/d/1MeEWN-I1oV_STSDYn1IFDPWt_1FKiwhDph83XaGc0o0/edit?usp=sharing"",""งบพรบ!ET76"")"),151204)</f>
        <v>151204</v>
      </c>
      <c r="M76" s="79">
        <f t="shared" ca="1" si="5"/>
        <v>87.401156069364163</v>
      </c>
      <c r="N76" s="79">
        <f t="shared" ca="1" si="6"/>
        <v>86.156125356125358</v>
      </c>
      <c r="O76" s="80">
        <f ca="1">IFERROR(__xludf.DUMMYFUNCTION("IMPORTRANGE(""https://docs.google.com/spreadsheets/d/1MeEWN-I1oV_STSDYn1IFDPWt_1FKiwhDph83XaGc0o0/edit?usp=sharing"",""งบพรบ!EU76"")"),0)</f>
        <v>0</v>
      </c>
      <c r="P76" s="80">
        <f t="shared" ca="1" si="25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IFERROR(__xludf.DUMMYFUNCTION("IMPORTRANGE(""https://docs.google.com/spreadsheets/d/1FbzMZY_f3MDiEuK7RpCQKrilJ_kpX0Wm7QBZ1L7EjIU/edit?usp=sharing"",""ชุมพร!I338"")"),3100)</f>
        <v>3100</v>
      </c>
      <c r="S76" s="81">
        <f ca="1">IFERROR(__xludf.DUMMYFUNCTION("IMPORTRANGE(""https://docs.google.com/spreadsheets/d/1FbzMZY_f3MDiEuK7RpCQKrilJ_kpX0Wm7QBZ1L7EjIU/edit?usp=sharing"",""ชุมพร!J338"")"),5594)</f>
        <v>5594</v>
      </c>
      <c r="T76" s="82">
        <f t="shared" ca="1" si="22"/>
        <v>180.45161290322579</v>
      </c>
      <c r="U76" s="81">
        <f ca="1">IFERROR(__xludf.DUMMYFUNCTION("IMPORTRANGE(""https://docs.google.com/spreadsheets/d/1FbzMZY_f3MDiEuK7RpCQKrilJ_kpX0Wm7QBZ1L7EjIU/edit?usp=sharing"",""ชุมพร!I340"")"),5)</f>
        <v>5</v>
      </c>
      <c r="V76" s="81">
        <f ca="1">IFERROR(__xludf.DUMMYFUNCTION("IMPORTRANGE(""https://docs.google.com/spreadsheets/d/1FbzMZY_f3MDiEuK7RpCQKrilJ_kpX0Wm7QBZ1L7EjIU/edit?usp=sharing"",""ชุมพร!J340"")"),5)</f>
        <v>5</v>
      </c>
      <c r="W76" s="82">
        <f t="shared" ca="1" si="23"/>
        <v>100</v>
      </c>
      <c r="X76" s="81">
        <f ca="1">IFERROR(__xludf.DUMMYFUNCTION("IMPORTRANGE(""https://docs.google.com/spreadsheets/d/1FbzMZY_f3MDiEuK7RpCQKrilJ_kpX0Wm7QBZ1L7EjIU/edit?usp=sharing"",""ชุมพร!J341"")"),97)</f>
        <v>97</v>
      </c>
      <c r="Y76" s="81">
        <f ca="1">IFERROR(__xludf.DUMMYFUNCTION("IMPORTRANGE(""https://docs.google.com/spreadsheets/d/1FbzMZY_f3MDiEuK7RpCQKrilJ_kpX0Wm7QBZ1L7EjIU/edit?usp=sharing"",""ชุมพร!J342"")"),39)</f>
        <v>39</v>
      </c>
      <c r="Z76" s="81">
        <f ca="1">IFERROR(__xludf.DUMMYFUNCTION("IMPORTRANGE(""https://docs.google.com/spreadsheets/d/1FbzMZY_f3MDiEuK7RpCQKrilJ_kpX0Wm7QBZ1L7EjIU/edit?usp=sharing"",""ชุมพร!J343"")"),0)</f>
        <v>0</v>
      </c>
      <c r="AA76" s="81">
        <f t="shared" ca="1" si="49"/>
        <v>5730</v>
      </c>
      <c r="AB76" s="347">
        <f t="shared" ca="1" si="29"/>
        <v>184.83870967741936</v>
      </c>
    </row>
    <row r="77" spans="1:28" ht="21" customHeight="1" x14ac:dyDescent="0.2">
      <c r="A77" s="73">
        <v>3</v>
      </c>
      <c r="B77" s="74" t="s">
        <v>99</v>
      </c>
      <c r="C77" s="75">
        <f t="shared" ca="1" si="0"/>
        <v>166000</v>
      </c>
      <c r="D77" s="76">
        <f t="shared" ca="1" si="48"/>
        <v>166000</v>
      </c>
      <c r="E77" s="77">
        <f ca="1">IFERROR(__xludf.DUMMYFUNCTION("IMPORTRANGE(""https://docs.google.com/spreadsheets/d/1MeEWN-I1oV_STSDYn1IFDPWt_1FKiwhDph83XaGc0o0/edit?usp=sharing"",""งบพรบ!EN77"")"),0)</f>
        <v>0</v>
      </c>
      <c r="F77" s="77">
        <f ca="1">IFERROR(__xludf.DUMMYFUNCTION("IMPORTRANGE(""https://docs.google.com/spreadsheets/d/1MeEWN-I1oV_STSDYn1IFDPWt_1FKiwhDph83XaGc0o0/edit?usp=sharing"",""งบพรบ!EO77"")"),166000)</f>
        <v>166000</v>
      </c>
      <c r="G77" s="77">
        <f ca="1">IFERROR(__xludf.DUMMYFUNCTION("IMPORTRANGE(""https://docs.google.com/spreadsheets/d/1MeEWN-I1oV_STSDYn1IFDPWt_1FKiwhDph83XaGc0o0/edit?usp=sharing"",""งบพรบ!EP77"")"),0)</f>
        <v>0</v>
      </c>
      <c r="H77" s="77">
        <f ca="1">IFERROR(__xludf.DUMMYFUNCTION("IMPORTRANGE(""https://docs.google.com/spreadsheets/d/1MeEWN-I1oV_STSDYn1IFDPWt_1FKiwhDph83XaGc0o0/edit?usp=sharing"",""งบพรบ!ER77"")"),168500)</f>
        <v>168500</v>
      </c>
      <c r="I77" s="77">
        <f ca="1">IFERROR(__xludf.DUMMYFUNCTION("IMPORTRANGE(""https://docs.google.com/spreadsheets/d/1MeEWN-I1oV_STSDYn1IFDPWt_1FKiwhDph83XaGc0o0/edit?usp=sharing"",""งบพรบ!ES77"")"),0)</f>
        <v>0</v>
      </c>
      <c r="J77" s="77">
        <f t="shared" ca="1" si="3"/>
        <v>142535.07999999999</v>
      </c>
      <c r="K77" s="78">
        <f t="shared" ca="1" si="4"/>
        <v>85.864506024096372</v>
      </c>
      <c r="L77" s="77">
        <f ca="1">IFERROR(__xludf.DUMMYFUNCTION("IMPORTRANGE(""https://docs.google.com/spreadsheets/d/1MeEWN-I1oV_STSDYn1IFDPWt_1FKiwhDph83XaGc0o0/edit?usp=sharing"",""งบพรบ!ET77"")"),142535.08)</f>
        <v>142535.07999999999</v>
      </c>
      <c r="M77" s="79">
        <f t="shared" ca="1" si="5"/>
        <v>85.864506024096372</v>
      </c>
      <c r="N77" s="79">
        <f t="shared" ca="1" si="6"/>
        <v>84.59055192878337</v>
      </c>
      <c r="O77" s="80">
        <f ca="1">IFERROR(__xludf.DUMMYFUNCTION("IMPORTRANGE(""https://docs.google.com/spreadsheets/d/1MeEWN-I1oV_STSDYn1IFDPWt_1FKiwhDph83XaGc0o0/edit?usp=sharing"",""งบพรบ!EU77"")"),0)</f>
        <v>0</v>
      </c>
      <c r="P77" s="80">
        <f t="shared" ca="1" si="25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IFERROR(__xludf.DUMMYFUNCTION("IMPORTRANGE(""https://docs.google.com/spreadsheets/d/1v5sN-00LrXuhBxw4dkh2GrG_z4l5oAqOdJRBCsUyMaM/edit?usp=sharing"",""ตรัง!I338"")"),1700)</f>
        <v>1700</v>
      </c>
      <c r="S77" s="81">
        <f ca="1">IFERROR(__xludf.DUMMYFUNCTION("IMPORTRANGE(""https://docs.google.com/spreadsheets/d/1v5sN-00LrXuhBxw4dkh2GrG_z4l5oAqOdJRBCsUyMaM/edit?usp=sharing"",""ตรัง!J338"")"),4907)</f>
        <v>4907</v>
      </c>
      <c r="T77" s="82">
        <f t="shared" ca="1" si="22"/>
        <v>288.64705882352939</v>
      </c>
      <c r="U77" s="81">
        <f ca="1">IFERROR(__xludf.DUMMYFUNCTION("IMPORTRANGE(""https://docs.google.com/spreadsheets/d/1v5sN-00LrXuhBxw4dkh2GrG_z4l5oAqOdJRBCsUyMaM/edit?usp=sharing"",""ตรัง!I340"")"),4)</f>
        <v>4</v>
      </c>
      <c r="V77" s="81">
        <f ca="1">IFERROR(__xludf.DUMMYFUNCTION("IMPORTRANGE(""https://docs.google.com/spreadsheets/d/1v5sN-00LrXuhBxw4dkh2GrG_z4l5oAqOdJRBCsUyMaM/edit?usp=sharing"",""ตรัง!J340"")"),4)</f>
        <v>4</v>
      </c>
      <c r="W77" s="82">
        <f t="shared" ca="1" si="23"/>
        <v>100</v>
      </c>
      <c r="X77" s="81">
        <f ca="1">IFERROR(__xludf.DUMMYFUNCTION("IMPORTRANGE(""https://docs.google.com/spreadsheets/d/1v5sN-00LrXuhBxw4dkh2GrG_z4l5oAqOdJRBCsUyMaM/edit?usp=sharing"",""ตรัง!J341"")"),155)</f>
        <v>155</v>
      </c>
      <c r="Y77" s="81">
        <f ca="1">IFERROR(__xludf.DUMMYFUNCTION("IMPORTRANGE(""https://docs.google.com/spreadsheets/d/1v5sN-00LrXuhBxw4dkh2GrG_z4l5oAqOdJRBCsUyMaM/edit?usp=sharing"",""ตรัง!J342"")"),0)</f>
        <v>0</v>
      </c>
      <c r="Z77" s="81">
        <f ca="1">IFERROR(__xludf.DUMMYFUNCTION("IMPORTRANGE(""https://docs.google.com/spreadsheets/d/1v5sN-00LrXuhBxw4dkh2GrG_z4l5oAqOdJRBCsUyMaM/edit?usp=sharing"",""ตรัง!J343"")"),0)</f>
        <v>0</v>
      </c>
      <c r="AA77" s="81">
        <f t="shared" ca="1" si="49"/>
        <v>5062</v>
      </c>
      <c r="AB77" s="347">
        <f t="shared" ca="1" si="29"/>
        <v>297.76470588235293</v>
      </c>
    </row>
    <row r="78" spans="1:28" ht="21" customHeight="1" x14ac:dyDescent="0.2">
      <c r="A78" s="73">
        <v>4</v>
      </c>
      <c r="B78" s="74" t="s">
        <v>100</v>
      </c>
      <c r="C78" s="75">
        <f t="shared" ca="1" si="0"/>
        <v>174000</v>
      </c>
      <c r="D78" s="76">
        <f t="shared" ca="1" si="48"/>
        <v>174000</v>
      </c>
      <c r="E78" s="77">
        <f ca="1">IFERROR(__xludf.DUMMYFUNCTION("IMPORTRANGE(""https://docs.google.com/spreadsheets/d/1MeEWN-I1oV_STSDYn1IFDPWt_1FKiwhDph83XaGc0o0/edit?usp=sharing"",""งบพรบ!EN78"")"),0)</f>
        <v>0</v>
      </c>
      <c r="F78" s="77">
        <f ca="1">IFERROR(__xludf.DUMMYFUNCTION("IMPORTRANGE(""https://docs.google.com/spreadsheets/d/1MeEWN-I1oV_STSDYn1IFDPWt_1FKiwhDph83XaGc0o0/edit?usp=sharing"",""งบพรบ!EO78"")"),174000)</f>
        <v>174000</v>
      </c>
      <c r="G78" s="77">
        <f ca="1">IFERROR(__xludf.DUMMYFUNCTION("IMPORTRANGE(""https://docs.google.com/spreadsheets/d/1MeEWN-I1oV_STSDYn1IFDPWt_1FKiwhDph83XaGc0o0/edit?usp=sharing"",""งบพรบ!EP78"")"),0)</f>
        <v>0</v>
      </c>
      <c r="H78" s="77">
        <f ca="1">IFERROR(__xludf.DUMMYFUNCTION("IMPORTRANGE(""https://docs.google.com/spreadsheets/d/1MeEWN-I1oV_STSDYn1IFDPWt_1FKiwhDph83XaGc0o0/edit?usp=sharing"",""งบพรบ!ER78"")"),176500)</f>
        <v>176500</v>
      </c>
      <c r="I78" s="77">
        <f ca="1">IFERROR(__xludf.DUMMYFUNCTION("IMPORTRANGE(""https://docs.google.com/spreadsheets/d/1MeEWN-I1oV_STSDYn1IFDPWt_1FKiwhDph83XaGc0o0/edit?usp=sharing"",""งบพรบ!ES78"")"),0)</f>
        <v>0</v>
      </c>
      <c r="J78" s="77">
        <f t="shared" ca="1" si="3"/>
        <v>151321.98000000001</v>
      </c>
      <c r="K78" s="78">
        <f t="shared" ca="1" si="4"/>
        <v>86.966655172413809</v>
      </c>
      <c r="L78" s="77">
        <f ca="1">IFERROR(__xludf.DUMMYFUNCTION("IMPORTRANGE(""https://docs.google.com/spreadsheets/d/1MeEWN-I1oV_STSDYn1IFDPWt_1FKiwhDph83XaGc0o0/edit?usp=sharing"",""งบพรบ!ET78"")"),151321.98)</f>
        <v>151321.98000000001</v>
      </c>
      <c r="M78" s="79">
        <f t="shared" ca="1" si="5"/>
        <v>86.966655172413809</v>
      </c>
      <c r="N78" s="79">
        <f t="shared" ca="1" si="6"/>
        <v>85.734832861189815</v>
      </c>
      <c r="O78" s="80">
        <f ca="1">IFERROR(__xludf.DUMMYFUNCTION("IMPORTRANGE(""https://docs.google.com/spreadsheets/d/1MeEWN-I1oV_STSDYn1IFDPWt_1FKiwhDph83XaGc0o0/edit?usp=sharing"",""งบพรบ!EU78"")"),0)</f>
        <v>0</v>
      </c>
      <c r="P78" s="80">
        <f t="shared" ca="1" si="25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81">
        <f ca="1">IFERROR(__xludf.DUMMYFUNCTION("IMPORTRANGE(""https://docs.google.com/spreadsheets/d/1T5rRTzFc79aSIvqnzkZNvwPstq829QYz_xALlO1Z0s8/edit?usp=sharing"",""นครศรีธรรมราช!J338"")"),4033)</f>
        <v>4033</v>
      </c>
      <c r="T78" s="82">
        <f t="shared" ca="1" si="22"/>
        <v>252.0625</v>
      </c>
      <c r="U78" s="81">
        <f ca="1">IFERROR(__xludf.DUMMYFUNCTION("IMPORTRANGE(""https://docs.google.com/spreadsheets/d/1T5rRTzFc79aSIvqnzkZNvwPstq829QYz_xALlO1Z0s8/edit?usp=sharing"",""นครศรีธรรมราช!I340"")"),8)</f>
        <v>8</v>
      </c>
      <c r="V78" s="81">
        <f ca="1">IFERROR(__xludf.DUMMYFUNCTION("IMPORTRANGE(""https://docs.google.com/spreadsheets/d/1T5rRTzFc79aSIvqnzkZNvwPstq829QYz_xALlO1Z0s8/edit?usp=sharing"",""นครศรีธรรมราช!J340"")"),10)</f>
        <v>10</v>
      </c>
      <c r="W78" s="82">
        <f t="shared" ca="1" si="23"/>
        <v>125</v>
      </c>
      <c r="X78" s="81">
        <f ca="1">IFERROR(__xludf.DUMMYFUNCTION("IMPORTRANGE(""https://docs.google.com/spreadsheets/d/1T5rRTzFc79aSIvqnzkZNvwPstq829QYz_xALlO1Z0s8/edit?usp=sharing"",""นครศรีธรรมราช!J341"")"),316)</f>
        <v>316</v>
      </c>
      <c r="Y78" s="81">
        <f ca="1">IFERROR(__xludf.DUMMYFUNCTION("IMPORTRANGE(""https://docs.google.com/spreadsheets/d/1T5rRTzFc79aSIvqnzkZNvwPstq829QYz_xALlO1Z0s8/edit?usp=sharing"",""นครศรีธรรมราช!J342"")"),1)</f>
        <v>1</v>
      </c>
      <c r="Z78" s="81">
        <f ca="1">IFERROR(__xludf.DUMMYFUNCTION("IMPORTRANGE(""https://docs.google.com/spreadsheets/d/1T5rRTzFc79aSIvqnzkZNvwPstq829QYz_xALlO1Z0s8/edit?usp=sharing"",""นครศรีธรรมราช!J343"")"),0)</f>
        <v>0</v>
      </c>
      <c r="AA78" s="81">
        <f t="shared" ca="1" si="49"/>
        <v>4350</v>
      </c>
      <c r="AB78" s="347">
        <f t="shared" ca="1" si="29"/>
        <v>271.875</v>
      </c>
    </row>
    <row r="79" spans="1:28" ht="21" customHeight="1" x14ac:dyDescent="0.2">
      <c r="A79" s="73">
        <v>5</v>
      </c>
      <c r="B79" s="74" t="s">
        <v>101</v>
      </c>
      <c r="C79" s="75">
        <f t="shared" ca="1" si="0"/>
        <v>157000</v>
      </c>
      <c r="D79" s="76">
        <f t="shared" ca="1" si="48"/>
        <v>157000</v>
      </c>
      <c r="E79" s="77">
        <f ca="1">IFERROR(__xludf.DUMMYFUNCTION("IMPORTRANGE(""https://docs.google.com/spreadsheets/d/1MeEWN-I1oV_STSDYn1IFDPWt_1FKiwhDph83XaGc0o0/edit?usp=sharing"",""งบพรบ!EN79"")"),0)</f>
        <v>0</v>
      </c>
      <c r="F79" s="77">
        <f ca="1">IFERROR(__xludf.DUMMYFUNCTION("IMPORTRANGE(""https://docs.google.com/spreadsheets/d/1MeEWN-I1oV_STSDYn1IFDPWt_1FKiwhDph83XaGc0o0/edit?usp=sharing"",""งบพรบ!EO79"")"),157000)</f>
        <v>157000</v>
      </c>
      <c r="G79" s="77">
        <f ca="1">IFERROR(__xludf.DUMMYFUNCTION("IMPORTRANGE(""https://docs.google.com/spreadsheets/d/1MeEWN-I1oV_STSDYn1IFDPWt_1FKiwhDph83XaGc0o0/edit?usp=sharing"",""งบพรบ!EP79"")"),0)</f>
        <v>0</v>
      </c>
      <c r="H79" s="77">
        <f ca="1">IFERROR(__xludf.DUMMYFUNCTION("IMPORTRANGE(""https://docs.google.com/spreadsheets/d/1MeEWN-I1oV_STSDYn1IFDPWt_1FKiwhDph83XaGc0o0/edit?usp=sharing"",""งบพรบ!ER79"")"),159500)</f>
        <v>159500</v>
      </c>
      <c r="I79" s="77">
        <f ca="1">IFERROR(__xludf.DUMMYFUNCTION("IMPORTRANGE(""https://docs.google.com/spreadsheets/d/1MeEWN-I1oV_STSDYn1IFDPWt_1FKiwhDph83XaGc0o0/edit?usp=sharing"",""งบพรบ!ES79"")"),0)</f>
        <v>0</v>
      </c>
      <c r="J79" s="77">
        <f t="shared" ca="1" si="3"/>
        <v>137500</v>
      </c>
      <c r="K79" s="78">
        <f t="shared" ca="1" si="4"/>
        <v>87.579617834394909</v>
      </c>
      <c r="L79" s="77">
        <f ca="1">IFERROR(__xludf.DUMMYFUNCTION("IMPORTRANGE(""https://docs.google.com/spreadsheets/d/1MeEWN-I1oV_STSDYn1IFDPWt_1FKiwhDph83XaGc0o0/edit?usp=sharing"",""งบพรบ!ET79"")"),137500)</f>
        <v>137500</v>
      </c>
      <c r="M79" s="79">
        <f t="shared" ca="1" si="5"/>
        <v>87.579617834394909</v>
      </c>
      <c r="N79" s="79">
        <f t="shared" ca="1" si="6"/>
        <v>86.206896551724142</v>
      </c>
      <c r="O79" s="80">
        <f ca="1">IFERROR(__xludf.DUMMYFUNCTION("IMPORTRANGE(""https://docs.google.com/spreadsheets/d/1MeEWN-I1oV_STSDYn1IFDPWt_1FKiwhDph83XaGc0o0/edit?usp=sharing"",""งบพรบ!EU79"")"),0)</f>
        <v>0</v>
      </c>
      <c r="P79" s="80">
        <f t="shared" ca="1" si="25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IFERROR(__xludf.DUMMYFUNCTION("IMPORTRANGE(""https://docs.google.com/spreadsheets/d/1BeghqumK0IvCmRd2QOy6_afsZq7ZtAGrSnVJy2u7WmY/edit?usp=sharing"",""นราธิวาส!I338"")"),300)</f>
        <v>300</v>
      </c>
      <c r="S79" s="81">
        <f ca="1">IFERROR(__xludf.DUMMYFUNCTION("IMPORTRANGE(""https://docs.google.com/spreadsheets/d/1BeghqumK0IvCmRd2QOy6_afsZq7ZtAGrSnVJy2u7WmY/edit?usp=sharing"",""นราธิวาส!J338"")"),497)</f>
        <v>497</v>
      </c>
      <c r="T79" s="82">
        <f t="shared" ca="1" si="22"/>
        <v>165.66666666666666</v>
      </c>
      <c r="U79" s="81">
        <f ca="1">IFERROR(__xludf.DUMMYFUNCTION("IMPORTRANGE(""https://docs.google.com/spreadsheets/d/1BeghqumK0IvCmRd2QOy6_afsZq7ZtAGrSnVJy2u7WmY/edit?usp=sharing"",""นราธิวาส!I340"")"),2)</f>
        <v>2</v>
      </c>
      <c r="V79" s="81">
        <f ca="1">IFERROR(__xludf.DUMMYFUNCTION("IMPORTRANGE(""https://docs.google.com/spreadsheets/d/1BeghqumK0IvCmRd2QOy6_afsZq7ZtAGrSnVJy2u7WmY/edit?usp=sharing"",""นราธิวาส!J340"")"),2)</f>
        <v>2</v>
      </c>
      <c r="W79" s="82">
        <f t="shared" ca="1" si="23"/>
        <v>100</v>
      </c>
      <c r="X79" s="81">
        <f ca="1">IFERROR(__xludf.DUMMYFUNCTION("IMPORTRANGE(""https://docs.google.com/spreadsheets/d/1BeghqumK0IvCmRd2QOy6_afsZq7ZtAGrSnVJy2u7WmY/edit?usp=sharing"",""นราธิวาส!J341"")"),235)</f>
        <v>235</v>
      </c>
      <c r="Y79" s="81">
        <f ca="1">IFERROR(__xludf.DUMMYFUNCTION("IMPORTRANGE(""https://docs.google.com/spreadsheets/d/1BeghqumK0IvCmRd2QOy6_afsZq7ZtAGrSnVJy2u7WmY/edit?usp=sharing"",""นราธิวาส!J342"")"),6)</f>
        <v>6</v>
      </c>
      <c r="Z79" s="81">
        <f ca="1">IFERROR(__xludf.DUMMYFUNCTION("IMPORTRANGE(""https://docs.google.com/spreadsheets/d/1BeghqumK0IvCmRd2QOy6_afsZq7ZtAGrSnVJy2u7WmY/edit?usp=sharing"",""นราธิวาส!J343"")"),0)</f>
        <v>0</v>
      </c>
      <c r="AA79" s="81">
        <f t="shared" ca="1" si="49"/>
        <v>738</v>
      </c>
      <c r="AB79" s="347">
        <f t="shared" ca="1" si="29"/>
        <v>246</v>
      </c>
    </row>
    <row r="80" spans="1:28" ht="21" customHeight="1" x14ac:dyDescent="0.2">
      <c r="A80" s="73">
        <v>6</v>
      </c>
      <c r="B80" s="74" t="s">
        <v>102</v>
      </c>
      <c r="C80" s="75">
        <f t="shared" ca="1" si="0"/>
        <v>157000</v>
      </c>
      <c r="D80" s="76">
        <f t="shared" ca="1" si="48"/>
        <v>157000</v>
      </c>
      <c r="E80" s="77">
        <f ca="1">IFERROR(__xludf.DUMMYFUNCTION("IMPORTRANGE(""https://docs.google.com/spreadsheets/d/1MeEWN-I1oV_STSDYn1IFDPWt_1FKiwhDph83XaGc0o0/edit?usp=sharing"",""งบพรบ!EN80"")"),0)</f>
        <v>0</v>
      </c>
      <c r="F80" s="77">
        <f ca="1">IFERROR(__xludf.DUMMYFUNCTION("IMPORTRANGE(""https://docs.google.com/spreadsheets/d/1MeEWN-I1oV_STSDYn1IFDPWt_1FKiwhDph83XaGc0o0/edit?usp=sharing"",""งบพรบ!EO80"")"),157000)</f>
        <v>157000</v>
      </c>
      <c r="G80" s="77">
        <f ca="1">IFERROR(__xludf.DUMMYFUNCTION("IMPORTRANGE(""https://docs.google.com/spreadsheets/d/1MeEWN-I1oV_STSDYn1IFDPWt_1FKiwhDph83XaGc0o0/edit?usp=sharing"",""งบพรบ!EP80"")"),0)</f>
        <v>0</v>
      </c>
      <c r="H80" s="77">
        <f ca="1">IFERROR(__xludf.DUMMYFUNCTION("IMPORTRANGE(""https://docs.google.com/spreadsheets/d/1MeEWN-I1oV_STSDYn1IFDPWt_1FKiwhDph83XaGc0o0/edit?usp=sharing"",""งบพรบ!ER80"")"),159500)</f>
        <v>159500</v>
      </c>
      <c r="I80" s="77">
        <f ca="1">IFERROR(__xludf.DUMMYFUNCTION("IMPORTRANGE(""https://docs.google.com/spreadsheets/d/1MeEWN-I1oV_STSDYn1IFDPWt_1FKiwhDph83XaGc0o0/edit?usp=sharing"",""งบพรบ!ES80"")"),0)</f>
        <v>0</v>
      </c>
      <c r="J80" s="77">
        <f t="shared" ca="1" si="3"/>
        <v>96814</v>
      </c>
      <c r="K80" s="78">
        <f t="shared" ca="1" si="4"/>
        <v>61.664968152866244</v>
      </c>
      <c r="L80" s="77">
        <f ca="1">IFERROR(__xludf.DUMMYFUNCTION("IMPORTRANGE(""https://docs.google.com/spreadsheets/d/1MeEWN-I1oV_STSDYn1IFDPWt_1FKiwhDph83XaGc0o0/edit?usp=sharing"",""งบพรบ!ET80"")"),96814)</f>
        <v>96814</v>
      </c>
      <c r="M80" s="79">
        <f t="shared" ca="1" si="5"/>
        <v>61.664968152866244</v>
      </c>
      <c r="N80" s="79">
        <f t="shared" ca="1" si="6"/>
        <v>60.698432601880874</v>
      </c>
      <c r="O80" s="80">
        <f ca="1">IFERROR(__xludf.DUMMYFUNCTION("IMPORTRANGE(""https://docs.google.com/spreadsheets/d/1MeEWN-I1oV_STSDYn1IFDPWt_1FKiwhDph83XaGc0o0/edit?usp=sharing"",""งบพรบ!EU80"")"),0)</f>
        <v>0</v>
      </c>
      <c r="P80" s="80">
        <f t="shared" ca="1" si="25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IFERROR(__xludf.DUMMYFUNCTION("IMPORTRANGE(""https://docs.google.com/spreadsheets/d/1IwnW3-jjRf74MCLW-6PiFwMUffRQXZwZA7YM609NmRc/edit?usp=sharing"",""ปัตตานี!I338"")"),300)</f>
        <v>300</v>
      </c>
      <c r="S80" s="81">
        <f ca="1">IFERROR(__xludf.DUMMYFUNCTION("IMPORTRANGE(""https://docs.google.com/spreadsheets/d/1IwnW3-jjRf74MCLW-6PiFwMUffRQXZwZA7YM609NmRc/edit?usp=sharing"",""ปัตตานี!J338"")"),425)</f>
        <v>425</v>
      </c>
      <c r="T80" s="82">
        <f t="shared" ca="1" si="22"/>
        <v>141.66666666666666</v>
      </c>
      <c r="U80" s="81">
        <f ca="1">IFERROR(__xludf.DUMMYFUNCTION("IMPORTRANGE(""https://docs.google.com/spreadsheets/d/1IwnW3-jjRf74MCLW-6PiFwMUffRQXZwZA7YM609NmRc/edit?usp=sharing"",""ปัตตานี!I340"")"),2)</f>
        <v>2</v>
      </c>
      <c r="V80" s="81">
        <f ca="1">IFERROR(__xludf.DUMMYFUNCTION("IMPORTRANGE(""https://docs.google.com/spreadsheets/d/1IwnW3-jjRf74MCLW-6PiFwMUffRQXZwZA7YM609NmRc/edit?usp=sharing"",""ปัตตานี!J340"")"),2)</f>
        <v>2</v>
      </c>
      <c r="W80" s="82">
        <f t="shared" ca="1" si="23"/>
        <v>100</v>
      </c>
      <c r="X80" s="81">
        <f ca="1">IFERROR(__xludf.DUMMYFUNCTION("IMPORTRANGE(""https://docs.google.com/spreadsheets/d/1IwnW3-jjRf74MCLW-6PiFwMUffRQXZwZA7YM609NmRc/edit?usp=sharing"",""ปัตตานี!J341"")"),69)</f>
        <v>69</v>
      </c>
      <c r="Y80" s="81">
        <f ca="1">IFERROR(__xludf.DUMMYFUNCTION("IMPORTRANGE(""https://docs.google.com/spreadsheets/d/1IwnW3-jjRf74MCLW-6PiFwMUffRQXZwZA7YM609NmRc/edit?usp=sharing"",""ปัตตานี!J342"")"),0)</f>
        <v>0</v>
      </c>
      <c r="Z80" s="81">
        <f ca="1">IFERROR(__xludf.DUMMYFUNCTION("IMPORTRANGE(""https://docs.google.com/spreadsheets/d/1IwnW3-jjRf74MCLW-6PiFwMUffRQXZwZA7YM609NmRc/edit?usp=sharing"",""ปัตตานี!J343"")"),10)</f>
        <v>10</v>
      </c>
      <c r="AA80" s="81">
        <f t="shared" ca="1" si="49"/>
        <v>504</v>
      </c>
      <c r="AB80" s="347">
        <f t="shared" ca="1" si="29"/>
        <v>168</v>
      </c>
    </row>
    <row r="81" spans="1:28" ht="21" customHeight="1" x14ac:dyDescent="0.2">
      <c r="A81" s="73">
        <v>7</v>
      </c>
      <c r="B81" s="74" t="s">
        <v>103</v>
      </c>
      <c r="C81" s="75">
        <f t="shared" ca="1" si="0"/>
        <v>163000</v>
      </c>
      <c r="D81" s="76">
        <f t="shared" ca="1" si="48"/>
        <v>163000</v>
      </c>
      <c r="E81" s="77">
        <f ca="1">IFERROR(__xludf.DUMMYFUNCTION("IMPORTRANGE(""https://docs.google.com/spreadsheets/d/1MeEWN-I1oV_STSDYn1IFDPWt_1FKiwhDph83XaGc0o0/edit?usp=sharing"",""งบพรบ!EN81"")"),0)</f>
        <v>0</v>
      </c>
      <c r="F81" s="77">
        <f ca="1">IFERROR(__xludf.DUMMYFUNCTION("IMPORTRANGE(""https://docs.google.com/spreadsheets/d/1MeEWN-I1oV_STSDYn1IFDPWt_1FKiwhDph83XaGc0o0/edit?usp=sharing"",""งบพรบ!EO81"")"),163000)</f>
        <v>163000</v>
      </c>
      <c r="G81" s="77">
        <f ca="1">IFERROR(__xludf.DUMMYFUNCTION("IMPORTRANGE(""https://docs.google.com/spreadsheets/d/1MeEWN-I1oV_STSDYn1IFDPWt_1FKiwhDph83XaGc0o0/edit?usp=sharing"",""งบพรบ!EP81"")"),0)</f>
        <v>0</v>
      </c>
      <c r="H81" s="77">
        <f ca="1">IFERROR(__xludf.DUMMYFUNCTION("IMPORTRANGE(""https://docs.google.com/spreadsheets/d/1MeEWN-I1oV_STSDYn1IFDPWt_1FKiwhDph83XaGc0o0/edit?usp=sharing"",""งบพรบ!ER81"")"),165500)</f>
        <v>165500</v>
      </c>
      <c r="I81" s="77">
        <f ca="1">IFERROR(__xludf.DUMMYFUNCTION("IMPORTRANGE(""https://docs.google.com/spreadsheets/d/1MeEWN-I1oV_STSDYn1IFDPWt_1FKiwhDph83XaGc0o0/edit?usp=sharing"",""งบพรบ!ES81"")"),0)</f>
        <v>0</v>
      </c>
      <c r="J81" s="77">
        <f t="shared" ca="1" si="3"/>
        <v>103841.33</v>
      </c>
      <c r="K81" s="78">
        <f t="shared" ca="1" si="4"/>
        <v>63.706337423312881</v>
      </c>
      <c r="L81" s="77">
        <f ca="1">IFERROR(__xludf.DUMMYFUNCTION("IMPORTRANGE(""https://docs.google.com/spreadsheets/d/1MeEWN-I1oV_STSDYn1IFDPWt_1FKiwhDph83XaGc0o0/edit?usp=sharing"",""งบพรบ!ET81"")"),103841.33)</f>
        <v>103841.33</v>
      </c>
      <c r="M81" s="79">
        <f t="shared" ca="1" si="5"/>
        <v>63.706337423312881</v>
      </c>
      <c r="N81" s="79">
        <f t="shared" ca="1" si="6"/>
        <v>62.744006042296071</v>
      </c>
      <c r="O81" s="80">
        <f ca="1">IFERROR(__xludf.DUMMYFUNCTION("IMPORTRANGE(""https://docs.google.com/spreadsheets/d/1MeEWN-I1oV_STSDYn1IFDPWt_1FKiwhDph83XaGc0o0/edit?usp=sharing"",""งบพรบ!EU81"")"),0)</f>
        <v>0</v>
      </c>
      <c r="P81" s="80">
        <f t="shared" ca="1" si="25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IFERROR(__xludf.DUMMYFUNCTION("IMPORTRANGE(""https://docs.google.com/spreadsheets/d/1vl4QWbWdFruual5o_wdo6ZSqXZ_it806oja4CctTLKs/edit?usp=sharing"",""พังงา!I338"")"),800)</f>
        <v>800</v>
      </c>
      <c r="S81" s="81">
        <f ca="1">IFERROR(__xludf.DUMMYFUNCTION("IMPORTRANGE(""https://docs.google.com/spreadsheets/d/1vl4QWbWdFruual5o_wdo6ZSqXZ_it806oja4CctTLKs/edit?usp=sharing"",""พังงา!J338"")"),1361)</f>
        <v>1361</v>
      </c>
      <c r="T81" s="82">
        <f t="shared" ca="1" si="22"/>
        <v>170.125</v>
      </c>
      <c r="U81" s="81">
        <f ca="1">IFERROR(__xludf.DUMMYFUNCTION("IMPORTRANGE(""https://docs.google.com/spreadsheets/d/1vl4QWbWdFruual5o_wdo6ZSqXZ_it806oja4CctTLKs/edit?usp=sharing"",""พังงา!I340"")"),5)</f>
        <v>5</v>
      </c>
      <c r="V81" s="81">
        <f ca="1">IFERROR(__xludf.DUMMYFUNCTION("IMPORTRANGE(""https://docs.google.com/spreadsheets/d/1vl4QWbWdFruual5o_wdo6ZSqXZ_it806oja4CctTLKs/edit?usp=sharing"",""พังงา!J340"")"),5)</f>
        <v>5</v>
      </c>
      <c r="W81" s="82">
        <f t="shared" ca="1" si="23"/>
        <v>100</v>
      </c>
      <c r="X81" s="81">
        <f ca="1">IFERROR(__xludf.DUMMYFUNCTION("IMPORTRANGE(""https://docs.google.com/spreadsheets/d/1vl4QWbWdFruual5o_wdo6ZSqXZ_it806oja4CctTLKs/edit?usp=sharing"",""พังงา!J341"")"),90)</f>
        <v>90</v>
      </c>
      <c r="Y81" s="81">
        <f ca="1">IFERROR(__xludf.DUMMYFUNCTION("IMPORTRANGE(""https://docs.google.com/spreadsheets/d/1vl4QWbWdFruual5o_wdo6ZSqXZ_it806oja4CctTLKs/edit?usp=sharing"",""พังงา!J342"")"),0)</f>
        <v>0</v>
      </c>
      <c r="Z81" s="81">
        <f ca="1">IFERROR(__xludf.DUMMYFUNCTION("IMPORTRANGE(""https://docs.google.com/spreadsheets/d/1vl4QWbWdFruual5o_wdo6ZSqXZ_it806oja4CctTLKs/edit?usp=sharing"",""พังงา!J343"")"),0)</f>
        <v>0</v>
      </c>
      <c r="AA81" s="81">
        <f t="shared" ca="1" si="49"/>
        <v>1451</v>
      </c>
      <c r="AB81" s="347">
        <f t="shared" ca="1" si="29"/>
        <v>181.375</v>
      </c>
    </row>
    <row r="82" spans="1:28" ht="21" customHeight="1" x14ac:dyDescent="0.2">
      <c r="A82" s="73">
        <v>8</v>
      </c>
      <c r="B82" s="74" t="s">
        <v>104</v>
      </c>
      <c r="C82" s="75">
        <f t="shared" ca="1" si="0"/>
        <v>162000</v>
      </c>
      <c r="D82" s="76">
        <f t="shared" ca="1" si="48"/>
        <v>162000</v>
      </c>
      <c r="E82" s="77">
        <f ca="1">IFERROR(__xludf.DUMMYFUNCTION("IMPORTRANGE(""https://docs.google.com/spreadsheets/d/1MeEWN-I1oV_STSDYn1IFDPWt_1FKiwhDph83XaGc0o0/edit?usp=sharing"",""งบพรบ!EN82"")"),0)</f>
        <v>0</v>
      </c>
      <c r="F82" s="77">
        <f ca="1">IFERROR(__xludf.DUMMYFUNCTION("IMPORTRANGE(""https://docs.google.com/spreadsheets/d/1MeEWN-I1oV_STSDYn1IFDPWt_1FKiwhDph83XaGc0o0/edit?usp=sharing"",""งบพรบ!EO82"")"),162000)</f>
        <v>162000</v>
      </c>
      <c r="G82" s="77">
        <f ca="1">IFERROR(__xludf.DUMMYFUNCTION("IMPORTRANGE(""https://docs.google.com/spreadsheets/d/1MeEWN-I1oV_STSDYn1IFDPWt_1FKiwhDph83XaGc0o0/edit?usp=sharing"",""งบพรบ!EP82"")"),0)</f>
        <v>0</v>
      </c>
      <c r="H82" s="77">
        <f ca="1">IFERROR(__xludf.DUMMYFUNCTION("IMPORTRANGE(""https://docs.google.com/spreadsheets/d/1MeEWN-I1oV_STSDYn1IFDPWt_1FKiwhDph83XaGc0o0/edit?usp=sharing"",""งบพรบ!ER82"")"),164500)</f>
        <v>164500</v>
      </c>
      <c r="I82" s="77">
        <f ca="1">IFERROR(__xludf.DUMMYFUNCTION("IMPORTRANGE(""https://docs.google.com/spreadsheets/d/1MeEWN-I1oV_STSDYn1IFDPWt_1FKiwhDph83XaGc0o0/edit?usp=sharing"",""งบพรบ!ES82"")"),0)</f>
        <v>0</v>
      </c>
      <c r="J82" s="77">
        <f t="shared" ca="1" si="3"/>
        <v>150300</v>
      </c>
      <c r="K82" s="78">
        <f t="shared" ca="1" si="4"/>
        <v>92.777777777777771</v>
      </c>
      <c r="L82" s="77">
        <f ca="1">IFERROR(__xludf.DUMMYFUNCTION("IMPORTRANGE(""https://docs.google.com/spreadsheets/d/1MeEWN-I1oV_STSDYn1IFDPWt_1FKiwhDph83XaGc0o0/edit?usp=sharing"",""งบพรบ!ET82"")"),150300)</f>
        <v>150300</v>
      </c>
      <c r="M82" s="79">
        <f t="shared" ca="1" si="5"/>
        <v>92.777777777777771</v>
      </c>
      <c r="N82" s="79">
        <f t="shared" ca="1" si="6"/>
        <v>91.367781155015194</v>
      </c>
      <c r="O82" s="80">
        <f ca="1">IFERROR(__xludf.DUMMYFUNCTION("IMPORTRANGE(""https://docs.google.com/spreadsheets/d/1MeEWN-I1oV_STSDYn1IFDPWt_1FKiwhDph83XaGc0o0/edit?usp=sharing"",""งบพรบ!EU82"")"),0)</f>
        <v>0</v>
      </c>
      <c r="P82" s="80">
        <f t="shared" ca="1" si="25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IFERROR(__xludf.DUMMYFUNCTION("IMPORTRANGE(""https://docs.google.com/spreadsheets/d/1b6QssHQp2FoAPSMKHOy273KNzAomaIKhtdlvuZ_zDNE/edit?usp=sharing"",""พัทลุง!I338"")"),1200)</f>
        <v>1200</v>
      </c>
      <c r="S82" s="81">
        <f ca="1">IFERROR(__xludf.DUMMYFUNCTION("IMPORTRANGE(""https://docs.google.com/spreadsheets/d/1b6QssHQp2FoAPSMKHOy273KNzAomaIKhtdlvuZ_zDNE/edit?usp=sharing"",""พัทลุง!J338"")"),2565)</f>
        <v>2565</v>
      </c>
      <c r="T82" s="82">
        <f t="shared" ca="1" si="22"/>
        <v>213.75</v>
      </c>
      <c r="U82" s="81">
        <f ca="1">IFERROR(__xludf.DUMMYFUNCTION("IMPORTRANGE(""https://docs.google.com/spreadsheets/d/1b6QssHQp2FoAPSMKHOy273KNzAomaIKhtdlvuZ_zDNE/edit?usp=sharing"",""พัทลุง!I340"")"),2)</f>
        <v>2</v>
      </c>
      <c r="V82" s="81">
        <f ca="1">IFERROR(__xludf.DUMMYFUNCTION("IMPORTRANGE(""https://docs.google.com/spreadsheets/d/1b6QssHQp2FoAPSMKHOy273KNzAomaIKhtdlvuZ_zDNE/edit?usp=sharing"",""พัทลุง!J340"")"),2)</f>
        <v>2</v>
      </c>
      <c r="W82" s="82">
        <f t="shared" ca="1" si="23"/>
        <v>100</v>
      </c>
      <c r="X82" s="81">
        <f ca="1">IFERROR(__xludf.DUMMYFUNCTION("IMPORTRANGE(""https://docs.google.com/spreadsheets/d/1b6QssHQp2FoAPSMKHOy273KNzAomaIKhtdlvuZ_zDNE/edit?usp=sharing"",""พัทลุง!J341"")"),108)</f>
        <v>108</v>
      </c>
      <c r="Y82" s="81">
        <f ca="1">IFERROR(__xludf.DUMMYFUNCTION("IMPORTRANGE(""https://docs.google.com/spreadsheets/d/1b6QssHQp2FoAPSMKHOy273KNzAomaIKhtdlvuZ_zDNE/edit?usp=sharing"",""พัทลุง!J342"")"),2)</f>
        <v>2</v>
      </c>
      <c r="Z82" s="81">
        <f ca="1">IFERROR(__xludf.DUMMYFUNCTION("IMPORTRANGE(""https://docs.google.com/spreadsheets/d/1b6QssHQp2FoAPSMKHOy273KNzAomaIKhtdlvuZ_zDNE/edit?usp=sharing"",""พัทลุง!J343"")"),0)</f>
        <v>0</v>
      </c>
      <c r="AA82" s="81">
        <f t="shared" ca="1" si="49"/>
        <v>2675</v>
      </c>
      <c r="AB82" s="347">
        <f t="shared" ca="1" si="29"/>
        <v>222.91666666666666</v>
      </c>
    </row>
    <row r="83" spans="1:28" ht="21" customHeight="1" x14ac:dyDescent="0.2">
      <c r="A83" s="73">
        <v>9</v>
      </c>
      <c r="B83" s="74" t="s">
        <v>105</v>
      </c>
      <c r="C83" s="75">
        <f t="shared" ca="1" si="0"/>
        <v>157000</v>
      </c>
      <c r="D83" s="76">
        <f t="shared" ca="1" si="48"/>
        <v>157000</v>
      </c>
      <c r="E83" s="77">
        <f ca="1">IFERROR(__xludf.DUMMYFUNCTION("IMPORTRANGE(""https://docs.google.com/spreadsheets/d/1MeEWN-I1oV_STSDYn1IFDPWt_1FKiwhDph83XaGc0o0/edit?usp=sharing"",""งบพรบ!EN83"")"),0)</f>
        <v>0</v>
      </c>
      <c r="F83" s="77">
        <f ca="1">IFERROR(__xludf.DUMMYFUNCTION("IMPORTRANGE(""https://docs.google.com/spreadsheets/d/1MeEWN-I1oV_STSDYn1IFDPWt_1FKiwhDph83XaGc0o0/edit?usp=sharing"",""งบพรบ!EO83"")"),157000)</f>
        <v>157000</v>
      </c>
      <c r="G83" s="77">
        <f ca="1">IFERROR(__xludf.DUMMYFUNCTION("IMPORTRANGE(""https://docs.google.com/spreadsheets/d/1MeEWN-I1oV_STSDYn1IFDPWt_1FKiwhDph83XaGc0o0/edit?usp=sharing"",""งบพรบ!EP83"")"),0)</f>
        <v>0</v>
      </c>
      <c r="H83" s="77">
        <f ca="1">IFERROR(__xludf.DUMMYFUNCTION("IMPORTRANGE(""https://docs.google.com/spreadsheets/d/1MeEWN-I1oV_STSDYn1IFDPWt_1FKiwhDph83XaGc0o0/edit?usp=sharing"",""งบพรบ!ER83"")"),159500)</f>
        <v>159500</v>
      </c>
      <c r="I83" s="77">
        <f ca="1">IFERROR(__xludf.DUMMYFUNCTION("IMPORTRANGE(""https://docs.google.com/spreadsheets/d/1MeEWN-I1oV_STSDYn1IFDPWt_1FKiwhDph83XaGc0o0/edit?usp=sharing"",""งบพรบ!ES83"")"),0)</f>
        <v>0</v>
      </c>
      <c r="J83" s="77">
        <f t="shared" ca="1" si="3"/>
        <v>146500</v>
      </c>
      <c r="K83" s="78">
        <f t="shared" ca="1" si="4"/>
        <v>93.312101910828019</v>
      </c>
      <c r="L83" s="77">
        <f ca="1">IFERROR(__xludf.DUMMYFUNCTION("IMPORTRANGE(""https://docs.google.com/spreadsheets/d/1MeEWN-I1oV_STSDYn1IFDPWt_1FKiwhDph83XaGc0o0/edit?usp=sharing"",""งบพรบ!ET83"")"),146500)</f>
        <v>146500</v>
      </c>
      <c r="M83" s="79">
        <f t="shared" ca="1" si="5"/>
        <v>93.312101910828019</v>
      </c>
      <c r="N83" s="79">
        <f t="shared" ca="1" si="6"/>
        <v>91.849529780564268</v>
      </c>
      <c r="O83" s="80">
        <f ca="1">IFERROR(__xludf.DUMMYFUNCTION("IMPORTRANGE(""https://docs.google.com/spreadsheets/d/1MeEWN-I1oV_STSDYn1IFDPWt_1FKiwhDph83XaGc0o0/edit?usp=sharing"",""งบพรบ!EU83"")"),0)</f>
        <v>0</v>
      </c>
      <c r="P83" s="80">
        <f t="shared" ca="1" si="25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IFERROR(__xludf.DUMMYFUNCTION("IMPORTRANGE(""https://docs.google.com/spreadsheets/d/1o7UZe4_OqlqtLDHrj01Z2YFRSZDf1DMy1n3XViHaxRc/edit?usp=sharing"",""ภูเก็ต!I338"")"),180)</f>
        <v>180</v>
      </c>
      <c r="S83" s="81">
        <f ca="1">IFERROR(__xludf.DUMMYFUNCTION("IMPORTRANGE(""https://docs.google.com/spreadsheets/d/1o7UZe4_OqlqtLDHrj01Z2YFRSZDf1DMy1n3XViHaxRc/edit?usp=sharing"",""ภูเก็ต!J338"")"),190)</f>
        <v>190</v>
      </c>
      <c r="T83" s="82">
        <f t="shared" ca="1" si="22"/>
        <v>105.55555555555556</v>
      </c>
      <c r="U83" s="81">
        <f ca="1">IFERROR(__xludf.DUMMYFUNCTION("IMPORTRANGE(""https://docs.google.com/spreadsheets/d/1o7UZe4_OqlqtLDHrj01Z2YFRSZDf1DMy1n3XViHaxRc/edit?usp=sharing"",""ภูเก็ต!I340"")"),2)</f>
        <v>2</v>
      </c>
      <c r="V83" s="81">
        <f ca="1">IFERROR(__xludf.DUMMYFUNCTION("IMPORTRANGE(""https://docs.google.com/spreadsheets/d/1o7UZe4_OqlqtLDHrj01Z2YFRSZDf1DMy1n3XViHaxRc/edit?usp=sharing"",""ภูเก็ต!J340"")"),2)</f>
        <v>2</v>
      </c>
      <c r="W83" s="82">
        <f t="shared" ca="1" si="23"/>
        <v>100</v>
      </c>
      <c r="X83" s="81">
        <f ca="1">IFERROR(__xludf.DUMMYFUNCTION("IMPORTRANGE(""https://docs.google.com/spreadsheets/d/1o7UZe4_OqlqtLDHrj01Z2YFRSZDf1DMy1n3XViHaxRc/edit?usp=sharing"",""ภูเก็ต!J341"")"),17)</f>
        <v>17</v>
      </c>
      <c r="Y83" s="81">
        <f ca="1">IFERROR(__xludf.DUMMYFUNCTION("IMPORTRANGE(""https://docs.google.com/spreadsheets/d/1o7UZe4_OqlqtLDHrj01Z2YFRSZDf1DMy1n3XViHaxRc/edit?usp=sharing"",""ภูเก็ต!J342"")"),15)</f>
        <v>15</v>
      </c>
      <c r="Z83" s="81">
        <f ca="1">IFERROR(__xludf.DUMMYFUNCTION("IMPORTRANGE(""https://docs.google.com/spreadsheets/d/1o7UZe4_OqlqtLDHrj01Z2YFRSZDf1DMy1n3XViHaxRc/edit?usp=sharing"",""ภูเก็ต!J343"")"),0)</f>
        <v>0</v>
      </c>
      <c r="AA83" s="81">
        <f t="shared" ca="1" si="49"/>
        <v>222</v>
      </c>
      <c r="AB83" s="347">
        <f t="shared" ca="1" si="29"/>
        <v>123.33333333333333</v>
      </c>
    </row>
    <row r="84" spans="1:28" ht="21" customHeight="1" x14ac:dyDescent="0.2">
      <c r="A84" s="73">
        <v>10</v>
      </c>
      <c r="B84" s="74" t="s">
        <v>106</v>
      </c>
      <c r="C84" s="75">
        <f t="shared" ca="1" si="0"/>
        <v>157000</v>
      </c>
      <c r="D84" s="76">
        <f t="shared" ca="1" si="48"/>
        <v>157000</v>
      </c>
      <c r="E84" s="77">
        <f ca="1">IFERROR(__xludf.DUMMYFUNCTION("IMPORTRANGE(""https://docs.google.com/spreadsheets/d/1MeEWN-I1oV_STSDYn1IFDPWt_1FKiwhDph83XaGc0o0/edit?usp=sharing"",""งบพรบ!EN84"")"),0)</f>
        <v>0</v>
      </c>
      <c r="F84" s="77">
        <f ca="1">IFERROR(__xludf.DUMMYFUNCTION("IMPORTRANGE(""https://docs.google.com/spreadsheets/d/1MeEWN-I1oV_STSDYn1IFDPWt_1FKiwhDph83XaGc0o0/edit?usp=sharing"",""งบพรบ!EO84"")"),157000)</f>
        <v>157000</v>
      </c>
      <c r="G84" s="77">
        <f ca="1">IFERROR(__xludf.DUMMYFUNCTION("IMPORTRANGE(""https://docs.google.com/spreadsheets/d/1MeEWN-I1oV_STSDYn1IFDPWt_1FKiwhDph83XaGc0o0/edit?usp=sharing"",""งบพรบ!EP84"")"),0)</f>
        <v>0</v>
      </c>
      <c r="H84" s="77">
        <f ca="1">IFERROR(__xludf.DUMMYFUNCTION("IMPORTRANGE(""https://docs.google.com/spreadsheets/d/1MeEWN-I1oV_STSDYn1IFDPWt_1FKiwhDph83XaGc0o0/edit?usp=sharing"",""งบพรบ!ER84"")"),159500)</f>
        <v>159500</v>
      </c>
      <c r="I84" s="77">
        <f ca="1">IFERROR(__xludf.DUMMYFUNCTION("IMPORTRANGE(""https://docs.google.com/spreadsheets/d/1MeEWN-I1oV_STSDYn1IFDPWt_1FKiwhDph83XaGc0o0/edit?usp=sharing"",""งบพรบ!ES84"")"),0)</f>
        <v>0</v>
      </c>
      <c r="J84" s="77">
        <f t="shared" ca="1" si="3"/>
        <v>151125</v>
      </c>
      <c r="K84" s="78">
        <f t="shared" ca="1" si="4"/>
        <v>96.257961783439484</v>
      </c>
      <c r="L84" s="77">
        <f ca="1">IFERROR(__xludf.DUMMYFUNCTION("IMPORTRANGE(""https://docs.google.com/spreadsheets/d/1MeEWN-I1oV_STSDYn1IFDPWt_1FKiwhDph83XaGc0o0/edit?usp=sharing"",""งบพรบ!ET84"")"),151125)</f>
        <v>151125</v>
      </c>
      <c r="M84" s="79">
        <f t="shared" ca="1" si="5"/>
        <v>96.257961783439484</v>
      </c>
      <c r="N84" s="79">
        <f t="shared" ca="1" si="6"/>
        <v>94.749216300940432</v>
      </c>
      <c r="O84" s="80">
        <f ca="1">IFERROR(__xludf.DUMMYFUNCTION("IMPORTRANGE(""https://docs.google.com/spreadsheets/d/1MeEWN-I1oV_STSDYn1IFDPWt_1FKiwhDph83XaGc0o0/edit?usp=sharing"",""งบพรบ!EU84"")"),0)</f>
        <v>0</v>
      </c>
      <c r="P84" s="80">
        <f t="shared" ca="1" si="25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IFERROR(__xludf.DUMMYFUNCTION("IMPORTRANGE(""https://docs.google.com/spreadsheets/d/1ctPm1vUzcUCPuOj9-eoHUD85PqINFqUB0TjdSWmR5-c/edit?usp=sharing"",""ยะลา!I338"")"),200)</f>
        <v>200</v>
      </c>
      <c r="S84" s="81">
        <f ca="1">IFERROR(__xludf.DUMMYFUNCTION("IMPORTRANGE(""https://docs.google.com/spreadsheets/d/1ctPm1vUzcUCPuOj9-eoHUD85PqINFqUB0TjdSWmR5-c/edit?usp=sharing"",""ยะลา!J338"")"),360)</f>
        <v>360</v>
      </c>
      <c r="T84" s="82">
        <f t="shared" ca="1" si="22"/>
        <v>180</v>
      </c>
      <c r="U84" s="81">
        <f ca="1">IFERROR(__xludf.DUMMYFUNCTION("IMPORTRANGE(""https://docs.google.com/spreadsheets/d/1ctPm1vUzcUCPuOj9-eoHUD85PqINFqUB0TjdSWmR5-c/edit?usp=sharing"",""ยะลา!I340"")"),2)</f>
        <v>2</v>
      </c>
      <c r="V84" s="81">
        <f ca="1">IFERROR(__xludf.DUMMYFUNCTION("IMPORTRANGE(""https://docs.google.com/spreadsheets/d/1ctPm1vUzcUCPuOj9-eoHUD85PqINFqUB0TjdSWmR5-c/edit?usp=sharing"",""ยะลา!J340"")"),2)</f>
        <v>2</v>
      </c>
      <c r="W84" s="82">
        <f t="shared" ca="1" si="23"/>
        <v>100</v>
      </c>
      <c r="X84" s="81">
        <f ca="1">IFERROR(__xludf.DUMMYFUNCTION("IMPORTRANGE(""https://docs.google.com/spreadsheets/d/1ctPm1vUzcUCPuOj9-eoHUD85PqINFqUB0TjdSWmR5-c/edit?usp=sharing"",""ยะลา!J341"")"),91)</f>
        <v>91</v>
      </c>
      <c r="Y84" s="81">
        <f ca="1">IFERROR(__xludf.DUMMYFUNCTION("IMPORTRANGE(""https://docs.google.com/spreadsheets/d/1ctPm1vUzcUCPuOj9-eoHUD85PqINFqUB0TjdSWmR5-c/edit?usp=sharing"",""ยะลา!J342"")"),0)</f>
        <v>0</v>
      </c>
      <c r="Z84" s="81">
        <f ca="1">IFERROR(__xludf.DUMMYFUNCTION("IMPORTRANGE(""https://docs.google.com/spreadsheets/d/1ctPm1vUzcUCPuOj9-eoHUD85PqINFqUB0TjdSWmR5-c/edit?usp=sharing"",""ยะลา!J343"")"),0)</f>
        <v>0</v>
      </c>
      <c r="AA84" s="81">
        <f t="shared" ca="1" si="49"/>
        <v>451</v>
      </c>
      <c r="AB84" s="347">
        <f t="shared" ca="1" si="29"/>
        <v>225.5</v>
      </c>
    </row>
    <row r="85" spans="1:28" ht="21" customHeight="1" x14ac:dyDescent="0.2">
      <c r="A85" s="73">
        <v>11</v>
      </c>
      <c r="B85" s="74" t="s">
        <v>107</v>
      </c>
      <c r="C85" s="75">
        <f t="shared" ca="1" si="0"/>
        <v>159000</v>
      </c>
      <c r="D85" s="76">
        <f t="shared" ca="1" si="48"/>
        <v>159000</v>
      </c>
      <c r="E85" s="77">
        <f ca="1">IFERROR(__xludf.DUMMYFUNCTION("IMPORTRANGE(""https://docs.google.com/spreadsheets/d/1MeEWN-I1oV_STSDYn1IFDPWt_1FKiwhDph83XaGc0o0/edit?usp=sharing"",""งบพรบ!EN85"")"),0)</f>
        <v>0</v>
      </c>
      <c r="F85" s="77">
        <f ca="1">IFERROR(__xludf.DUMMYFUNCTION("IMPORTRANGE(""https://docs.google.com/spreadsheets/d/1MeEWN-I1oV_STSDYn1IFDPWt_1FKiwhDph83XaGc0o0/edit?usp=sharing"",""งบพรบ!EO85"")"),159000)</f>
        <v>159000</v>
      </c>
      <c r="G85" s="77">
        <f ca="1">IFERROR(__xludf.DUMMYFUNCTION("IMPORTRANGE(""https://docs.google.com/spreadsheets/d/1MeEWN-I1oV_STSDYn1IFDPWt_1FKiwhDph83XaGc0o0/edit?usp=sharing"",""งบพรบ!EP85"")"),0)</f>
        <v>0</v>
      </c>
      <c r="H85" s="77">
        <f ca="1">IFERROR(__xludf.DUMMYFUNCTION("IMPORTRANGE(""https://docs.google.com/spreadsheets/d/1MeEWN-I1oV_STSDYn1IFDPWt_1FKiwhDph83XaGc0o0/edit?usp=sharing"",""งบพรบ!ER85"")"),161500)</f>
        <v>161500</v>
      </c>
      <c r="I85" s="77">
        <f ca="1">IFERROR(__xludf.DUMMYFUNCTION("IMPORTRANGE(""https://docs.google.com/spreadsheets/d/1MeEWN-I1oV_STSDYn1IFDPWt_1FKiwhDph83XaGc0o0/edit?usp=sharing"",""งบพรบ!ES85"")"),9000)</f>
        <v>9000</v>
      </c>
      <c r="J85" s="77">
        <f t="shared" ca="1" si="3"/>
        <v>152779.37</v>
      </c>
      <c r="K85" s="78">
        <f t="shared" ca="1" si="4"/>
        <v>96.087654088050314</v>
      </c>
      <c r="L85" s="77">
        <f ca="1">IFERROR(__xludf.DUMMYFUNCTION("IMPORTRANGE(""https://docs.google.com/spreadsheets/d/1MeEWN-I1oV_STSDYn1IFDPWt_1FKiwhDph83XaGc0o0/edit?usp=sharing"",""งบพรบ!ET85"")"),143779.37)</f>
        <v>143779.37</v>
      </c>
      <c r="M85" s="79">
        <f t="shared" ca="1" si="5"/>
        <v>90.42727672955975</v>
      </c>
      <c r="N85" s="79">
        <f t="shared" ca="1" si="6"/>
        <v>89.02747368421052</v>
      </c>
      <c r="O85" s="80">
        <f ca="1">IFERROR(__xludf.DUMMYFUNCTION("IMPORTRANGE(""https://docs.google.com/spreadsheets/d/1MeEWN-I1oV_STSDYn1IFDPWt_1FKiwhDph83XaGc0o0/edit?usp=sharing"",""งบพรบ!EU85"")"),9000)</f>
        <v>9000</v>
      </c>
      <c r="P85" s="80">
        <f t="shared" ca="1" si="25"/>
        <v>0</v>
      </c>
      <c r="Q85" s="79">
        <f t="shared" ca="1" si="8"/>
        <v>100</v>
      </c>
      <c r="R85" s="81">
        <f ca="1">IFERROR(__xludf.DUMMYFUNCTION("IMPORTRANGE(""https://docs.google.com/spreadsheets/d/1YiDIE7Klmt8osgdapRqYWNr7iPGFSsiJqq46S7PYRE0/edit?usp=sharing"",""ระนอง!I338"")"),500)</f>
        <v>500</v>
      </c>
      <c r="S85" s="81">
        <f ca="1">IFERROR(__xludf.DUMMYFUNCTION("IMPORTRANGE(""https://docs.google.com/spreadsheets/d/1YiDIE7Klmt8osgdapRqYWNr7iPGFSsiJqq46S7PYRE0/edit?usp=sharing"",""ระนอง!J338"")"),763)</f>
        <v>763</v>
      </c>
      <c r="T85" s="82">
        <f t="shared" ca="1" si="22"/>
        <v>152.6</v>
      </c>
      <c r="U85" s="81">
        <f ca="1">IFERROR(__xludf.DUMMYFUNCTION("IMPORTRANGE(""https://docs.google.com/spreadsheets/d/1YiDIE7Klmt8osgdapRqYWNr7iPGFSsiJqq46S7PYRE0/edit?usp=sharing"",""ระนอง!I340"")"),3)</f>
        <v>3</v>
      </c>
      <c r="V85" s="81">
        <f ca="1">IFERROR(__xludf.DUMMYFUNCTION("IMPORTRANGE(""https://docs.google.com/spreadsheets/d/1YiDIE7Klmt8osgdapRqYWNr7iPGFSsiJqq46S7PYRE0/edit?usp=sharing"",""ระนอง!J340"")"),3)</f>
        <v>3</v>
      </c>
      <c r="W85" s="82">
        <f t="shared" ca="1" si="23"/>
        <v>100</v>
      </c>
      <c r="X85" s="81">
        <f ca="1">IFERROR(__xludf.DUMMYFUNCTION("IMPORTRANGE(""https://docs.google.com/spreadsheets/d/1YiDIE7Klmt8osgdapRqYWNr7iPGFSsiJqq46S7PYRE0/edit?usp=sharing"",""ระนอง!J341"")"),73)</f>
        <v>73</v>
      </c>
      <c r="Y85" s="81">
        <f ca="1">IFERROR(__xludf.DUMMYFUNCTION("IMPORTRANGE(""https://docs.google.com/spreadsheets/d/1YiDIE7Klmt8osgdapRqYWNr7iPGFSsiJqq46S7PYRE0/edit?usp=sharing"",""ระนอง!J342"")"),8)</f>
        <v>8</v>
      </c>
      <c r="Z85" s="81">
        <f ca="1">IFERROR(__xludf.DUMMYFUNCTION("IMPORTRANGE(""https://docs.google.com/spreadsheets/d/1YiDIE7Klmt8osgdapRqYWNr7iPGFSsiJqq46S7PYRE0/edit?usp=sharing"",""ระนอง!J343"")"),0)</f>
        <v>0</v>
      </c>
      <c r="AA85" s="81">
        <f t="shared" ca="1" si="49"/>
        <v>844</v>
      </c>
      <c r="AB85" s="347">
        <f t="shared" ca="1" si="29"/>
        <v>168.8</v>
      </c>
    </row>
    <row r="86" spans="1:28" ht="24" customHeight="1" x14ac:dyDescent="0.2">
      <c r="A86" s="73">
        <v>12</v>
      </c>
      <c r="B86" s="74" t="s">
        <v>108</v>
      </c>
      <c r="C86" s="75">
        <f t="shared" ca="1" si="0"/>
        <v>168000</v>
      </c>
      <c r="D86" s="76">
        <f t="shared" ca="1" si="48"/>
        <v>168000</v>
      </c>
      <c r="E86" s="77">
        <f ca="1">IFERROR(__xludf.DUMMYFUNCTION("IMPORTRANGE(""https://docs.google.com/spreadsheets/d/1MeEWN-I1oV_STSDYn1IFDPWt_1FKiwhDph83XaGc0o0/edit?usp=sharing"",""งบพรบ!EN86"")"),0)</f>
        <v>0</v>
      </c>
      <c r="F86" s="77">
        <f ca="1">IFERROR(__xludf.DUMMYFUNCTION("IMPORTRANGE(""https://docs.google.com/spreadsheets/d/1MeEWN-I1oV_STSDYn1IFDPWt_1FKiwhDph83XaGc0o0/edit?usp=sharing"",""งบพรบ!EO86"")"),168000)</f>
        <v>168000</v>
      </c>
      <c r="G86" s="77">
        <f ca="1">IFERROR(__xludf.DUMMYFUNCTION("IMPORTRANGE(""https://docs.google.com/spreadsheets/d/1MeEWN-I1oV_STSDYn1IFDPWt_1FKiwhDph83XaGc0o0/edit?usp=sharing"",""งบพรบ!EP86"")"),0)</f>
        <v>0</v>
      </c>
      <c r="H86" s="77">
        <f ca="1">IFERROR(__xludf.DUMMYFUNCTION("IMPORTRANGE(""https://docs.google.com/spreadsheets/d/1MeEWN-I1oV_STSDYn1IFDPWt_1FKiwhDph83XaGc0o0/edit?usp=sharing"",""งบพรบ!ER86"")"),170500)</f>
        <v>170500</v>
      </c>
      <c r="I86" s="77">
        <f ca="1">IFERROR(__xludf.DUMMYFUNCTION("IMPORTRANGE(""https://docs.google.com/spreadsheets/d/1MeEWN-I1oV_STSDYn1IFDPWt_1FKiwhDph83XaGc0o0/edit?usp=sharing"",""งบพรบ!ES86"")"),0)</f>
        <v>0</v>
      </c>
      <c r="J86" s="77">
        <f t="shared" ca="1" si="3"/>
        <v>151004</v>
      </c>
      <c r="K86" s="78">
        <f t="shared" ca="1" si="4"/>
        <v>89.88333333333334</v>
      </c>
      <c r="L86" s="77">
        <f ca="1">IFERROR(__xludf.DUMMYFUNCTION("IMPORTRANGE(""https://docs.google.com/spreadsheets/d/1MeEWN-I1oV_STSDYn1IFDPWt_1FKiwhDph83XaGc0o0/edit?usp=sharing"",""งบพรบ!ET86"")"),151004)</f>
        <v>151004</v>
      </c>
      <c r="M86" s="79">
        <f t="shared" ca="1" si="5"/>
        <v>89.88333333333334</v>
      </c>
      <c r="N86" s="79">
        <f t="shared" ca="1" si="6"/>
        <v>88.56539589442815</v>
      </c>
      <c r="O86" s="80">
        <f ca="1">IFERROR(__xludf.DUMMYFUNCTION("IMPORTRANGE(""https://docs.google.com/spreadsheets/d/1MeEWN-I1oV_STSDYn1IFDPWt_1FKiwhDph83XaGc0o0/edit?usp=sharing"",""งบพรบ!EU86"")"),0)</f>
        <v>0</v>
      </c>
      <c r="P86" s="80">
        <f t="shared" ca="1" si="25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IFERROR(__xludf.DUMMYFUNCTION("IMPORTRANGE(""https://docs.google.com/spreadsheets/d/16o_4B-V7AWw_6E93bSpXj_XxVv1oVQctk-B6z1dNEWU/edit?usp=sharing"",""สงขลา!I338"")"),1300)</f>
        <v>1300</v>
      </c>
      <c r="S86" s="81">
        <f ca="1">IFERROR(__xludf.DUMMYFUNCTION("IMPORTRANGE(""https://docs.google.com/spreadsheets/d/16o_4B-V7AWw_6E93bSpXj_XxVv1oVQctk-B6z1dNEWU/edit?usp=sharing"",""สงขลา!J338"")"),3067)</f>
        <v>3067</v>
      </c>
      <c r="T86" s="82">
        <f t="shared" ca="1" si="22"/>
        <v>235.92307692307693</v>
      </c>
      <c r="U86" s="81">
        <f ca="1">IFERROR(__xludf.DUMMYFUNCTION("IMPORTRANGE(""https://docs.google.com/spreadsheets/d/16o_4B-V7AWw_6E93bSpXj_XxVv1oVQctk-B6z1dNEWU/edit?usp=sharing"",""สงขลา!I340"")"),5)</f>
        <v>5</v>
      </c>
      <c r="V86" s="81">
        <f ca="1">IFERROR(__xludf.DUMMYFUNCTION("IMPORTRANGE(""https://docs.google.com/spreadsheets/d/16o_4B-V7AWw_6E93bSpXj_XxVv1oVQctk-B6z1dNEWU/edit?usp=sharing"",""สงขลา!J340"")"),4)</f>
        <v>4</v>
      </c>
      <c r="W86" s="82">
        <f t="shared" ca="1" si="23"/>
        <v>80</v>
      </c>
      <c r="X86" s="81">
        <f ca="1">IFERROR(__xludf.DUMMYFUNCTION("IMPORTRANGE(""https://docs.google.com/spreadsheets/d/16o_4B-V7AWw_6E93bSpXj_XxVv1oVQctk-B6z1dNEWU/edit?usp=sharing"",""สงขลา!J341"")"),203)</f>
        <v>203</v>
      </c>
      <c r="Y86" s="81">
        <f ca="1">IFERROR(__xludf.DUMMYFUNCTION("IMPORTRANGE(""https://docs.google.com/spreadsheets/d/16o_4B-V7AWw_6E93bSpXj_XxVv1oVQctk-B6z1dNEWU/edit?usp=sharing"",""สงขลา!J342"")"),2)</f>
        <v>2</v>
      </c>
      <c r="Z86" s="81">
        <f ca="1">IFERROR(__xludf.DUMMYFUNCTION("IMPORTRANGE(""https://docs.google.com/spreadsheets/d/16o_4B-V7AWw_6E93bSpXj_XxVv1oVQctk-B6z1dNEWU/edit?usp=sharing"",""สงขลา!J343"")"),32)</f>
        <v>32</v>
      </c>
      <c r="AA86" s="81">
        <f t="shared" ca="1" si="49"/>
        <v>3304</v>
      </c>
      <c r="AB86" s="347">
        <f t="shared" ca="1" si="29"/>
        <v>254.15384615384616</v>
      </c>
    </row>
    <row r="87" spans="1:28" ht="24" customHeight="1" x14ac:dyDescent="0.2">
      <c r="A87" s="73">
        <v>13</v>
      </c>
      <c r="B87" s="74" t="s">
        <v>109</v>
      </c>
      <c r="C87" s="75">
        <f t="shared" ca="1" si="0"/>
        <v>157000</v>
      </c>
      <c r="D87" s="76">
        <f t="shared" ca="1" si="48"/>
        <v>157000</v>
      </c>
      <c r="E87" s="77">
        <f ca="1">IFERROR(__xludf.DUMMYFUNCTION("IMPORTRANGE(""https://docs.google.com/spreadsheets/d/1MeEWN-I1oV_STSDYn1IFDPWt_1FKiwhDph83XaGc0o0/edit?usp=sharing"",""งบพรบ!EN87"")"),0)</f>
        <v>0</v>
      </c>
      <c r="F87" s="77">
        <f ca="1">IFERROR(__xludf.DUMMYFUNCTION("IMPORTRANGE(""https://docs.google.com/spreadsheets/d/1MeEWN-I1oV_STSDYn1IFDPWt_1FKiwhDph83XaGc0o0/edit?usp=sharing"",""งบพรบ!EO87"")"),157000)</f>
        <v>157000</v>
      </c>
      <c r="G87" s="77">
        <f ca="1">IFERROR(__xludf.DUMMYFUNCTION("IMPORTRANGE(""https://docs.google.com/spreadsheets/d/1MeEWN-I1oV_STSDYn1IFDPWt_1FKiwhDph83XaGc0o0/edit?usp=sharing"",""งบพรบ!EP87"")"),0)</f>
        <v>0</v>
      </c>
      <c r="H87" s="77">
        <f ca="1">IFERROR(__xludf.DUMMYFUNCTION("IMPORTRANGE(""https://docs.google.com/spreadsheets/d/1MeEWN-I1oV_STSDYn1IFDPWt_1FKiwhDph83XaGc0o0/edit?usp=sharing"",""งบพรบ!ER87"")"),159500)</f>
        <v>159500</v>
      </c>
      <c r="I87" s="77">
        <f ca="1">IFERROR(__xludf.DUMMYFUNCTION("IMPORTRANGE(""https://docs.google.com/spreadsheets/d/1MeEWN-I1oV_STSDYn1IFDPWt_1FKiwhDph83XaGc0o0/edit?usp=sharing"",""งบพรบ!ES87"")"),0)</f>
        <v>0</v>
      </c>
      <c r="J87" s="77">
        <f t="shared" ca="1" si="3"/>
        <v>127383</v>
      </c>
      <c r="K87" s="78">
        <f t="shared" ca="1" si="4"/>
        <v>81.135668789808918</v>
      </c>
      <c r="L87" s="77">
        <f ca="1">IFERROR(__xludf.DUMMYFUNCTION("IMPORTRANGE(""https://docs.google.com/spreadsheets/d/1MeEWN-I1oV_STSDYn1IFDPWt_1FKiwhDph83XaGc0o0/edit?usp=sharing"",""งบพรบ!ET87"")"),127383)</f>
        <v>127383</v>
      </c>
      <c r="M87" s="79">
        <f t="shared" ca="1" si="5"/>
        <v>81.135668789808918</v>
      </c>
      <c r="N87" s="79">
        <f t="shared" ca="1" si="6"/>
        <v>79.863949843260187</v>
      </c>
      <c r="O87" s="80">
        <f ca="1">IFERROR(__xludf.DUMMYFUNCTION("IMPORTRANGE(""https://docs.google.com/spreadsheets/d/1MeEWN-I1oV_STSDYn1IFDPWt_1FKiwhDph83XaGc0o0/edit?usp=sharing"",""งบพรบ!EU87"")"),0)</f>
        <v>0</v>
      </c>
      <c r="P87" s="80">
        <f t="shared" ca="1" si="25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IFERROR(__xludf.DUMMYFUNCTION("IMPORTRANGE(""https://docs.google.com/spreadsheets/d/16cywr71Fj4fA5OGRHsZh30ZG2gwJhMAQv69oVBzYHv0/edit?usp=sharing"",""สตูล!I338"")"),200)</f>
        <v>200</v>
      </c>
      <c r="S87" s="81">
        <f ca="1">IFERROR(__xludf.DUMMYFUNCTION("IMPORTRANGE(""https://docs.google.com/spreadsheets/d/16cywr71Fj4fA5OGRHsZh30ZG2gwJhMAQv69oVBzYHv0/edit?usp=sharing"",""สตูล!J338"")"),554)</f>
        <v>554</v>
      </c>
      <c r="T87" s="82">
        <f t="shared" ca="1" si="22"/>
        <v>277</v>
      </c>
      <c r="U87" s="81">
        <f ca="1">IFERROR(__xludf.DUMMYFUNCTION("IMPORTRANGE(""https://docs.google.com/spreadsheets/d/16cywr71Fj4fA5OGRHsZh30ZG2gwJhMAQv69oVBzYHv0/edit?usp=sharing"",""สตูล!I340"")"),2)</f>
        <v>2</v>
      </c>
      <c r="V87" s="81">
        <f ca="1">IFERROR(__xludf.DUMMYFUNCTION("IMPORTRANGE(""https://docs.google.com/spreadsheets/d/16cywr71Fj4fA5OGRHsZh30ZG2gwJhMAQv69oVBzYHv0/edit?usp=sharing"",""สตูล!J340"")"),3)</f>
        <v>3</v>
      </c>
      <c r="W87" s="82">
        <f t="shared" ca="1" si="23"/>
        <v>150</v>
      </c>
      <c r="X87" s="81">
        <f ca="1">IFERROR(__xludf.DUMMYFUNCTION("IMPORTRANGE(""https://docs.google.com/spreadsheets/d/16cywr71Fj4fA5OGRHsZh30ZG2gwJhMAQv69oVBzYHv0/edit?usp=sharing"",""สตูล!J341"")"),81)</f>
        <v>81</v>
      </c>
      <c r="Y87" s="81">
        <f ca="1">IFERROR(__xludf.DUMMYFUNCTION("IMPORTRANGE(""https://docs.google.com/spreadsheets/d/16cywr71Fj4fA5OGRHsZh30ZG2gwJhMAQv69oVBzYHv0/edit?usp=sharing"",""สตูล!J342"")"),2)</f>
        <v>2</v>
      </c>
      <c r="Z87" s="81">
        <f ca="1">IFERROR(__xludf.DUMMYFUNCTION("IMPORTRANGE(""https://docs.google.com/spreadsheets/d/16cywr71Fj4fA5OGRHsZh30ZG2gwJhMAQv69oVBzYHv0/edit?usp=sharing"",""สตูล!J343"")"),1)</f>
        <v>1</v>
      </c>
      <c r="AA87" s="81">
        <f t="shared" ca="1" si="49"/>
        <v>638</v>
      </c>
      <c r="AB87" s="347">
        <f t="shared" ca="1" si="29"/>
        <v>319</v>
      </c>
    </row>
    <row r="88" spans="1:28" ht="24" customHeight="1" x14ac:dyDescent="0.2">
      <c r="A88" s="84">
        <v>14</v>
      </c>
      <c r="B88" s="85" t="s">
        <v>110</v>
      </c>
      <c r="C88" s="86">
        <f t="shared" ca="1" si="0"/>
        <v>179000</v>
      </c>
      <c r="D88" s="87">
        <f t="shared" ca="1" si="48"/>
        <v>179000</v>
      </c>
      <c r="E88" s="88">
        <f ca="1">IFERROR(__xludf.DUMMYFUNCTION("IMPORTRANGE(""https://docs.google.com/spreadsheets/d/1MeEWN-I1oV_STSDYn1IFDPWt_1FKiwhDph83XaGc0o0/edit?usp=sharing"",""งบพรบ!EN88"")"),0)</f>
        <v>0</v>
      </c>
      <c r="F88" s="88">
        <f ca="1">IFERROR(__xludf.DUMMYFUNCTION("IMPORTRANGE(""https://docs.google.com/spreadsheets/d/1MeEWN-I1oV_STSDYn1IFDPWt_1FKiwhDph83XaGc0o0/edit?usp=sharing"",""งบพรบ!EO88"")"),179000)</f>
        <v>179000</v>
      </c>
      <c r="G88" s="88">
        <f ca="1">IFERROR(__xludf.DUMMYFUNCTION("IMPORTRANGE(""https://docs.google.com/spreadsheets/d/1MeEWN-I1oV_STSDYn1IFDPWt_1FKiwhDph83XaGc0o0/edit?usp=sharing"",""งบพรบ!EP88"")"),0)</f>
        <v>0</v>
      </c>
      <c r="H88" s="88">
        <f ca="1">IFERROR(__xludf.DUMMYFUNCTION("IMPORTRANGE(""https://docs.google.com/spreadsheets/d/1MeEWN-I1oV_STSDYn1IFDPWt_1FKiwhDph83XaGc0o0/edit?usp=sharing"",""งบพรบ!ER88"")"),181500)</f>
        <v>181500</v>
      </c>
      <c r="I88" s="88">
        <f ca="1">IFERROR(__xludf.DUMMYFUNCTION("IMPORTRANGE(""https://docs.google.com/spreadsheets/d/1MeEWN-I1oV_STSDYn1IFDPWt_1FKiwhDph83XaGc0o0/edit?usp=sharing"",""งบพรบ!ES88"")"),0)</f>
        <v>0</v>
      </c>
      <c r="J88" s="88">
        <f t="shared" ca="1" si="3"/>
        <v>168264.58</v>
      </c>
      <c r="K88" s="89">
        <f t="shared" ca="1" si="4"/>
        <v>94.002558659217883</v>
      </c>
      <c r="L88" s="88">
        <f ca="1">IFERROR(__xludf.DUMMYFUNCTION("IMPORTRANGE(""https://docs.google.com/spreadsheets/d/1MeEWN-I1oV_STSDYn1IFDPWt_1FKiwhDph83XaGc0o0/edit?usp=sharing"",""งบพรบ!ET88"")"),168264.58)</f>
        <v>168264.58</v>
      </c>
      <c r="M88" s="90">
        <f t="shared" ca="1" si="5"/>
        <v>94.002558659217883</v>
      </c>
      <c r="N88" s="90">
        <f t="shared" ca="1" si="6"/>
        <v>92.707757575757569</v>
      </c>
      <c r="O88" s="91">
        <f ca="1">IFERROR(__xludf.DUMMYFUNCTION("IMPORTRANGE(""https://docs.google.com/spreadsheets/d/1MeEWN-I1oV_STSDYn1IFDPWt_1FKiwhDph83XaGc0o0/edit?usp=sharing"",""งบพรบ!EU88"")"),0)</f>
        <v>0</v>
      </c>
      <c r="P88" s="91">
        <f t="shared" ca="1" si="25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IFERROR(__xludf.DUMMYFUNCTION("IMPORTRANGE(""https://docs.google.com/spreadsheets/d/1vO9Sws6kMtrVtyvrAJptINXjK8TFBoX9xLYOVK_C8bQ/edit?usp=sharing"",""สุราษฎร์ธานี!I338"")"),4800)</f>
        <v>4800</v>
      </c>
      <c r="S88" s="92">
        <f ca="1">IFERROR(__xludf.DUMMYFUNCTION("IMPORTRANGE(""https://docs.google.com/spreadsheets/d/1vO9Sws6kMtrVtyvrAJptINXjK8TFBoX9xLYOVK_C8bQ/edit?usp=sharing"",""สุราษฎร์ธานี!J338"")"),12948)</f>
        <v>12948</v>
      </c>
      <c r="T88" s="93">
        <f t="shared" ca="1" si="22"/>
        <v>269.75</v>
      </c>
      <c r="U88" s="92">
        <f ca="1">IFERROR(__xludf.DUMMYFUNCTION("IMPORTRANGE(""https://docs.google.com/spreadsheets/d/1vO9Sws6kMtrVtyvrAJptINXjK8TFBoX9xLYOVK_C8bQ/edit?usp=sharing"",""สุราษฎร์ธานี!I340"")"),8)</f>
        <v>8</v>
      </c>
      <c r="V88" s="92">
        <f ca="1">IFERROR(__xludf.DUMMYFUNCTION("IMPORTRANGE(""https://docs.google.com/spreadsheets/d/1vO9Sws6kMtrVtyvrAJptINXjK8TFBoX9xLYOVK_C8bQ/edit?usp=sharing"",""สุราษฎร์ธานี!J340"")"),8)</f>
        <v>8</v>
      </c>
      <c r="W88" s="93">
        <f t="shared" ca="1" si="23"/>
        <v>100</v>
      </c>
      <c r="X88" s="92">
        <f ca="1">IFERROR(__xludf.DUMMYFUNCTION("IMPORTRANGE(""https://docs.google.com/spreadsheets/d/1vO9Sws6kMtrVtyvrAJptINXjK8TFBoX9xLYOVK_C8bQ/edit?usp=sharing"",""สุราษฎร์ธานี!J341"")"),337)</f>
        <v>337</v>
      </c>
      <c r="Y88" s="92">
        <f ca="1">IFERROR(__xludf.DUMMYFUNCTION("IMPORTRANGE(""https://docs.google.com/spreadsheets/d/1vO9Sws6kMtrVtyvrAJptINXjK8TFBoX9xLYOVK_C8bQ/edit?usp=sharing"",""สุราษฎร์ธานี!J342"")"),0)</f>
        <v>0</v>
      </c>
      <c r="Z88" s="92">
        <f ca="1">IFERROR(__xludf.DUMMYFUNCTION("IMPORTRANGE(""https://docs.google.com/spreadsheets/d/1vO9Sws6kMtrVtyvrAJptINXjK8TFBoX9xLYOVK_C8bQ/edit?usp=sharing"",""สุราษฎร์ธานี!J343"")"),13)</f>
        <v>13</v>
      </c>
      <c r="AA88" s="92">
        <f t="shared" ca="1" si="49"/>
        <v>13298</v>
      </c>
      <c r="AB88" s="348">
        <f t="shared" ca="1" si="29"/>
        <v>277.04166666666669</v>
      </c>
    </row>
    <row r="89" spans="1:28" ht="21" hidden="1" customHeight="1" x14ac:dyDescent="0.2">
      <c r="A89" s="369" t="s">
        <v>111</v>
      </c>
      <c r="B89" s="370"/>
      <c r="C89" s="102">
        <f t="shared" ca="1" si="0"/>
        <v>684100</v>
      </c>
      <c r="D89" s="41">
        <f t="shared" ref="D89:I89" ca="1" si="50">+D90+D91+D92+D93+D94+D95+D96+D97+D98+D99+D100+D101+D102+D103</f>
        <v>684100</v>
      </c>
      <c r="E89" s="41">
        <f t="shared" ca="1" si="50"/>
        <v>508100</v>
      </c>
      <c r="F89" s="41">
        <f t="shared" ca="1" si="50"/>
        <v>176000</v>
      </c>
      <c r="G89" s="41">
        <f t="shared" ca="1" si="50"/>
        <v>0</v>
      </c>
      <c r="H89" s="41">
        <f t="shared" ca="1" si="50"/>
        <v>409100</v>
      </c>
      <c r="I89" s="41">
        <f t="shared" ca="1" si="50"/>
        <v>0</v>
      </c>
      <c r="J89" s="41">
        <f t="shared" ca="1" si="3"/>
        <v>434190.04</v>
      </c>
      <c r="K89" s="43">
        <f t="shared" ca="1" si="4"/>
        <v>63.468796959508843</v>
      </c>
      <c r="L89" s="41">
        <f ca="1">+L90+L91+L92+L93+L94+L95+L96+L97+L98+L99+L100+L101+L102+L103</f>
        <v>434190.04</v>
      </c>
      <c r="M89" s="44">
        <f t="shared" ca="1" si="5"/>
        <v>63.468796959508843</v>
      </c>
      <c r="N89" s="44">
        <f t="shared" ca="1" si="6"/>
        <v>106.13298460034221</v>
      </c>
      <c r="O89" s="45">
        <f ca="1">+O90+O91+O92+O93+O94+O95+O96+O97+O98+O99+O100+O101+O102+O103</f>
        <v>0</v>
      </c>
      <c r="P89" s="45">
        <f t="shared" ca="1" si="25"/>
        <v>0</v>
      </c>
      <c r="Q89" s="44">
        <f t="shared" ca="1" si="8"/>
        <v>0</v>
      </c>
      <c r="R89" s="41"/>
      <c r="S89" s="41"/>
      <c r="T89" s="44"/>
      <c r="U89" s="41"/>
      <c r="V89" s="41"/>
      <c r="W89" s="44"/>
      <c r="X89" s="41"/>
      <c r="Y89" s="41"/>
      <c r="Z89" s="41"/>
      <c r="AA89" s="41"/>
      <c r="AB89" s="41"/>
    </row>
    <row r="90" spans="1:2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1">+E90+F90</f>
        <v>0</v>
      </c>
      <c r="E90" s="67">
        <f ca="1">IFERROR(__xludf.DUMMYFUNCTION("IMPORTRANGE(""https://docs.google.com/spreadsheets/d/1MeEWN-I1oV_STSDYn1IFDPWt_1FKiwhDph83XaGc0o0/edit?usp=sharing"",""งบพรบ!EN90"")"),0)</f>
        <v>0</v>
      </c>
      <c r="F90" s="67">
        <f ca="1">IFERROR(__xludf.DUMMYFUNCTION("IMPORTRANGE(""https://docs.google.com/spreadsheets/d/1MeEWN-I1oV_STSDYn1IFDPWt_1FKiwhDph83XaGc0o0/edit?usp=sharing"",""งบพรบ!EO90"")"),0)</f>
        <v>0</v>
      </c>
      <c r="G90" s="67">
        <f ca="1">IFERROR(__xludf.DUMMYFUNCTION("IMPORTRANGE(""https://docs.google.com/spreadsheets/d/1MeEWN-I1oV_STSDYn1IFDPWt_1FKiwhDph83XaGc0o0/edit?usp=sharing"",""งบพรบ!EP90"")"),0)</f>
        <v>0</v>
      </c>
      <c r="H90" s="67">
        <f ca="1">IFERROR(__xludf.DUMMYFUNCTION("IMPORTRANGE(""https://docs.google.com/spreadsheets/d/1MeEWN-I1oV_STSDYn1IFDPWt_1FKiwhDph83XaGc0o0/edit?usp=sharing"",""งบพรบ!ER90"")"),0)</f>
        <v>0</v>
      </c>
      <c r="I90" s="67">
        <f ca="1">IFERROR(__xludf.DUMMYFUNCTION("IMPORTRANGE(""https://docs.google.com/spreadsheets/d/1MeEWN-I1oV_STSDYn1IFDPWt_1FKiwhDph83XaGc0o0/edit?usp=sharing"",""งบพรบ!ES90"")"),0)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IFERROR(__xludf.DUMMYFUNCTION("IMPORTRANGE(""https://docs.google.com/spreadsheets/d/1MeEWN-I1oV_STSDYn1IFDPWt_1FKiwhDph83XaGc0o0/edit?usp=sharing"",""งบพรบ!ET90"")"),0)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IFERROR(__xludf.DUMMYFUNCTION("IMPORTRANGE(""https://docs.google.com/spreadsheets/d/1MeEWN-I1oV_STSDYn1IFDPWt_1FKiwhDph83XaGc0o0/edit?usp=sharing"",""งบพรบ!EU90"")"),0)</f>
        <v>0</v>
      </c>
      <c r="P90" s="71">
        <f t="shared" ca="1" si="25"/>
        <v>0</v>
      </c>
      <c r="Q90" s="70">
        <f t="shared" ca="1" si="8"/>
        <v>0</v>
      </c>
      <c r="R90" s="67"/>
      <c r="S90" s="67"/>
      <c r="T90" s="70"/>
      <c r="U90" s="67"/>
      <c r="V90" s="67"/>
      <c r="W90" s="70"/>
      <c r="X90" s="67"/>
      <c r="Y90" s="67"/>
      <c r="Z90" s="67"/>
      <c r="AA90" s="67"/>
      <c r="AB90" s="67"/>
    </row>
    <row r="91" spans="1:2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1"/>
        <v>0</v>
      </c>
      <c r="E91" s="77">
        <f ca="1">IFERROR(__xludf.DUMMYFUNCTION("IMPORTRANGE(""https://docs.google.com/spreadsheets/d/1MeEWN-I1oV_STSDYn1IFDPWt_1FKiwhDph83XaGc0o0/edit?usp=sharing"",""งบพรบ!EN91"")"),0)</f>
        <v>0</v>
      </c>
      <c r="F91" s="77">
        <f ca="1">IFERROR(__xludf.DUMMYFUNCTION("IMPORTRANGE(""https://docs.google.com/spreadsheets/d/1MeEWN-I1oV_STSDYn1IFDPWt_1FKiwhDph83XaGc0o0/edit?usp=sharing"",""งบพรบ!EO91"")"),0)</f>
        <v>0</v>
      </c>
      <c r="G91" s="77">
        <f ca="1">IFERROR(__xludf.DUMMYFUNCTION("IMPORTRANGE(""https://docs.google.com/spreadsheets/d/1MeEWN-I1oV_STSDYn1IFDPWt_1FKiwhDph83XaGc0o0/edit?usp=sharing"",""งบพรบ!EP91"")"),0)</f>
        <v>0</v>
      </c>
      <c r="H91" s="77">
        <f ca="1">IFERROR(__xludf.DUMMYFUNCTION("IMPORTRANGE(""https://docs.google.com/spreadsheets/d/1MeEWN-I1oV_STSDYn1IFDPWt_1FKiwhDph83XaGc0o0/edit?usp=sharing"",""งบพรบ!ER91"")"),0)</f>
        <v>0</v>
      </c>
      <c r="I91" s="77">
        <f ca="1">IFERROR(__xludf.DUMMYFUNCTION("IMPORTRANGE(""https://docs.google.com/spreadsheets/d/1MeEWN-I1oV_STSDYn1IFDPWt_1FKiwhDph83XaGc0o0/edit?usp=sharing"",""งบพรบ!ES91"")"),0)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IFERROR(__xludf.DUMMYFUNCTION("IMPORTRANGE(""https://docs.google.com/spreadsheets/d/1MeEWN-I1oV_STSDYn1IFDPWt_1FKiwhDph83XaGc0o0/edit?usp=sharing"",""งบพรบ!ET91"")"),0)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IFERROR(__xludf.DUMMYFUNCTION("IMPORTRANGE(""https://docs.google.com/spreadsheets/d/1MeEWN-I1oV_STSDYn1IFDPWt_1FKiwhDph83XaGc0o0/edit?usp=sharing"",""งบพรบ!EU91"")"),0)</f>
        <v>0</v>
      </c>
      <c r="P91" s="80">
        <f t="shared" ca="1" si="25"/>
        <v>0</v>
      </c>
      <c r="Q91" s="79">
        <f t="shared" ca="1" si="8"/>
        <v>0</v>
      </c>
      <c r="R91" s="77"/>
      <c r="S91" s="77"/>
      <c r="T91" s="79"/>
      <c r="U91" s="77"/>
      <c r="V91" s="77"/>
      <c r="W91" s="79"/>
      <c r="X91" s="77"/>
      <c r="Y91" s="77"/>
      <c r="Z91" s="77"/>
      <c r="AA91" s="77"/>
      <c r="AB91" s="77"/>
    </row>
    <row r="92" spans="1:28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51"/>
        <v>0</v>
      </c>
      <c r="E92" s="77">
        <f ca="1">IFERROR(__xludf.DUMMYFUNCTION("IMPORTRANGE(""https://docs.google.com/spreadsheets/d/1MeEWN-I1oV_STSDYn1IFDPWt_1FKiwhDph83XaGc0o0/edit?usp=sharing"",""งบพรบ!EN92"")"),0)</f>
        <v>0</v>
      </c>
      <c r="F92" s="77">
        <f ca="1">IFERROR(__xludf.DUMMYFUNCTION("IMPORTRANGE(""https://docs.google.com/spreadsheets/d/1MeEWN-I1oV_STSDYn1IFDPWt_1FKiwhDph83XaGc0o0/edit?usp=sharing"",""งบพรบ!EO92"")"),0)</f>
        <v>0</v>
      </c>
      <c r="G92" s="77">
        <f ca="1">IFERROR(__xludf.DUMMYFUNCTION("IMPORTRANGE(""https://docs.google.com/spreadsheets/d/1MeEWN-I1oV_STSDYn1IFDPWt_1FKiwhDph83XaGc0o0/edit?usp=sharing"",""งบพรบ!EP92"")"),0)</f>
        <v>0</v>
      </c>
      <c r="H92" s="77">
        <f ca="1">IFERROR(__xludf.DUMMYFUNCTION("IMPORTRANGE(""https://docs.google.com/spreadsheets/d/1MeEWN-I1oV_STSDYn1IFDPWt_1FKiwhDph83XaGc0o0/edit?usp=sharing"",""งบพรบ!ER92"")"),0)</f>
        <v>0</v>
      </c>
      <c r="I92" s="77">
        <f ca="1">IFERROR(__xludf.DUMMYFUNCTION("IMPORTRANGE(""https://docs.google.com/spreadsheets/d/1MeEWN-I1oV_STSDYn1IFDPWt_1FKiwhDph83XaGc0o0/edit?usp=sharing"",""งบพรบ!ES92"")"),0)</f>
        <v>0</v>
      </c>
      <c r="J92" s="77">
        <f t="shared" ca="1" si="3"/>
        <v>38983.040000000001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IFERROR(__xludf.DUMMYFUNCTION("IMPORTRANGE(""https://docs.google.com/spreadsheets/d/1MeEWN-I1oV_STSDYn1IFDPWt_1FKiwhDph83XaGc0o0/edit?usp=sharing"",""งบพรบ!ET92"")"),38983.04)</f>
        <v>38983.040000000001</v>
      </c>
      <c r="M92" s="79">
        <f t="shared" ca="1" si="5"/>
        <v>0</v>
      </c>
      <c r="N92" s="79">
        <f t="shared" ca="1" si="6"/>
        <v>0</v>
      </c>
      <c r="O92" s="80">
        <f ca="1">IFERROR(__xludf.DUMMYFUNCTION("IMPORTRANGE(""https://docs.google.com/spreadsheets/d/1MeEWN-I1oV_STSDYn1IFDPWt_1FKiwhDph83XaGc0o0/edit?usp=sharing"",""งบพรบ!EU92"")"),0)</f>
        <v>0</v>
      </c>
      <c r="P92" s="80">
        <f t="shared" ca="1" si="25"/>
        <v>0</v>
      </c>
      <c r="Q92" s="79">
        <f t="shared" ca="1" si="8"/>
        <v>0</v>
      </c>
      <c r="R92" s="77"/>
      <c r="S92" s="77"/>
      <c r="T92" s="79"/>
      <c r="U92" s="77"/>
      <c r="V92" s="77"/>
      <c r="W92" s="79"/>
      <c r="X92" s="77"/>
      <c r="Y92" s="77"/>
      <c r="Z92" s="77"/>
      <c r="AA92" s="77"/>
      <c r="AB92" s="77"/>
    </row>
    <row r="93" spans="1:28" ht="24" hidden="1" customHeight="1" x14ac:dyDescent="0.2">
      <c r="A93" s="106">
        <f t="shared" ref="A93:A103" si="52">+A92+1</f>
        <v>4</v>
      </c>
      <c r="B93" s="107" t="s">
        <v>115</v>
      </c>
      <c r="C93" s="75">
        <f t="shared" ca="1" si="0"/>
        <v>0</v>
      </c>
      <c r="D93" s="76">
        <f t="shared" ca="1" si="51"/>
        <v>0</v>
      </c>
      <c r="E93" s="77">
        <f ca="1">IFERROR(__xludf.DUMMYFUNCTION("IMPORTRANGE(""https://docs.google.com/spreadsheets/d/1MeEWN-I1oV_STSDYn1IFDPWt_1FKiwhDph83XaGc0o0/edit?usp=sharing"",""งบพรบ!EN93"")"),0)</f>
        <v>0</v>
      </c>
      <c r="F93" s="77">
        <f ca="1">IFERROR(__xludf.DUMMYFUNCTION("IMPORTRANGE(""https://docs.google.com/spreadsheets/d/1MeEWN-I1oV_STSDYn1IFDPWt_1FKiwhDph83XaGc0o0/edit?usp=sharing"",""งบพรบ!EO93"")"),0)</f>
        <v>0</v>
      </c>
      <c r="G93" s="77">
        <f ca="1">IFERROR(__xludf.DUMMYFUNCTION("IMPORTRANGE(""https://docs.google.com/spreadsheets/d/1MeEWN-I1oV_STSDYn1IFDPWt_1FKiwhDph83XaGc0o0/edit?usp=sharing"",""งบพรบ!EP93"")"),0)</f>
        <v>0</v>
      </c>
      <c r="H93" s="77">
        <f ca="1">IFERROR(__xludf.DUMMYFUNCTION("IMPORTRANGE(""https://docs.google.com/spreadsheets/d/1MeEWN-I1oV_STSDYn1IFDPWt_1FKiwhDph83XaGc0o0/edit?usp=sharing"",""งบพรบ!ER93"")"),0)</f>
        <v>0</v>
      </c>
      <c r="I93" s="77">
        <f ca="1">IFERROR(__xludf.DUMMYFUNCTION("IMPORTRANGE(""https://docs.google.com/spreadsheets/d/1MeEWN-I1oV_STSDYn1IFDPWt_1FKiwhDph83XaGc0o0/edit?usp=sharing"",""งบพรบ!ES93"")"),0)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IFERROR(__xludf.DUMMYFUNCTION("IMPORTRANGE(""https://docs.google.com/spreadsheets/d/1MeEWN-I1oV_STSDYn1IFDPWt_1FKiwhDph83XaGc0o0/edit?usp=sharing"",""งบพรบ!ET93"")"),0)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IFERROR(__xludf.DUMMYFUNCTION("IMPORTRANGE(""https://docs.google.com/spreadsheets/d/1MeEWN-I1oV_STSDYn1IFDPWt_1FKiwhDph83XaGc0o0/edit?usp=sharing"",""งบพรบ!EU93"")"),0)</f>
        <v>0</v>
      </c>
      <c r="P93" s="80">
        <f t="shared" ca="1" si="25"/>
        <v>0</v>
      </c>
      <c r="Q93" s="79">
        <f t="shared" ca="1" si="8"/>
        <v>0</v>
      </c>
      <c r="R93" s="77"/>
      <c r="S93" s="77"/>
      <c r="T93" s="79"/>
      <c r="U93" s="77"/>
      <c r="V93" s="77"/>
      <c r="W93" s="79"/>
      <c r="X93" s="77"/>
      <c r="Y93" s="77"/>
      <c r="Z93" s="77"/>
      <c r="AA93" s="77"/>
      <c r="AB93" s="77"/>
    </row>
    <row r="94" spans="1:28" ht="24" hidden="1" customHeight="1" x14ac:dyDescent="0.2">
      <c r="A94" s="106">
        <f t="shared" si="52"/>
        <v>5</v>
      </c>
      <c r="B94" s="107" t="s">
        <v>116</v>
      </c>
      <c r="C94" s="75">
        <f t="shared" ca="1" si="0"/>
        <v>0</v>
      </c>
      <c r="D94" s="76">
        <f t="shared" ca="1" si="51"/>
        <v>0</v>
      </c>
      <c r="E94" s="77">
        <f ca="1">IFERROR(__xludf.DUMMYFUNCTION("IMPORTRANGE(""https://docs.google.com/spreadsheets/d/1MeEWN-I1oV_STSDYn1IFDPWt_1FKiwhDph83XaGc0o0/edit?usp=sharing"",""งบพรบ!EN94"")"),0)</f>
        <v>0</v>
      </c>
      <c r="F94" s="77">
        <f ca="1">IFERROR(__xludf.DUMMYFUNCTION("IMPORTRANGE(""https://docs.google.com/spreadsheets/d/1MeEWN-I1oV_STSDYn1IFDPWt_1FKiwhDph83XaGc0o0/edit?usp=sharing"",""งบพรบ!EO94"")"),0)</f>
        <v>0</v>
      </c>
      <c r="G94" s="77">
        <f ca="1">IFERROR(__xludf.DUMMYFUNCTION("IMPORTRANGE(""https://docs.google.com/spreadsheets/d/1MeEWN-I1oV_STSDYn1IFDPWt_1FKiwhDph83XaGc0o0/edit?usp=sharing"",""งบพรบ!EP94"")"),0)</f>
        <v>0</v>
      </c>
      <c r="H94" s="77">
        <f ca="1">IFERROR(__xludf.DUMMYFUNCTION("IMPORTRANGE(""https://docs.google.com/spreadsheets/d/1MeEWN-I1oV_STSDYn1IFDPWt_1FKiwhDph83XaGc0o0/edit?usp=sharing"",""งบพรบ!ER94"")"),0)</f>
        <v>0</v>
      </c>
      <c r="I94" s="77">
        <f ca="1">IFERROR(__xludf.DUMMYFUNCTION("IMPORTRANGE(""https://docs.google.com/spreadsheets/d/1MeEWN-I1oV_STSDYn1IFDPWt_1FKiwhDph83XaGc0o0/edit?usp=sharing"",""งบพรบ!ES94"")"),0)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IFERROR(__xludf.DUMMYFUNCTION("IMPORTRANGE(""https://docs.google.com/spreadsheets/d/1MeEWN-I1oV_STSDYn1IFDPWt_1FKiwhDph83XaGc0o0/edit?usp=sharing"",""งบพรบ!ET94"")"),0)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IFERROR(__xludf.DUMMYFUNCTION("IMPORTRANGE(""https://docs.google.com/spreadsheets/d/1MeEWN-I1oV_STSDYn1IFDPWt_1FKiwhDph83XaGc0o0/edit?usp=sharing"",""งบพรบ!EU94"")"),0)</f>
        <v>0</v>
      </c>
      <c r="P94" s="80">
        <f t="shared" ca="1" si="25"/>
        <v>0</v>
      </c>
      <c r="Q94" s="79">
        <f t="shared" ca="1" si="8"/>
        <v>0</v>
      </c>
      <c r="R94" s="77"/>
      <c r="S94" s="77"/>
      <c r="T94" s="79"/>
      <c r="U94" s="77"/>
      <c r="V94" s="77"/>
      <c r="W94" s="79"/>
      <c r="X94" s="77"/>
      <c r="Y94" s="77"/>
      <c r="Z94" s="77"/>
      <c r="AA94" s="77"/>
      <c r="AB94" s="77"/>
    </row>
    <row r="95" spans="1:28" ht="24" hidden="1" customHeight="1" x14ac:dyDescent="0.2">
      <c r="A95" s="106">
        <f t="shared" si="52"/>
        <v>6</v>
      </c>
      <c r="B95" s="107" t="s">
        <v>117</v>
      </c>
      <c r="C95" s="75">
        <f t="shared" ca="1" si="0"/>
        <v>684100</v>
      </c>
      <c r="D95" s="76">
        <f t="shared" ca="1" si="51"/>
        <v>684100</v>
      </c>
      <c r="E95" s="77">
        <f ca="1">IFERROR(__xludf.DUMMYFUNCTION("IMPORTRANGE(""https://docs.google.com/spreadsheets/d/1MeEWN-I1oV_STSDYn1IFDPWt_1FKiwhDph83XaGc0o0/edit?usp=sharing"",""งบพรบ!EN95"")"),508100)</f>
        <v>508100</v>
      </c>
      <c r="F95" s="77">
        <f ca="1">IFERROR(__xludf.DUMMYFUNCTION("IMPORTRANGE(""https://docs.google.com/spreadsheets/d/1MeEWN-I1oV_STSDYn1IFDPWt_1FKiwhDph83XaGc0o0/edit?usp=sharing"",""งบพรบ!EO95"")"),176000)</f>
        <v>176000</v>
      </c>
      <c r="G95" s="77">
        <f ca="1">IFERROR(__xludf.DUMMYFUNCTION("IMPORTRANGE(""https://docs.google.com/spreadsheets/d/1MeEWN-I1oV_STSDYn1IFDPWt_1FKiwhDph83XaGc0o0/edit?usp=sharing"",""งบพรบ!EP95"")"),0)</f>
        <v>0</v>
      </c>
      <c r="H95" s="77">
        <f ca="1">IFERROR(__xludf.DUMMYFUNCTION("IMPORTRANGE(""https://docs.google.com/spreadsheets/d/1MeEWN-I1oV_STSDYn1IFDPWt_1FKiwhDph83XaGc0o0/edit?usp=sharing"",""งบพรบ!ER95"")"),409100)</f>
        <v>409100</v>
      </c>
      <c r="I95" s="77">
        <f ca="1">IFERROR(__xludf.DUMMYFUNCTION("IMPORTRANGE(""https://docs.google.com/spreadsheets/d/1MeEWN-I1oV_STSDYn1IFDPWt_1FKiwhDph83XaGc0o0/edit?usp=sharing"",""งบพรบ!ES95"")"),0)</f>
        <v>0</v>
      </c>
      <c r="J95" s="77">
        <f t="shared" ca="1" si="3"/>
        <v>395207</v>
      </c>
      <c r="K95" s="78">
        <f t="shared" ca="1" si="4"/>
        <v>57.77035521122643</v>
      </c>
      <c r="L95" s="77">
        <f ca="1">IFERROR(__xludf.DUMMYFUNCTION("IMPORTRANGE(""https://docs.google.com/spreadsheets/d/1MeEWN-I1oV_STSDYn1IFDPWt_1FKiwhDph83XaGc0o0/edit?usp=sharing"",""งบพรบ!ET95"")"),395207)</f>
        <v>395207</v>
      </c>
      <c r="M95" s="79">
        <f t="shared" ca="1" si="5"/>
        <v>57.77035521122643</v>
      </c>
      <c r="N95" s="79">
        <f t="shared" ca="1" si="6"/>
        <v>96.604008799804447</v>
      </c>
      <c r="O95" s="80">
        <f ca="1">IFERROR(__xludf.DUMMYFUNCTION("IMPORTRANGE(""https://docs.google.com/spreadsheets/d/1MeEWN-I1oV_STSDYn1IFDPWt_1FKiwhDph83XaGc0o0/edit?usp=sharing"",""งบพรบ!EU95"")"),0)</f>
        <v>0</v>
      </c>
      <c r="P95" s="80">
        <f t="shared" ca="1" si="25"/>
        <v>0</v>
      </c>
      <c r="Q95" s="79">
        <f t="shared" ca="1" si="8"/>
        <v>0</v>
      </c>
      <c r="R95" s="77"/>
      <c r="S95" s="77"/>
      <c r="T95" s="79"/>
      <c r="U95" s="77"/>
      <c r="V95" s="77"/>
      <c r="W95" s="79"/>
      <c r="X95" s="77"/>
      <c r="Y95" s="77"/>
      <c r="Z95" s="77"/>
      <c r="AA95" s="77"/>
      <c r="AB95" s="77"/>
    </row>
    <row r="96" spans="1:28" ht="24" hidden="1" customHeight="1" x14ac:dyDescent="0.2">
      <c r="A96" s="106">
        <f t="shared" si="52"/>
        <v>7</v>
      </c>
      <c r="B96" s="107" t="s">
        <v>118</v>
      </c>
      <c r="C96" s="75">
        <f t="shared" ca="1" si="0"/>
        <v>0</v>
      </c>
      <c r="D96" s="76">
        <f t="shared" ca="1" si="51"/>
        <v>0</v>
      </c>
      <c r="E96" s="77">
        <f ca="1">IFERROR(__xludf.DUMMYFUNCTION("IMPORTRANGE(""https://docs.google.com/spreadsheets/d/1MeEWN-I1oV_STSDYn1IFDPWt_1FKiwhDph83XaGc0o0/edit?usp=sharing"",""งบพรบ!EN96"")"),0)</f>
        <v>0</v>
      </c>
      <c r="F96" s="77">
        <f ca="1">IFERROR(__xludf.DUMMYFUNCTION("IMPORTRANGE(""https://docs.google.com/spreadsheets/d/1MeEWN-I1oV_STSDYn1IFDPWt_1FKiwhDph83XaGc0o0/edit?usp=sharing"",""งบพรบ!EO96"")"),0)</f>
        <v>0</v>
      </c>
      <c r="G96" s="77">
        <f ca="1">IFERROR(__xludf.DUMMYFUNCTION("IMPORTRANGE(""https://docs.google.com/spreadsheets/d/1MeEWN-I1oV_STSDYn1IFDPWt_1FKiwhDph83XaGc0o0/edit?usp=sharing"",""งบพรบ!EP96"")"),0)</f>
        <v>0</v>
      </c>
      <c r="H96" s="77">
        <f ca="1">IFERROR(__xludf.DUMMYFUNCTION("IMPORTRANGE(""https://docs.google.com/spreadsheets/d/1MeEWN-I1oV_STSDYn1IFDPWt_1FKiwhDph83XaGc0o0/edit?usp=sharing"",""งบพรบ!ER96"")"),0)</f>
        <v>0</v>
      </c>
      <c r="I96" s="77">
        <f ca="1">IFERROR(__xludf.DUMMYFUNCTION("IMPORTRANGE(""https://docs.google.com/spreadsheets/d/1MeEWN-I1oV_STSDYn1IFDPWt_1FKiwhDph83XaGc0o0/edit?usp=sharing"",""งบพรบ!ES96"")"),0)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IFERROR(__xludf.DUMMYFUNCTION("IMPORTRANGE(""https://docs.google.com/spreadsheets/d/1MeEWN-I1oV_STSDYn1IFDPWt_1FKiwhDph83XaGc0o0/edit?usp=sharing"",""งบพรบ!ET96"")"),0)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IFERROR(__xludf.DUMMYFUNCTION("IMPORTRANGE(""https://docs.google.com/spreadsheets/d/1MeEWN-I1oV_STSDYn1IFDPWt_1FKiwhDph83XaGc0o0/edit?usp=sharing"",""งบพรบ!EU96"")"),0)</f>
        <v>0</v>
      </c>
      <c r="P96" s="80">
        <f t="shared" ca="1" si="25"/>
        <v>0</v>
      </c>
      <c r="Q96" s="79">
        <f t="shared" ca="1" si="8"/>
        <v>0</v>
      </c>
      <c r="R96" s="77"/>
      <c r="S96" s="77"/>
      <c r="T96" s="79"/>
      <c r="U96" s="77"/>
      <c r="V96" s="77"/>
      <c r="W96" s="79"/>
      <c r="X96" s="77"/>
      <c r="Y96" s="77"/>
      <c r="Z96" s="77"/>
      <c r="AA96" s="77"/>
      <c r="AB96" s="77"/>
    </row>
    <row r="97" spans="1:28" ht="24" hidden="1" customHeight="1" x14ac:dyDescent="0.2">
      <c r="A97" s="106">
        <f t="shared" si="52"/>
        <v>8</v>
      </c>
      <c r="B97" s="107" t="s">
        <v>119</v>
      </c>
      <c r="C97" s="75">
        <f t="shared" ca="1" si="0"/>
        <v>0</v>
      </c>
      <c r="D97" s="76">
        <f t="shared" ca="1" si="51"/>
        <v>0</v>
      </c>
      <c r="E97" s="77">
        <f ca="1">IFERROR(__xludf.DUMMYFUNCTION("IMPORTRANGE(""https://docs.google.com/spreadsheets/d/1MeEWN-I1oV_STSDYn1IFDPWt_1FKiwhDph83XaGc0o0/edit?usp=sharing"",""งบพรบ!EN97"")"),0)</f>
        <v>0</v>
      </c>
      <c r="F97" s="77">
        <f ca="1">IFERROR(__xludf.DUMMYFUNCTION("IMPORTRANGE(""https://docs.google.com/spreadsheets/d/1MeEWN-I1oV_STSDYn1IFDPWt_1FKiwhDph83XaGc0o0/edit?usp=sharing"",""งบพรบ!EO97"")"),0)</f>
        <v>0</v>
      </c>
      <c r="G97" s="77">
        <f ca="1">IFERROR(__xludf.DUMMYFUNCTION("IMPORTRANGE(""https://docs.google.com/spreadsheets/d/1MeEWN-I1oV_STSDYn1IFDPWt_1FKiwhDph83XaGc0o0/edit?usp=sharing"",""งบพรบ!EP97"")"),0)</f>
        <v>0</v>
      </c>
      <c r="H97" s="77">
        <f ca="1">IFERROR(__xludf.DUMMYFUNCTION("IMPORTRANGE(""https://docs.google.com/spreadsheets/d/1MeEWN-I1oV_STSDYn1IFDPWt_1FKiwhDph83XaGc0o0/edit?usp=sharing"",""งบพรบ!ER97"")"),0)</f>
        <v>0</v>
      </c>
      <c r="I97" s="77">
        <f ca="1">IFERROR(__xludf.DUMMYFUNCTION("IMPORTRANGE(""https://docs.google.com/spreadsheets/d/1MeEWN-I1oV_STSDYn1IFDPWt_1FKiwhDph83XaGc0o0/edit?usp=sharing"",""งบพรบ!ES97"")"),0)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IFERROR(__xludf.DUMMYFUNCTION("IMPORTRANGE(""https://docs.google.com/spreadsheets/d/1MeEWN-I1oV_STSDYn1IFDPWt_1FKiwhDph83XaGc0o0/edit?usp=sharing"",""งบพรบ!ET97"")"),0)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IFERROR(__xludf.DUMMYFUNCTION("IMPORTRANGE(""https://docs.google.com/spreadsheets/d/1MeEWN-I1oV_STSDYn1IFDPWt_1FKiwhDph83XaGc0o0/edit?usp=sharing"",""งบพรบ!EU97"")"),0)</f>
        <v>0</v>
      </c>
      <c r="P97" s="80">
        <f t="shared" ca="1" si="25"/>
        <v>0</v>
      </c>
      <c r="Q97" s="79">
        <f t="shared" ca="1" si="8"/>
        <v>0</v>
      </c>
      <c r="R97" s="77"/>
      <c r="S97" s="77"/>
      <c r="T97" s="79"/>
      <c r="U97" s="77"/>
      <c r="V97" s="77"/>
      <c r="W97" s="79"/>
      <c r="X97" s="77"/>
      <c r="Y97" s="77"/>
      <c r="Z97" s="77"/>
      <c r="AA97" s="77"/>
      <c r="AB97" s="77"/>
    </row>
    <row r="98" spans="1:28" ht="24" hidden="1" customHeight="1" x14ac:dyDescent="0.2">
      <c r="A98" s="106">
        <f t="shared" si="52"/>
        <v>9</v>
      </c>
      <c r="B98" s="107" t="s">
        <v>120</v>
      </c>
      <c r="C98" s="75">
        <f t="shared" ca="1" si="0"/>
        <v>0</v>
      </c>
      <c r="D98" s="76">
        <f t="shared" ca="1" si="51"/>
        <v>0</v>
      </c>
      <c r="E98" s="77">
        <f ca="1">IFERROR(__xludf.DUMMYFUNCTION("IMPORTRANGE(""https://docs.google.com/spreadsheets/d/1MeEWN-I1oV_STSDYn1IFDPWt_1FKiwhDph83XaGc0o0/edit?usp=sharing"",""งบพรบ!EN98"")"),0)</f>
        <v>0</v>
      </c>
      <c r="F98" s="77">
        <f ca="1">IFERROR(__xludf.DUMMYFUNCTION("IMPORTRANGE(""https://docs.google.com/spreadsheets/d/1MeEWN-I1oV_STSDYn1IFDPWt_1FKiwhDph83XaGc0o0/edit?usp=sharing"",""งบพรบ!EO98"")"),0)</f>
        <v>0</v>
      </c>
      <c r="G98" s="77">
        <f ca="1">IFERROR(__xludf.DUMMYFUNCTION("IMPORTRANGE(""https://docs.google.com/spreadsheets/d/1MeEWN-I1oV_STSDYn1IFDPWt_1FKiwhDph83XaGc0o0/edit?usp=sharing"",""งบพรบ!EP98"")"),0)</f>
        <v>0</v>
      </c>
      <c r="H98" s="77">
        <f ca="1">IFERROR(__xludf.DUMMYFUNCTION("IMPORTRANGE(""https://docs.google.com/spreadsheets/d/1MeEWN-I1oV_STSDYn1IFDPWt_1FKiwhDph83XaGc0o0/edit?usp=sharing"",""งบพรบ!ER98"")"),0)</f>
        <v>0</v>
      </c>
      <c r="I98" s="77">
        <f ca="1">IFERROR(__xludf.DUMMYFUNCTION("IMPORTRANGE(""https://docs.google.com/spreadsheets/d/1MeEWN-I1oV_STSDYn1IFDPWt_1FKiwhDph83XaGc0o0/edit?usp=sharing"",""งบพรบ!ES98"")"),0)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IFERROR(__xludf.DUMMYFUNCTION("IMPORTRANGE(""https://docs.google.com/spreadsheets/d/1MeEWN-I1oV_STSDYn1IFDPWt_1FKiwhDph83XaGc0o0/edit?usp=sharing"",""งบพรบ!ET98"")"),0)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IFERROR(__xludf.DUMMYFUNCTION("IMPORTRANGE(""https://docs.google.com/spreadsheets/d/1MeEWN-I1oV_STSDYn1IFDPWt_1FKiwhDph83XaGc0o0/edit?usp=sharing"",""งบพรบ!EU98"")"),0)</f>
        <v>0</v>
      </c>
      <c r="P98" s="80">
        <f t="shared" ca="1" si="25"/>
        <v>0</v>
      </c>
      <c r="Q98" s="79">
        <f t="shared" ca="1" si="8"/>
        <v>0</v>
      </c>
      <c r="R98" s="77"/>
      <c r="S98" s="77"/>
      <c r="T98" s="79"/>
      <c r="U98" s="77"/>
      <c r="V98" s="77"/>
      <c r="W98" s="79"/>
      <c r="X98" s="77"/>
      <c r="Y98" s="77"/>
      <c r="Z98" s="77"/>
      <c r="AA98" s="77"/>
      <c r="AB98" s="77"/>
    </row>
    <row r="99" spans="1:28" ht="24" hidden="1" customHeight="1" x14ac:dyDescent="0.2">
      <c r="A99" s="106">
        <f t="shared" si="52"/>
        <v>10</v>
      </c>
      <c r="B99" s="107" t="s">
        <v>121</v>
      </c>
      <c r="C99" s="75">
        <f t="shared" ca="1" si="0"/>
        <v>0</v>
      </c>
      <c r="D99" s="76">
        <f t="shared" ca="1" si="51"/>
        <v>0</v>
      </c>
      <c r="E99" s="77">
        <f ca="1">IFERROR(__xludf.DUMMYFUNCTION("IMPORTRANGE(""https://docs.google.com/spreadsheets/d/1MeEWN-I1oV_STSDYn1IFDPWt_1FKiwhDph83XaGc0o0/edit?usp=sharing"",""งบพรบ!EN99"")"),0)</f>
        <v>0</v>
      </c>
      <c r="F99" s="77">
        <f ca="1">IFERROR(__xludf.DUMMYFUNCTION("IMPORTRANGE(""https://docs.google.com/spreadsheets/d/1MeEWN-I1oV_STSDYn1IFDPWt_1FKiwhDph83XaGc0o0/edit?usp=sharing"",""งบพรบ!EO99"")"),0)</f>
        <v>0</v>
      </c>
      <c r="G99" s="77">
        <f ca="1">IFERROR(__xludf.DUMMYFUNCTION("IMPORTRANGE(""https://docs.google.com/spreadsheets/d/1MeEWN-I1oV_STSDYn1IFDPWt_1FKiwhDph83XaGc0o0/edit?usp=sharing"",""งบพรบ!EP99"")"),0)</f>
        <v>0</v>
      </c>
      <c r="H99" s="77">
        <f ca="1">IFERROR(__xludf.DUMMYFUNCTION("IMPORTRANGE(""https://docs.google.com/spreadsheets/d/1MeEWN-I1oV_STSDYn1IFDPWt_1FKiwhDph83XaGc0o0/edit?usp=sharing"",""งบพรบ!ER99"")"),0)</f>
        <v>0</v>
      </c>
      <c r="I99" s="77">
        <f ca="1">IFERROR(__xludf.DUMMYFUNCTION("IMPORTRANGE(""https://docs.google.com/spreadsheets/d/1MeEWN-I1oV_STSDYn1IFDPWt_1FKiwhDph83XaGc0o0/edit?usp=sharing"",""งบพรบ!ES99"")"),0)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IFERROR(__xludf.DUMMYFUNCTION("IMPORTRANGE(""https://docs.google.com/spreadsheets/d/1MeEWN-I1oV_STSDYn1IFDPWt_1FKiwhDph83XaGc0o0/edit?usp=sharing"",""งบพรบ!ET99"")"),0)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IFERROR(__xludf.DUMMYFUNCTION("IMPORTRANGE(""https://docs.google.com/spreadsheets/d/1MeEWN-I1oV_STSDYn1IFDPWt_1FKiwhDph83XaGc0o0/edit?usp=sharing"",""งบพรบ!EU99"")"),0)</f>
        <v>0</v>
      </c>
      <c r="P99" s="80">
        <f t="shared" ca="1" si="25"/>
        <v>0</v>
      </c>
      <c r="Q99" s="79">
        <f t="shared" ca="1" si="8"/>
        <v>0</v>
      </c>
      <c r="R99" s="77"/>
      <c r="S99" s="77"/>
      <c r="T99" s="79"/>
      <c r="U99" s="77"/>
      <c r="V99" s="77"/>
      <c r="W99" s="79"/>
      <c r="X99" s="77"/>
      <c r="Y99" s="77"/>
      <c r="Z99" s="77"/>
      <c r="AA99" s="77"/>
      <c r="AB99" s="77"/>
    </row>
    <row r="100" spans="1:28" ht="24" hidden="1" customHeight="1" x14ac:dyDescent="0.2">
      <c r="A100" s="106">
        <f t="shared" si="52"/>
        <v>11</v>
      </c>
      <c r="B100" s="107" t="s">
        <v>122</v>
      </c>
      <c r="C100" s="75">
        <f t="shared" ca="1" si="0"/>
        <v>0</v>
      </c>
      <c r="D100" s="76">
        <f t="shared" ca="1" si="51"/>
        <v>0</v>
      </c>
      <c r="E100" s="77">
        <f ca="1">IFERROR(__xludf.DUMMYFUNCTION("IMPORTRANGE(""https://docs.google.com/spreadsheets/d/1MeEWN-I1oV_STSDYn1IFDPWt_1FKiwhDph83XaGc0o0/edit?usp=sharing"",""งบพรบ!EN100"")"),0)</f>
        <v>0</v>
      </c>
      <c r="F100" s="77">
        <f ca="1">IFERROR(__xludf.DUMMYFUNCTION("IMPORTRANGE(""https://docs.google.com/spreadsheets/d/1MeEWN-I1oV_STSDYn1IFDPWt_1FKiwhDph83XaGc0o0/edit?usp=sharing"",""งบพรบ!EO100"")"),0)</f>
        <v>0</v>
      </c>
      <c r="G100" s="77">
        <f ca="1">IFERROR(__xludf.DUMMYFUNCTION("IMPORTRANGE(""https://docs.google.com/spreadsheets/d/1MeEWN-I1oV_STSDYn1IFDPWt_1FKiwhDph83XaGc0o0/edit?usp=sharing"",""งบพรบ!EP100"")"),0)</f>
        <v>0</v>
      </c>
      <c r="H100" s="77">
        <f ca="1">IFERROR(__xludf.DUMMYFUNCTION("IMPORTRANGE(""https://docs.google.com/spreadsheets/d/1MeEWN-I1oV_STSDYn1IFDPWt_1FKiwhDph83XaGc0o0/edit?usp=sharing"",""งบพรบ!ER100"")"),0)</f>
        <v>0</v>
      </c>
      <c r="I100" s="77">
        <f ca="1">IFERROR(__xludf.DUMMYFUNCTION("IMPORTRANGE(""https://docs.google.com/spreadsheets/d/1MeEWN-I1oV_STSDYn1IFDPWt_1FKiwhDph83XaGc0o0/edit?usp=sharing"",""งบพรบ!ES100"")"),0)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IFERROR(__xludf.DUMMYFUNCTION("IMPORTRANGE(""https://docs.google.com/spreadsheets/d/1MeEWN-I1oV_STSDYn1IFDPWt_1FKiwhDph83XaGc0o0/edit?usp=sharing"",""งบพรบ!ET100"")"),0)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IFERROR(__xludf.DUMMYFUNCTION("IMPORTRANGE(""https://docs.google.com/spreadsheets/d/1MeEWN-I1oV_STSDYn1IFDPWt_1FKiwhDph83XaGc0o0/edit?usp=sharing"",""งบพรบ!EU100"")"),0)</f>
        <v>0</v>
      </c>
      <c r="P100" s="80">
        <f t="shared" ca="1" si="25"/>
        <v>0</v>
      </c>
      <c r="Q100" s="79">
        <f t="shared" ca="1" si="8"/>
        <v>0</v>
      </c>
      <c r="R100" s="77"/>
      <c r="S100" s="77"/>
      <c r="T100" s="79"/>
      <c r="U100" s="77"/>
      <c r="V100" s="77"/>
      <c r="W100" s="79"/>
      <c r="X100" s="77"/>
      <c r="Y100" s="77"/>
      <c r="Z100" s="77"/>
      <c r="AA100" s="77"/>
      <c r="AB100" s="77"/>
    </row>
    <row r="101" spans="1:28" ht="24" hidden="1" customHeight="1" x14ac:dyDescent="0.2">
      <c r="A101" s="106">
        <f t="shared" si="52"/>
        <v>12</v>
      </c>
      <c r="B101" s="107" t="s">
        <v>123</v>
      </c>
      <c r="C101" s="75">
        <f t="shared" ca="1" si="0"/>
        <v>0</v>
      </c>
      <c r="D101" s="76">
        <f t="shared" ca="1" si="51"/>
        <v>0</v>
      </c>
      <c r="E101" s="77">
        <f ca="1">IFERROR(__xludf.DUMMYFUNCTION("IMPORTRANGE(""https://docs.google.com/spreadsheets/d/1MeEWN-I1oV_STSDYn1IFDPWt_1FKiwhDph83XaGc0o0/edit?usp=sharing"",""งบพรบ!EN101"")"),0)</f>
        <v>0</v>
      </c>
      <c r="F101" s="77">
        <f ca="1">IFERROR(__xludf.DUMMYFUNCTION("IMPORTRANGE(""https://docs.google.com/spreadsheets/d/1MeEWN-I1oV_STSDYn1IFDPWt_1FKiwhDph83XaGc0o0/edit?usp=sharing"",""งบพรบ!EO101"")"),0)</f>
        <v>0</v>
      </c>
      <c r="G101" s="77">
        <f ca="1">IFERROR(__xludf.DUMMYFUNCTION("IMPORTRANGE(""https://docs.google.com/spreadsheets/d/1MeEWN-I1oV_STSDYn1IFDPWt_1FKiwhDph83XaGc0o0/edit?usp=sharing"",""งบพรบ!EP101"")"),0)</f>
        <v>0</v>
      </c>
      <c r="H101" s="77">
        <f ca="1">IFERROR(__xludf.DUMMYFUNCTION("IMPORTRANGE(""https://docs.google.com/spreadsheets/d/1MeEWN-I1oV_STSDYn1IFDPWt_1FKiwhDph83XaGc0o0/edit?usp=sharing"",""งบพรบ!ER101"")"),0)</f>
        <v>0</v>
      </c>
      <c r="I101" s="77">
        <f ca="1">IFERROR(__xludf.DUMMYFUNCTION("IMPORTRANGE(""https://docs.google.com/spreadsheets/d/1MeEWN-I1oV_STSDYn1IFDPWt_1FKiwhDph83XaGc0o0/edit?usp=sharing"",""งบพรบ!ES101"")"),0)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IFERROR(__xludf.DUMMYFUNCTION("IMPORTRANGE(""https://docs.google.com/spreadsheets/d/1MeEWN-I1oV_STSDYn1IFDPWt_1FKiwhDph83XaGc0o0/edit?usp=sharing"",""งบพรบ!ET101"")"),0)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IFERROR(__xludf.DUMMYFUNCTION("IMPORTRANGE(""https://docs.google.com/spreadsheets/d/1MeEWN-I1oV_STSDYn1IFDPWt_1FKiwhDph83XaGc0o0/edit?usp=sharing"",""งบพรบ!EU101"")"),0)</f>
        <v>0</v>
      </c>
      <c r="P101" s="80">
        <f t="shared" ca="1" si="25"/>
        <v>0</v>
      </c>
      <c r="Q101" s="79">
        <f t="shared" ca="1" si="8"/>
        <v>0</v>
      </c>
      <c r="R101" s="77"/>
      <c r="S101" s="77"/>
      <c r="T101" s="79"/>
      <c r="U101" s="77"/>
      <c r="V101" s="77"/>
      <c r="W101" s="79"/>
      <c r="X101" s="77"/>
      <c r="Y101" s="77"/>
      <c r="Z101" s="77"/>
      <c r="AA101" s="77"/>
      <c r="AB101" s="77"/>
    </row>
    <row r="102" spans="1:28" ht="24" hidden="1" customHeight="1" x14ac:dyDescent="0.2">
      <c r="A102" s="106">
        <f t="shared" si="52"/>
        <v>13</v>
      </c>
      <c r="B102" s="107" t="s">
        <v>124</v>
      </c>
      <c r="C102" s="75">
        <f t="shared" ca="1" si="0"/>
        <v>0</v>
      </c>
      <c r="D102" s="76">
        <f t="shared" ca="1" si="51"/>
        <v>0</v>
      </c>
      <c r="E102" s="77">
        <f ca="1">IFERROR(__xludf.DUMMYFUNCTION("IMPORTRANGE(""https://docs.google.com/spreadsheets/d/1MeEWN-I1oV_STSDYn1IFDPWt_1FKiwhDph83XaGc0o0/edit?usp=sharing"",""งบพรบ!EN102"")"),0)</f>
        <v>0</v>
      </c>
      <c r="F102" s="77">
        <f ca="1">IFERROR(__xludf.DUMMYFUNCTION("IMPORTRANGE(""https://docs.google.com/spreadsheets/d/1MeEWN-I1oV_STSDYn1IFDPWt_1FKiwhDph83XaGc0o0/edit?usp=sharing"",""งบพรบ!EO102"")"),0)</f>
        <v>0</v>
      </c>
      <c r="G102" s="77">
        <f ca="1">IFERROR(__xludf.DUMMYFUNCTION("IMPORTRANGE(""https://docs.google.com/spreadsheets/d/1MeEWN-I1oV_STSDYn1IFDPWt_1FKiwhDph83XaGc0o0/edit?usp=sharing"",""งบพรบ!EP102"")"),0)</f>
        <v>0</v>
      </c>
      <c r="H102" s="77">
        <f ca="1">IFERROR(__xludf.DUMMYFUNCTION("IMPORTRANGE(""https://docs.google.com/spreadsheets/d/1MeEWN-I1oV_STSDYn1IFDPWt_1FKiwhDph83XaGc0o0/edit?usp=sharing"",""งบพรบ!ER102"")"),0)</f>
        <v>0</v>
      </c>
      <c r="I102" s="77">
        <f ca="1">IFERROR(__xludf.DUMMYFUNCTION("IMPORTRANGE(""https://docs.google.com/spreadsheets/d/1MeEWN-I1oV_STSDYn1IFDPWt_1FKiwhDph83XaGc0o0/edit?usp=sharing"",""งบพรบ!ES102"")"),0)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IFERROR(__xludf.DUMMYFUNCTION("IMPORTRANGE(""https://docs.google.com/spreadsheets/d/1MeEWN-I1oV_STSDYn1IFDPWt_1FKiwhDph83XaGc0o0/edit?usp=sharing"",""งบพรบ!ET102"")"),0)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IFERROR(__xludf.DUMMYFUNCTION("IMPORTRANGE(""https://docs.google.com/spreadsheets/d/1MeEWN-I1oV_STSDYn1IFDPWt_1FKiwhDph83XaGc0o0/edit?usp=sharing"",""งบพรบ!EU102"")"),0)</f>
        <v>0</v>
      </c>
      <c r="P102" s="80">
        <f t="shared" ca="1" si="25"/>
        <v>0</v>
      </c>
      <c r="Q102" s="79">
        <f t="shared" ca="1" si="8"/>
        <v>0</v>
      </c>
      <c r="R102" s="77"/>
      <c r="S102" s="77"/>
      <c r="T102" s="79"/>
      <c r="U102" s="77"/>
      <c r="V102" s="77"/>
      <c r="W102" s="79"/>
      <c r="X102" s="77"/>
      <c r="Y102" s="77"/>
      <c r="Z102" s="77"/>
      <c r="AA102" s="77"/>
      <c r="AB102" s="77"/>
    </row>
    <row r="103" spans="1:28" ht="24" hidden="1" customHeight="1" x14ac:dyDescent="0.2">
      <c r="A103" s="108">
        <f t="shared" si="52"/>
        <v>14</v>
      </c>
      <c r="B103" s="109" t="s">
        <v>125</v>
      </c>
      <c r="C103" s="86">
        <f t="shared" ca="1" si="0"/>
        <v>0</v>
      </c>
      <c r="D103" s="87">
        <f t="shared" ca="1" si="51"/>
        <v>0</v>
      </c>
      <c r="E103" s="88">
        <f ca="1">IFERROR(__xludf.DUMMYFUNCTION("IMPORTRANGE(""https://docs.google.com/spreadsheets/d/1MeEWN-I1oV_STSDYn1IFDPWt_1FKiwhDph83XaGc0o0/edit?usp=sharing"",""งบพรบ!EN103"")"),0)</f>
        <v>0</v>
      </c>
      <c r="F103" s="88">
        <f ca="1">IFERROR(__xludf.DUMMYFUNCTION("IMPORTRANGE(""https://docs.google.com/spreadsheets/d/1MeEWN-I1oV_STSDYn1IFDPWt_1FKiwhDph83XaGc0o0/edit?usp=sharing"",""งบพรบ!EO103"")"),0)</f>
        <v>0</v>
      </c>
      <c r="G103" s="88">
        <f ca="1">IFERROR(__xludf.DUMMYFUNCTION("IMPORTRANGE(""https://docs.google.com/spreadsheets/d/1MeEWN-I1oV_STSDYn1IFDPWt_1FKiwhDph83XaGc0o0/edit?usp=sharing"",""งบพรบ!EP103"")"),0)</f>
        <v>0</v>
      </c>
      <c r="H103" s="88">
        <f ca="1">IFERROR(__xludf.DUMMYFUNCTION("IMPORTRANGE(""https://docs.google.com/spreadsheets/d/1MeEWN-I1oV_STSDYn1IFDPWt_1FKiwhDph83XaGc0o0/edit?usp=sharing"",""งบพรบ!ER103"")"),0)</f>
        <v>0</v>
      </c>
      <c r="I103" s="88">
        <f ca="1">IFERROR(__xludf.DUMMYFUNCTION("IMPORTRANGE(""https://docs.google.com/spreadsheets/d/1MeEWN-I1oV_STSDYn1IFDPWt_1FKiwhDph83XaGc0o0/edit?usp=sharing"",""งบพรบ!ES103"")"),0)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IFERROR(__xludf.DUMMYFUNCTION("IMPORTRANGE(""https://docs.google.com/spreadsheets/d/1MeEWN-I1oV_STSDYn1IFDPWt_1FKiwhDph83XaGc0o0/edit?usp=sharing"",""งบพรบ!ET103"")"),0)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IFERROR(__xludf.DUMMYFUNCTION("IMPORTRANGE(""https://docs.google.com/spreadsheets/d/1MeEWN-I1oV_STSDYn1IFDPWt_1FKiwhDph83XaGc0o0/edit?usp=sharing"",""งบพรบ!EU103"")"),0)</f>
        <v>0</v>
      </c>
      <c r="P103" s="91">
        <f t="shared" ca="1" si="25"/>
        <v>0</v>
      </c>
      <c r="Q103" s="90">
        <f t="shared" ca="1" si="8"/>
        <v>0</v>
      </c>
      <c r="R103" s="88"/>
      <c r="S103" s="88"/>
      <c r="T103" s="90"/>
      <c r="U103" s="88"/>
      <c r="V103" s="88"/>
      <c r="W103" s="90"/>
      <c r="X103" s="88"/>
      <c r="Y103" s="88"/>
      <c r="Z103" s="88"/>
      <c r="AA103" s="88"/>
      <c r="AB103" s="88"/>
    </row>
    <row r="104" spans="1:28" ht="21" hidden="1" customHeight="1" x14ac:dyDescent="0.2">
      <c r="A104" s="369" t="s">
        <v>126</v>
      </c>
      <c r="B104" s="370"/>
      <c r="C104" s="102">
        <f t="shared" ca="1" si="0"/>
        <v>77000</v>
      </c>
      <c r="D104" s="41">
        <f ca="1">SUM(D105:D116)</f>
        <v>77000</v>
      </c>
      <c r="E104" s="41">
        <f ca="1">IFERROR(__xludf.DUMMYFUNCTION("IMPORTRANGE(""https://docs.google.com/spreadsheets/d/1MeEWN-I1oV_STSDYn1IFDPWt_1FKiwhDph83XaGc0o0/edit?usp=sharing"",""งบพรบ!EN104"")"),77000)</f>
        <v>77000</v>
      </c>
      <c r="F104" s="41">
        <f ca="1">IFERROR(__xludf.DUMMYFUNCTION("IMPORTRANGE(""https://docs.google.com/spreadsheets/d/1MeEWN-I1oV_STSDYn1IFDPWt_1FKiwhDph83XaGc0o0/edit?usp=sharing"",""งบพรบ!EO104"")"),0)</f>
        <v>0</v>
      </c>
      <c r="G104" s="41">
        <f ca="1">IFERROR(__xludf.DUMMYFUNCTION("IMPORTRANGE(""https://docs.google.com/spreadsheets/d/1MeEWN-I1oV_STSDYn1IFDPWt_1FKiwhDph83XaGc0o0/edit?usp=sharing"",""งบพรบ!EP104"")"),0)</f>
        <v>0</v>
      </c>
      <c r="H104" s="41">
        <f ca="1">IFERROR(__xludf.DUMMYFUNCTION("IMPORTRANGE(""https://docs.google.com/spreadsheets/d/1MeEWN-I1oV_STSDYn1IFDPWt_1FKiwhDph83XaGc0o0/edit?usp=sharing"",""งบพรบ!ER104"")"),77000)</f>
        <v>77000</v>
      </c>
      <c r="I104" s="41">
        <f ca="1">IFERROR(__xludf.DUMMYFUNCTION("IMPORTRANGE(""https://docs.google.com/spreadsheets/d/1MeEWN-I1oV_STSDYn1IFDPWt_1FKiwhDph83XaGc0o0/edit?usp=sharing"",""งบพรบ!ES104"")"),5892)</f>
        <v>5892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IFERROR(__xludf.DUMMYFUNCTION("IMPORTRANGE(""https://docs.google.com/spreadsheets/d/1MeEWN-I1oV_STSDYn1IFDPWt_1FKiwhDph83XaGc0o0/edit?usp=sharing"",""งบพรบ!ET104"")"),0)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IFERROR(__xludf.DUMMYFUNCTION("IMPORTRANGE(""https://docs.google.com/spreadsheets/d/1MeEWN-I1oV_STSDYn1IFDPWt_1FKiwhDph83XaGc0o0/edit?usp=sharing"",""งบพรบ!EU104"")"),0)</f>
        <v>0</v>
      </c>
      <c r="P104" s="41">
        <f t="shared" ca="1" si="25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</row>
    <row r="105" spans="1:28" ht="24" hidden="1" customHeight="1" x14ac:dyDescent="0.2">
      <c r="A105" s="103">
        <v>1</v>
      </c>
      <c r="B105" s="110" t="s">
        <v>127</v>
      </c>
      <c r="C105" s="111">
        <f t="shared" ca="1" si="0"/>
        <v>77000</v>
      </c>
      <c r="D105" s="66">
        <f t="shared" ref="D105:D116" ca="1" si="53">+E105+F105</f>
        <v>77000</v>
      </c>
      <c r="E105" s="67">
        <f ca="1">IFERROR(__xludf.DUMMYFUNCTION("IMPORTRANGE(""https://docs.google.com/spreadsheets/d/1MeEWN-I1oV_STSDYn1IFDPWt_1FKiwhDph83XaGc0o0/edit?usp=sharing"",""งบพรบ!EN105"")"),77000)</f>
        <v>77000</v>
      </c>
      <c r="F105" s="67">
        <f ca="1">IFERROR(__xludf.DUMMYFUNCTION("IMPORTRANGE(""https://docs.google.com/spreadsheets/d/1MeEWN-I1oV_STSDYn1IFDPWt_1FKiwhDph83XaGc0o0/edit?usp=sharing"",""งบพรบ!EO105"")"),0)</f>
        <v>0</v>
      </c>
      <c r="G105" s="67">
        <f ca="1">IFERROR(__xludf.DUMMYFUNCTION("IMPORTRANGE(""https://docs.google.com/spreadsheets/d/1MeEWN-I1oV_STSDYn1IFDPWt_1FKiwhDph83XaGc0o0/edit?usp=sharing"",""งบพรบ!EP105"")"),0)</f>
        <v>0</v>
      </c>
      <c r="H105" s="67">
        <f ca="1">IFERROR(__xludf.DUMMYFUNCTION("IMPORTRANGE(""https://docs.google.com/spreadsheets/d/1MeEWN-I1oV_STSDYn1IFDPWt_1FKiwhDph83XaGc0o0/edit?usp=sharing"",""งบพรบ!ER105"")"),77000)</f>
        <v>77000</v>
      </c>
      <c r="I105" s="67">
        <f ca="1">IFERROR(__xludf.DUMMYFUNCTION("IMPORTRANGE(""https://docs.google.com/spreadsheets/d/1MeEWN-I1oV_STSDYn1IFDPWt_1FKiwhDph83XaGc0o0/edit?usp=sharing"",""งบพรบ!ES105"")"),0)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IFERROR(__xludf.DUMMYFUNCTION("IMPORTRANGE(""https://docs.google.com/spreadsheets/d/1MeEWN-I1oV_STSDYn1IFDPWt_1FKiwhDph83XaGc0o0/edit?usp=sharing"",""งบพรบ!ET105"")"),0)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IFERROR(__xludf.DUMMYFUNCTION("IMPORTRANGE(""https://docs.google.com/spreadsheets/d/1MeEWN-I1oV_STSDYn1IFDPWt_1FKiwhDph83XaGc0o0/edit?usp=sharing"",""งบพรบ!EU105"")"),0)</f>
        <v>0</v>
      </c>
      <c r="P105" s="71">
        <f t="shared" ca="1" si="25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3"/>
        <v>0</v>
      </c>
      <c r="E106" s="77">
        <f ca="1">IFERROR(__xludf.DUMMYFUNCTION("IMPORTRANGE(""https://docs.google.com/spreadsheets/d/1MeEWN-I1oV_STSDYn1IFDPWt_1FKiwhDph83XaGc0o0/edit?usp=sharing"",""งบพรบ!EN106"")"),0)</f>
        <v>0</v>
      </c>
      <c r="F106" s="77">
        <f ca="1">IFERROR(__xludf.DUMMYFUNCTION("IMPORTRANGE(""https://docs.google.com/spreadsheets/d/1MeEWN-I1oV_STSDYn1IFDPWt_1FKiwhDph83XaGc0o0/edit?usp=sharing"",""งบพรบ!EO106"")"),0)</f>
        <v>0</v>
      </c>
      <c r="G106" s="77">
        <f ca="1">IFERROR(__xludf.DUMMYFUNCTION("IMPORTRANGE(""https://docs.google.com/spreadsheets/d/1MeEWN-I1oV_STSDYn1IFDPWt_1FKiwhDph83XaGc0o0/edit?usp=sharing"",""งบพรบ!EP106"")"),0)</f>
        <v>0</v>
      </c>
      <c r="H106" s="77">
        <f ca="1">IFERROR(__xludf.DUMMYFUNCTION("IMPORTRANGE(""https://docs.google.com/spreadsheets/d/1MeEWN-I1oV_STSDYn1IFDPWt_1FKiwhDph83XaGc0o0/edit?usp=sharing"",""งบพรบ!ER106"")"),0)</f>
        <v>0</v>
      </c>
      <c r="I106" s="77">
        <f ca="1">IFERROR(__xludf.DUMMYFUNCTION("IMPORTRANGE(""https://docs.google.com/spreadsheets/d/1MeEWN-I1oV_STSDYn1IFDPWt_1FKiwhDph83XaGc0o0/edit?usp=sharing"",""งบพรบ!ES106"")"),0)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IFERROR(__xludf.DUMMYFUNCTION("IMPORTRANGE(""https://docs.google.com/spreadsheets/d/1MeEWN-I1oV_STSDYn1IFDPWt_1FKiwhDph83XaGc0o0/edit?usp=sharing"",""งบพรบ!ET106"")"),0)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IFERROR(__xludf.DUMMYFUNCTION("IMPORTRANGE(""https://docs.google.com/spreadsheets/d/1MeEWN-I1oV_STSDYn1IFDPWt_1FKiwhDph83XaGc0o0/edit?usp=sharing"",""งบพรบ!EU106"")"),0)</f>
        <v>0</v>
      </c>
      <c r="P106" s="80">
        <f t="shared" ca="1" si="25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3"/>
        <v>0</v>
      </c>
      <c r="E107" s="77">
        <f ca="1">IFERROR(__xludf.DUMMYFUNCTION("IMPORTRANGE(""https://docs.google.com/spreadsheets/d/1MeEWN-I1oV_STSDYn1IFDPWt_1FKiwhDph83XaGc0o0/edit?usp=sharing"",""งบพรบ!EN107"")"),0)</f>
        <v>0</v>
      </c>
      <c r="F107" s="77">
        <f ca="1">IFERROR(__xludf.DUMMYFUNCTION("IMPORTRANGE(""https://docs.google.com/spreadsheets/d/1MeEWN-I1oV_STSDYn1IFDPWt_1FKiwhDph83XaGc0o0/edit?usp=sharing"",""งบพรบ!EO107"")"),0)</f>
        <v>0</v>
      </c>
      <c r="G107" s="77">
        <f ca="1">IFERROR(__xludf.DUMMYFUNCTION("IMPORTRANGE(""https://docs.google.com/spreadsheets/d/1MeEWN-I1oV_STSDYn1IFDPWt_1FKiwhDph83XaGc0o0/edit?usp=sharing"",""งบพรบ!EP107"")"),0)</f>
        <v>0</v>
      </c>
      <c r="H107" s="77">
        <f ca="1">IFERROR(__xludf.DUMMYFUNCTION("IMPORTRANGE(""https://docs.google.com/spreadsheets/d/1MeEWN-I1oV_STSDYn1IFDPWt_1FKiwhDph83XaGc0o0/edit?usp=sharing"",""งบพรบ!ER107"")"),0)</f>
        <v>0</v>
      </c>
      <c r="I107" s="77">
        <f ca="1">IFERROR(__xludf.DUMMYFUNCTION("IMPORTRANGE(""https://docs.google.com/spreadsheets/d/1MeEWN-I1oV_STSDYn1IFDPWt_1FKiwhDph83XaGc0o0/edit?usp=sharing"",""งบพรบ!ES107"")"),0)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IFERROR(__xludf.DUMMYFUNCTION("IMPORTRANGE(""https://docs.google.com/spreadsheets/d/1MeEWN-I1oV_STSDYn1IFDPWt_1FKiwhDph83XaGc0o0/edit?usp=sharing"",""งบพรบ!ET107"")"),0)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IFERROR(__xludf.DUMMYFUNCTION("IMPORTRANGE(""https://docs.google.com/spreadsheets/d/1MeEWN-I1oV_STSDYn1IFDPWt_1FKiwhDph83XaGc0o0/edit?usp=sharing"",""งบพรบ!EU107"")"),0)</f>
        <v>0</v>
      </c>
      <c r="P107" s="80">
        <f t="shared" ca="1" si="25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3"/>
        <v>0</v>
      </c>
      <c r="E108" s="77">
        <f ca="1">IFERROR(__xludf.DUMMYFUNCTION("IMPORTRANGE(""https://docs.google.com/spreadsheets/d/1MeEWN-I1oV_STSDYn1IFDPWt_1FKiwhDph83XaGc0o0/edit?usp=sharing"",""งบพรบ!EN108"")"),0)</f>
        <v>0</v>
      </c>
      <c r="F108" s="77">
        <f ca="1">IFERROR(__xludf.DUMMYFUNCTION("IMPORTRANGE(""https://docs.google.com/spreadsheets/d/1MeEWN-I1oV_STSDYn1IFDPWt_1FKiwhDph83XaGc0o0/edit?usp=sharing"",""งบพรบ!EO108"")"),0)</f>
        <v>0</v>
      </c>
      <c r="G108" s="77">
        <f ca="1">IFERROR(__xludf.DUMMYFUNCTION("IMPORTRANGE(""https://docs.google.com/spreadsheets/d/1MeEWN-I1oV_STSDYn1IFDPWt_1FKiwhDph83XaGc0o0/edit?usp=sharing"",""งบพรบ!EP108"")"),0)</f>
        <v>0</v>
      </c>
      <c r="H108" s="77">
        <f ca="1">IFERROR(__xludf.DUMMYFUNCTION("IMPORTRANGE(""https://docs.google.com/spreadsheets/d/1MeEWN-I1oV_STSDYn1IFDPWt_1FKiwhDph83XaGc0o0/edit?usp=sharing"",""งบพรบ!ER108"")"),0)</f>
        <v>0</v>
      </c>
      <c r="I108" s="77">
        <f ca="1">IFERROR(__xludf.DUMMYFUNCTION("IMPORTRANGE(""https://docs.google.com/spreadsheets/d/1MeEWN-I1oV_STSDYn1IFDPWt_1FKiwhDph83XaGc0o0/edit?usp=sharing"",""งบพรบ!ES108"")"),0)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IFERROR(__xludf.DUMMYFUNCTION("IMPORTRANGE(""https://docs.google.com/spreadsheets/d/1MeEWN-I1oV_STSDYn1IFDPWt_1FKiwhDph83XaGc0o0/edit?usp=sharing"",""งบพรบ!ET108"")"),0)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IFERROR(__xludf.DUMMYFUNCTION("IMPORTRANGE(""https://docs.google.com/spreadsheets/d/1MeEWN-I1oV_STSDYn1IFDPWt_1FKiwhDph83XaGc0o0/edit?usp=sharing"",""งบพรบ!EU108"")"),0)</f>
        <v>0</v>
      </c>
      <c r="P108" s="80">
        <f t="shared" ca="1" si="25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3"/>
        <v>0</v>
      </c>
      <c r="E109" s="77">
        <f ca="1">IFERROR(__xludf.DUMMYFUNCTION("IMPORTRANGE(""https://docs.google.com/spreadsheets/d/1MeEWN-I1oV_STSDYn1IFDPWt_1FKiwhDph83XaGc0o0/edit?usp=sharing"",""งบพรบ!EN109"")"),0)</f>
        <v>0</v>
      </c>
      <c r="F109" s="77">
        <f ca="1">IFERROR(__xludf.DUMMYFUNCTION("IMPORTRANGE(""https://docs.google.com/spreadsheets/d/1MeEWN-I1oV_STSDYn1IFDPWt_1FKiwhDph83XaGc0o0/edit?usp=sharing"",""งบพรบ!EO109"")"),0)</f>
        <v>0</v>
      </c>
      <c r="G109" s="77">
        <f ca="1">IFERROR(__xludf.DUMMYFUNCTION("IMPORTRANGE(""https://docs.google.com/spreadsheets/d/1MeEWN-I1oV_STSDYn1IFDPWt_1FKiwhDph83XaGc0o0/edit?usp=sharing"",""งบพรบ!EP109"")"),0)</f>
        <v>0</v>
      </c>
      <c r="H109" s="77">
        <f ca="1">IFERROR(__xludf.DUMMYFUNCTION("IMPORTRANGE(""https://docs.google.com/spreadsheets/d/1MeEWN-I1oV_STSDYn1IFDPWt_1FKiwhDph83XaGc0o0/edit?usp=sharing"",""งบพรบ!ER109"")"),0)</f>
        <v>0</v>
      </c>
      <c r="I109" s="77">
        <f ca="1">IFERROR(__xludf.DUMMYFUNCTION("IMPORTRANGE(""https://docs.google.com/spreadsheets/d/1MeEWN-I1oV_STSDYn1IFDPWt_1FKiwhDph83XaGc0o0/edit?usp=sharing"",""งบพรบ!ES109"")"),0)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IFERROR(__xludf.DUMMYFUNCTION("IMPORTRANGE(""https://docs.google.com/spreadsheets/d/1MeEWN-I1oV_STSDYn1IFDPWt_1FKiwhDph83XaGc0o0/edit?usp=sharing"",""งบพรบ!ET109"")"),0)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IFERROR(__xludf.DUMMYFUNCTION("IMPORTRANGE(""https://docs.google.com/spreadsheets/d/1MeEWN-I1oV_STSDYn1IFDPWt_1FKiwhDph83XaGc0o0/edit?usp=sharing"",""งบพรบ!EU109"")"),0)</f>
        <v>0</v>
      </c>
      <c r="P109" s="80">
        <f t="shared" ca="1" si="25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3"/>
        <v>0</v>
      </c>
      <c r="E110" s="77">
        <f ca="1">IFERROR(__xludf.DUMMYFUNCTION("IMPORTRANGE(""https://docs.google.com/spreadsheets/d/1MeEWN-I1oV_STSDYn1IFDPWt_1FKiwhDph83XaGc0o0/edit?usp=sharing"",""งบพรบ!EN110"")"),0)</f>
        <v>0</v>
      </c>
      <c r="F110" s="77">
        <f ca="1">IFERROR(__xludf.DUMMYFUNCTION("IMPORTRANGE(""https://docs.google.com/spreadsheets/d/1MeEWN-I1oV_STSDYn1IFDPWt_1FKiwhDph83XaGc0o0/edit?usp=sharing"",""งบพรบ!EO110"")"),0)</f>
        <v>0</v>
      </c>
      <c r="G110" s="77">
        <f ca="1">IFERROR(__xludf.DUMMYFUNCTION("IMPORTRANGE(""https://docs.google.com/spreadsheets/d/1MeEWN-I1oV_STSDYn1IFDPWt_1FKiwhDph83XaGc0o0/edit?usp=sharing"",""งบพรบ!EP110"")"),0)</f>
        <v>0</v>
      </c>
      <c r="H110" s="77">
        <f ca="1">IFERROR(__xludf.DUMMYFUNCTION("IMPORTRANGE(""https://docs.google.com/spreadsheets/d/1MeEWN-I1oV_STSDYn1IFDPWt_1FKiwhDph83XaGc0o0/edit?usp=sharing"",""งบพรบ!ER110"")"),0)</f>
        <v>0</v>
      </c>
      <c r="I110" s="77">
        <f ca="1">IFERROR(__xludf.DUMMYFUNCTION("IMPORTRANGE(""https://docs.google.com/spreadsheets/d/1MeEWN-I1oV_STSDYn1IFDPWt_1FKiwhDph83XaGc0o0/edit?usp=sharing"",""งบพรบ!ES110"")"),0)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IFERROR(__xludf.DUMMYFUNCTION("IMPORTRANGE(""https://docs.google.com/spreadsheets/d/1MeEWN-I1oV_STSDYn1IFDPWt_1FKiwhDph83XaGc0o0/edit?usp=sharing"",""งบพรบ!ET110"")"),0)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IFERROR(__xludf.DUMMYFUNCTION("IMPORTRANGE(""https://docs.google.com/spreadsheets/d/1MeEWN-I1oV_STSDYn1IFDPWt_1FKiwhDph83XaGc0o0/edit?usp=sharing"",""งบพรบ!EU110"")"),0)</f>
        <v>0</v>
      </c>
      <c r="P110" s="80">
        <f t="shared" ca="1" si="25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3"/>
        <v>0</v>
      </c>
      <c r="E111" s="77">
        <f ca="1">IFERROR(__xludf.DUMMYFUNCTION("IMPORTRANGE(""https://docs.google.com/spreadsheets/d/1MeEWN-I1oV_STSDYn1IFDPWt_1FKiwhDph83XaGc0o0/edit?usp=sharing"",""งบพรบ!EN111"")"),0)</f>
        <v>0</v>
      </c>
      <c r="F111" s="77">
        <f ca="1">IFERROR(__xludf.DUMMYFUNCTION("IMPORTRANGE(""https://docs.google.com/spreadsheets/d/1MeEWN-I1oV_STSDYn1IFDPWt_1FKiwhDph83XaGc0o0/edit?usp=sharing"",""งบพรบ!EO111"")"),0)</f>
        <v>0</v>
      </c>
      <c r="G111" s="77">
        <f ca="1">IFERROR(__xludf.DUMMYFUNCTION("IMPORTRANGE(""https://docs.google.com/spreadsheets/d/1MeEWN-I1oV_STSDYn1IFDPWt_1FKiwhDph83XaGc0o0/edit?usp=sharing"",""งบพรบ!EP111"")"),0)</f>
        <v>0</v>
      </c>
      <c r="H111" s="77">
        <f ca="1">IFERROR(__xludf.DUMMYFUNCTION("IMPORTRANGE(""https://docs.google.com/spreadsheets/d/1MeEWN-I1oV_STSDYn1IFDPWt_1FKiwhDph83XaGc0o0/edit?usp=sharing"",""งบพรบ!ER111"")"),0)</f>
        <v>0</v>
      </c>
      <c r="I111" s="77">
        <f ca="1">IFERROR(__xludf.DUMMYFUNCTION("IMPORTRANGE(""https://docs.google.com/spreadsheets/d/1MeEWN-I1oV_STSDYn1IFDPWt_1FKiwhDph83XaGc0o0/edit?usp=sharing"",""งบพรบ!ES111"")"),0)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IFERROR(__xludf.DUMMYFUNCTION("IMPORTRANGE(""https://docs.google.com/spreadsheets/d/1MeEWN-I1oV_STSDYn1IFDPWt_1FKiwhDph83XaGc0o0/edit?usp=sharing"",""งบพรบ!ET111"")"),0)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IFERROR(__xludf.DUMMYFUNCTION("IMPORTRANGE(""https://docs.google.com/spreadsheets/d/1MeEWN-I1oV_STSDYn1IFDPWt_1FKiwhDph83XaGc0o0/edit?usp=sharing"",""งบพรบ!EU111"")"),0)</f>
        <v>0</v>
      </c>
      <c r="P111" s="80">
        <f t="shared" ca="1" si="25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3"/>
        <v>0</v>
      </c>
      <c r="E112" s="77">
        <f ca="1">IFERROR(__xludf.DUMMYFUNCTION("IMPORTRANGE(""https://docs.google.com/spreadsheets/d/1MeEWN-I1oV_STSDYn1IFDPWt_1FKiwhDph83XaGc0o0/edit?usp=sharing"",""งบพรบ!EN112"")"),0)</f>
        <v>0</v>
      </c>
      <c r="F112" s="77">
        <f ca="1">IFERROR(__xludf.DUMMYFUNCTION("IMPORTRANGE(""https://docs.google.com/spreadsheets/d/1MeEWN-I1oV_STSDYn1IFDPWt_1FKiwhDph83XaGc0o0/edit?usp=sharing"",""งบพรบ!EO112"")"),0)</f>
        <v>0</v>
      </c>
      <c r="G112" s="77">
        <f ca="1">IFERROR(__xludf.DUMMYFUNCTION("IMPORTRANGE(""https://docs.google.com/spreadsheets/d/1MeEWN-I1oV_STSDYn1IFDPWt_1FKiwhDph83XaGc0o0/edit?usp=sharing"",""งบพรบ!EP112"")"),0)</f>
        <v>0</v>
      </c>
      <c r="H112" s="77">
        <f ca="1">IFERROR(__xludf.DUMMYFUNCTION("IMPORTRANGE(""https://docs.google.com/spreadsheets/d/1MeEWN-I1oV_STSDYn1IFDPWt_1FKiwhDph83XaGc0o0/edit?usp=sharing"",""งบพรบ!ER112"")"),0)</f>
        <v>0</v>
      </c>
      <c r="I112" s="77">
        <f ca="1">IFERROR(__xludf.DUMMYFUNCTION("IMPORTRANGE(""https://docs.google.com/spreadsheets/d/1MeEWN-I1oV_STSDYn1IFDPWt_1FKiwhDph83XaGc0o0/edit?usp=sharing"",""งบพรบ!ES112"")"),0)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IFERROR(__xludf.DUMMYFUNCTION("IMPORTRANGE(""https://docs.google.com/spreadsheets/d/1MeEWN-I1oV_STSDYn1IFDPWt_1FKiwhDph83XaGc0o0/edit?usp=sharing"",""งบพรบ!ET112"")"),0)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IFERROR(__xludf.DUMMYFUNCTION("IMPORTRANGE(""https://docs.google.com/spreadsheets/d/1MeEWN-I1oV_STSDYn1IFDPWt_1FKiwhDph83XaGc0o0/edit?usp=sharing"",""งบพรบ!EU112"")"),0)</f>
        <v>0</v>
      </c>
      <c r="P112" s="80">
        <f t="shared" ca="1" si="25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3"/>
        <v>0</v>
      </c>
      <c r="E113" s="77">
        <f ca="1">IFERROR(__xludf.DUMMYFUNCTION("IMPORTRANGE(""https://docs.google.com/spreadsheets/d/1MeEWN-I1oV_STSDYn1IFDPWt_1FKiwhDph83XaGc0o0/edit?usp=sharing"",""งบพรบ!EN113"")"),0)</f>
        <v>0</v>
      </c>
      <c r="F113" s="77">
        <f ca="1">IFERROR(__xludf.DUMMYFUNCTION("IMPORTRANGE(""https://docs.google.com/spreadsheets/d/1MeEWN-I1oV_STSDYn1IFDPWt_1FKiwhDph83XaGc0o0/edit?usp=sharing"",""งบพรบ!EO113"")"),0)</f>
        <v>0</v>
      </c>
      <c r="G113" s="77">
        <f ca="1">IFERROR(__xludf.DUMMYFUNCTION("IMPORTRANGE(""https://docs.google.com/spreadsheets/d/1MeEWN-I1oV_STSDYn1IFDPWt_1FKiwhDph83XaGc0o0/edit?usp=sharing"",""งบพรบ!EP113"")"),0)</f>
        <v>0</v>
      </c>
      <c r="H113" s="77">
        <f ca="1">IFERROR(__xludf.DUMMYFUNCTION("IMPORTRANGE(""https://docs.google.com/spreadsheets/d/1MeEWN-I1oV_STSDYn1IFDPWt_1FKiwhDph83XaGc0o0/edit?usp=sharing"",""งบพรบ!ER113"")"),0)</f>
        <v>0</v>
      </c>
      <c r="I113" s="77">
        <f ca="1">IFERROR(__xludf.DUMMYFUNCTION("IMPORTRANGE(""https://docs.google.com/spreadsheets/d/1MeEWN-I1oV_STSDYn1IFDPWt_1FKiwhDph83XaGc0o0/edit?usp=sharing"",""งบพรบ!ES113"")"),0)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IFERROR(__xludf.DUMMYFUNCTION("IMPORTRANGE(""https://docs.google.com/spreadsheets/d/1MeEWN-I1oV_STSDYn1IFDPWt_1FKiwhDph83XaGc0o0/edit?usp=sharing"",""งบพรบ!ET113"")"),0)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IFERROR(__xludf.DUMMYFUNCTION("IMPORTRANGE(""https://docs.google.com/spreadsheets/d/1MeEWN-I1oV_STSDYn1IFDPWt_1FKiwhDph83XaGc0o0/edit?usp=sharing"",""งบพรบ!EU113"")"),0)</f>
        <v>0</v>
      </c>
      <c r="P113" s="80">
        <f t="shared" ca="1" si="25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3"/>
        <v>0</v>
      </c>
      <c r="E114" s="77">
        <f ca="1">IFERROR(__xludf.DUMMYFUNCTION("IMPORTRANGE(""https://docs.google.com/spreadsheets/d/1MeEWN-I1oV_STSDYn1IFDPWt_1FKiwhDph83XaGc0o0/edit?usp=sharing"",""งบพรบ!EN114"")"),0)</f>
        <v>0</v>
      </c>
      <c r="F114" s="77">
        <f ca="1">IFERROR(__xludf.DUMMYFUNCTION("IMPORTRANGE(""https://docs.google.com/spreadsheets/d/1MeEWN-I1oV_STSDYn1IFDPWt_1FKiwhDph83XaGc0o0/edit?usp=sharing"",""งบพรบ!EO114"")"),0)</f>
        <v>0</v>
      </c>
      <c r="G114" s="77">
        <f ca="1">IFERROR(__xludf.DUMMYFUNCTION("IMPORTRANGE(""https://docs.google.com/spreadsheets/d/1MeEWN-I1oV_STSDYn1IFDPWt_1FKiwhDph83XaGc0o0/edit?usp=sharing"",""งบพรบ!EP114"")"),0)</f>
        <v>0</v>
      </c>
      <c r="H114" s="77">
        <f ca="1">IFERROR(__xludf.DUMMYFUNCTION("IMPORTRANGE(""https://docs.google.com/spreadsheets/d/1MeEWN-I1oV_STSDYn1IFDPWt_1FKiwhDph83XaGc0o0/edit?usp=sharing"",""งบพรบ!ER114"")"),0)</f>
        <v>0</v>
      </c>
      <c r="I114" s="77">
        <f ca="1">IFERROR(__xludf.DUMMYFUNCTION("IMPORTRANGE(""https://docs.google.com/spreadsheets/d/1MeEWN-I1oV_STSDYn1IFDPWt_1FKiwhDph83XaGc0o0/edit?usp=sharing"",""งบพรบ!ES114"")"),0)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IFERROR(__xludf.DUMMYFUNCTION("IMPORTRANGE(""https://docs.google.com/spreadsheets/d/1MeEWN-I1oV_STSDYn1IFDPWt_1FKiwhDph83XaGc0o0/edit?usp=sharing"",""งบพรบ!ET114"")"),0)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IFERROR(__xludf.DUMMYFUNCTION("IMPORTRANGE(""https://docs.google.com/spreadsheets/d/1MeEWN-I1oV_STSDYn1IFDPWt_1FKiwhDph83XaGc0o0/edit?usp=sharing"",""งบพรบ!EU114"")"),0)</f>
        <v>0</v>
      </c>
      <c r="P114" s="80">
        <f t="shared" ca="1" si="25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3"/>
        <v>0</v>
      </c>
      <c r="E115" s="77">
        <f ca="1">IFERROR(__xludf.DUMMYFUNCTION("IMPORTRANGE(""https://docs.google.com/spreadsheets/d/1MeEWN-I1oV_STSDYn1IFDPWt_1FKiwhDph83XaGc0o0/edit?usp=sharing"",""งบพรบ!EN115"")"),0)</f>
        <v>0</v>
      </c>
      <c r="F115" s="77">
        <f ca="1">IFERROR(__xludf.DUMMYFUNCTION("IMPORTRANGE(""https://docs.google.com/spreadsheets/d/1MeEWN-I1oV_STSDYn1IFDPWt_1FKiwhDph83XaGc0o0/edit?usp=sharing"",""งบพรบ!EO115"")"),0)</f>
        <v>0</v>
      </c>
      <c r="G115" s="77">
        <f ca="1">IFERROR(__xludf.DUMMYFUNCTION("IMPORTRANGE(""https://docs.google.com/spreadsheets/d/1MeEWN-I1oV_STSDYn1IFDPWt_1FKiwhDph83XaGc0o0/edit?usp=sharing"",""งบพรบ!EP115"")"),0)</f>
        <v>0</v>
      </c>
      <c r="H115" s="77">
        <f ca="1">IFERROR(__xludf.DUMMYFUNCTION("IMPORTRANGE(""https://docs.google.com/spreadsheets/d/1MeEWN-I1oV_STSDYn1IFDPWt_1FKiwhDph83XaGc0o0/edit?usp=sharing"",""งบพรบ!ER115"")"),0)</f>
        <v>0</v>
      </c>
      <c r="I115" s="77">
        <f ca="1">IFERROR(__xludf.DUMMYFUNCTION("IMPORTRANGE(""https://docs.google.com/spreadsheets/d/1MeEWN-I1oV_STSDYn1IFDPWt_1FKiwhDph83XaGc0o0/edit?usp=sharing"",""งบพรบ!ES115"")"),0)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IFERROR(__xludf.DUMMYFUNCTION("IMPORTRANGE(""https://docs.google.com/spreadsheets/d/1MeEWN-I1oV_STSDYn1IFDPWt_1FKiwhDph83XaGc0o0/edit?usp=sharing"",""งบพรบ!ET115"")"),0)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IFERROR(__xludf.DUMMYFUNCTION("IMPORTRANGE(""https://docs.google.com/spreadsheets/d/1MeEWN-I1oV_STSDYn1IFDPWt_1FKiwhDph83XaGc0o0/edit?usp=sharing"",""งบพรบ!EU115"")"),0)</f>
        <v>0</v>
      </c>
      <c r="P115" s="80">
        <f t="shared" ca="1" si="25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3"/>
        <v>0</v>
      </c>
      <c r="E116" s="77">
        <f ca="1">IFERROR(__xludf.DUMMYFUNCTION("IMPORTRANGE(""https://docs.google.com/spreadsheets/d/1MeEWN-I1oV_STSDYn1IFDPWt_1FKiwhDph83XaGc0o0/edit?usp=sharing"",""งบพรบ!EN116"")"),0)</f>
        <v>0</v>
      </c>
      <c r="F116" s="77">
        <f ca="1">IFERROR(__xludf.DUMMYFUNCTION("IMPORTRANGE(""https://docs.google.com/spreadsheets/d/1MeEWN-I1oV_STSDYn1IFDPWt_1FKiwhDph83XaGc0o0/edit?usp=sharing"",""งบพรบ!EO116"")"),0)</f>
        <v>0</v>
      </c>
      <c r="G116" s="77">
        <f ca="1">IFERROR(__xludf.DUMMYFUNCTION("IMPORTRANGE(""https://docs.google.com/spreadsheets/d/1MeEWN-I1oV_STSDYn1IFDPWt_1FKiwhDph83XaGc0o0/edit?usp=sharing"",""งบพรบ!EP116"")"),0)</f>
        <v>0</v>
      </c>
      <c r="H116" s="77">
        <f ca="1">IFERROR(__xludf.DUMMYFUNCTION("IMPORTRANGE(""https://docs.google.com/spreadsheets/d/1MeEWN-I1oV_STSDYn1IFDPWt_1FKiwhDph83XaGc0o0/edit?usp=sharing"",""งบพรบ!ER116"")"),0)</f>
        <v>0</v>
      </c>
      <c r="I116" s="77">
        <f ca="1">IFERROR(__xludf.DUMMYFUNCTION("IMPORTRANGE(""https://docs.google.com/spreadsheets/d/1MeEWN-I1oV_STSDYn1IFDPWt_1FKiwhDph83XaGc0o0/edit?usp=sharing"",""งบพรบ!ES116"")"),0)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IFERROR(__xludf.DUMMYFUNCTION("IMPORTRANGE(""https://docs.google.com/spreadsheets/d/1MeEWN-I1oV_STSDYn1IFDPWt_1FKiwhDph83XaGc0o0/edit?usp=sharing"",""งบพรบ!ET116"")"),0)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IFERROR(__xludf.DUMMYFUNCTION("IMPORTRANGE(""https://docs.google.com/spreadsheets/d/1MeEWN-I1oV_STSDYn1IFDPWt_1FKiwhDph83XaGc0o0/edit?usp=sharing"",""งบพรบ!EU116"")"),0)</f>
        <v>0</v>
      </c>
      <c r="P116" s="80">
        <f t="shared" ca="1" si="25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9">
    <mergeCell ref="AA3:AA5"/>
    <mergeCell ref="AB3:AB5"/>
    <mergeCell ref="C4:G4"/>
    <mergeCell ref="H4:I4"/>
    <mergeCell ref="J5:K5"/>
    <mergeCell ref="L5:N5"/>
    <mergeCell ref="O5:Q5"/>
    <mergeCell ref="S5:T5"/>
    <mergeCell ref="Z3:Z5"/>
    <mergeCell ref="J4:Q4"/>
    <mergeCell ref="V5:W5"/>
    <mergeCell ref="F5:F6"/>
    <mergeCell ref="G5:G6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B2"/>
    <mergeCell ref="C3:Q3"/>
    <mergeCell ref="R3:T4"/>
    <mergeCell ref="U3:X4"/>
    <mergeCell ref="Y3:Y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0.42578125" bestFit="1" customWidth="1"/>
    <col min="4" max="7" width="18.7109375" bestFit="1" customWidth="1"/>
    <col min="8" max="8" width="20.42578125" bestFit="1" customWidth="1"/>
    <col min="9" max="9" width="18.7109375" bestFit="1" customWidth="1"/>
    <col min="10" max="10" width="20.42578125" bestFit="1" customWidth="1"/>
    <col min="11" max="11" width="12.5703125" customWidth="1"/>
    <col min="12" max="12" width="18.7109375" bestFit="1" customWidth="1"/>
    <col min="13" max="13" width="13.85546875" customWidth="1"/>
    <col min="14" max="14" width="15.140625" customWidth="1"/>
    <col min="15" max="15" width="18.7109375" bestFit="1" customWidth="1"/>
    <col min="16" max="17" width="15.140625" customWidth="1"/>
    <col min="18" max="29" width="21.85546875" customWidth="1"/>
    <col min="30" max="44" width="18.5703125" customWidth="1"/>
    <col min="45" max="56" width="22.5703125" customWidth="1"/>
  </cols>
  <sheetData>
    <row r="1" spans="1:56" ht="24" customHeight="1" x14ac:dyDescent="0.3">
      <c r="A1" s="200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118"/>
      <c r="S1" s="118"/>
      <c r="T1" s="118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</row>
    <row r="2" spans="1:56" ht="24" customHeight="1" x14ac:dyDescent="0.2">
      <c r="A2" s="454" t="s">
        <v>1</v>
      </c>
      <c r="B2" s="374"/>
      <c r="C2" s="418" t="s">
        <v>227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473" t="s">
        <v>228</v>
      </c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6"/>
      <c r="AD2" s="474" t="s">
        <v>229</v>
      </c>
      <c r="AE2" s="395"/>
      <c r="AF2" s="395"/>
      <c r="AG2" s="395"/>
      <c r="AH2" s="395"/>
      <c r="AI2" s="395"/>
      <c r="AJ2" s="395"/>
      <c r="AK2" s="395"/>
      <c r="AL2" s="395"/>
      <c r="AM2" s="395"/>
      <c r="AN2" s="395"/>
      <c r="AO2" s="395"/>
      <c r="AP2" s="395"/>
      <c r="AQ2" s="395"/>
      <c r="AR2" s="395"/>
      <c r="AS2" s="395"/>
      <c r="AT2" s="395"/>
      <c r="AU2" s="395"/>
      <c r="AV2" s="395"/>
      <c r="AW2" s="395"/>
      <c r="AX2" s="395"/>
      <c r="AY2" s="395"/>
      <c r="AZ2" s="395"/>
      <c r="BA2" s="395"/>
      <c r="BB2" s="395"/>
      <c r="BC2" s="395"/>
      <c r="BD2" s="396"/>
    </row>
    <row r="3" spans="1:56" ht="45" customHeight="1" x14ac:dyDescent="0.3">
      <c r="A3" s="373"/>
      <c r="B3" s="374"/>
      <c r="C3" s="419" t="s">
        <v>3</v>
      </c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475" t="s">
        <v>230</v>
      </c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6"/>
      <c r="AD3" s="474" t="s">
        <v>231</v>
      </c>
      <c r="AE3" s="395"/>
      <c r="AF3" s="396"/>
      <c r="AG3" s="472" t="s">
        <v>232</v>
      </c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6"/>
      <c r="AS3" s="471" t="s">
        <v>233</v>
      </c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6"/>
    </row>
    <row r="4" spans="1:56" ht="30" customHeight="1" x14ac:dyDescent="0.3">
      <c r="A4" s="373"/>
      <c r="B4" s="374"/>
      <c r="C4" s="424" t="s">
        <v>6</v>
      </c>
      <c r="D4" s="395"/>
      <c r="E4" s="395"/>
      <c r="F4" s="395"/>
      <c r="G4" s="396"/>
      <c r="H4" s="439" t="s">
        <v>7</v>
      </c>
      <c r="I4" s="396"/>
      <c r="J4" s="440" t="s">
        <v>8</v>
      </c>
      <c r="K4" s="395"/>
      <c r="L4" s="395"/>
      <c r="M4" s="395"/>
      <c r="N4" s="395"/>
      <c r="O4" s="395"/>
      <c r="P4" s="395"/>
      <c r="Q4" s="396"/>
      <c r="R4" s="422" t="s">
        <v>234</v>
      </c>
      <c r="S4" s="395"/>
      <c r="T4" s="395"/>
      <c r="U4" s="396"/>
      <c r="V4" s="422" t="s">
        <v>235</v>
      </c>
      <c r="W4" s="395"/>
      <c r="X4" s="395"/>
      <c r="Y4" s="396"/>
      <c r="Z4" s="422" t="s">
        <v>236</v>
      </c>
      <c r="AA4" s="395"/>
      <c r="AB4" s="395"/>
      <c r="AC4" s="396"/>
      <c r="AD4" s="471" t="s">
        <v>236</v>
      </c>
      <c r="AE4" s="395"/>
      <c r="AF4" s="396"/>
      <c r="AG4" s="422" t="s">
        <v>234</v>
      </c>
      <c r="AH4" s="395"/>
      <c r="AI4" s="395"/>
      <c r="AJ4" s="396"/>
      <c r="AK4" s="422" t="s">
        <v>235</v>
      </c>
      <c r="AL4" s="395"/>
      <c r="AM4" s="395"/>
      <c r="AN4" s="396"/>
      <c r="AO4" s="422" t="s">
        <v>236</v>
      </c>
      <c r="AP4" s="395"/>
      <c r="AQ4" s="395"/>
      <c r="AR4" s="396"/>
      <c r="AS4" s="422" t="s">
        <v>234</v>
      </c>
      <c r="AT4" s="395"/>
      <c r="AU4" s="395"/>
      <c r="AV4" s="396"/>
      <c r="AW4" s="422" t="s">
        <v>235</v>
      </c>
      <c r="AX4" s="395"/>
      <c r="AY4" s="395"/>
      <c r="AZ4" s="396"/>
      <c r="BA4" s="422" t="s">
        <v>236</v>
      </c>
      <c r="BB4" s="395"/>
      <c r="BC4" s="395"/>
      <c r="BD4" s="396"/>
    </row>
    <row r="5" spans="1:56" ht="24" customHeight="1" x14ac:dyDescent="0.3">
      <c r="A5" s="373"/>
      <c r="B5" s="374"/>
      <c r="C5" s="433" t="s">
        <v>13</v>
      </c>
      <c r="D5" s="435" t="s">
        <v>14</v>
      </c>
      <c r="E5" s="436" t="s">
        <v>15</v>
      </c>
      <c r="F5" s="437" t="s">
        <v>16</v>
      </c>
      <c r="G5" s="438" t="s">
        <v>17</v>
      </c>
      <c r="H5" s="203" t="s">
        <v>18</v>
      </c>
      <c r="I5" s="203" t="s">
        <v>19</v>
      </c>
      <c r="J5" s="427" t="s">
        <v>20</v>
      </c>
      <c r="K5" s="396"/>
      <c r="L5" s="427" t="s">
        <v>18</v>
      </c>
      <c r="M5" s="395"/>
      <c r="N5" s="396"/>
      <c r="O5" s="428" t="s">
        <v>19</v>
      </c>
      <c r="P5" s="395"/>
      <c r="Q5" s="396"/>
      <c r="R5" s="204" t="s">
        <v>21</v>
      </c>
      <c r="S5" s="412" t="s">
        <v>22</v>
      </c>
      <c r="T5" s="395"/>
      <c r="U5" s="396"/>
      <c r="V5" s="204" t="s">
        <v>21</v>
      </c>
      <c r="W5" s="412" t="s">
        <v>22</v>
      </c>
      <c r="X5" s="395"/>
      <c r="Y5" s="396"/>
      <c r="Z5" s="204" t="s">
        <v>21</v>
      </c>
      <c r="AA5" s="412" t="s">
        <v>22</v>
      </c>
      <c r="AB5" s="395"/>
      <c r="AC5" s="396"/>
      <c r="AD5" s="204" t="s">
        <v>21</v>
      </c>
      <c r="AE5" s="429" t="s">
        <v>22</v>
      </c>
      <c r="AF5" s="396"/>
      <c r="AG5" s="204" t="s">
        <v>21</v>
      </c>
      <c r="AH5" s="412" t="s">
        <v>22</v>
      </c>
      <c r="AI5" s="395"/>
      <c r="AJ5" s="396"/>
      <c r="AK5" s="204" t="s">
        <v>21</v>
      </c>
      <c r="AL5" s="412" t="s">
        <v>22</v>
      </c>
      <c r="AM5" s="395"/>
      <c r="AN5" s="396"/>
      <c r="AO5" s="204" t="s">
        <v>21</v>
      </c>
      <c r="AP5" s="412" t="s">
        <v>22</v>
      </c>
      <c r="AQ5" s="395"/>
      <c r="AR5" s="396"/>
      <c r="AS5" s="204" t="s">
        <v>21</v>
      </c>
      <c r="AT5" s="412" t="s">
        <v>22</v>
      </c>
      <c r="AU5" s="395"/>
      <c r="AV5" s="396"/>
      <c r="AW5" s="204" t="s">
        <v>21</v>
      </c>
      <c r="AX5" s="412" t="s">
        <v>22</v>
      </c>
      <c r="AY5" s="395"/>
      <c r="AZ5" s="396"/>
      <c r="BA5" s="204" t="s">
        <v>21</v>
      </c>
      <c r="BB5" s="412" t="s">
        <v>22</v>
      </c>
      <c r="BC5" s="395"/>
      <c r="BD5" s="396"/>
    </row>
    <row r="6" spans="1:56" ht="41.25" customHeight="1" x14ac:dyDescent="0.3">
      <c r="A6" s="375"/>
      <c r="B6" s="376"/>
      <c r="C6" s="434"/>
      <c r="D6" s="434"/>
      <c r="E6" s="434"/>
      <c r="F6" s="434"/>
      <c r="G6" s="434"/>
      <c r="H6" s="205"/>
      <c r="I6" s="205"/>
      <c r="J6" s="351" t="s">
        <v>23</v>
      </c>
      <c r="K6" s="352" t="s">
        <v>24</v>
      </c>
      <c r="L6" s="351" t="s">
        <v>23</v>
      </c>
      <c r="M6" s="353" t="s">
        <v>25</v>
      </c>
      <c r="N6" s="353" t="s">
        <v>26</v>
      </c>
      <c r="O6" s="354" t="s">
        <v>23</v>
      </c>
      <c r="P6" s="353" t="s">
        <v>25</v>
      </c>
      <c r="Q6" s="353" t="s">
        <v>26</v>
      </c>
      <c r="R6" s="206" t="s">
        <v>146</v>
      </c>
      <c r="S6" s="207" t="s">
        <v>28</v>
      </c>
      <c r="T6" s="207" t="s">
        <v>146</v>
      </c>
      <c r="U6" s="349" t="s">
        <v>237</v>
      </c>
      <c r="V6" s="206" t="s">
        <v>28</v>
      </c>
      <c r="W6" s="207" t="s">
        <v>28</v>
      </c>
      <c r="X6" s="207" t="s">
        <v>146</v>
      </c>
      <c r="Y6" s="349" t="s">
        <v>238</v>
      </c>
      <c r="Z6" s="206" t="s">
        <v>28</v>
      </c>
      <c r="AA6" s="207" t="s">
        <v>28</v>
      </c>
      <c r="AB6" s="207" t="s">
        <v>146</v>
      </c>
      <c r="AC6" s="349" t="s">
        <v>238</v>
      </c>
      <c r="AD6" s="206" t="s">
        <v>28</v>
      </c>
      <c r="AE6" s="207" t="s">
        <v>28</v>
      </c>
      <c r="AF6" s="350" t="s">
        <v>238</v>
      </c>
      <c r="AG6" s="206" t="s">
        <v>146</v>
      </c>
      <c r="AH6" s="207" t="s">
        <v>28</v>
      </c>
      <c r="AI6" s="207" t="s">
        <v>146</v>
      </c>
      <c r="AJ6" s="349" t="s">
        <v>237</v>
      </c>
      <c r="AK6" s="206" t="s">
        <v>28</v>
      </c>
      <c r="AL6" s="207" t="s">
        <v>28</v>
      </c>
      <c r="AM6" s="207" t="s">
        <v>146</v>
      </c>
      <c r="AN6" s="349" t="s">
        <v>238</v>
      </c>
      <c r="AO6" s="206" t="s">
        <v>28</v>
      </c>
      <c r="AP6" s="207" t="s">
        <v>28</v>
      </c>
      <c r="AQ6" s="207" t="s">
        <v>146</v>
      </c>
      <c r="AR6" s="349" t="s">
        <v>238</v>
      </c>
      <c r="AS6" s="206" t="s">
        <v>146</v>
      </c>
      <c r="AT6" s="207" t="s">
        <v>28</v>
      </c>
      <c r="AU6" s="207" t="s">
        <v>146</v>
      </c>
      <c r="AV6" s="349" t="s">
        <v>237</v>
      </c>
      <c r="AW6" s="206" t="s">
        <v>28</v>
      </c>
      <c r="AX6" s="207" t="s">
        <v>28</v>
      </c>
      <c r="AY6" s="207" t="s">
        <v>146</v>
      </c>
      <c r="AZ6" s="349" t="s">
        <v>238</v>
      </c>
      <c r="BA6" s="206" t="s">
        <v>28</v>
      </c>
      <c r="BB6" s="207" t="s">
        <v>28</v>
      </c>
      <c r="BC6" s="207" t="s">
        <v>146</v>
      </c>
      <c r="BD6" s="349" t="s">
        <v>238</v>
      </c>
    </row>
    <row r="7" spans="1:56" ht="24" customHeight="1" x14ac:dyDescent="0.3">
      <c r="A7" s="425" t="s">
        <v>239</v>
      </c>
      <c r="B7" s="426"/>
      <c r="C7" s="209">
        <f t="shared" ref="C7:C116" ca="1" si="0">D7+G7</f>
        <v>128736700</v>
      </c>
      <c r="D7" s="210">
        <f t="shared" ref="D7:E7" ca="1" si="1">D8+D9+D12</f>
        <v>96916700</v>
      </c>
      <c r="E7" s="211">
        <f t="shared" ca="1" si="1"/>
        <v>45177300</v>
      </c>
      <c r="F7" s="212">
        <f ca="1">F8+F9</f>
        <v>51739400</v>
      </c>
      <c r="G7" s="213">
        <f t="shared" ref="G7:I7" ca="1" si="2">G8+G9+G12</f>
        <v>31820000</v>
      </c>
      <c r="H7" s="214">
        <f t="shared" ca="1" si="2"/>
        <v>100577442</v>
      </c>
      <c r="I7" s="214">
        <f t="shared" ca="1" si="2"/>
        <v>27875998</v>
      </c>
      <c r="J7" s="215">
        <f t="shared" ref="J7:J116" ca="1" si="3">L7+O7</f>
        <v>114627142.76000001</v>
      </c>
      <c r="K7" s="216">
        <f t="shared" ref="K7:K116" ca="1" si="4">IF(C7&gt;0,J7*100/C7,0)</f>
        <v>89.039988410453276</v>
      </c>
      <c r="L7" s="215">
        <f ca="1">L8+L9+L12</f>
        <v>87982145.49000001</v>
      </c>
      <c r="M7" s="217">
        <f t="shared" ref="M7:M116" ca="1" si="5">IF(D7&gt;0,L7*100/D7,0)</f>
        <v>90.781202300532314</v>
      </c>
      <c r="N7" s="217">
        <f t="shared" ref="N7:N116" ca="1" si="6">IF(H7&gt;0,L7*100/H7,0)</f>
        <v>87.477016456632498</v>
      </c>
      <c r="O7" s="218">
        <f ca="1">O8+O9+O12</f>
        <v>26644997.27</v>
      </c>
      <c r="P7" s="217">
        <f t="shared" ref="P7:P11" ca="1" si="7">IF(G7&gt;0,O7*100/G7,0)</f>
        <v>83.736635040854807</v>
      </c>
      <c r="Q7" s="217">
        <f t="shared" ref="Q7:Q116" ca="1" si="8">IF(I7&gt;0,O7*100/I7,0)</f>
        <v>95.584011987660489</v>
      </c>
      <c r="R7" s="219">
        <f t="shared" ref="R7:T7" ca="1" si="9">R8</f>
        <v>244445</v>
      </c>
      <c r="S7" s="220">
        <f t="shared" ca="1" si="9"/>
        <v>26539</v>
      </c>
      <c r="T7" s="220">
        <f t="shared" ca="1" si="9"/>
        <v>230867.63999999996</v>
      </c>
      <c r="U7" s="221">
        <f t="shared" ref="U7:U8" ca="1" si="10">IF(R7&gt;0,T7*100/R7,0)</f>
        <v>94.445638078095257</v>
      </c>
      <c r="V7" s="219">
        <f t="shared" ref="V7:X7" ca="1" si="11">V8</f>
        <v>24000</v>
      </c>
      <c r="W7" s="220">
        <f t="shared" ca="1" si="11"/>
        <v>23042</v>
      </c>
      <c r="X7" s="220">
        <f t="shared" ca="1" si="11"/>
        <v>203282.08999999982</v>
      </c>
      <c r="Y7" s="221">
        <f t="shared" ref="Y7:Y8" ca="1" si="12">IF(V7&gt;0,W7*100/V7,0)</f>
        <v>96.00833333333334</v>
      </c>
      <c r="Z7" s="219">
        <f t="shared" ref="Z7:AB7" ca="1" si="13">Z8</f>
        <v>24000</v>
      </c>
      <c r="AA7" s="220">
        <f t="shared" ca="1" si="13"/>
        <v>16179</v>
      </c>
      <c r="AB7" s="220">
        <f t="shared" ca="1" si="13"/>
        <v>140774.90999999995</v>
      </c>
      <c r="AC7" s="221">
        <f t="shared" ref="AC7:AC8" ca="1" si="14">IF(Z7&gt;0,AA7*100/Z7,0)</f>
        <v>67.412499999999994</v>
      </c>
      <c r="AD7" s="219">
        <f t="shared" ref="AD7:AE7" ca="1" si="15">AD8</f>
        <v>44900</v>
      </c>
      <c r="AE7" s="220">
        <f t="shared" ca="1" si="15"/>
        <v>38981</v>
      </c>
      <c r="AF7" s="221">
        <f t="shared" ref="AF7:AF88" ca="1" si="16">IF(AD7&gt;0,AE7*100/AD7,0)</f>
        <v>86.817371937639194</v>
      </c>
      <c r="AG7" s="219">
        <f t="shared" ref="AG7:AI7" ca="1" si="17">AG8</f>
        <v>87466</v>
      </c>
      <c r="AH7" s="220">
        <f t="shared" ca="1" si="17"/>
        <v>9771</v>
      </c>
      <c r="AI7" s="220">
        <f t="shared" ca="1" si="17"/>
        <v>88125.959999999992</v>
      </c>
      <c r="AJ7" s="221">
        <f t="shared" ref="AJ7:AJ8" ca="1" si="18">IF(AG7&gt;0,AI7*100/AG7,0)</f>
        <v>100.75453319003955</v>
      </c>
      <c r="AK7" s="219">
        <f t="shared" ref="AK7:AM7" ca="1" si="19">AK8</f>
        <v>8389</v>
      </c>
      <c r="AL7" s="220">
        <f t="shared" ca="1" si="19"/>
        <v>8006</v>
      </c>
      <c r="AM7" s="220">
        <f t="shared" ca="1" si="19"/>
        <v>73618.100000000006</v>
      </c>
      <c r="AN7" s="221">
        <f t="shared" ref="AN7:AN8" ca="1" si="20">IF(AK7&gt;0,AL7*100/AK7,0)</f>
        <v>95.434497556323763</v>
      </c>
      <c r="AO7" s="219">
        <f t="shared" ref="AO7:AQ7" ca="1" si="21">AO8</f>
        <v>8389</v>
      </c>
      <c r="AP7" s="220">
        <f t="shared" ca="1" si="21"/>
        <v>6422</v>
      </c>
      <c r="AQ7" s="220">
        <f t="shared" ca="1" si="21"/>
        <v>58681.409999999996</v>
      </c>
      <c r="AR7" s="221">
        <f t="shared" ref="AR7:AR8" ca="1" si="22">IF(AO7&gt;0,AP7*100/AO7,0)</f>
        <v>76.552628442007389</v>
      </c>
      <c r="AS7" s="219">
        <f t="shared" ref="AS7:AU7" ca="1" si="23">AS8</f>
        <v>156979</v>
      </c>
      <c r="AT7" s="220">
        <f t="shared" ca="1" si="23"/>
        <v>16768</v>
      </c>
      <c r="AU7" s="220">
        <f t="shared" ca="1" si="23"/>
        <v>142741.68</v>
      </c>
      <c r="AV7" s="221">
        <f t="shared" ref="AV7:AV8" ca="1" si="24">IF(AS7&gt;0,AU7*100/AS7,0)</f>
        <v>90.930430184929193</v>
      </c>
      <c r="AW7" s="219">
        <f t="shared" ref="AW7:AY7" ca="1" si="25">AW8</f>
        <v>36511</v>
      </c>
      <c r="AX7" s="220">
        <f t="shared" ca="1" si="25"/>
        <v>39738</v>
      </c>
      <c r="AY7" s="220">
        <f t="shared" ca="1" si="25"/>
        <v>453040.56999999948</v>
      </c>
      <c r="AZ7" s="221">
        <f t="shared" ref="AZ7:AZ8" ca="1" si="26">IF(AW7&gt;0,AX7*100/AW7,0)</f>
        <v>108.83843225329353</v>
      </c>
      <c r="BA7" s="219">
        <f t="shared" ref="BA7:BC7" ca="1" si="27">BA8</f>
        <v>36511</v>
      </c>
      <c r="BB7" s="220">
        <f t="shared" ca="1" si="27"/>
        <v>32559</v>
      </c>
      <c r="BC7" s="220">
        <f t="shared" ca="1" si="27"/>
        <v>380721.95999999985</v>
      </c>
      <c r="BD7" s="221">
        <f t="shared" ref="BD7:BD8" ca="1" si="28">IF(BA7&gt;0,BB7*100/BA7,0)</f>
        <v>89.17586480786612</v>
      </c>
    </row>
    <row r="8" spans="1:56" ht="28.5" customHeight="1" x14ac:dyDescent="0.3">
      <c r="A8" s="222" t="s">
        <v>31</v>
      </c>
      <c r="B8" s="223"/>
      <c r="C8" s="224">
        <f t="shared" ca="1" si="0"/>
        <v>66708130</v>
      </c>
      <c r="D8" s="224">
        <f t="shared" ref="D8:I8" ca="1" si="29">+D13+D31+D52+D74</f>
        <v>59351730</v>
      </c>
      <c r="E8" s="224">
        <f t="shared" ca="1" si="29"/>
        <v>17312400</v>
      </c>
      <c r="F8" s="224">
        <f t="shared" ca="1" si="29"/>
        <v>42039330</v>
      </c>
      <c r="G8" s="224">
        <f t="shared" ca="1" si="29"/>
        <v>7356400</v>
      </c>
      <c r="H8" s="224">
        <f t="shared" ca="1" si="29"/>
        <v>66097927</v>
      </c>
      <c r="I8" s="224">
        <f t="shared" ca="1" si="29"/>
        <v>7618950</v>
      </c>
      <c r="J8" s="224">
        <f t="shared" ca="1" si="3"/>
        <v>63666139.020000003</v>
      </c>
      <c r="K8" s="225">
        <f t="shared" ca="1" si="4"/>
        <v>95.439849715469464</v>
      </c>
      <c r="L8" s="224">
        <f ca="1">+L13+L31+L52+L74</f>
        <v>56236689.020000003</v>
      </c>
      <c r="M8" s="226">
        <f t="shared" ca="1" si="5"/>
        <v>94.751558244384782</v>
      </c>
      <c r="N8" s="226">
        <f t="shared" ca="1" si="6"/>
        <v>85.080866484662977</v>
      </c>
      <c r="O8" s="227">
        <f ca="1">+O13+O31+O52+O74</f>
        <v>7429450</v>
      </c>
      <c r="P8" s="226">
        <f t="shared" ca="1" si="7"/>
        <v>100.99301288673807</v>
      </c>
      <c r="Q8" s="226">
        <f t="shared" ca="1" si="8"/>
        <v>97.512780632501858</v>
      </c>
      <c r="R8" s="224">
        <f t="shared" ref="R8:T8" ca="1" si="30">+R13+R31+R52+R74</f>
        <v>244445</v>
      </c>
      <c r="S8" s="224">
        <f t="shared" ca="1" si="30"/>
        <v>26539</v>
      </c>
      <c r="T8" s="224">
        <f t="shared" ca="1" si="30"/>
        <v>230867.63999999996</v>
      </c>
      <c r="U8" s="226">
        <f t="shared" ca="1" si="10"/>
        <v>94.445638078095257</v>
      </c>
      <c r="V8" s="224">
        <f t="shared" ref="V8:X8" ca="1" si="31">+V13+V31+V52+V74</f>
        <v>24000</v>
      </c>
      <c r="W8" s="224">
        <f t="shared" ca="1" si="31"/>
        <v>23042</v>
      </c>
      <c r="X8" s="224">
        <f t="shared" ca="1" si="31"/>
        <v>203282.08999999982</v>
      </c>
      <c r="Y8" s="226">
        <f t="shared" ca="1" si="12"/>
        <v>96.00833333333334</v>
      </c>
      <c r="Z8" s="224">
        <f t="shared" ref="Z8:AB8" ca="1" si="32">+Z13+Z31+Z52+Z74</f>
        <v>24000</v>
      </c>
      <c r="AA8" s="224">
        <f t="shared" ca="1" si="32"/>
        <v>16179</v>
      </c>
      <c r="AB8" s="224">
        <f t="shared" ca="1" si="32"/>
        <v>140774.90999999995</v>
      </c>
      <c r="AC8" s="226">
        <f t="shared" ca="1" si="14"/>
        <v>67.412499999999994</v>
      </c>
      <c r="AD8" s="224">
        <f t="shared" ref="AD8:AE8" ca="1" si="33">+AD13+AD31+AD52+AD74</f>
        <v>44900</v>
      </c>
      <c r="AE8" s="224">
        <f t="shared" ca="1" si="33"/>
        <v>38981</v>
      </c>
      <c r="AF8" s="226">
        <f t="shared" ca="1" si="16"/>
        <v>86.817371937639194</v>
      </c>
      <c r="AG8" s="224">
        <f t="shared" ref="AG8:AI8" ca="1" si="34">+AG13+AG31+AG52+AG74</f>
        <v>87466</v>
      </c>
      <c r="AH8" s="224">
        <f t="shared" ca="1" si="34"/>
        <v>9771</v>
      </c>
      <c r="AI8" s="224">
        <f t="shared" ca="1" si="34"/>
        <v>88125.959999999992</v>
      </c>
      <c r="AJ8" s="226">
        <f t="shared" ca="1" si="18"/>
        <v>100.75453319003955</v>
      </c>
      <c r="AK8" s="224">
        <f t="shared" ref="AK8:AM8" ca="1" si="35">+AK13+AK31+AK52+AK74</f>
        <v>8389</v>
      </c>
      <c r="AL8" s="224">
        <f t="shared" ca="1" si="35"/>
        <v>8006</v>
      </c>
      <c r="AM8" s="224">
        <f t="shared" ca="1" si="35"/>
        <v>73618.100000000006</v>
      </c>
      <c r="AN8" s="226">
        <f t="shared" ca="1" si="20"/>
        <v>95.434497556323763</v>
      </c>
      <c r="AO8" s="224">
        <f t="shared" ref="AO8:AQ8" ca="1" si="36">+AO13+AO31+AO52+AO74</f>
        <v>8389</v>
      </c>
      <c r="AP8" s="224">
        <f t="shared" ca="1" si="36"/>
        <v>6422</v>
      </c>
      <c r="AQ8" s="224">
        <f t="shared" ca="1" si="36"/>
        <v>58681.409999999996</v>
      </c>
      <c r="AR8" s="226">
        <f t="shared" ca="1" si="22"/>
        <v>76.552628442007389</v>
      </c>
      <c r="AS8" s="224">
        <f t="shared" ref="AS8:AU8" ca="1" si="37">+AS13+AS31+AS52+AS74</f>
        <v>156979</v>
      </c>
      <c r="AT8" s="224">
        <f t="shared" ca="1" si="37"/>
        <v>16768</v>
      </c>
      <c r="AU8" s="224">
        <f t="shared" ca="1" si="37"/>
        <v>142741.68</v>
      </c>
      <c r="AV8" s="226">
        <f t="shared" ca="1" si="24"/>
        <v>90.930430184929193</v>
      </c>
      <c r="AW8" s="224">
        <f t="shared" ref="AW8:AY8" ca="1" si="38">+AW13+AW31+AW52+AW74</f>
        <v>36511</v>
      </c>
      <c r="AX8" s="224">
        <f t="shared" ca="1" si="38"/>
        <v>39738</v>
      </c>
      <c r="AY8" s="224">
        <f t="shared" ca="1" si="38"/>
        <v>453040.56999999948</v>
      </c>
      <c r="AZ8" s="226">
        <f t="shared" ca="1" si="26"/>
        <v>108.83843225329353</v>
      </c>
      <c r="BA8" s="224">
        <f t="shared" ref="BA8:BC8" ca="1" si="39">+BA13+BA31+BA52+BA74</f>
        <v>36511</v>
      </c>
      <c r="BB8" s="224">
        <f t="shared" ca="1" si="39"/>
        <v>32559</v>
      </c>
      <c r="BC8" s="224">
        <f t="shared" ca="1" si="39"/>
        <v>380721.95999999985</v>
      </c>
      <c r="BD8" s="226">
        <f t="shared" ca="1" si="28"/>
        <v>89.17586480786612</v>
      </c>
    </row>
    <row r="9" spans="1:56" ht="28.5" customHeight="1" x14ac:dyDescent="0.3">
      <c r="A9" s="228" t="s">
        <v>240</v>
      </c>
      <c r="B9" s="229"/>
      <c r="C9" s="230">
        <f t="shared" ca="1" si="0"/>
        <v>62028570</v>
      </c>
      <c r="D9" s="230">
        <f t="shared" ref="D9:I9" ca="1" si="40">+D10+D11</f>
        <v>37564970</v>
      </c>
      <c r="E9" s="230">
        <f t="shared" ca="1" si="40"/>
        <v>27864900</v>
      </c>
      <c r="F9" s="230">
        <f t="shared" ca="1" si="40"/>
        <v>9700070</v>
      </c>
      <c r="G9" s="230">
        <f t="shared" ca="1" si="40"/>
        <v>24463600</v>
      </c>
      <c r="H9" s="230">
        <f t="shared" ca="1" si="40"/>
        <v>34479515</v>
      </c>
      <c r="I9" s="230">
        <f t="shared" ca="1" si="40"/>
        <v>20257048</v>
      </c>
      <c r="J9" s="230">
        <f t="shared" ca="1" si="3"/>
        <v>50961003.739999995</v>
      </c>
      <c r="K9" s="231">
        <f t="shared" ca="1" si="4"/>
        <v>82.157308704682364</v>
      </c>
      <c r="L9" s="230">
        <f ca="1">+L10+L11</f>
        <v>31745456.469999999</v>
      </c>
      <c r="M9" s="232">
        <f t="shared" ca="1" si="5"/>
        <v>84.508137421645756</v>
      </c>
      <c r="N9" s="232">
        <f t="shared" ca="1" si="6"/>
        <v>92.070484373112564</v>
      </c>
      <c r="O9" s="233">
        <f ca="1">+O10+O11</f>
        <v>19215547.27</v>
      </c>
      <c r="P9" s="232">
        <f t="shared" ca="1" si="7"/>
        <v>78.54750433296816</v>
      </c>
      <c r="Q9" s="232">
        <f t="shared" ca="1" si="8"/>
        <v>94.858575987972188</v>
      </c>
      <c r="R9" s="234"/>
      <c r="S9" s="234"/>
      <c r="T9" s="234"/>
      <c r="U9" s="232"/>
      <c r="V9" s="234"/>
      <c r="W9" s="234"/>
      <c r="X9" s="234"/>
      <c r="Y9" s="232"/>
      <c r="Z9" s="234"/>
      <c r="AA9" s="234"/>
      <c r="AB9" s="234"/>
      <c r="AC9" s="232"/>
      <c r="AD9" s="234"/>
      <c r="AE9" s="234"/>
      <c r="AF9" s="232">
        <f t="shared" si="16"/>
        <v>0</v>
      </c>
      <c r="AG9" s="234"/>
      <c r="AH9" s="234"/>
      <c r="AI9" s="234"/>
      <c r="AJ9" s="232"/>
      <c r="AK9" s="234"/>
      <c r="AL9" s="234"/>
      <c r="AM9" s="234"/>
      <c r="AN9" s="232"/>
      <c r="AO9" s="234"/>
      <c r="AP9" s="234"/>
      <c r="AQ9" s="234"/>
      <c r="AR9" s="232"/>
      <c r="AS9" s="234"/>
      <c r="AT9" s="234"/>
      <c r="AU9" s="234"/>
      <c r="AV9" s="232"/>
      <c r="AW9" s="234"/>
      <c r="AX9" s="234"/>
      <c r="AY9" s="234"/>
      <c r="AZ9" s="232"/>
      <c r="BA9" s="234"/>
      <c r="BB9" s="234"/>
      <c r="BC9" s="234"/>
      <c r="BD9" s="232"/>
    </row>
    <row r="10" spans="1:56" ht="28.5" hidden="1" customHeight="1" x14ac:dyDescent="0.3">
      <c r="A10" s="228" t="s">
        <v>32</v>
      </c>
      <c r="B10" s="229"/>
      <c r="C10" s="230">
        <f t="shared" ca="1" si="0"/>
        <v>58947470</v>
      </c>
      <c r="D10" s="230">
        <f t="shared" ref="D10:I10" ca="1" si="41">+D89</f>
        <v>34483870</v>
      </c>
      <c r="E10" s="230">
        <f t="shared" ca="1" si="41"/>
        <v>24783800</v>
      </c>
      <c r="F10" s="230">
        <f t="shared" ca="1" si="41"/>
        <v>9700070</v>
      </c>
      <c r="G10" s="230">
        <f t="shared" ca="1" si="41"/>
        <v>24463600</v>
      </c>
      <c r="H10" s="230">
        <f t="shared" ca="1" si="41"/>
        <v>31232015</v>
      </c>
      <c r="I10" s="230">
        <f t="shared" ca="1" si="41"/>
        <v>20245047.27</v>
      </c>
      <c r="J10" s="230">
        <f t="shared" ca="1" si="3"/>
        <v>47911203.509999998</v>
      </c>
      <c r="K10" s="231">
        <f t="shared" ca="1" si="4"/>
        <v>81.277794466836326</v>
      </c>
      <c r="L10" s="230">
        <f ca="1">+L89</f>
        <v>28695656.239999998</v>
      </c>
      <c r="M10" s="232">
        <f t="shared" ca="1" si="5"/>
        <v>83.214721085539409</v>
      </c>
      <c r="N10" s="232">
        <f t="shared" ca="1" si="6"/>
        <v>91.878978157509209</v>
      </c>
      <c r="O10" s="233">
        <f ca="1">+O89</f>
        <v>19215547.27</v>
      </c>
      <c r="P10" s="232">
        <f t="shared" ca="1" si="7"/>
        <v>78.54750433296816</v>
      </c>
      <c r="Q10" s="232">
        <f t="shared" ca="1" si="8"/>
        <v>94.914805649648656</v>
      </c>
      <c r="R10" s="234"/>
      <c r="S10" s="234"/>
      <c r="T10" s="234"/>
      <c r="U10" s="232"/>
      <c r="V10" s="234"/>
      <c r="W10" s="234"/>
      <c r="X10" s="234"/>
      <c r="Y10" s="232"/>
      <c r="Z10" s="234"/>
      <c r="AA10" s="234"/>
      <c r="AB10" s="234"/>
      <c r="AC10" s="232"/>
      <c r="AD10" s="234"/>
      <c r="AE10" s="234"/>
      <c r="AF10" s="232">
        <f t="shared" si="16"/>
        <v>0</v>
      </c>
      <c r="AG10" s="234"/>
      <c r="AH10" s="234"/>
      <c r="AI10" s="234"/>
      <c r="AJ10" s="232"/>
      <c r="AK10" s="234"/>
      <c r="AL10" s="234"/>
      <c r="AM10" s="234"/>
      <c r="AN10" s="232"/>
      <c r="AO10" s="234"/>
      <c r="AP10" s="234"/>
      <c r="AQ10" s="234"/>
      <c r="AR10" s="232"/>
      <c r="AS10" s="234"/>
      <c r="AT10" s="234"/>
      <c r="AU10" s="234"/>
      <c r="AV10" s="232"/>
      <c r="AW10" s="234"/>
      <c r="AX10" s="234"/>
      <c r="AY10" s="234"/>
      <c r="AZ10" s="232"/>
      <c r="BA10" s="234"/>
      <c r="BB10" s="234"/>
      <c r="BC10" s="234"/>
      <c r="BD10" s="232"/>
    </row>
    <row r="11" spans="1:56" ht="28.5" hidden="1" customHeight="1" x14ac:dyDescent="0.3">
      <c r="A11" s="236" t="s">
        <v>33</v>
      </c>
      <c r="B11" s="229"/>
      <c r="C11" s="230">
        <f t="shared" ca="1" si="0"/>
        <v>3081100</v>
      </c>
      <c r="D11" s="230">
        <f t="shared" ref="D11:I11" ca="1" si="42">+D104</f>
        <v>3081100</v>
      </c>
      <c r="E11" s="230">
        <f t="shared" ca="1" si="42"/>
        <v>3081100</v>
      </c>
      <c r="F11" s="230">
        <f t="shared" ca="1" si="42"/>
        <v>0</v>
      </c>
      <c r="G11" s="230">
        <f t="shared" ca="1" si="42"/>
        <v>0</v>
      </c>
      <c r="H11" s="230">
        <f t="shared" ca="1" si="42"/>
        <v>3247500</v>
      </c>
      <c r="I11" s="230">
        <f t="shared" ca="1" si="42"/>
        <v>12000.73</v>
      </c>
      <c r="J11" s="230">
        <f t="shared" ca="1" si="3"/>
        <v>3049800.23</v>
      </c>
      <c r="K11" s="231">
        <f t="shared" ca="1" si="4"/>
        <v>98.984136509688099</v>
      </c>
      <c r="L11" s="230">
        <f ca="1">+L104</f>
        <v>3049800.23</v>
      </c>
      <c r="M11" s="232">
        <f t="shared" ca="1" si="5"/>
        <v>98.984136509688099</v>
      </c>
      <c r="N11" s="232">
        <f t="shared" ca="1" si="6"/>
        <v>93.912247267128564</v>
      </c>
      <c r="O11" s="233">
        <f ca="1">+O104</f>
        <v>0</v>
      </c>
      <c r="P11" s="232">
        <f t="shared" ca="1" si="7"/>
        <v>0</v>
      </c>
      <c r="Q11" s="232">
        <f t="shared" ca="1" si="8"/>
        <v>0</v>
      </c>
      <c r="R11" s="234"/>
      <c r="S11" s="234"/>
      <c r="T11" s="234"/>
      <c r="U11" s="232"/>
      <c r="V11" s="234"/>
      <c r="W11" s="234"/>
      <c r="X11" s="234"/>
      <c r="Y11" s="232"/>
      <c r="Z11" s="234"/>
      <c r="AA11" s="234"/>
      <c r="AB11" s="234"/>
      <c r="AC11" s="232"/>
      <c r="AD11" s="234"/>
      <c r="AE11" s="234"/>
      <c r="AF11" s="232">
        <f t="shared" si="16"/>
        <v>0</v>
      </c>
      <c r="AG11" s="234"/>
      <c r="AH11" s="234"/>
      <c r="AI11" s="234"/>
      <c r="AJ11" s="232"/>
      <c r="AK11" s="234"/>
      <c r="AL11" s="234"/>
      <c r="AM11" s="234"/>
      <c r="AN11" s="232"/>
      <c r="AO11" s="234"/>
      <c r="AP11" s="234"/>
      <c r="AQ11" s="234"/>
      <c r="AR11" s="232"/>
      <c r="AS11" s="234"/>
      <c r="AT11" s="234"/>
      <c r="AU11" s="234"/>
      <c r="AV11" s="232"/>
      <c r="AW11" s="234"/>
      <c r="AX11" s="234"/>
      <c r="AY11" s="234"/>
      <c r="AZ11" s="232"/>
      <c r="BA11" s="234"/>
      <c r="BB11" s="234"/>
      <c r="BC11" s="234"/>
      <c r="BD11" s="232"/>
    </row>
    <row r="12" spans="1:56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1"/>
      <c r="Q12" s="241">
        <f t="shared" si="8"/>
        <v>0</v>
      </c>
      <c r="R12" s="239">
        <v>0</v>
      </c>
      <c r="S12" s="239">
        <v>0</v>
      </c>
      <c r="T12" s="239">
        <v>0</v>
      </c>
      <c r="U12" s="241">
        <f t="shared" ref="U12:U88" si="43">IF(R12&gt;0,T12*100/R12,0)</f>
        <v>0</v>
      </c>
      <c r="V12" s="239">
        <v>0</v>
      </c>
      <c r="W12" s="239">
        <v>0</v>
      </c>
      <c r="X12" s="239">
        <v>0</v>
      </c>
      <c r="Y12" s="241">
        <f t="shared" ref="Y12:Y88" si="44">IF(V12&gt;0,W12*100/V12,0)</f>
        <v>0</v>
      </c>
      <c r="Z12" s="239">
        <v>0</v>
      </c>
      <c r="AA12" s="239">
        <v>0</v>
      </c>
      <c r="AB12" s="239">
        <v>0</v>
      </c>
      <c r="AC12" s="241">
        <f t="shared" ref="AC12:AC88" si="45">IF(Z12&gt;0,AA12*100/Z12,0)</f>
        <v>0</v>
      </c>
      <c r="AD12" s="239">
        <v>0</v>
      </c>
      <c r="AE12" s="239">
        <v>0</v>
      </c>
      <c r="AF12" s="241">
        <f t="shared" si="16"/>
        <v>0</v>
      </c>
      <c r="AG12" s="239">
        <v>0</v>
      </c>
      <c r="AH12" s="239">
        <v>0</v>
      </c>
      <c r="AI12" s="239">
        <v>0</v>
      </c>
      <c r="AJ12" s="241">
        <f t="shared" ref="AJ12:AJ88" si="46">IF(AG12&gt;0,AI12*100/AG12,0)</f>
        <v>0</v>
      </c>
      <c r="AK12" s="239">
        <v>0</v>
      </c>
      <c r="AL12" s="239">
        <v>0</v>
      </c>
      <c r="AM12" s="239">
        <v>0</v>
      </c>
      <c r="AN12" s="241">
        <f t="shared" ref="AN12:AN88" si="47">IF(AK12&gt;0,AL12*100/AK12,0)</f>
        <v>0</v>
      </c>
      <c r="AO12" s="239">
        <v>0</v>
      </c>
      <c r="AP12" s="239">
        <v>0</v>
      </c>
      <c r="AQ12" s="239">
        <v>0</v>
      </c>
      <c r="AR12" s="241">
        <f t="shared" ref="AR12:AR88" si="48">IF(AO12&gt;0,AP12*100/AO12,0)</f>
        <v>0</v>
      </c>
      <c r="AS12" s="239">
        <v>0</v>
      </c>
      <c r="AT12" s="239">
        <v>0</v>
      </c>
      <c r="AU12" s="239">
        <v>0</v>
      </c>
      <c r="AV12" s="241">
        <f t="shared" ref="AV12:AV88" si="49">IF(AS12&gt;0,AU12*100/AS12,0)</f>
        <v>0</v>
      </c>
      <c r="AW12" s="239">
        <v>0</v>
      </c>
      <c r="AX12" s="239">
        <v>0</v>
      </c>
      <c r="AY12" s="239">
        <v>0</v>
      </c>
      <c r="AZ12" s="241">
        <f t="shared" ref="AZ12:AZ88" si="50">IF(AW12&gt;0,AX12*100/AW12,0)</f>
        <v>0</v>
      </c>
      <c r="BA12" s="239">
        <v>0</v>
      </c>
      <c r="BB12" s="239">
        <v>0</v>
      </c>
      <c r="BC12" s="239">
        <v>0</v>
      </c>
      <c r="BD12" s="241">
        <f t="shared" ref="BD12:BD88" si="51">IF(BA12&gt;0,BB12*100/BA12,0)</f>
        <v>0</v>
      </c>
    </row>
    <row r="13" spans="1:56" ht="28.5" customHeight="1" x14ac:dyDescent="0.3">
      <c r="A13" s="442" t="s">
        <v>35</v>
      </c>
      <c r="B13" s="414"/>
      <c r="C13" s="224">
        <f t="shared" ca="1" si="0"/>
        <v>13325790</v>
      </c>
      <c r="D13" s="224">
        <f t="shared" ref="D13:I13" ca="1" si="52">SUM(D14:D30)</f>
        <v>11818690</v>
      </c>
      <c r="E13" s="224">
        <f t="shared" ca="1" si="52"/>
        <v>3628800</v>
      </c>
      <c r="F13" s="224">
        <f t="shared" ca="1" si="52"/>
        <v>8189890</v>
      </c>
      <c r="G13" s="224">
        <f t="shared" ca="1" si="52"/>
        <v>1507100</v>
      </c>
      <c r="H13" s="224">
        <f t="shared" ca="1" si="52"/>
        <v>13325040</v>
      </c>
      <c r="I13" s="224">
        <f t="shared" ca="1" si="52"/>
        <v>1680580</v>
      </c>
      <c r="J13" s="224">
        <f t="shared" ca="1" si="3"/>
        <v>12526298.549999999</v>
      </c>
      <c r="K13" s="225">
        <f t="shared" ca="1" si="4"/>
        <v>94.000419862537228</v>
      </c>
      <c r="L13" s="224">
        <f ca="1">SUM(L14:L30)</f>
        <v>11035218.549999999</v>
      </c>
      <c r="M13" s="226">
        <f t="shared" ca="1" si="5"/>
        <v>93.37091124312424</v>
      </c>
      <c r="N13" s="226">
        <f t="shared" ca="1" si="6"/>
        <v>82.815650459585868</v>
      </c>
      <c r="O13" s="227">
        <f ca="1">SUM(O14:O30)</f>
        <v>1491080</v>
      </c>
      <c r="P13" s="226">
        <f t="shared" ref="P13:P116" ca="1" si="53">IF(G13&gt;0,O13*100/G13,0)</f>
        <v>98.93703138477872</v>
      </c>
      <c r="Q13" s="226">
        <f t="shared" ca="1" si="8"/>
        <v>88.724130954789416</v>
      </c>
      <c r="R13" s="224">
        <f t="shared" ref="R13:T13" ca="1" si="54">SUM(R14:R30)</f>
        <v>35620</v>
      </c>
      <c r="S13" s="224">
        <f t="shared" ca="1" si="54"/>
        <v>4569</v>
      </c>
      <c r="T13" s="224">
        <f t="shared" ca="1" si="54"/>
        <v>34168.349999999991</v>
      </c>
      <c r="U13" s="226">
        <f t="shared" ca="1" si="43"/>
        <v>95.924620999438488</v>
      </c>
      <c r="V13" s="224">
        <f t="shared" ref="V13:X13" ca="1" si="55">SUM(V14:V30)</f>
        <v>4014</v>
      </c>
      <c r="W13" s="224">
        <f t="shared" ca="1" si="55"/>
        <v>3677</v>
      </c>
      <c r="X13" s="224">
        <f t="shared" ca="1" si="55"/>
        <v>26634.309999999987</v>
      </c>
      <c r="Y13" s="226">
        <f t="shared" ca="1" si="44"/>
        <v>91.604384653712003</v>
      </c>
      <c r="Z13" s="224">
        <f t="shared" ref="Z13:AB13" ca="1" si="56">SUM(Z14:Z30)</f>
        <v>4014</v>
      </c>
      <c r="AA13" s="224">
        <f t="shared" ca="1" si="56"/>
        <v>2979</v>
      </c>
      <c r="AB13" s="224">
        <f t="shared" ca="1" si="56"/>
        <v>21301.73</v>
      </c>
      <c r="AC13" s="226">
        <f t="shared" ca="1" si="45"/>
        <v>74.215246636771298</v>
      </c>
      <c r="AD13" s="224">
        <f t="shared" ref="AD13:AE13" ca="1" si="57">SUM(AD14:AD30)</f>
        <v>9694</v>
      </c>
      <c r="AE13" s="224">
        <f t="shared" ca="1" si="57"/>
        <v>8120</v>
      </c>
      <c r="AF13" s="226">
        <f t="shared" ca="1" si="16"/>
        <v>83.763152465442545</v>
      </c>
      <c r="AG13" s="224">
        <f t="shared" ref="AG13:AI13" ca="1" si="58">SUM(AG14:AG30)</f>
        <v>13500</v>
      </c>
      <c r="AH13" s="224">
        <f t="shared" ca="1" si="58"/>
        <v>2028</v>
      </c>
      <c r="AI13" s="224">
        <f t="shared" ca="1" si="58"/>
        <v>15501.359999999997</v>
      </c>
      <c r="AJ13" s="226">
        <f t="shared" ca="1" si="46"/>
        <v>114.82488888888888</v>
      </c>
      <c r="AK13" s="224">
        <f t="shared" ref="AK13:AM13" ca="1" si="59">SUM(AK14:AK30)</f>
        <v>1343</v>
      </c>
      <c r="AL13" s="224">
        <f t="shared" ca="1" si="59"/>
        <v>1659</v>
      </c>
      <c r="AM13" s="224">
        <f t="shared" ca="1" si="59"/>
        <v>12808.949999999999</v>
      </c>
      <c r="AN13" s="226">
        <f t="shared" ca="1" si="47"/>
        <v>123.52941176470588</v>
      </c>
      <c r="AO13" s="224">
        <f t="shared" ref="AO13:AQ13" ca="1" si="60">SUM(AO14:AO30)</f>
        <v>1343</v>
      </c>
      <c r="AP13" s="224">
        <f t="shared" ca="1" si="60"/>
        <v>1250</v>
      </c>
      <c r="AQ13" s="224">
        <f t="shared" ca="1" si="60"/>
        <v>9906.4299999999985</v>
      </c>
      <c r="AR13" s="226">
        <f t="shared" ca="1" si="48"/>
        <v>93.075204765450479</v>
      </c>
      <c r="AS13" s="224">
        <f t="shared" ref="AS13:AU13" ca="1" si="61">SUM(AS14:AS30)</f>
        <v>22120</v>
      </c>
      <c r="AT13" s="224">
        <f t="shared" ca="1" si="61"/>
        <v>2541</v>
      </c>
      <c r="AU13" s="224">
        <f t="shared" ca="1" si="61"/>
        <v>18666.989999999998</v>
      </c>
      <c r="AV13" s="226">
        <f t="shared" ca="1" si="49"/>
        <v>84.389647377938502</v>
      </c>
      <c r="AW13" s="224">
        <f t="shared" ref="AW13:AY13" ca="1" si="62">SUM(AW14:AW30)</f>
        <v>8351</v>
      </c>
      <c r="AX13" s="224">
        <f t="shared" ca="1" si="62"/>
        <v>7355</v>
      </c>
      <c r="AY13" s="224">
        <f t="shared" ca="1" si="62"/>
        <v>81794.679999999993</v>
      </c>
      <c r="AZ13" s="226">
        <f t="shared" ca="1" si="50"/>
        <v>88.073284636570477</v>
      </c>
      <c r="BA13" s="224">
        <f t="shared" ref="BA13:BC13" ca="1" si="63">SUM(BA14:BA30)</f>
        <v>8351</v>
      </c>
      <c r="BB13" s="224">
        <f t="shared" ca="1" si="63"/>
        <v>6870</v>
      </c>
      <c r="BC13" s="224">
        <f t="shared" ca="1" si="63"/>
        <v>77288.829999999929</v>
      </c>
      <c r="BD13" s="226">
        <f t="shared" ca="1" si="51"/>
        <v>82.265596934498859</v>
      </c>
    </row>
    <row r="14" spans="1:56" ht="24" customHeight="1" x14ac:dyDescent="0.3">
      <c r="A14" s="243">
        <v>1</v>
      </c>
      <c r="B14" s="244" t="s">
        <v>36</v>
      </c>
      <c r="C14" s="245">
        <f t="shared" ca="1" si="0"/>
        <v>1622080</v>
      </c>
      <c r="D14" s="246">
        <f t="shared" ref="D14:D30" ca="1" si="64">+E14+F14</f>
        <v>1562080</v>
      </c>
      <c r="E14" s="247">
        <f ca="1">IFERROR(__xludf.DUMMYFUNCTION("IMPORTRANGE(""https://docs.google.com/spreadsheets/d/1MeEWN-I1oV_STSDYn1IFDPWt_1FKiwhDph83XaGc0o0/edit?usp=sharing"",""งบพรบ!EX14"")"),517200)</f>
        <v>517200</v>
      </c>
      <c r="F14" s="247">
        <f ca="1">IFERROR(__xludf.DUMMYFUNCTION("IMPORTRANGE(""https://docs.google.com/spreadsheets/d/1MeEWN-I1oV_STSDYn1IFDPWt_1FKiwhDph83XaGc0o0/edit?usp=sharing"",""งบพรบ!EY14"")"),1044880)</f>
        <v>1044880</v>
      </c>
      <c r="G14" s="248">
        <f ca="1">IFERROR(__xludf.DUMMYFUNCTION("IMPORTRANGE(""https://docs.google.com/spreadsheets/d/1MeEWN-I1oV_STSDYn1IFDPWt_1FKiwhDph83XaGc0o0/edit?usp=sharing"",""งบพรบ!EZ14"")"),60000)</f>
        <v>60000</v>
      </c>
      <c r="H14" s="248">
        <f ca="1">IFERROR(__xludf.DUMMYFUNCTION("IMPORTRANGE(""https://docs.google.com/spreadsheets/d/1MeEWN-I1oV_STSDYn1IFDPWt_1FKiwhDph83XaGc0o0/edit?usp=sharing"",""งบพรบ!FB14"")"),1539580)</f>
        <v>1539580</v>
      </c>
      <c r="I14" s="248">
        <f ca="1">IFERROR(__xludf.DUMMYFUNCTION("IMPORTRANGE(""https://docs.google.com/spreadsheets/d/1MeEWN-I1oV_STSDYn1IFDPWt_1FKiwhDph83XaGc0o0/edit?usp=sharing"",""งบพรบ!FC14"")"),59600)</f>
        <v>59600</v>
      </c>
      <c r="J14" s="248">
        <f t="shared" ca="1" si="3"/>
        <v>1251844</v>
      </c>
      <c r="K14" s="249">
        <f t="shared" ca="1" si="4"/>
        <v>77.175231801144207</v>
      </c>
      <c r="L14" s="248">
        <f ca="1">IFERROR(__xludf.DUMMYFUNCTION("IMPORTRANGE(""https://docs.google.com/spreadsheets/d/1MeEWN-I1oV_STSDYn1IFDPWt_1FKiwhDph83XaGc0o0/edit?usp=sharing"",""งบพรบ!FD14"")"),1192244)</f>
        <v>1192244</v>
      </c>
      <c r="M14" s="250">
        <f t="shared" ca="1" si="5"/>
        <v>76.324131926661892</v>
      </c>
      <c r="N14" s="250">
        <f t="shared" ca="1" si="6"/>
        <v>77.439561438833962</v>
      </c>
      <c r="O14" s="251">
        <f ca="1">IFERROR(__xludf.DUMMYFUNCTION("IMPORTRANGE(""https://docs.google.com/spreadsheets/d/1MeEWN-I1oV_STSDYn1IFDPWt_1FKiwhDph83XaGc0o0/edit?usp=sharing"",""งบพรบ!FE14"")"),59600)</f>
        <v>59600</v>
      </c>
      <c r="P14" s="250">
        <f t="shared" ca="1" si="53"/>
        <v>99.333333333333329</v>
      </c>
      <c r="Q14" s="250">
        <f t="shared" ca="1" si="8"/>
        <v>100</v>
      </c>
      <c r="R14" s="248">
        <f ca="1">IFERROR(__xludf.DUMMYFUNCTION("IMPORTRANGE(""https://docs.google.com/spreadsheets/d/1KxicF4apzSqm0-jIpmueT4kyZtE-Cwn5zskl7GD4loQ/edit?usp=sharing"",""กำแพงเพชร!I359"")"),5600)</f>
        <v>5600</v>
      </c>
      <c r="S14" s="248">
        <f ca="1">IFERROR(__xludf.DUMMYFUNCTION("IMPORTRANGE(""https://docs.google.com/spreadsheets/d/1KxicF4apzSqm0-jIpmueT4kyZtE-Cwn5zskl7GD4loQ/edit?usp=sharing"",""กำแพงเพชร!J358"")"),472)</f>
        <v>472</v>
      </c>
      <c r="T14" s="248">
        <f ca="1">IFERROR(__xludf.DUMMYFUNCTION("IMPORTRANGE(""https://docs.google.com/spreadsheets/d/1KxicF4apzSqm0-jIpmueT4kyZtE-Cwn5zskl7GD4loQ/edit?usp=sharing"",""กำแพงเพชร!J359"")"),5766.19)</f>
        <v>5766.19</v>
      </c>
      <c r="U14" s="252">
        <f t="shared" ca="1" si="43"/>
        <v>102.96767857142858</v>
      </c>
      <c r="V14" s="248">
        <f ca="1">IFERROR(__xludf.DUMMYFUNCTION("IMPORTRANGE(""https://docs.google.com/spreadsheets/d/1KxicF4apzSqm0-jIpmueT4kyZtE-Cwn5zskl7GD4loQ/edit?usp=sharing"",""กำแพงเพชร!I360"")"),560)</f>
        <v>560</v>
      </c>
      <c r="W14" s="248">
        <f ca="1">IFERROR(__xludf.DUMMYFUNCTION("IMPORTRANGE(""https://docs.google.com/spreadsheets/d/1KxicF4apzSqm0-jIpmueT4kyZtE-Cwn5zskl7GD4loQ/edit?usp=sharing"",""กำแพงเพชร!J360"")"),112)</f>
        <v>112</v>
      </c>
      <c r="X14" s="248">
        <f ca="1">IFERROR(__xludf.DUMMYFUNCTION("IMPORTRANGE(""https://docs.google.com/spreadsheets/d/1KxicF4apzSqm0-jIpmueT4kyZtE-Cwn5zskl7GD4loQ/edit?usp=sharing"",""กำแพงเพชร!J361"")"),1038.14)</f>
        <v>1038.1400000000001</v>
      </c>
      <c r="Y14" s="252">
        <f t="shared" ca="1" si="44"/>
        <v>20</v>
      </c>
      <c r="Z14" s="248">
        <f ca="1">IFERROR(__xludf.DUMMYFUNCTION("IMPORTRANGE(""https://docs.google.com/spreadsheets/d/1KxicF4apzSqm0-jIpmueT4kyZtE-Cwn5zskl7GD4loQ/edit?usp=sharing"",""กำแพงเพชร!I362"")"),560)</f>
        <v>560</v>
      </c>
      <c r="AA14" s="248">
        <f ca="1">IFERROR(__xludf.DUMMYFUNCTION("IMPORTRANGE(""https://docs.google.com/spreadsheets/d/1KxicF4apzSqm0-jIpmueT4kyZtE-Cwn5zskl7GD4loQ/edit?usp=sharing"",""กำแพงเพชร!J362"")"),66)</f>
        <v>66</v>
      </c>
      <c r="AB14" s="248">
        <f ca="1">IFERROR(__xludf.DUMMYFUNCTION("IMPORTRANGE(""https://docs.google.com/spreadsheets/d/1KxicF4apzSqm0-jIpmueT4kyZtE-Cwn5zskl7GD4loQ/edit?usp=sharing"",""กำแพงเพชร!J363"")"),658.49)</f>
        <v>658.49</v>
      </c>
      <c r="AC14" s="252">
        <f t="shared" ca="1" si="45"/>
        <v>11.785714285714286</v>
      </c>
      <c r="AD14" s="248">
        <f ca="1">IFERROR(__xludf.DUMMYFUNCTION("IMPORTRANGE(""https://docs.google.com/spreadsheets/d/1KxicF4apzSqm0-jIpmueT4kyZtE-Cwn5zskl7GD4loQ/edit?usp=sharing"",""กำแพงเพชร!I364"")"),1110)</f>
        <v>1110</v>
      </c>
      <c r="AE14" s="248">
        <f ca="1">IFERROR(__xludf.DUMMYFUNCTION("IMPORTRANGE(""https://docs.google.com/spreadsheets/d/1KxicF4apzSqm0-jIpmueT4kyZtE-Cwn5zskl7GD4loQ/edit?usp=sharing"",""กำแพงเพชร!J364"")"),614)</f>
        <v>614</v>
      </c>
      <c r="AF14" s="252">
        <f t="shared" ca="1" si="16"/>
        <v>55.315315315315317</v>
      </c>
      <c r="AG14" s="248">
        <f ca="1">IFERROR(__xludf.DUMMYFUNCTION("IMPORTRANGE(""https://docs.google.com/spreadsheets/d/1KxicF4apzSqm0-jIpmueT4kyZtE-Cwn5zskl7GD4loQ/edit?usp=sharing"",""กำแพงเพชร!I369"")"),1600)</f>
        <v>1600</v>
      </c>
      <c r="AH14" s="248">
        <f ca="1">IFERROR(__xludf.DUMMYFUNCTION("IMPORTRANGE(""https://docs.google.com/spreadsheets/d/1KxicF4apzSqm0-jIpmueT4kyZtE-Cwn5zskl7GD4loQ/edit?usp=sharing"",""กำแพงเพชร!J368"")"),217)</f>
        <v>217</v>
      </c>
      <c r="AI14" s="248">
        <f ca="1">IFERROR(__xludf.DUMMYFUNCTION("IMPORTRANGE(""https://docs.google.com/spreadsheets/d/1KxicF4apzSqm0-jIpmueT4kyZtE-Cwn5zskl7GD4loQ/edit?usp=sharing"",""กำแพงเพชร!J369"")"),3153.12)</f>
        <v>3153.12</v>
      </c>
      <c r="AJ14" s="252">
        <f t="shared" ca="1" si="46"/>
        <v>197.07</v>
      </c>
      <c r="AK14" s="248">
        <f ca="1">IFERROR(__xludf.DUMMYFUNCTION("IMPORTRANGE(""https://docs.google.com/spreadsheets/d/1KxicF4apzSqm0-jIpmueT4kyZtE-Cwn5zskl7GD4loQ/edit?usp=sharing"",""กำแพงเพชร!I370"")"),160)</f>
        <v>160</v>
      </c>
      <c r="AL14" s="248">
        <f ca="1">IFERROR(__xludf.DUMMYFUNCTION("IMPORTRANGE(""https://docs.google.com/spreadsheets/d/1KxicF4apzSqm0-jIpmueT4kyZtE-Cwn5zskl7GD4loQ/edit?usp=sharing"",""กำแพงเพชร!J370"")"),61)</f>
        <v>61</v>
      </c>
      <c r="AM14" s="248">
        <f ca="1">IFERROR(__xludf.DUMMYFUNCTION("IMPORTRANGE(""https://docs.google.com/spreadsheets/d/1KxicF4apzSqm0-jIpmueT4kyZtE-Cwn5zskl7GD4loQ/edit?usp=sharing"",""กำแพงเพชร!J371"")"),571.19)</f>
        <v>571.19000000000005</v>
      </c>
      <c r="AN14" s="252">
        <f t="shared" ca="1" si="47"/>
        <v>38.125</v>
      </c>
      <c r="AO14" s="248">
        <f ca="1">IFERROR(__xludf.DUMMYFUNCTION("IMPORTRANGE(""https://docs.google.com/spreadsheets/d/1KxicF4apzSqm0-jIpmueT4kyZtE-Cwn5zskl7GD4loQ/edit?usp=sharing"",""กำแพงเพชร!I372"")"),160)</f>
        <v>160</v>
      </c>
      <c r="AP14" s="248">
        <f ca="1">IFERROR(__xludf.DUMMYFUNCTION("IMPORTRANGE(""https://docs.google.com/spreadsheets/d/1KxicF4apzSqm0-jIpmueT4kyZtE-Cwn5zskl7GD4loQ/edit?usp=sharing"",""กำแพงเพชร!J372"")"),25)</f>
        <v>25</v>
      </c>
      <c r="AQ14" s="248">
        <f ca="1">IFERROR(__xludf.DUMMYFUNCTION("IMPORTRANGE(""https://docs.google.com/spreadsheets/d/1KxicF4apzSqm0-jIpmueT4kyZtE-Cwn5zskl7GD4loQ/edit?usp=sharing"",""กำแพงเพชร!J373"")"),313.51)</f>
        <v>313.51</v>
      </c>
      <c r="AR14" s="252">
        <f t="shared" ca="1" si="48"/>
        <v>15.625</v>
      </c>
      <c r="AS14" s="248">
        <f ca="1">IFERROR(__xludf.DUMMYFUNCTION("IMPORTRANGE(""https://docs.google.com/spreadsheets/d/1KxicF4apzSqm0-jIpmueT4kyZtE-Cwn5zskl7GD4loQ/edit?usp=sharing"",""กำแพงเพชร!I378"")"),4000)</f>
        <v>4000</v>
      </c>
      <c r="AT14" s="248">
        <f ca="1">IFERROR(__xludf.DUMMYFUNCTION("IMPORTRANGE(""https://docs.google.com/spreadsheets/d/1KxicF4apzSqm0-jIpmueT4kyZtE-Cwn5zskl7GD4loQ/edit?usp=sharing"",""กำแพงเพชร!J377"")"),255)</f>
        <v>255</v>
      </c>
      <c r="AU14" s="248">
        <f ca="1">IFERROR(__xludf.DUMMYFUNCTION("IMPORTRANGE(""https://docs.google.com/spreadsheets/d/1KxicF4apzSqm0-jIpmueT4kyZtE-Cwn5zskl7GD4loQ/edit?usp=sharing"",""กำแพงเพชร!J378"")"),2613.07)</f>
        <v>2613.0700000000002</v>
      </c>
      <c r="AV14" s="252">
        <f t="shared" ca="1" si="49"/>
        <v>65.326750000000004</v>
      </c>
      <c r="AW14" s="248">
        <f ca="1">IFERROR(__xludf.DUMMYFUNCTION("IMPORTRANGE(""https://docs.google.com/spreadsheets/d/1KxicF4apzSqm0-jIpmueT4kyZtE-Cwn5zskl7GD4loQ/edit?usp=sharing"",""กำแพงเพชร!I379"")"),950)</f>
        <v>950</v>
      </c>
      <c r="AX14" s="248">
        <f ca="1">IFERROR(__xludf.DUMMYFUNCTION("IMPORTRANGE(""https://docs.google.com/spreadsheets/d/1KxicF4apzSqm0-jIpmueT4kyZtE-Cwn5zskl7GD4loQ/edit?usp=sharing"",""กำแพงเพชร!J379"")"),610)</f>
        <v>610</v>
      </c>
      <c r="AY14" s="248">
        <f ca="1">IFERROR(__xludf.DUMMYFUNCTION("IMPORTRANGE(""https://docs.google.com/spreadsheets/d/1KxicF4apzSqm0-jIpmueT4kyZtE-Cwn5zskl7GD4loQ/edit?usp=sharing"",""กำแพงเพชร!J380"")"),9352.27)</f>
        <v>9352.27</v>
      </c>
      <c r="AZ14" s="252">
        <f t="shared" ca="1" si="50"/>
        <v>64.21052631578948</v>
      </c>
      <c r="BA14" s="248">
        <f ca="1">IFERROR(__xludf.DUMMYFUNCTION("IMPORTRANGE(""https://docs.google.com/spreadsheets/d/1KxicF4apzSqm0-jIpmueT4kyZtE-Cwn5zskl7GD4loQ/edit?usp=sharing"",""กำแพงเพชร!I381"")"),950)</f>
        <v>950</v>
      </c>
      <c r="BB14" s="248">
        <f ca="1">IFERROR(__xludf.DUMMYFUNCTION("IMPORTRANGE(""https://docs.google.com/spreadsheets/d/1KxicF4apzSqm0-jIpmueT4kyZtE-Cwn5zskl7GD4loQ/edit?usp=sharing"",""กำแพงเพชร!J381"")"),589)</f>
        <v>589</v>
      </c>
      <c r="BC14" s="248">
        <f ca="1">IFERROR(__xludf.DUMMYFUNCTION("IMPORTRANGE(""https://docs.google.com/spreadsheets/d/1KxicF4apzSqm0-jIpmueT4kyZtE-Cwn5zskl7GD4loQ/edit?usp=sharing"",""กำแพงเพชร!J382"")"),9000.93999999999)</f>
        <v>9000.9399999999896</v>
      </c>
      <c r="BD14" s="252">
        <f t="shared" ca="1" si="51"/>
        <v>62</v>
      </c>
    </row>
    <row r="15" spans="1:56" ht="24" customHeight="1" x14ac:dyDescent="0.3">
      <c r="A15" s="243">
        <v>2</v>
      </c>
      <c r="B15" s="244" t="s">
        <v>37</v>
      </c>
      <c r="C15" s="245">
        <f t="shared" ca="1" si="0"/>
        <v>1250420</v>
      </c>
      <c r="D15" s="246">
        <f t="shared" ca="1" si="64"/>
        <v>1161820</v>
      </c>
      <c r="E15" s="247">
        <f ca="1">IFERROR(__xludf.DUMMYFUNCTION("IMPORTRANGE(""https://docs.google.com/spreadsheets/d/1MeEWN-I1oV_STSDYn1IFDPWt_1FKiwhDph83XaGc0o0/edit?usp=sharing"",""งบพรบ!EX15"")"),262800)</f>
        <v>262800</v>
      </c>
      <c r="F15" s="247">
        <f ca="1">IFERROR(__xludf.DUMMYFUNCTION("IMPORTRANGE(""https://docs.google.com/spreadsheets/d/1MeEWN-I1oV_STSDYn1IFDPWt_1FKiwhDph83XaGc0o0/edit?usp=sharing"",""งบพรบ!EY15"")"),899020)</f>
        <v>899020</v>
      </c>
      <c r="G15" s="247">
        <f ca="1">IFERROR(__xludf.DUMMYFUNCTION("IMPORTRANGE(""https://docs.google.com/spreadsheets/d/1MeEWN-I1oV_STSDYn1IFDPWt_1FKiwhDph83XaGc0o0/edit?usp=sharing"",""งบพรบ!EZ15"")"),88600)</f>
        <v>88600</v>
      </c>
      <c r="H15" s="247">
        <f ca="1">IFERROR(__xludf.DUMMYFUNCTION("IMPORTRANGE(""https://docs.google.com/spreadsheets/d/1MeEWN-I1oV_STSDYn1IFDPWt_1FKiwhDph83XaGc0o0/edit?usp=sharing"",""งบพรบ!FB15"")"),1301820)</f>
        <v>1301820</v>
      </c>
      <c r="I15" s="247">
        <f ca="1">IFERROR(__xludf.DUMMYFUNCTION("IMPORTRANGE(""https://docs.google.com/spreadsheets/d/1MeEWN-I1oV_STSDYn1IFDPWt_1FKiwhDph83XaGc0o0/edit?usp=sharing"",""งบพรบ!FC15"")"),88600)</f>
        <v>88600</v>
      </c>
      <c r="J15" s="247">
        <f t="shared" ca="1" si="3"/>
        <v>1232313.1399999999</v>
      </c>
      <c r="K15" s="253">
        <f t="shared" ca="1" si="4"/>
        <v>98.551937748916359</v>
      </c>
      <c r="L15" s="247">
        <f ca="1">IFERROR(__xludf.DUMMYFUNCTION("IMPORTRANGE(""https://docs.google.com/spreadsheets/d/1MeEWN-I1oV_STSDYn1IFDPWt_1FKiwhDph83XaGc0o0/edit?usp=sharing"",""งบพรบ!FD15"")"),1143713.14)</f>
        <v>1143713.1399999999</v>
      </c>
      <c r="M15" s="250">
        <f t="shared" ca="1" si="5"/>
        <v>98.441509011722971</v>
      </c>
      <c r="N15" s="250">
        <f t="shared" ca="1" si="6"/>
        <v>87.854936934445604</v>
      </c>
      <c r="O15" s="251">
        <f ca="1">IFERROR(__xludf.DUMMYFUNCTION("IMPORTRANGE(""https://docs.google.com/spreadsheets/d/1MeEWN-I1oV_STSDYn1IFDPWt_1FKiwhDph83XaGc0o0/edit?usp=sharing"",""งบพรบ!FE15"")"),88600)</f>
        <v>88600</v>
      </c>
      <c r="P15" s="250">
        <f t="shared" ca="1" si="53"/>
        <v>100</v>
      </c>
      <c r="Q15" s="250">
        <f t="shared" ca="1" si="8"/>
        <v>100</v>
      </c>
      <c r="R15" s="248">
        <f ca="1">IFERROR(__xludf.DUMMYFUNCTION("IMPORTRANGE(""https://docs.google.com/spreadsheets/d/1ZNYWeiFoFA1K1U4xKWqRX29MBvEyRHXORjo734Gnq_c/edit?usp=sharing"",""เชียงราย!I359"")"),3600)</f>
        <v>3600</v>
      </c>
      <c r="S15" s="248">
        <f ca="1">IFERROR(__xludf.DUMMYFUNCTION("IMPORTRANGE(""https://docs.google.com/spreadsheets/d/1ZNYWeiFoFA1K1U4xKWqRX29MBvEyRHXORjo734Gnq_c/edit?usp=sharing"",""เชียงราย!J358"")"),565)</f>
        <v>565</v>
      </c>
      <c r="T15" s="248">
        <f ca="1">IFERROR(__xludf.DUMMYFUNCTION("IMPORTRANGE(""https://docs.google.com/spreadsheets/d/1ZNYWeiFoFA1K1U4xKWqRX29MBvEyRHXORjo734Gnq_c/edit?usp=sharing"",""เชียงราย!J359"")"),3185.95)</f>
        <v>3185.95</v>
      </c>
      <c r="U15" s="252">
        <f t="shared" ca="1" si="43"/>
        <v>88.498611111111117</v>
      </c>
      <c r="V15" s="248">
        <f ca="1">IFERROR(__xludf.DUMMYFUNCTION("IMPORTRANGE(""https://docs.google.com/spreadsheets/d/1ZNYWeiFoFA1K1U4xKWqRX29MBvEyRHXORjo734Gnq_c/edit?usp=sharing"",""เชียงราย!I360"")"),460)</f>
        <v>460</v>
      </c>
      <c r="W15" s="248">
        <f ca="1">IFERROR(__xludf.DUMMYFUNCTION("IMPORTRANGE(""https://docs.google.com/spreadsheets/d/1ZNYWeiFoFA1K1U4xKWqRX29MBvEyRHXORjo734Gnq_c/edit?usp=sharing"",""เชียงราย!J360"")"),505)</f>
        <v>505</v>
      </c>
      <c r="X15" s="248">
        <f ca="1">IFERROR(__xludf.DUMMYFUNCTION("IMPORTRANGE(""https://docs.google.com/spreadsheets/d/1ZNYWeiFoFA1K1U4xKWqRX29MBvEyRHXORjo734Gnq_c/edit?usp=sharing"",""เชียงราย!J361"")"),2922.27)</f>
        <v>2922.27</v>
      </c>
      <c r="Y15" s="252">
        <f t="shared" ca="1" si="44"/>
        <v>109.78260869565217</v>
      </c>
      <c r="Z15" s="248">
        <f ca="1">IFERROR(__xludf.DUMMYFUNCTION("IMPORTRANGE(""https://docs.google.com/spreadsheets/d/1ZNYWeiFoFA1K1U4xKWqRX29MBvEyRHXORjo734Gnq_c/edit?usp=sharing"",""เชียงราย!I362"")"),460)</f>
        <v>460</v>
      </c>
      <c r="AA15" s="248">
        <f ca="1">IFERROR(__xludf.DUMMYFUNCTION("IMPORTRANGE(""https://docs.google.com/spreadsheets/d/1ZNYWeiFoFA1K1U4xKWqRX29MBvEyRHXORjo734Gnq_c/edit?usp=sharing"",""เชียงราย!J362"")"),472)</f>
        <v>472</v>
      </c>
      <c r="AB15" s="248">
        <f ca="1">IFERROR(__xludf.DUMMYFUNCTION("IMPORTRANGE(""https://docs.google.com/spreadsheets/d/1ZNYWeiFoFA1K1U4xKWqRX29MBvEyRHXORjo734Gnq_c/edit?usp=sharing"",""เชียงราย!J363"")"),2805.27)</f>
        <v>2805.27</v>
      </c>
      <c r="AC15" s="252">
        <f t="shared" ca="1" si="45"/>
        <v>102.60869565217391</v>
      </c>
      <c r="AD15" s="248">
        <f ca="1">IFERROR(__xludf.DUMMYFUNCTION("IMPORTRANGE(""https://docs.google.com/spreadsheets/d/1ZNYWeiFoFA1K1U4xKWqRX29MBvEyRHXORjo734Gnq_c/edit?usp=sharing"",""เชียงราย!I364"")"),1360)</f>
        <v>1360</v>
      </c>
      <c r="AE15" s="248">
        <f ca="1">IFERROR(__xludf.DUMMYFUNCTION("IMPORTRANGE(""https://docs.google.com/spreadsheets/d/1ZNYWeiFoFA1K1U4xKWqRX29MBvEyRHXORjo734Gnq_c/edit?usp=sharing"",""เชียงราย!J364"")"),1043)</f>
        <v>1043</v>
      </c>
      <c r="AF15" s="252">
        <f t="shared" ca="1" si="16"/>
        <v>76.691176470588232</v>
      </c>
      <c r="AG15" s="248">
        <f ca="1">IFERROR(__xludf.DUMMYFUNCTION("IMPORTRANGE(""https://docs.google.com/spreadsheets/d/1ZNYWeiFoFA1K1U4xKWqRX29MBvEyRHXORjo734Gnq_c/edit?usp=sharing"",""เชียงราย!I369"")"),1100)</f>
        <v>1100</v>
      </c>
      <c r="AH15" s="248">
        <f ca="1">IFERROR(__xludf.DUMMYFUNCTION("IMPORTRANGE(""https://docs.google.com/spreadsheets/d/1ZNYWeiFoFA1K1U4xKWqRX29MBvEyRHXORjo734Gnq_c/edit?usp=sharing"",""เชียงราย!J368"")"),143)</f>
        <v>143</v>
      </c>
      <c r="AI15" s="248">
        <f ca="1">IFERROR(__xludf.DUMMYFUNCTION("IMPORTRANGE(""https://docs.google.com/spreadsheets/d/1ZNYWeiFoFA1K1U4xKWqRX29MBvEyRHXORjo734Gnq_c/edit?usp=sharing"",""เชียงราย!J369"")"),1013.36)</f>
        <v>1013.36</v>
      </c>
      <c r="AJ15" s="252">
        <f t="shared" ca="1" si="46"/>
        <v>92.123636363636365</v>
      </c>
      <c r="AK15" s="248">
        <f ca="1">IFERROR(__xludf.DUMMYFUNCTION("IMPORTRANGE(""https://docs.google.com/spreadsheets/d/1ZNYWeiFoFA1K1U4xKWqRX29MBvEyRHXORjo734Gnq_c/edit?usp=sharing"",""เชียงราย!I370"")"),110)</f>
        <v>110</v>
      </c>
      <c r="AL15" s="248">
        <f ca="1">IFERROR(__xludf.DUMMYFUNCTION("IMPORTRANGE(""https://docs.google.com/spreadsheets/d/1ZNYWeiFoFA1K1U4xKWqRX29MBvEyRHXORjo734Gnq_c/edit?usp=sharing"",""เชียงราย!J370"")"),176)</f>
        <v>176</v>
      </c>
      <c r="AM15" s="248">
        <f ca="1">IFERROR(__xludf.DUMMYFUNCTION("IMPORTRANGE(""https://docs.google.com/spreadsheets/d/1ZNYWeiFoFA1K1U4xKWqRX29MBvEyRHXORjo734Gnq_c/edit?usp=sharing"",""เชียงราย!J371"")"),1352.61)</f>
        <v>1352.61</v>
      </c>
      <c r="AN15" s="252">
        <f t="shared" ca="1" si="47"/>
        <v>160</v>
      </c>
      <c r="AO15" s="248">
        <f ca="1">IFERROR(__xludf.DUMMYFUNCTION("IMPORTRANGE(""https://docs.google.com/spreadsheets/d/1ZNYWeiFoFA1K1U4xKWqRX29MBvEyRHXORjo734Gnq_c/edit?usp=sharing"",""เชียงราย!I372"")"),110)</f>
        <v>110</v>
      </c>
      <c r="AP15" s="248">
        <f ca="1">IFERROR(__xludf.DUMMYFUNCTION("IMPORTRANGE(""https://docs.google.com/spreadsheets/d/1ZNYWeiFoFA1K1U4xKWqRX29MBvEyRHXORjo734Gnq_c/edit?usp=sharing"",""เชียงราย!J372"")"),115)</f>
        <v>115</v>
      </c>
      <c r="AQ15" s="248">
        <f ca="1">IFERROR(__xludf.DUMMYFUNCTION("IMPORTRANGE(""https://docs.google.com/spreadsheets/d/1ZNYWeiFoFA1K1U4xKWqRX29MBvEyRHXORjo734Gnq_c/edit?usp=sharing"",""เชียงราย!J373"")"),895.84)</f>
        <v>895.84</v>
      </c>
      <c r="AR15" s="252">
        <f t="shared" ca="1" si="48"/>
        <v>104.54545454545455</v>
      </c>
      <c r="AS15" s="248">
        <f ca="1">IFERROR(__xludf.DUMMYFUNCTION("IMPORTRANGE(""https://docs.google.com/spreadsheets/d/1ZNYWeiFoFA1K1U4xKWqRX29MBvEyRHXORjo734Gnq_c/edit?usp=sharing"",""เชียงราย!I378"")"),2500)</f>
        <v>2500</v>
      </c>
      <c r="AT15" s="248">
        <f ca="1">IFERROR(__xludf.DUMMYFUNCTION("IMPORTRANGE(""https://docs.google.com/spreadsheets/d/1ZNYWeiFoFA1K1U4xKWqRX29MBvEyRHXORjo734Gnq_c/edit?usp=sharing"",""เชียงราย!J377"")"),422)</f>
        <v>422</v>
      </c>
      <c r="AU15" s="248">
        <f ca="1">IFERROR(__xludf.DUMMYFUNCTION("IMPORTRANGE(""https://docs.google.com/spreadsheets/d/1ZNYWeiFoFA1K1U4xKWqRX29MBvEyRHXORjo734Gnq_c/edit?usp=sharing"",""เชียงราย!J378"")"),2172.59)</f>
        <v>2172.59</v>
      </c>
      <c r="AV15" s="252">
        <f t="shared" ca="1" si="49"/>
        <v>86.903599999999997</v>
      </c>
      <c r="AW15" s="248">
        <f ca="1">IFERROR(__xludf.DUMMYFUNCTION("IMPORTRANGE(""https://docs.google.com/spreadsheets/d/1ZNYWeiFoFA1K1U4xKWqRX29MBvEyRHXORjo734Gnq_c/edit?usp=sharing"",""เชียงราย!I379"")"),1250)</f>
        <v>1250</v>
      </c>
      <c r="AX15" s="248">
        <f ca="1">IFERROR(__xludf.DUMMYFUNCTION("IMPORTRANGE(""https://docs.google.com/spreadsheets/d/1ZNYWeiFoFA1K1U4xKWqRX29MBvEyRHXORjo734Gnq_c/edit?usp=sharing"",""เชียงราย!J379"")"),979)</f>
        <v>979</v>
      </c>
      <c r="AY15" s="248">
        <f ca="1">IFERROR(__xludf.DUMMYFUNCTION("IMPORTRANGE(""https://docs.google.com/spreadsheets/d/1ZNYWeiFoFA1K1U4xKWqRX29MBvEyRHXORjo734Gnq_c/edit?usp=sharing"",""เชียงราย!J380"")"),6758.57)</f>
        <v>6758.57</v>
      </c>
      <c r="AZ15" s="252">
        <f t="shared" ca="1" si="50"/>
        <v>78.319999999999993</v>
      </c>
      <c r="BA15" s="248">
        <f ca="1">IFERROR(__xludf.DUMMYFUNCTION("IMPORTRANGE(""https://docs.google.com/spreadsheets/d/1ZNYWeiFoFA1K1U4xKWqRX29MBvEyRHXORjo734Gnq_c/edit?usp=sharing"",""เชียงราย!I381"")"),1250)</f>
        <v>1250</v>
      </c>
      <c r="BB15" s="248">
        <f ca="1">IFERROR(__xludf.DUMMYFUNCTION("IMPORTRANGE(""https://docs.google.com/spreadsheets/d/1ZNYWeiFoFA1K1U4xKWqRX29MBvEyRHXORjo734Gnq_c/edit?usp=sharing"",""เชียงราย!J381"")"),928)</f>
        <v>928</v>
      </c>
      <c r="BC15" s="248">
        <f ca="1">IFERROR(__xludf.DUMMYFUNCTION("IMPORTRANGE(""https://docs.google.com/spreadsheets/d/1ZNYWeiFoFA1K1U4xKWqRX29MBvEyRHXORjo734Gnq_c/edit?usp=sharing"",""เชียงราย!J382"")"),6427.95)</f>
        <v>6427.95</v>
      </c>
      <c r="BD15" s="252">
        <f t="shared" ca="1" si="51"/>
        <v>74.239999999999995</v>
      </c>
    </row>
    <row r="16" spans="1:56" ht="24" customHeight="1" x14ac:dyDescent="0.3">
      <c r="A16" s="243">
        <v>3</v>
      </c>
      <c r="B16" s="244" t="s">
        <v>38</v>
      </c>
      <c r="C16" s="245">
        <f t="shared" ca="1" si="0"/>
        <v>422030</v>
      </c>
      <c r="D16" s="246">
        <f t="shared" ca="1" si="64"/>
        <v>338230</v>
      </c>
      <c r="E16" s="247">
        <f ca="1">IFERROR(__xludf.DUMMYFUNCTION("IMPORTRANGE(""https://docs.google.com/spreadsheets/d/1MeEWN-I1oV_STSDYn1IFDPWt_1FKiwhDph83XaGc0o0/edit?usp=sharing"",""งบพรบ!EX16"")"),0)</f>
        <v>0</v>
      </c>
      <c r="F16" s="247">
        <f ca="1">IFERROR(__xludf.DUMMYFUNCTION("IMPORTRANGE(""https://docs.google.com/spreadsheets/d/1MeEWN-I1oV_STSDYn1IFDPWt_1FKiwhDph83XaGc0o0/edit?usp=sharing"",""งบพรบ!EY16"")"),338230)</f>
        <v>338230</v>
      </c>
      <c r="G16" s="247">
        <f ca="1">IFERROR(__xludf.DUMMYFUNCTION("IMPORTRANGE(""https://docs.google.com/spreadsheets/d/1MeEWN-I1oV_STSDYn1IFDPWt_1FKiwhDph83XaGc0o0/edit?usp=sharing"",""งบพรบ!EZ16"")"),83800)</f>
        <v>83800</v>
      </c>
      <c r="H16" s="247">
        <f ca="1">IFERROR(__xludf.DUMMYFUNCTION("IMPORTRANGE(""https://docs.google.com/spreadsheets/d/1MeEWN-I1oV_STSDYn1IFDPWt_1FKiwhDph83XaGc0o0/edit?usp=sharing"",""งบพรบ!FB16"")"),463230)</f>
        <v>463230</v>
      </c>
      <c r="I16" s="247">
        <f ca="1">IFERROR(__xludf.DUMMYFUNCTION("IMPORTRANGE(""https://docs.google.com/spreadsheets/d/1MeEWN-I1oV_STSDYn1IFDPWt_1FKiwhDph83XaGc0o0/edit?usp=sharing"",""งบพรบ!FC16"")"),83800)</f>
        <v>83800</v>
      </c>
      <c r="J16" s="247">
        <f t="shared" ca="1" si="3"/>
        <v>447468.19</v>
      </c>
      <c r="K16" s="253">
        <f t="shared" ca="1" si="4"/>
        <v>106.02757860815582</v>
      </c>
      <c r="L16" s="247">
        <f ca="1">IFERROR(__xludf.DUMMYFUNCTION("IMPORTRANGE(""https://docs.google.com/spreadsheets/d/1MeEWN-I1oV_STSDYn1IFDPWt_1FKiwhDph83XaGc0o0/edit?usp=sharing"",""งบพรบ!FD16"")"),363668.19)</f>
        <v>363668.19</v>
      </c>
      <c r="M16" s="250">
        <f t="shared" ca="1" si="5"/>
        <v>107.52097389350442</v>
      </c>
      <c r="N16" s="250">
        <f t="shared" ca="1" si="6"/>
        <v>78.507046175765822</v>
      </c>
      <c r="O16" s="251">
        <f ca="1">IFERROR(__xludf.DUMMYFUNCTION("IMPORTRANGE(""https://docs.google.com/spreadsheets/d/1MeEWN-I1oV_STSDYn1IFDPWt_1FKiwhDph83XaGc0o0/edit?usp=sharing"",""งบพรบ!FE16"")"),83800)</f>
        <v>83800</v>
      </c>
      <c r="P16" s="250">
        <f t="shared" ca="1" si="53"/>
        <v>100</v>
      </c>
      <c r="Q16" s="250">
        <f t="shared" ca="1" si="8"/>
        <v>100</v>
      </c>
      <c r="R16" s="248">
        <f ca="1">IFERROR(__xludf.DUMMYFUNCTION("IMPORTRANGE(""https://docs.google.com/spreadsheets/d/1Jgv0Y7YlHDtsiDawwp-uvifEJ8HVaSn0k2aGHG8-hwM/edit?usp=sharing"",""เชียงใหม่!I359"")"),1100)</f>
        <v>1100</v>
      </c>
      <c r="S16" s="248">
        <f ca="1">IFERROR(__xludf.DUMMYFUNCTION("IMPORTRANGE(""https://docs.google.com/spreadsheets/d/1Jgv0Y7YlHDtsiDawwp-uvifEJ8HVaSn0k2aGHG8-hwM/edit?usp=sharing"",""เชียงใหม่!J358"")"),181)</f>
        <v>181</v>
      </c>
      <c r="T16" s="248">
        <f ca="1">IFERROR(__xludf.DUMMYFUNCTION("IMPORTRANGE(""https://docs.google.com/spreadsheets/d/1Jgv0Y7YlHDtsiDawwp-uvifEJ8HVaSn0k2aGHG8-hwM/edit?usp=sharing"",""เชียงใหม่!J359"")"),948.61)</f>
        <v>948.61</v>
      </c>
      <c r="U16" s="252">
        <f t="shared" ca="1" si="43"/>
        <v>86.237272727272725</v>
      </c>
      <c r="V16" s="248">
        <f ca="1">IFERROR(__xludf.DUMMYFUNCTION("IMPORTRANGE(""https://docs.google.com/spreadsheets/d/1Jgv0Y7YlHDtsiDawwp-uvifEJ8HVaSn0k2aGHG8-hwM/edit?usp=sharing"",""เชียงใหม่!I360"")"),110)</f>
        <v>110</v>
      </c>
      <c r="W16" s="248">
        <f ca="1">IFERROR(__xludf.DUMMYFUNCTION("IMPORTRANGE(""https://docs.google.com/spreadsheets/d/1Jgv0Y7YlHDtsiDawwp-uvifEJ8HVaSn0k2aGHG8-hwM/edit?usp=sharing"",""เชียงใหม่!J360"")"),179)</f>
        <v>179</v>
      </c>
      <c r="X16" s="248">
        <f ca="1">IFERROR(__xludf.DUMMYFUNCTION("IMPORTRANGE(""https://docs.google.com/spreadsheets/d/1Jgv0Y7YlHDtsiDawwp-uvifEJ8HVaSn0k2aGHG8-hwM/edit?usp=sharing"",""เชียงใหม่!J361"")"),934.11)</f>
        <v>934.11</v>
      </c>
      <c r="Y16" s="252">
        <f t="shared" ca="1" si="44"/>
        <v>162.72727272727272</v>
      </c>
      <c r="Z16" s="248">
        <f ca="1">IFERROR(__xludf.DUMMYFUNCTION("IMPORTRANGE(""https://docs.google.com/spreadsheets/d/1Jgv0Y7YlHDtsiDawwp-uvifEJ8HVaSn0k2aGHG8-hwM/edit?usp=sharing"",""เชียงใหม่!I362"")"),110)</f>
        <v>110</v>
      </c>
      <c r="AA16" s="248">
        <f ca="1">IFERROR(__xludf.DUMMYFUNCTION("IMPORTRANGE(""https://docs.google.com/spreadsheets/d/1Jgv0Y7YlHDtsiDawwp-uvifEJ8HVaSn0k2aGHG8-hwM/edit?usp=sharing"",""เชียงใหม่!J362"")"),99)</f>
        <v>99</v>
      </c>
      <c r="AB16" s="248">
        <f ca="1">IFERROR(__xludf.DUMMYFUNCTION("IMPORTRANGE(""https://docs.google.com/spreadsheets/d/1Jgv0Y7YlHDtsiDawwp-uvifEJ8HVaSn0k2aGHG8-hwM/edit?usp=sharing"",""เชียงใหม่!J363"")"),424.39)</f>
        <v>424.39</v>
      </c>
      <c r="AC16" s="252">
        <f t="shared" ca="1" si="45"/>
        <v>90</v>
      </c>
      <c r="AD16" s="248">
        <f ca="1">IFERROR(__xludf.DUMMYFUNCTION("IMPORTRANGE(""https://docs.google.com/spreadsheets/d/1Jgv0Y7YlHDtsiDawwp-uvifEJ8HVaSn0k2aGHG8-hwM/edit?usp=sharing"",""เชียงใหม่!I364"")"),270)</f>
        <v>270</v>
      </c>
      <c r="AE16" s="248">
        <f ca="1">IFERROR(__xludf.DUMMYFUNCTION("IMPORTRANGE(""https://docs.google.com/spreadsheets/d/1Jgv0Y7YlHDtsiDawwp-uvifEJ8HVaSn0k2aGHG8-hwM/edit?usp=sharing"",""เชียงใหม่!J364"")"),235)</f>
        <v>235</v>
      </c>
      <c r="AF16" s="252">
        <f t="shared" ca="1" si="16"/>
        <v>87.037037037037038</v>
      </c>
      <c r="AG16" s="248">
        <f ca="1">IFERROR(__xludf.DUMMYFUNCTION("IMPORTRANGE(""https://docs.google.com/spreadsheets/d/1Jgv0Y7YlHDtsiDawwp-uvifEJ8HVaSn0k2aGHG8-hwM/edit?usp=sharing"",""เชียงใหม่!I369"")"),800)</f>
        <v>800</v>
      </c>
      <c r="AH16" s="248">
        <f ca="1">IFERROR(__xludf.DUMMYFUNCTION("IMPORTRANGE(""https://docs.google.com/spreadsheets/d/1Jgv0Y7YlHDtsiDawwp-uvifEJ8HVaSn0k2aGHG8-hwM/edit?usp=sharing"",""เชียงใหม่!J368"")"),154)</f>
        <v>154</v>
      </c>
      <c r="AI16" s="248">
        <f ca="1">IFERROR(__xludf.DUMMYFUNCTION("IMPORTRANGE(""https://docs.google.com/spreadsheets/d/1Jgv0Y7YlHDtsiDawwp-uvifEJ8HVaSn0k2aGHG8-hwM/edit?usp=sharing"",""เชียงใหม่!J369"")"),800.9)</f>
        <v>800.9</v>
      </c>
      <c r="AJ16" s="252">
        <f t="shared" ca="1" si="46"/>
        <v>100.1125</v>
      </c>
      <c r="AK16" s="248">
        <f ca="1">IFERROR(__xludf.DUMMYFUNCTION("IMPORTRANGE(""https://docs.google.com/spreadsheets/d/1Jgv0Y7YlHDtsiDawwp-uvifEJ8HVaSn0k2aGHG8-hwM/edit?usp=sharing"",""เชียงใหม่!I370"")"),80)</f>
        <v>80</v>
      </c>
      <c r="AL16" s="248">
        <f ca="1">IFERROR(__xludf.DUMMYFUNCTION("IMPORTRANGE(""https://docs.google.com/spreadsheets/d/1Jgv0Y7YlHDtsiDawwp-uvifEJ8HVaSn0k2aGHG8-hwM/edit?usp=sharing"",""เชียงใหม่!J370"")"),152)</f>
        <v>152</v>
      </c>
      <c r="AM16" s="248">
        <f ca="1">IFERROR(__xludf.DUMMYFUNCTION("IMPORTRANGE(""https://docs.google.com/spreadsheets/d/1Jgv0Y7YlHDtsiDawwp-uvifEJ8HVaSn0k2aGHG8-hwM/edit?usp=sharing"",""เชียงใหม่!J371"")"),786.4)</f>
        <v>786.4</v>
      </c>
      <c r="AN16" s="252">
        <f t="shared" ca="1" si="47"/>
        <v>190</v>
      </c>
      <c r="AO16" s="248">
        <f ca="1">IFERROR(__xludf.DUMMYFUNCTION("IMPORTRANGE(""https://docs.google.com/spreadsheets/d/1Jgv0Y7YlHDtsiDawwp-uvifEJ8HVaSn0k2aGHG8-hwM/edit?usp=sharing"",""เชียงใหม่!I372"")"),80)</f>
        <v>80</v>
      </c>
      <c r="AP16" s="248">
        <f ca="1">IFERROR(__xludf.DUMMYFUNCTION("IMPORTRANGE(""https://docs.google.com/spreadsheets/d/1Jgv0Y7YlHDtsiDawwp-uvifEJ8HVaSn0k2aGHG8-hwM/edit?usp=sharing"",""เชียงใหม่!J372"")"),72)</f>
        <v>72</v>
      </c>
      <c r="AQ16" s="248">
        <f ca="1">IFERROR(__xludf.DUMMYFUNCTION("IMPORTRANGE(""https://docs.google.com/spreadsheets/d/1Jgv0Y7YlHDtsiDawwp-uvifEJ8HVaSn0k2aGHG8-hwM/edit?usp=sharing"",""เชียงใหม่!J373"")"),285.52)</f>
        <v>285.52</v>
      </c>
      <c r="AR16" s="252">
        <f t="shared" ca="1" si="48"/>
        <v>90</v>
      </c>
      <c r="AS16" s="248">
        <f ca="1">IFERROR(__xludf.DUMMYFUNCTION("IMPORTRANGE(""https://docs.google.com/spreadsheets/d/1Jgv0Y7YlHDtsiDawwp-uvifEJ8HVaSn0k2aGHG8-hwM/edit?usp=sharing"",""เชียงใหม่!I378"")"),300)</f>
        <v>300</v>
      </c>
      <c r="AT16" s="248">
        <f ca="1">IFERROR(__xludf.DUMMYFUNCTION("IMPORTRANGE(""https://docs.google.com/spreadsheets/d/1Jgv0Y7YlHDtsiDawwp-uvifEJ8HVaSn0k2aGHG8-hwM/edit?usp=sharing"",""เชียงใหม่!J377"")"),27)</f>
        <v>27</v>
      </c>
      <c r="AU16" s="248">
        <f ca="1">IFERROR(__xludf.DUMMYFUNCTION("IMPORTRANGE(""https://docs.google.com/spreadsheets/d/1Jgv0Y7YlHDtsiDawwp-uvifEJ8HVaSn0k2aGHG8-hwM/edit?usp=sharing"",""เชียงใหม่!J378"")"),147.71)</f>
        <v>147.71</v>
      </c>
      <c r="AV16" s="252">
        <f t="shared" ca="1" si="49"/>
        <v>49.236666666666665</v>
      </c>
      <c r="AW16" s="248">
        <f ca="1">IFERROR(__xludf.DUMMYFUNCTION("IMPORTRANGE(""https://docs.google.com/spreadsheets/d/1Jgv0Y7YlHDtsiDawwp-uvifEJ8HVaSn0k2aGHG8-hwM/edit?usp=sharing"",""เชียงใหม่!I379"")"),190)</f>
        <v>190</v>
      </c>
      <c r="AX16" s="248">
        <f ca="1">IFERROR(__xludf.DUMMYFUNCTION("IMPORTRANGE(""https://docs.google.com/spreadsheets/d/1Jgv0Y7YlHDtsiDawwp-uvifEJ8HVaSn0k2aGHG8-hwM/edit?usp=sharing"",""เชียงใหม่!J379"")"),183)</f>
        <v>183</v>
      </c>
      <c r="AY16" s="248">
        <f ca="1">IFERROR(__xludf.DUMMYFUNCTION("IMPORTRANGE(""https://docs.google.com/spreadsheets/d/1Jgv0Y7YlHDtsiDawwp-uvifEJ8HVaSn0k2aGHG8-hwM/edit?usp=sharing"",""เชียงใหม่!J380"")"),1071.4)</f>
        <v>1071.4000000000001</v>
      </c>
      <c r="AZ16" s="252">
        <f t="shared" ca="1" si="50"/>
        <v>96.315789473684205</v>
      </c>
      <c r="BA16" s="248">
        <f ca="1">IFERROR(__xludf.DUMMYFUNCTION("IMPORTRANGE(""https://docs.google.com/spreadsheets/d/1Jgv0Y7YlHDtsiDawwp-uvifEJ8HVaSn0k2aGHG8-hwM/edit?usp=sharing"",""เชียงใหม่!I381"")"),190)</f>
        <v>190</v>
      </c>
      <c r="BB16" s="248">
        <f ca="1">IFERROR(__xludf.DUMMYFUNCTION("IMPORTRANGE(""https://docs.google.com/spreadsheets/d/1Jgv0Y7YlHDtsiDawwp-uvifEJ8HVaSn0k2aGHG8-hwM/edit?usp=sharing"",""เชียงใหม่!J381"")"),163)</f>
        <v>163</v>
      </c>
      <c r="BC16" s="248">
        <f ca="1">IFERROR(__xludf.DUMMYFUNCTION("IMPORTRANGE(""https://docs.google.com/spreadsheets/d/1Jgv0Y7YlHDtsiDawwp-uvifEJ8HVaSn0k2aGHG8-hwM/edit?usp=sharing"",""เชียงใหม่!J382"")"),902.71)</f>
        <v>902.71</v>
      </c>
      <c r="BD16" s="252">
        <f t="shared" ca="1" si="51"/>
        <v>85.78947368421052</v>
      </c>
    </row>
    <row r="17" spans="1:56" ht="24" customHeight="1" x14ac:dyDescent="0.3">
      <c r="A17" s="243">
        <v>4</v>
      </c>
      <c r="B17" s="244" t="s">
        <v>39</v>
      </c>
      <c r="C17" s="245">
        <f t="shared" ca="1" si="0"/>
        <v>768200</v>
      </c>
      <c r="D17" s="246">
        <f t="shared" ca="1" si="64"/>
        <v>695600</v>
      </c>
      <c r="E17" s="247">
        <f ca="1">IFERROR(__xludf.DUMMYFUNCTION("IMPORTRANGE(""https://docs.google.com/spreadsheets/d/1MeEWN-I1oV_STSDYn1IFDPWt_1FKiwhDph83XaGc0o0/edit?usp=sharing"",""งบพรบ!EX17"")"),228000)</f>
        <v>228000</v>
      </c>
      <c r="F17" s="247">
        <f ca="1">IFERROR(__xludf.DUMMYFUNCTION("IMPORTRANGE(""https://docs.google.com/spreadsheets/d/1MeEWN-I1oV_STSDYn1IFDPWt_1FKiwhDph83XaGc0o0/edit?usp=sharing"",""งบพรบ!EY17"")"),467600)</f>
        <v>467600</v>
      </c>
      <c r="G17" s="247">
        <f ca="1">IFERROR(__xludf.DUMMYFUNCTION("IMPORTRANGE(""https://docs.google.com/spreadsheets/d/1MeEWN-I1oV_STSDYn1IFDPWt_1FKiwhDph83XaGc0o0/edit?usp=sharing"",""งบพรบ!EZ17"")"),72600)</f>
        <v>72600</v>
      </c>
      <c r="H17" s="247">
        <f ca="1">IFERROR(__xludf.DUMMYFUNCTION("IMPORTRANGE(""https://docs.google.com/spreadsheets/d/1MeEWN-I1oV_STSDYn1IFDPWt_1FKiwhDph83XaGc0o0/edit?usp=sharing"",""งบพรบ!FB17"")"),766600)</f>
        <v>766600</v>
      </c>
      <c r="I17" s="247">
        <f ca="1">IFERROR(__xludf.DUMMYFUNCTION("IMPORTRANGE(""https://docs.google.com/spreadsheets/d/1MeEWN-I1oV_STSDYn1IFDPWt_1FKiwhDph83XaGc0o0/edit?usp=sharing"",""งบพรบ!FC17"")"),71580)</f>
        <v>71580</v>
      </c>
      <c r="J17" s="247">
        <f t="shared" ca="1" si="3"/>
        <v>673100.24</v>
      </c>
      <c r="K17" s="253">
        <f t="shared" ca="1" si="4"/>
        <v>87.620442593074713</v>
      </c>
      <c r="L17" s="247">
        <f ca="1">IFERROR(__xludf.DUMMYFUNCTION("IMPORTRANGE(""https://docs.google.com/spreadsheets/d/1MeEWN-I1oV_STSDYn1IFDPWt_1FKiwhDph83XaGc0o0/edit?usp=sharing"",""งบพรบ!FD17"")"),601520.24)</f>
        <v>601520.24</v>
      </c>
      <c r="M17" s="250">
        <f t="shared" ca="1" si="5"/>
        <v>86.475020126509492</v>
      </c>
      <c r="N17" s="250">
        <f t="shared" ca="1" si="6"/>
        <v>78.465984868249407</v>
      </c>
      <c r="O17" s="251">
        <f ca="1">IFERROR(__xludf.DUMMYFUNCTION("IMPORTRANGE(""https://docs.google.com/spreadsheets/d/1MeEWN-I1oV_STSDYn1IFDPWt_1FKiwhDph83XaGc0o0/edit?usp=sharing"",""งบพรบ!FE17"")"),71580)</f>
        <v>71580</v>
      </c>
      <c r="P17" s="250">
        <f t="shared" ca="1" si="53"/>
        <v>98.595041322314046</v>
      </c>
      <c r="Q17" s="250">
        <f t="shared" ca="1" si="8"/>
        <v>100</v>
      </c>
      <c r="R17" s="248">
        <f ca="1">IFERROR(__xludf.DUMMYFUNCTION("IMPORTRANGE(""https://docs.google.com/spreadsheets/d/1JWG2rZePOz9pe-f-ObA-yDr0VoOX2kSb0qIix2mTUo8/edit?usp=sharing"",""ตาก!I359"")"),2500)</f>
        <v>2500</v>
      </c>
      <c r="S17" s="248">
        <f ca="1">IFERROR(__xludf.DUMMYFUNCTION("IMPORTRANGE(""https://docs.google.com/spreadsheets/d/1JWG2rZePOz9pe-f-ObA-yDr0VoOX2kSb0qIix2mTUo8/edit?usp=sharing"",""ตาก!J358"")"),242)</f>
        <v>242</v>
      </c>
      <c r="T17" s="248">
        <f ca="1">IFERROR(__xludf.DUMMYFUNCTION("IMPORTRANGE(""https://docs.google.com/spreadsheets/d/1JWG2rZePOz9pe-f-ObA-yDr0VoOX2kSb0qIix2mTUo8/edit?usp=sharing"",""ตาก!J359"")"),2256.92)</f>
        <v>2256.92</v>
      </c>
      <c r="U17" s="252">
        <f t="shared" ca="1" si="43"/>
        <v>90.276799999999994</v>
      </c>
      <c r="V17" s="248">
        <f ca="1">IFERROR(__xludf.DUMMYFUNCTION("IMPORTRANGE(""https://docs.google.com/spreadsheets/d/1JWG2rZePOz9pe-f-ObA-yDr0VoOX2kSb0qIix2mTUo8/edit?usp=sharing"",""ตาก!I360"")"),250)</f>
        <v>250</v>
      </c>
      <c r="W17" s="248">
        <f ca="1">IFERROR(__xludf.DUMMYFUNCTION("IMPORTRANGE(""https://docs.google.com/spreadsheets/d/1JWG2rZePOz9pe-f-ObA-yDr0VoOX2kSb0qIix2mTUo8/edit?usp=sharing"",""ตาก!J360"")"),251)</f>
        <v>251</v>
      </c>
      <c r="X17" s="248">
        <f ca="1">IFERROR(__xludf.DUMMYFUNCTION("IMPORTRANGE(""https://docs.google.com/spreadsheets/d/1JWG2rZePOz9pe-f-ObA-yDr0VoOX2kSb0qIix2mTUo8/edit?usp=sharing"",""ตาก!J361"")"),2421.12)</f>
        <v>2421.12</v>
      </c>
      <c r="Y17" s="252">
        <f t="shared" ca="1" si="44"/>
        <v>100.4</v>
      </c>
      <c r="Z17" s="248">
        <f ca="1">IFERROR(__xludf.DUMMYFUNCTION("IMPORTRANGE(""https://docs.google.com/spreadsheets/d/1JWG2rZePOz9pe-f-ObA-yDr0VoOX2kSb0qIix2mTUo8/edit?usp=sharing"",""ตาก!I362"")"),250)</f>
        <v>250</v>
      </c>
      <c r="AA17" s="248">
        <f ca="1">IFERROR(__xludf.DUMMYFUNCTION("IMPORTRANGE(""https://docs.google.com/spreadsheets/d/1JWG2rZePOz9pe-f-ObA-yDr0VoOX2kSb0qIix2mTUo8/edit?usp=sharing"",""ตาก!J362"")"),168)</f>
        <v>168</v>
      </c>
      <c r="AB17" s="248">
        <f ca="1">IFERROR(__xludf.DUMMYFUNCTION("IMPORTRANGE(""https://docs.google.com/spreadsheets/d/1JWG2rZePOz9pe-f-ObA-yDr0VoOX2kSb0qIix2mTUo8/edit?usp=sharing"",""ตาก!J363"")"),1746.16)</f>
        <v>1746.16</v>
      </c>
      <c r="AC17" s="252">
        <f t="shared" ca="1" si="45"/>
        <v>67.2</v>
      </c>
      <c r="AD17" s="248">
        <f ca="1">IFERROR(__xludf.DUMMYFUNCTION("IMPORTRANGE(""https://docs.google.com/spreadsheets/d/1JWG2rZePOz9pe-f-ObA-yDr0VoOX2kSb0qIix2mTUo8/edit?usp=sharing"",""ตาก!I364"")"),430)</f>
        <v>430</v>
      </c>
      <c r="AE17" s="248">
        <f ca="1">IFERROR(__xludf.DUMMYFUNCTION("IMPORTRANGE(""https://docs.google.com/spreadsheets/d/1JWG2rZePOz9pe-f-ObA-yDr0VoOX2kSb0qIix2mTUo8/edit?usp=sharing"",""ตาก!J364"")"),383)</f>
        <v>383</v>
      </c>
      <c r="AF17" s="252">
        <f t="shared" ca="1" si="16"/>
        <v>89.069767441860463</v>
      </c>
      <c r="AG17" s="248">
        <f ca="1">IFERROR(__xludf.DUMMYFUNCTION("IMPORTRANGE(""https://docs.google.com/spreadsheets/d/1JWG2rZePOz9pe-f-ObA-yDr0VoOX2kSb0qIix2mTUo8/edit?usp=sharing"",""ตาก!I369"")"),1000)</f>
        <v>1000</v>
      </c>
      <c r="AH17" s="248">
        <f ca="1">IFERROR(__xludf.DUMMYFUNCTION("IMPORTRANGE(""https://docs.google.com/spreadsheets/d/1JWG2rZePOz9pe-f-ObA-yDr0VoOX2kSb0qIix2mTUo8/edit?usp=sharing"",""ตาก!J368"")"),91)</f>
        <v>91</v>
      </c>
      <c r="AI17" s="248">
        <f ca="1">IFERROR(__xludf.DUMMYFUNCTION("IMPORTRANGE(""https://docs.google.com/spreadsheets/d/1JWG2rZePOz9pe-f-ObA-yDr0VoOX2kSb0qIix2mTUo8/edit?usp=sharing"",""ตาก!J369"")"),1028.21)</f>
        <v>1028.21</v>
      </c>
      <c r="AJ17" s="252">
        <f t="shared" ca="1" si="46"/>
        <v>102.821</v>
      </c>
      <c r="AK17" s="248">
        <f ca="1">IFERROR(__xludf.DUMMYFUNCTION("IMPORTRANGE(""https://docs.google.com/spreadsheets/d/1JWG2rZePOz9pe-f-ObA-yDr0VoOX2kSb0qIix2mTUo8/edit?usp=sharing"",""ตาก!I370"")"),100)</f>
        <v>100</v>
      </c>
      <c r="AL17" s="248">
        <f ca="1">IFERROR(__xludf.DUMMYFUNCTION("IMPORTRANGE(""https://docs.google.com/spreadsheets/d/1JWG2rZePOz9pe-f-ObA-yDr0VoOX2kSb0qIix2mTUo8/edit?usp=sharing"",""ตาก!J370"")"),100)</f>
        <v>100</v>
      </c>
      <c r="AM17" s="248">
        <f ca="1">IFERROR(__xludf.DUMMYFUNCTION("IMPORTRANGE(""https://docs.google.com/spreadsheets/d/1JWG2rZePOz9pe-f-ObA-yDr0VoOX2kSb0qIix2mTUo8/edit?usp=sharing"",""ตาก!J371"")"),1192.41)</f>
        <v>1192.4100000000001</v>
      </c>
      <c r="AN17" s="252">
        <f t="shared" ca="1" si="47"/>
        <v>100</v>
      </c>
      <c r="AO17" s="248">
        <f ca="1">IFERROR(__xludf.DUMMYFUNCTION("IMPORTRANGE(""https://docs.google.com/spreadsheets/d/1JWG2rZePOz9pe-f-ObA-yDr0VoOX2kSb0qIix2mTUo8/edit?usp=sharing"",""ตาก!I372"")"),100)</f>
        <v>100</v>
      </c>
      <c r="AP17" s="248">
        <f ca="1">IFERROR(__xludf.DUMMYFUNCTION("IMPORTRANGE(""https://docs.google.com/spreadsheets/d/1JWG2rZePOz9pe-f-ObA-yDr0VoOX2kSb0qIix2mTUo8/edit?usp=sharing"",""ตาก!J372"")"),88)</f>
        <v>88</v>
      </c>
      <c r="AQ17" s="248">
        <f ca="1">IFERROR(__xludf.DUMMYFUNCTION("IMPORTRANGE(""https://docs.google.com/spreadsheets/d/1JWG2rZePOz9pe-f-ObA-yDr0VoOX2kSb0qIix2mTUo8/edit?usp=sharing"",""ตาก!J373"")"),1130.46)</f>
        <v>1130.46</v>
      </c>
      <c r="AR17" s="252">
        <f t="shared" ca="1" si="48"/>
        <v>88</v>
      </c>
      <c r="AS17" s="248">
        <f ca="1">IFERROR(__xludf.DUMMYFUNCTION("IMPORTRANGE(""https://docs.google.com/spreadsheets/d/1JWG2rZePOz9pe-f-ObA-yDr0VoOX2kSb0qIix2mTUo8/edit?usp=sharing"",""ตาก!I378"")"),1500)</f>
        <v>1500</v>
      </c>
      <c r="AT17" s="248">
        <f ca="1">IFERROR(__xludf.DUMMYFUNCTION("IMPORTRANGE(""https://docs.google.com/spreadsheets/d/1JWG2rZePOz9pe-f-ObA-yDr0VoOX2kSb0qIix2mTUo8/edit?usp=sharing"",""ตาก!J377"")"),151)</f>
        <v>151</v>
      </c>
      <c r="AU17" s="248">
        <f ca="1">IFERROR(__xludf.DUMMYFUNCTION("IMPORTRANGE(""https://docs.google.com/spreadsheets/d/1JWG2rZePOz9pe-f-ObA-yDr0VoOX2kSb0qIix2mTUo8/edit?usp=sharing"",""ตาก!J378"")"),1228.71)</f>
        <v>1228.71</v>
      </c>
      <c r="AV17" s="252">
        <f t="shared" ca="1" si="49"/>
        <v>81.914000000000001</v>
      </c>
      <c r="AW17" s="248">
        <f ca="1">IFERROR(__xludf.DUMMYFUNCTION("IMPORTRANGE(""https://docs.google.com/spreadsheets/d/1JWG2rZePOz9pe-f-ObA-yDr0VoOX2kSb0qIix2mTUo8/edit?usp=sharing"",""ตาก!I379"")"),330)</f>
        <v>330</v>
      </c>
      <c r="AX17" s="248">
        <f ca="1">IFERROR(__xludf.DUMMYFUNCTION("IMPORTRANGE(""https://docs.google.com/spreadsheets/d/1JWG2rZePOz9pe-f-ObA-yDr0VoOX2kSb0qIix2mTUo8/edit?usp=sharing"",""ตาก!J379"")"),366)</f>
        <v>366</v>
      </c>
      <c r="AY17" s="248">
        <f ca="1">IFERROR(__xludf.DUMMYFUNCTION("IMPORTRANGE(""https://docs.google.com/spreadsheets/d/1JWG2rZePOz9pe-f-ObA-yDr0VoOX2kSb0qIix2mTUo8/edit?usp=sharing"",""ตาก!J380"")"),4825.49)</f>
        <v>4825.49</v>
      </c>
      <c r="AZ17" s="252">
        <f t="shared" ca="1" si="50"/>
        <v>110.90909090909091</v>
      </c>
      <c r="BA17" s="248">
        <f ca="1">IFERROR(__xludf.DUMMYFUNCTION("IMPORTRANGE(""https://docs.google.com/spreadsheets/d/1JWG2rZePOz9pe-f-ObA-yDr0VoOX2kSb0qIix2mTUo8/edit?usp=sharing"",""ตาก!I381"")"),330)</f>
        <v>330</v>
      </c>
      <c r="BB17" s="248">
        <f ca="1">IFERROR(__xludf.DUMMYFUNCTION("IMPORTRANGE(""https://docs.google.com/spreadsheets/d/1JWG2rZePOz9pe-f-ObA-yDr0VoOX2kSb0qIix2mTUo8/edit?usp=sharing"",""ตาก!J381"")"),295)</f>
        <v>295</v>
      </c>
      <c r="BC17" s="248">
        <f ca="1">IFERROR(__xludf.DUMMYFUNCTION("IMPORTRANGE(""https://docs.google.com/spreadsheets/d/1JWG2rZePOz9pe-f-ObA-yDr0VoOX2kSb0qIix2mTUo8/edit?usp=sharing"",""ตาก!J382"")"),4275.05)</f>
        <v>4275.05</v>
      </c>
      <c r="BD17" s="252">
        <f t="shared" ca="1" si="51"/>
        <v>89.393939393939391</v>
      </c>
    </row>
    <row r="18" spans="1:56" ht="24" customHeight="1" x14ac:dyDescent="0.3">
      <c r="A18" s="243">
        <v>5</v>
      </c>
      <c r="B18" s="244" t="s">
        <v>40</v>
      </c>
      <c r="C18" s="245">
        <f t="shared" ca="1" si="0"/>
        <v>809950</v>
      </c>
      <c r="D18" s="246">
        <f t="shared" ca="1" si="64"/>
        <v>638950</v>
      </c>
      <c r="E18" s="247">
        <f ca="1">IFERROR(__xludf.DUMMYFUNCTION("IMPORTRANGE(""https://docs.google.com/spreadsheets/d/1MeEWN-I1oV_STSDYn1IFDPWt_1FKiwhDph83XaGc0o0/edit?usp=sharing"",""งบพรบ!EX18"")"),0)</f>
        <v>0</v>
      </c>
      <c r="F18" s="247">
        <f ca="1">IFERROR(__xludf.DUMMYFUNCTION("IMPORTRANGE(""https://docs.google.com/spreadsheets/d/1MeEWN-I1oV_STSDYn1IFDPWt_1FKiwhDph83XaGc0o0/edit?usp=sharing"",""งบพรบ!EY18"")"),638950)</f>
        <v>638950</v>
      </c>
      <c r="G18" s="247">
        <f ca="1">IFERROR(__xludf.DUMMYFUNCTION("IMPORTRANGE(""https://docs.google.com/spreadsheets/d/1MeEWN-I1oV_STSDYn1IFDPWt_1FKiwhDph83XaGc0o0/edit?usp=sharing"",""งบพรบ!EZ18"")"),171000)</f>
        <v>171000</v>
      </c>
      <c r="H18" s="247">
        <f ca="1">IFERROR(__xludf.DUMMYFUNCTION("IMPORTRANGE(""https://docs.google.com/spreadsheets/d/1MeEWN-I1oV_STSDYn1IFDPWt_1FKiwhDph83XaGc0o0/edit?usp=sharing"",""งบพรบ!FB18"")"),708950)</f>
        <v>708950</v>
      </c>
      <c r="I18" s="247">
        <f ca="1">IFERROR(__xludf.DUMMYFUNCTION("IMPORTRANGE(""https://docs.google.com/spreadsheets/d/1MeEWN-I1oV_STSDYn1IFDPWt_1FKiwhDph83XaGc0o0/edit?usp=sharing"",""งบพรบ!FC18"")"),157200)</f>
        <v>157200</v>
      </c>
      <c r="J18" s="247">
        <f t="shared" ca="1" si="3"/>
        <v>661096</v>
      </c>
      <c r="K18" s="253">
        <f t="shared" ca="1" si="4"/>
        <v>81.621828507932591</v>
      </c>
      <c r="L18" s="247">
        <f ca="1">IFERROR(__xludf.DUMMYFUNCTION("IMPORTRANGE(""https://docs.google.com/spreadsheets/d/1MeEWN-I1oV_STSDYn1IFDPWt_1FKiwhDph83XaGc0o0/edit?usp=sharing"",""งบพรบ!FD18"")"),503896)</f>
        <v>503896</v>
      </c>
      <c r="M18" s="250">
        <f t="shared" ca="1" si="5"/>
        <v>78.863134830581416</v>
      </c>
      <c r="N18" s="250">
        <f t="shared" ca="1" si="6"/>
        <v>71.076380562804147</v>
      </c>
      <c r="O18" s="251">
        <f ca="1">IFERROR(__xludf.DUMMYFUNCTION("IMPORTRANGE(""https://docs.google.com/spreadsheets/d/1MeEWN-I1oV_STSDYn1IFDPWt_1FKiwhDph83XaGc0o0/edit?usp=sharing"",""งบพรบ!FE18"")"),157200)</f>
        <v>157200</v>
      </c>
      <c r="P18" s="250">
        <f t="shared" ca="1" si="53"/>
        <v>91.929824561403507</v>
      </c>
      <c r="Q18" s="250">
        <f t="shared" ca="1" si="8"/>
        <v>100</v>
      </c>
      <c r="R18" s="248">
        <f ca="1">IFERROR(__xludf.DUMMYFUNCTION("IMPORTRANGE(""https://docs.google.com/spreadsheets/d/10nSRjK08hx8Y6HgSOQKNw81lyY46Zc7U_Cj72hBMp9U/edit?usp=sharing"",""นครสวรรค์!I359"")"),3500)</f>
        <v>3500</v>
      </c>
      <c r="S18" s="248">
        <f ca="1">IFERROR(__xludf.DUMMYFUNCTION("IMPORTRANGE(""https://docs.google.com/spreadsheets/d/10nSRjK08hx8Y6HgSOQKNw81lyY46Zc7U_Cj72hBMp9U/edit?usp=sharing"",""นครสวรรค์!J358"")"),337)</f>
        <v>337</v>
      </c>
      <c r="T18" s="248">
        <f ca="1">IFERROR(__xludf.DUMMYFUNCTION("IMPORTRANGE(""https://docs.google.com/spreadsheets/d/10nSRjK08hx8Y6HgSOQKNw81lyY46Zc7U_Cj72hBMp9U/edit?usp=sharing"",""นครสวรรค์!J359"")"),3262.09)</f>
        <v>3262.09</v>
      </c>
      <c r="U18" s="252">
        <f t="shared" ca="1" si="43"/>
        <v>93.202571428571432</v>
      </c>
      <c r="V18" s="248">
        <f ca="1">IFERROR(__xludf.DUMMYFUNCTION("IMPORTRANGE(""https://docs.google.com/spreadsheets/d/10nSRjK08hx8Y6HgSOQKNw81lyY46Zc7U_Cj72hBMp9U/edit?usp=sharing"",""นครสวรรค์!I360"")"),380)</f>
        <v>380</v>
      </c>
      <c r="W18" s="248">
        <f ca="1">IFERROR(__xludf.DUMMYFUNCTION("IMPORTRANGE(""https://docs.google.com/spreadsheets/d/10nSRjK08hx8Y6HgSOQKNw81lyY46Zc7U_Cj72hBMp9U/edit?usp=sharing"",""นครสวรรค์!J360"")"),143)</f>
        <v>143</v>
      </c>
      <c r="X18" s="248">
        <f ca="1">IFERROR(__xludf.DUMMYFUNCTION("IMPORTRANGE(""https://docs.google.com/spreadsheets/d/10nSRjK08hx8Y6HgSOQKNw81lyY46Zc7U_Cj72hBMp9U/edit?usp=sharing"",""นครสวรรค์!J361"")"),1348.21)</f>
        <v>1348.21</v>
      </c>
      <c r="Y18" s="252">
        <f t="shared" ca="1" si="44"/>
        <v>37.631578947368418</v>
      </c>
      <c r="Z18" s="248">
        <f ca="1">IFERROR(__xludf.DUMMYFUNCTION("IMPORTRANGE(""https://docs.google.com/spreadsheets/d/10nSRjK08hx8Y6HgSOQKNw81lyY46Zc7U_Cj72hBMp9U/edit?usp=sharing"",""นครสวรรค์!I362"")"),380)</f>
        <v>380</v>
      </c>
      <c r="AA18" s="248">
        <f ca="1">IFERROR(__xludf.DUMMYFUNCTION("IMPORTRANGE(""https://docs.google.com/spreadsheets/d/10nSRjK08hx8Y6HgSOQKNw81lyY46Zc7U_Cj72hBMp9U/edit?usp=sharing"",""นครสวรรค์!J362"")"),133)</f>
        <v>133</v>
      </c>
      <c r="AB18" s="248">
        <f ca="1">IFERROR(__xludf.DUMMYFUNCTION("IMPORTRANGE(""https://docs.google.com/spreadsheets/d/10nSRjK08hx8Y6HgSOQKNw81lyY46Zc7U_Cj72hBMp9U/edit?usp=sharing"",""นครสวรรค์!J363"")"),1160.65)</f>
        <v>1160.6500000000001</v>
      </c>
      <c r="AC18" s="252">
        <f t="shared" ca="1" si="45"/>
        <v>35</v>
      </c>
      <c r="AD18" s="248">
        <f ca="1">IFERROR(__xludf.DUMMYFUNCTION("IMPORTRANGE(""https://docs.google.com/spreadsheets/d/10nSRjK08hx8Y6HgSOQKNw81lyY46Zc7U_Cj72hBMp9U/edit?usp=sharing"",""นครสวรรค์!I364"")"),780)</f>
        <v>780</v>
      </c>
      <c r="AE18" s="248">
        <f ca="1">IFERROR(__xludf.DUMMYFUNCTION("IMPORTRANGE(""https://docs.google.com/spreadsheets/d/10nSRjK08hx8Y6HgSOQKNw81lyY46Zc7U_Cj72hBMp9U/edit?usp=sharing"",""นครสวรรค์!J364"")"),294)</f>
        <v>294</v>
      </c>
      <c r="AF18" s="252">
        <f t="shared" ca="1" si="16"/>
        <v>37.692307692307693</v>
      </c>
      <c r="AG18" s="248">
        <f ca="1">IFERROR(__xludf.DUMMYFUNCTION("IMPORTRANGE(""https://docs.google.com/spreadsheets/d/10nSRjK08hx8Y6HgSOQKNw81lyY46Zc7U_Cj72hBMp9U/edit?usp=sharing"",""นครสวรรค์!I369"")"),2000)</f>
        <v>2000</v>
      </c>
      <c r="AH18" s="248">
        <f ca="1">IFERROR(__xludf.DUMMYFUNCTION("IMPORTRANGE(""https://docs.google.com/spreadsheets/d/10nSRjK08hx8Y6HgSOQKNw81lyY46Zc7U_Cj72hBMp9U/edit?usp=sharing"",""นครสวรรค์!J368"")"),212)</f>
        <v>212</v>
      </c>
      <c r="AI18" s="248">
        <f ca="1">IFERROR(__xludf.DUMMYFUNCTION("IMPORTRANGE(""https://docs.google.com/spreadsheets/d/10nSRjK08hx8Y6HgSOQKNw81lyY46Zc7U_Cj72hBMp9U/edit?usp=sharing"",""นครสวรรค์!J369"")"),1986.67)</f>
        <v>1986.67</v>
      </c>
      <c r="AJ18" s="252">
        <f t="shared" ca="1" si="46"/>
        <v>99.333500000000001</v>
      </c>
      <c r="AK18" s="248">
        <f ca="1">IFERROR(__xludf.DUMMYFUNCTION("IMPORTRANGE(""https://docs.google.com/spreadsheets/d/10nSRjK08hx8Y6HgSOQKNw81lyY46Zc7U_Cj72hBMp9U/edit?usp=sharing"",""นครสวรรค์!I370"")"),200)</f>
        <v>200</v>
      </c>
      <c r="AL18" s="248">
        <f ca="1">IFERROR(__xludf.DUMMYFUNCTION("IMPORTRANGE(""https://docs.google.com/spreadsheets/d/10nSRjK08hx8Y6HgSOQKNw81lyY46Zc7U_Cj72hBMp9U/edit?usp=sharing"",""นครสวรรค์!J370"")"),104)</f>
        <v>104</v>
      </c>
      <c r="AM18" s="248">
        <f ca="1">IFERROR(__xludf.DUMMYFUNCTION("IMPORTRANGE(""https://docs.google.com/spreadsheets/d/10nSRjK08hx8Y6HgSOQKNw81lyY46Zc7U_Cj72hBMp9U/edit?usp=sharing"",""นครสวรรค์!J371"")"),970.56)</f>
        <v>970.56</v>
      </c>
      <c r="AN18" s="252">
        <f t="shared" ca="1" si="47"/>
        <v>52</v>
      </c>
      <c r="AO18" s="248">
        <f ca="1">IFERROR(__xludf.DUMMYFUNCTION("IMPORTRANGE(""https://docs.google.com/spreadsheets/d/10nSRjK08hx8Y6HgSOQKNw81lyY46Zc7U_Cj72hBMp9U/edit?usp=sharing"",""นครสวรรค์!I372"")"),200)</f>
        <v>200</v>
      </c>
      <c r="AP18" s="248">
        <f ca="1">IFERROR(__xludf.DUMMYFUNCTION("IMPORTRANGE(""https://docs.google.com/spreadsheets/d/10nSRjK08hx8Y6HgSOQKNw81lyY46Zc7U_Cj72hBMp9U/edit?usp=sharing"",""นครสวรรค์!J372"")"),98)</f>
        <v>98</v>
      </c>
      <c r="AQ18" s="248">
        <f ca="1">IFERROR(__xludf.DUMMYFUNCTION("IMPORTRANGE(""https://docs.google.com/spreadsheets/d/10nSRjK08hx8Y6HgSOQKNw81lyY46Zc7U_Cj72hBMp9U/edit?usp=sharing"",""นครสวรรค์!J373"")"),801.15)</f>
        <v>801.15</v>
      </c>
      <c r="AR18" s="252">
        <f t="shared" ca="1" si="48"/>
        <v>49</v>
      </c>
      <c r="AS18" s="248">
        <f ca="1">IFERROR(__xludf.DUMMYFUNCTION("IMPORTRANGE(""https://docs.google.com/spreadsheets/d/10nSRjK08hx8Y6HgSOQKNw81lyY46Zc7U_Cj72hBMp9U/edit?usp=sharing"",""นครสวรรค์!I378"")"),1500)</f>
        <v>1500</v>
      </c>
      <c r="AT18" s="248">
        <f ca="1">IFERROR(__xludf.DUMMYFUNCTION("IMPORTRANGE(""https://docs.google.com/spreadsheets/d/10nSRjK08hx8Y6HgSOQKNw81lyY46Zc7U_Cj72hBMp9U/edit?usp=sharing"",""นครสวรรค์!J377"")"),125)</f>
        <v>125</v>
      </c>
      <c r="AU18" s="248">
        <f ca="1">IFERROR(__xludf.DUMMYFUNCTION("IMPORTRANGE(""https://docs.google.com/spreadsheets/d/10nSRjK08hx8Y6HgSOQKNw81lyY46Zc7U_Cj72hBMp9U/edit?usp=sharing"",""นครสวรรค์!J378"")"),1275.42)</f>
        <v>1275.42</v>
      </c>
      <c r="AV18" s="252">
        <f t="shared" ca="1" si="49"/>
        <v>85.028000000000006</v>
      </c>
      <c r="AW18" s="248">
        <f ca="1">IFERROR(__xludf.DUMMYFUNCTION("IMPORTRANGE(""https://docs.google.com/spreadsheets/d/10nSRjK08hx8Y6HgSOQKNw81lyY46Zc7U_Cj72hBMp9U/edit?usp=sharing"",""นครสวรรค์!I379"")"),580)</f>
        <v>580</v>
      </c>
      <c r="AX18" s="248">
        <f ca="1">IFERROR(__xludf.DUMMYFUNCTION("IMPORTRANGE(""https://docs.google.com/spreadsheets/d/10nSRjK08hx8Y6HgSOQKNw81lyY46Zc7U_Cj72hBMp9U/edit?usp=sharing"",""นครสวรรค์!J379"")"),199)</f>
        <v>199</v>
      </c>
      <c r="AY18" s="248">
        <f ca="1">IFERROR(__xludf.DUMMYFUNCTION("IMPORTRANGE(""https://docs.google.com/spreadsheets/d/10nSRjK08hx8Y6HgSOQKNw81lyY46Zc7U_Cj72hBMp9U/edit?usp=sharing"",""นครสวรรค์!J380"")"),3766.42)</f>
        <v>3766.42</v>
      </c>
      <c r="AZ18" s="252">
        <f t="shared" ca="1" si="50"/>
        <v>34.310344827586206</v>
      </c>
      <c r="BA18" s="248">
        <f ca="1">IFERROR(__xludf.DUMMYFUNCTION("IMPORTRANGE(""https://docs.google.com/spreadsheets/d/10nSRjK08hx8Y6HgSOQKNw81lyY46Zc7U_Cj72hBMp9U/edit?usp=sharing"",""นครสวรรค์!I381"")"),580)</f>
        <v>580</v>
      </c>
      <c r="BB18" s="248">
        <f ca="1">IFERROR(__xludf.DUMMYFUNCTION("IMPORTRANGE(""https://docs.google.com/spreadsheets/d/10nSRjK08hx8Y6HgSOQKNw81lyY46Zc7U_Cj72hBMp9U/edit?usp=sharing"",""นครสวรรค์!J381"")"),196)</f>
        <v>196</v>
      </c>
      <c r="BC18" s="248">
        <f ca="1">IFERROR(__xludf.DUMMYFUNCTION("IMPORTRANGE(""https://docs.google.com/spreadsheets/d/10nSRjK08hx8Y6HgSOQKNw81lyY46Zc7U_Cj72hBMp9U/edit?usp=sharing"",""นครสวรรค์!J382"")"),3756.27)</f>
        <v>3756.27</v>
      </c>
      <c r="BD18" s="252">
        <f t="shared" ca="1" si="51"/>
        <v>33.793103448275865</v>
      </c>
    </row>
    <row r="19" spans="1:56" ht="24" customHeight="1" x14ac:dyDescent="0.3">
      <c r="A19" s="243">
        <v>6</v>
      </c>
      <c r="B19" s="244" t="s">
        <v>41</v>
      </c>
      <c r="C19" s="245">
        <f t="shared" ca="1" si="0"/>
        <v>637150</v>
      </c>
      <c r="D19" s="246">
        <f t="shared" ca="1" si="64"/>
        <v>515550</v>
      </c>
      <c r="E19" s="247">
        <f ca="1">IFERROR(__xludf.DUMMYFUNCTION("IMPORTRANGE(""https://docs.google.com/spreadsheets/d/1MeEWN-I1oV_STSDYn1IFDPWt_1FKiwhDph83XaGc0o0/edit?usp=sharing"",""งบพรบ!EX19"")"),87600)</f>
        <v>87600</v>
      </c>
      <c r="F19" s="247">
        <f ca="1">IFERROR(__xludf.DUMMYFUNCTION("IMPORTRANGE(""https://docs.google.com/spreadsheets/d/1MeEWN-I1oV_STSDYn1IFDPWt_1FKiwhDph83XaGc0o0/edit?usp=sharing"",""งบพรบ!EY19"")"),427950)</f>
        <v>427950</v>
      </c>
      <c r="G19" s="247">
        <f ca="1">IFERROR(__xludf.DUMMYFUNCTION("IMPORTRANGE(""https://docs.google.com/spreadsheets/d/1MeEWN-I1oV_STSDYn1IFDPWt_1FKiwhDph83XaGc0o0/edit?usp=sharing"",""งบพรบ!EZ19"")"),121600)</f>
        <v>121600</v>
      </c>
      <c r="H19" s="247">
        <f ca="1">IFERROR(__xludf.DUMMYFUNCTION("IMPORTRANGE(""https://docs.google.com/spreadsheets/d/1MeEWN-I1oV_STSDYn1IFDPWt_1FKiwhDph83XaGc0o0/edit?usp=sharing"",""งบพรบ!FB19"")"),615550)</f>
        <v>615550</v>
      </c>
      <c r="I19" s="247">
        <f ca="1">IFERROR(__xludf.DUMMYFUNCTION("IMPORTRANGE(""https://docs.google.com/spreadsheets/d/1MeEWN-I1oV_STSDYn1IFDPWt_1FKiwhDph83XaGc0o0/edit?usp=sharing"",""งบพรบ!FC19"")"),121600)</f>
        <v>121600</v>
      </c>
      <c r="J19" s="247">
        <f t="shared" ca="1" si="3"/>
        <v>653975.38</v>
      </c>
      <c r="K19" s="253">
        <f t="shared" ca="1" si="4"/>
        <v>102.64072510397865</v>
      </c>
      <c r="L19" s="247">
        <f ca="1">IFERROR(__xludf.DUMMYFUNCTION("IMPORTRANGE(""https://docs.google.com/spreadsheets/d/1MeEWN-I1oV_STSDYn1IFDPWt_1FKiwhDph83XaGc0o0/edit?usp=sharing"",""งบพรบ!FD19"")"),532375.38)</f>
        <v>532375.38</v>
      </c>
      <c r="M19" s="250">
        <f t="shared" ca="1" si="5"/>
        <v>103.26357870235671</v>
      </c>
      <c r="N19" s="250">
        <f t="shared" ca="1" si="6"/>
        <v>86.487755665664849</v>
      </c>
      <c r="O19" s="251">
        <f ca="1">IFERROR(__xludf.DUMMYFUNCTION("IMPORTRANGE(""https://docs.google.com/spreadsheets/d/1MeEWN-I1oV_STSDYn1IFDPWt_1FKiwhDph83XaGc0o0/edit?usp=sharing"",""งบพรบ!FE19"")"),121600)</f>
        <v>121600</v>
      </c>
      <c r="P19" s="250">
        <f t="shared" ca="1" si="53"/>
        <v>100</v>
      </c>
      <c r="Q19" s="250">
        <f t="shared" ca="1" si="8"/>
        <v>100</v>
      </c>
      <c r="R19" s="248">
        <f ca="1">IFERROR(__xludf.DUMMYFUNCTION("IMPORTRANGE(""https://docs.google.com/spreadsheets/d/1gFVb7qd7amutrIxAAoM7lcy35hllxznovot8lyOfvDo/edit?usp=sharing"",""น่าน!I359"")"),1600)</f>
        <v>1600</v>
      </c>
      <c r="S19" s="248">
        <f ca="1">IFERROR(__xludf.DUMMYFUNCTION("IMPORTRANGE(""https://docs.google.com/spreadsheets/d/1gFVb7qd7amutrIxAAoM7lcy35hllxznovot8lyOfvDo/edit?usp=sharing"",""น่าน!J358"")"),359)</f>
        <v>359</v>
      </c>
      <c r="T19" s="248">
        <f ca="1">IFERROR(__xludf.DUMMYFUNCTION("IMPORTRANGE(""https://docs.google.com/spreadsheets/d/1gFVb7qd7amutrIxAAoM7lcy35hllxznovot8lyOfvDo/edit?usp=sharing"",""น่าน!J359"")"),1432.84)</f>
        <v>1432.84</v>
      </c>
      <c r="U19" s="252">
        <f t="shared" ca="1" si="43"/>
        <v>89.552499999999995</v>
      </c>
      <c r="V19" s="248">
        <f ca="1">IFERROR(__xludf.DUMMYFUNCTION("IMPORTRANGE(""https://docs.google.com/spreadsheets/d/1gFVb7qd7amutrIxAAoM7lcy35hllxznovot8lyOfvDo/edit?usp=sharing"",""น่าน!I360"")"),200)</f>
        <v>200</v>
      </c>
      <c r="W19" s="248">
        <f ca="1">IFERROR(__xludf.DUMMYFUNCTION("IMPORTRANGE(""https://docs.google.com/spreadsheets/d/1gFVb7qd7amutrIxAAoM7lcy35hllxznovot8lyOfvDo/edit?usp=sharing"",""น่าน!J360"")"),305)</f>
        <v>305</v>
      </c>
      <c r="X19" s="248">
        <f ca="1">IFERROR(__xludf.DUMMYFUNCTION("IMPORTRANGE(""https://docs.google.com/spreadsheets/d/1gFVb7qd7amutrIxAAoM7lcy35hllxznovot8lyOfvDo/edit?usp=sharing"",""น่าน!J361"")"),1222.3)</f>
        <v>1222.3</v>
      </c>
      <c r="Y19" s="252">
        <f t="shared" ca="1" si="44"/>
        <v>152.5</v>
      </c>
      <c r="Z19" s="248">
        <f ca="1">IFERROR(__xludf.DUMMYFUNCTION("IMPORTRANGE(""https://docs.google.com/spreadsheets/d/1gFVb7qd7amutrIxAAoM7lcy35hllxznovot8lyOfvDo/edit?usp=sharing"",""น่าน!I362"")"),200)</f>
        <v>200</v>
      </c>
      <c r="AA19" s="248">
        <f ca="1">IFERROR(__xludf.DUMMYFUNCTION("IMPORTRANGE(""https://docs.google.com/spreadsheets/d/1gFVb7qd7amutrIxAAoM7lcy35hllxznovot8lyOfvDo/edit?usp=sharing"",""น่าน!J362"")"),287)</f>
        <v>287</v>
      </c>
      <c r="AB19" s="248">
        <f ca="1">IFERROR(__xludf.DUMMYFUNCTION("IMPORTRANGE(""https://docs.google.com/spreadsheets/d/1gFVb7qd7amutrIxAAoM7lcy35hllxznovot8lyOfvDo/edit?usp=sharing"",""น่าน!J363"")"),1165.48)</f>
        <v>1165.48</v>
      </c>
      <c r="AC19" s="252">
        <f t="shared" ca="1" si="45"/>
        <v>143.5</v>
      </c>
      <c r="AD19" s="248">
        <f ca="1">IFERROR(__xludf.DUMMYFUNCTION("IMPORTRANGE(""https://docs.google.com/spreadsheets/d/1gFVb7qd7amutrIxAAoM7lcy35hllxznovot8lyOfvDo/edit?usp=sharing"",""น่าน!I364"")"),500)</f>
        <v>500</v>
      </c>
      <c r="AE19" s="248">
        <f ca="1">IFERROR(__xludf.DUMMYFUNCTION("IMPORTRANGE(""https://docs.google.com/spreadsheets/d/1gFVb7qd7amutrIxAAoM7lcy35hllxznovot8lyOfvDo/edit?usp=sharing"",""น่าน!J364"")"),720)</f>
        <v>720</v>
      </c>
      <c r="AF19" s="252">
        <f t="shared" ca="1" si="16"/>
        <v>144</v>
      </c>
      <c r="AG19" s="248">
        <f ca="1">IFERROR(__xludf.DUMMYFUNCTION("IMPORTRANGE(""https://docs.google.com/spreadsheets/d/1gFVb7qd7amutrIxAAoM7lcy35hllxznovot8lyOfvDo/edit?usp=sharing"",""น่าน!I369"")"),600)</f>
        <v>600</v>
      </c>
      <c r="AH19" s="248">
        <f ca="1">IFERROR(__xludf.DUMMYFUNCTION("IMPORTRANGE(""https://docs.google.com/spreadsheets/d/1gFVb7qd7amutrIxAAoM7lcy35hllxznovot8lyOfvDo/edit?usp=sharing"",""น่าน!J368"")"),137)</f>
        <v>137</v>
      </c>
      <c r="AI19" s="248">
        <f ca="1">IFERROR(__xludf.DUMMYFUNCTION("IMPORTRANGE(""https://docs.google.com/spreadsheets/d/1gFVb7qd7amutrIxAAoM7lcy35hllxznovot8lyOfvDo/edit?usp=sharing"",""น่าน!J369"")"),503.85)</f>
        <v>503.85</v>
      </c>
      <c r="AJ19" s="252">
        <f t="shared" ca="1" si="46"/>
        <v>83.974999999999994</v>
      </c>
      <c r="AK19" s="248">
        <f ca="1">IFERROR(__xludf.DUMMYFUNCTION("IMPORTRANGE(""https://docs.google.com/spreadsheets/d/1gFVb7qd7amutrIxAAoM7lcy35hllxznovot8lyOfvDo/edit?usp=sharing"",""น่าน!I370"")"),60)</f>
        <v>60</v>
      </c>
      <c r="AL19" s="248">
        <f ca="1">IFERROR(__xludf.DUMMYFUNCTION("IMPORTRANGE(""https://docs.google.com/spreadsheets/d/1gFVb7qd7amutrIxAAoM7lcy35hllxznovot8lyOfvDo/edit?usp=sharing"",""น่าน!J370"")"),83)</f>
        <v>83</v>
      </c>
      <c r="AM19" s="248">
        <f ca="1">IFERROR(__xludf.DUMMYFUNCTION("IMPORTRANGE(""https://docs.google.com/spreadsheets/d/1gFVb7qd7amutrIxAAoM7lcy35hllxznovot8lyOfvDo/edit?usp=sharing"",""น่าน!J371"")"),293.31)</f>
        <v>293.31</v>
      </c>
      <c r="AN19" s="252">
        <f t="shared" ca="1" si="47"/>
        <v>138.33333333333334</v>
      </c>
      <c r="AO19" s="248">
        <f ca="1">IFERROR(__xludf.DUMMYFUNCTION("IMPORTRANGE(""https://docs.google.com/spreadsheets/d/1gFVb7qd7amutrIxAAoM7lcy35hllxznovot8lyOfvDo/edit?usp=sharing"",""น่าน!I372"")"),60)</f>
        <v>60</v>
      </c>
      <c r="AP19" s="248">
        <f ca="1">IFERROR(__xludf.DUMMYFUNCTION("IMPORTRANGE(""https://docs.google.com/spreadsheets/d/1gFVb7qd7amutrIxAAoM7lcy35hllxznovot8lyOfvDo/edit?usp=sharing"",""น่าน!J372"")"),65)</f>
        <v>65</v>
      </c>
      <c r="AQ19" s="248">
        <f ca="1">IFERROR(__xludf.DUMMYFUNCTION("IMPORTRANGE(""https://docs.google.com/spreadsheets/d/1gFVb7qd7amutrIxAAoM7lcy35hllxznovot8lyOfvDo/edit?usp=sharing"",""น่าน!J373"")"),236.49)</f>
        <v>236.49</v>
      </c>
      <c r="AR19" s="252">
        <f t="shared" ca="1" si="48"/>
        <v>108.33333333333333</v>
      </c>
      <c r="AS19" s="248">
        <f ca="1">IFERROR(__xludf.DUMMYFUNCTION("IMPORTRANGE(""https://docs.google.com/spreadsheets/d/1gFVb7qd7amutrIxAAoM7lcy35hllxznovot8lyOfvDo/edit?usp=sharing"",""น่าน!I378"")"),1000)</f>
        <v>1000</v>
      </c>
      <c r="AT19" s="248">
        <f ca="1">IFERROR(__xludf.DUMMYFUNCTION("IMPORTRANGE(""https://docs.google.com/spreadsheets/d/1gFVb7qd7amutrIxAAoM7lcy35hllxznovot8lyOfvDo/edit?usp=sharing"",""น่าน!J377"")"),222)</f>
        <v>222</v>
      </c>
      <c r="AU19" s="248">
        <f ca="1">IFERROR(__xludf.DUMMYFUNCTION("IMPORTRANGE(""https://docs.google.com/spreadsheets/d/1gFVb7qd7amutrIxAAoM7lcy35hllxznovot8lyOfvDo/edit?usp=sharing"",""น่าน!J378"")"),928.99)</f>
        <v>928.99</v>
      </c>
      <c r="AV19" s="252">
        <f t="shared" ca="1" si="49"/>
        <v>92.899000000000001</v>
      </c>
      <c r="AW19" s="248">
        <f ca="1">IFERROR(__xludf.DUMMYFUNCTION("IMPORTRANGE(""https://docs.google.com/spreadsheets/d/1gFVb7qd7amutrIxAAoM7lcy35hllxznovot8lyOfvDo/edit?usp=sharing"",""น่าน!I379"")"),440)</f>
        <v>440</v>
      </c>
      <c r="AX19" s="248">
        <f ca="1">IFERROR(__xludf.DUMMYFUNCTION("IMPORTRANGE(""https://docs.google.com/spreadsheets/d/1gFVb7qd7amutrIxAAoM7lcy35hllxznovot8lyOfvDo/edit?usp=sharing"",""น่าน!J379"")"),657)</f>
        <v>657</v>
      </c>
      <c r="AY19" s="248">
        <f ca="1">IFERROR(__xludf.DUMMYFUNCTION("IMPORTRANGE(""https://docs.google.com/spreadsheets/d/1gFVb7qd7amutrIxAAoM7lcy35hllxznovot8lyOfvDo/edit?usp=sharing"",""น่าน!J380"")"),3933.6)</f>
        <v>3933.6</v>
      </c>
      <c r="AZ19" s="252">
        <f t="shared" ca="1" si="50"/>
        <v>149.31818181818181</v>
      </c>
      <c r="BA19" s="248">
        <f ca="1">IFERROR(__xludf.DUMMYFUNCTION("IMPORTRANGE(""https://docs.google.com/spreadsheets/d/1gFVb7qd7amutrIxAAoM7lcy35hllxznovot8lyOfvDo/edit?usp=sharing"",""น่าน!I381"")"),440)</f>
        <v>440</v>
      </c>
      <c r="BB19" s="248">
        <f ca="1">IFERROR(__xludf.DUMMYFUNCTION("IMPORTRANGE(""https://docs.google.com/spreadsheets/d/1gFVb7qd7amutrIxAAoM7lcy35hllxznovot8lyOfvDo/edit?usp=sharing"",""น่าน!J381"")"),655)</f>
        <v>655</v>
      </c>
      <c r="BC19" s="248">
        <f ca="1">IFERROR(__xludf.DUMMYFUNCTION("IMPORTRANGE(""https://docs.google.com/spreadsheets/d/1gFVb7qd7amutrIxAAoM7lcy35hllxznovot8lyOfvDo/edit?usp=sharing"",""น่าน!J382"")"),3911.31)</f>
        <v>3911.31</v>
      </c>
      <c r="BD19" s="252">
        <f t="shared" ca="1" si="51"/>
        <v>148.86363636363637</v>
      </c>
    </row>
    <row r="20" spans="1:56" ht="24" customHeight="1" x14ac:dyDescent="0.3">
      <c r="A20" s="243">
        <v>7</v>
      </c>
      <c r="B20" s="244" t="s">
        <v>42</v>
      </c>
      <c r="C20" s="245">
        <f t="shared" ca="1" si="0"/>
        <v>590000</v>
      </c>
      <c r="D20" s="246">
        <f t="shared" ca="1" si="64"/>
        <v>492200</v>
      </c>
      <c r="E20" s="247">
        <f ca="1">IFERROR(__xludf.DUMMYFUNCTION("IMPORTRANGE(""https://docs.google.com/spreadsheets/d/1MeEWN-I1oV_STSDYn1IFDPWt_1FKiwhDph83XaGc0o0/edit?usp=sharing"",""งบพรบ!EX20"")"),87600)</f>
        <v>87600</v>
      </c>
      <c r="F20" s="247">
        <f ca="1">IFERROR(__xludf.DUMMYFUNCTION("IMPORTRANGE(""https://docs.google.com/spreadsheets/d/1MeEWN-I1oV_STSDYn1IFDPWt_1FKiwhDph83XaGc0o0/edit?usp=sharing"",""งบพรบ!EY20"")"),404600)</f>
        <v>404600</v>
      </c>
      <c r="G20" s="247">
        <f ca="1">IFERROR(__xludf.DUMMYFUNCTION("IMPORTRANGE(""https://docs.google.com/spreadsheets/d/1MeEWN-I1oV_STSDYn1IFDPWt_1FKiwhDph83XaGc0o0/edit?usp=sharing"",""งบพรบ!EZ20"")"),97800)</f>
        <v>97800</v>
      </c>
      <c r="H20" s="247">
        <f ca="1">IFERROR(__xludf.DUMMYFUNCTION("IMPORTRANGE(""https://docs.google.com/spreadsheets/d/1MeEWN-I1oV_STSDYn1IFDPWt_1FKiwhDph83XaGc0o0/edit?usp=sharing"",""งบพรบ!FB20"")"),574700)</f>
        <v>574700</v>
      </c>
      <c r="I20" s="247">
        <f ca="1">IFERROR(__xludf.DUMMYFUNCTION("IMPORTRANGE(""https://docs.google.com/spreadsheets/d/1MeEWN-I1oV_STSDYn1IFDPWt_1FKiwhDph83XaGc0o0/edit?usp=sharing"",""งบพรบ!FC20"")"),97800)</f>
        <v>97800</v>
      </c>
      <c r="J20" s="247">
        <f t="shared" ca="1" si="3"/>
        <v>652200</v>
      </c>
      <c r="K20" s="253">
        <f t="shared" ca="1" si="4"/>
        <v>110.54237288135593</v>
      </c>
      <c r="L20" s="247">
        <f ca="1">IFERROR(__xludf.DUMMYFUNCTION("IMPORTRANGE(""https://docs.google.com/spreadsheets/d/1MeEWN-I1oV_STSDYn1IFDPWt_1FKiwhDph83XaGc0o0/edit?usp=sharing"",""งบพรบ!FD20"")"),554400)</f>
        <v>554400</v>
      </c>
      <c r="M20" s="250">
        <f t="shared" ca="1" si="5"/>
        <v>112.63713937423812</v>
      </c>
      <c r="N20" s="250">
        <f t="shared" ca="1" si="6"/>
        <v>96.467722289890375</v>
      </c>
      <c r="O20" s="251">
        <f ca="1">IFERROR(__xludf.DUMMYFUNCTION("IMPORTRANGE(""https://docs.google.com/spreadsheets/d/1MeEWN-I1oV_STSDYn1IFDPWt_1FKiwhDph83XaGc0o0/edit?usp=sharing"",""งบพรบ!FE20"")"),97800)</f>
        <v>97800</v>
      </c>
      <c r="P20" s="250">
        <f t="shared" ca="1" si="53"/>
        <v>100</v>
      </c>
      <c r="Q20" s="250">
        <f t="shared" ca="1" si="8"/>
        <v>100</v>
      </c>
      <c r="R20" s="248">
        <f ca="1">IFERROR(__xludf.DUMMYFUNCTION("IMPORTRANGE(""https://docs.google.com/spreadsheets/d/1K0Aa9s-6EuHE5M0FG1F9aHLXRCOV917xvycTdLdct0w/edit?usp=sharing"",""พะเยา!I359"")"),2000)</f>
        <v>2000</v>
      </c>
      <c r="S20" s="248">
        <f ca="1">IFERROR(__xludf.DUMMYFUNCTION("IMPORTRANGE(""https://docs.google.com/spreadsheets/d/1K0Aa9s-6EuHE5M0FG1F9aHLXRCOV917xvycTdLdct0w/edit?usp=sharing"",""พะเยา!J358"")"),460)</f>
        <v>460</v>
      </c>
      <c r="T20" s="248">
        <f ca="1">IFERROR(__xludf.DUMMYFUNCTION("IMPORTRANGE(""https://docs.google.com/spreadsheets/d/1K0Aa9s-6EuHE5M0FG1F9aHLXRCOV917xvycTdLdct0w/edit?usp=sharing"",""พะเยา!J359"")"),2365.76)</f>
        <v>2365.7600000000002</v>
      </c>
      <c r="U20" s="252">
        <f t="shared" ca="1" si="43"/>
        <v>118.28800000000001</v>
      </c>
      <c r="V20" s="248">
        <f ca="1">IFERROR(__xludf.DUMMYFUNCTION("IMPORTRANGE(""https://docs.google.com/spreadsheets/d/1K0Aa9s-6EuHE5M0FG1F9aHLXRCOV917xvycTdLdct0w/edit?usp=sharing"",""พะเยา!I360"")"),240)</f>
        <v>240</v>
      </c>
      <c r="W20" s="248">
        <f ca="1">IFERROR(__xludf.DUMMYFUNCTION("IMPORTRANGE(""https://docs.google.com/spreadsheets/d/1K0Aa9s-6EuHE5M0FG1F9aHLXRCOV917xvycTdLdct0w/edit?usp=sharing"",""พะเยา!J360"")"),355)</f>
        <v>355</v>
      </c>
      <c r="X20" s="248">
        <f ca="1">IFERROR(__xludf.DUMMYFUNCTION("IMPORTRANGE(""https://docs.google.com/spreadsheets/d/1K0Aa9s-6EuHE5M0FG1F9aHLXRCOV917xvycTdLdct0w/edit?usp=sharing"",""พะเยา!J361"")"),1816.98999999999)</f>
        <v>1816.98999999999</v>
      </c>
      <c r="Y20" s="252">
        <f t="shared" ca="1" si="44"/>
        <v>147.91666666666666</v>
      </c>
      <c r="Z20" s="248">
        <f ca="1">IFERROR(__xludf.DUMMYFUNCTION("IMPORTRANGE(""https://docs.google.com/spreadsheets/d/1K0Aa9s-6EuHE5M0FG1F9aHLXRCOV917xvycTdLdct0w/edit?usp=sharing"",""พะเยา!I362"")"),240)</f>
        <v>240</v>
      </c>
      <c r="AA20" s="248">
        <f ca="1">IFERROR(__xludf.DUMMYFUNCTION("IMPORTRANGE(""https://docs.google.com/spreadsheets/d/1K0Aa9s-6EuHE5M0FG1F9aHLXRCOV917xvycTdLdct0w/edit?usp=sharing"",""พะเยา!J362"")"),397)</f>
        <v>397</v>
      </c>
      <c r="AB20" s="248">
        <f ca="1">IFERROR(__xludf.DUMMYFUNCTION("IMPORTRANGE(""https://docs.google.com/spreadsheets/d/1K0Aa9s-6EuHE5M0FG1F9aHLXRCOV917xvycTdLdct0w/edit?usp=sharing"",""พะเยา!J363"")"),2091.15)</f>
        <v>2091.15</v>
      </c>
      <c r="AC20" s="252">
        <f t="shared" ca="1" si="45"/>
        <v>165.41666666666666</v>
      </c>
      <c r="AD20" s="248">
        <f ca="1">IFERROR(__xludf.DUMMYFUNCTION("IMPORTRANGE(""https://docs.google.com/spreadsheets/d/1K0Aa9s-6EuHE5M0FG1F9aHLXRCOV917xvycTdLdct0w/edit?usp=sharing"",""พะเยา!I364"")"),440)</f>
        <v>440</v>
      </c>
      <c r="AE20" s="248">
        <f ca="1">IFERROR(__xludf.DUMMYFUNCTION("IMPORTRANGE(""https://docs.google.com/spreadsheets/d/1K0Aa9s-6EuHE5M0FG1F9aHLXRCOV917xvycTdLdct0w/edit?usp=sharing"",""พะเยา!J364"")"),592)</f>
        <v>592</v>
      </c>
      <c r="AF20" s="252">
        <f t="shared" ca="1" si="16"/>
        <v>134.54545454545453</v>
      </c>
      <c r="AG20" s="248">
        <f ca="1">IFERROR(__xludf.DUMMYFUNCTION("IMPORTRANGE(""https://docs.google.com/spreadsheets/d/1K0Aa9s-6EuHE5M0FG1F9aHLXRCOV917xvycTdLdct0w/edit?usp=sharing"",""พะเยา!I369"")"),1000)</f>
        <v>1000</v>
      </c>
      <c r="AH20" s="248">
        <f ca="1">IFERROR(__xludf.DUMMYFUNCTION("IMPORTRANGE(""https://docs.google.com/spreadsheets/d/1K0Aa9s-6EuHE5M0FG1F9aHLXRCOV917xvycTdLdct0w/edit?usp=sharing"",""พะเยา!J368"")"),230)</f>
        <v>230</v>
      </c>
      <c r="AI20" s="248">
        <f ca="1">IFERROR(__xludf.DUMMYFUNCTION("IMPORTRANGE(""https://docs.google.com/spreadsheets/d/1K0Aa9s-6EuHE5M0FG1F9aHLXRCOV917xvycTdLdct0w/edit?usp=sharing"",""พะเยา!J369"")"),1332.12)</f>
        <v>1332.12</v>
      </c>
      <c r="AJ20" s="252">
        <f t="shared" ca="1" si="46"/>
        <v>133.21199999999999</v>
      </c>
      <c r="AK20" s="248">
        <f ca="1">IFERROR(__xludf.DUMMYFUNCTION("IMPORTRANGE(""https://docs.google.com/spreadsheets/d/1K0Aa9s-6EuHE5M0FG1F9aHLXRCOV917xvycTdLdct0w/edit?usp=sharing"",""พะเยา!I370"")"),100)</f>
        <v>100</v>
      </c>
      <c r="AL20" s="248">
        <f ca="1">IFERROR(__xludf.DUMMYFUNCTION("IMPORTRANGE(""https://docs.google.com/spreadsheets/d/1K0Aa9s-6EuHE5M0FG1F9aHLXRCOV917xvycTdLdct0w/edit?usp=sharing"",""พะเยา!J370"")"),172)</f>
        <v>172</v>
      </c>
      <c r="AM20" s="248">
        <f ca="1">IFERROR(__xludf.DUMMYFUNCTION("IMPORTRANGE(""https://docs.google.com/spreadsheets/d/1K0Aa9s-6EuHE5M0FG1F9aHLXRCOV917xvycTdLdct0w/edit?usp=sharing"",""พะเยา!J371"")"),1080.81)</f>
        <v>1080.81</v>
      </c>
      <c r="AN20" s="252">
        <f t="shared" ca="1" si="47"/>
        <v>172</v>
      </c>
      <c r="AO20" s="248">
        <f ca="1">IFERROR(__xludf.DUMMYFUNCTION("IMPORTRANGE(""https://docs.google.com/spreadsheets/d/1K0Aa9s-6EuHE5M0FG1F9aHLXRCOV917xvycTdLdct0w/edit?usp=sharing"",""พะเยา!I372"")"),100)</f>
        <v>100</v>
      </c>
      <c r="AP20" s="248">
        <f ca="1">IFERROR(__xludf.DUMMYFUNCTION("IMPORTRANGE(""https://docs.google.com/spreadsheets/d/1K0Aa9s-6EuHE5M0FG1F9aHLXRCOV917xvycTdLdct0w/edit?usp=sharing"",""พะเยา!J372"")"),168)</f>
        <v>168</v>
      </c>
      <c r="AQ20" s="248">
        <f ca="1">IFERROR(__xludf.DUMMYFUNCTION("IMPORTRANGE(""https://docs.google.com/spreadsheets/d/1K0Aa9s-6EuHE5M0FG1F9aHLXRCOV917xvycTdLdct0w/edit?usp=sharing"",""พะเยา!J373"")"),1057.76)</f>
        <v>1057.76</v>
      </c>
      <c r="AR20" s="252">
        <f t="shared" ca="1" si="48"/>
        <v>168</v>
      </c>
      <c r="AS20" s="248">
        <f ca="1">IFERROR(__xludf.DUMMYFUNCTION("IMPORTRANGE(""https://docs.google.com/spreadsheets/d/1K0Aa9s-6EuHE5M0FG1F9aHLXRCOV917xvycTdLdct0w/edit?usp=sharing"",""พะเยา!I378"")"),1000)</f>
        <v>1000</v>
      </c>
      <c r="AT20" s="248">
        <f ca="1">IFERROR(__xludf.DUMMYFUNCTION("IMPORTRANGE(""https://docs.google.com/spreadsheets/d/1K0Aa9s-6EuHE5M0FG1F9aHLXRCOV917xvycTdLdct0w/edit?usp=sharing"",""พะเยา!J377"")"),230)</f>
        <v>230</v>
      </c>
      <c r="AU20" s="248">
        <f ca="1">IFERROR(__xludf.DUMMYFUNCTION("IMPORTRANGE(""https://docs.google.com/spreadsheets/d/1K0Aa9s-6EuHE5M0FG1F9aHLXRCOV917xvycTdLdct0w/edit?usp=sharing"",""พะเยา!J378"")"),1033.64)</f>
        <v>1033.6400000000001</v>
      </c>
      <c r="AV20" s="252">
        <f t="shared" ca="1" si="49"/>
        <v>103.36400000000002</v>
      </c>
      <c r="AW20" s="248">
        <f ca="1">IFERROR(__xludf.DUMMYFUNCTION("IMPORTRANGE(""https://docs.google.com/spreadsheets/d/1K0Aa9s-6EuHE5M0FG1F9aHLXRCOV917xvycTdLdct0w/edit?usp=sharing"",""พะเยา!I379"")"),340)</f>
        <v>340</v>
      </c>
      <c r="AX20" s="248">
        <f ca="1">IFERROR(__xludf.DUMMYFUNCTION("IMPORTRANGE(""https://docs.google.com/spreadsheets/d/1K0Aa9s-6EuHE5M0FG1F9aHLXRCOV917xvycTdLdct0w/edit?usp=sharing"",""พะเยา!J379"")"),379)</f>
        <v>379</v>
      </c>
      <c r="AY20" s="248">
        <f ca="1">IFERROR(__xludf.DUMMYFUNCTION("IMPORTRANGE(""https://docs.google.com/spreadsheets/d/1K0Aa9s-6EuHE5M0FG1F9aHLXRCOV917xvycTdLdct0w/edit?usp=sharing"",""พะเยา!J380"")"),2159.09)</f>
        <v>2159.09</v>
      </c>
      <c r="AZ20" s="252">
        <f t="shared" ca="1" si="50"/>
        <v>111.47058823529412</v>
      </c>
      <c r="BA20" s="248">
        <f ca="1">IFERROR(__xludf.DUMMYFUNCTION("IMPORTRANGE(""https://docs.google.com/spreadsheets/d/1K0Aa9s-6EuHE5M0FG1F9aHLXRCOV917xvycTdLdct0w/edit?usp=sharing"",""พะเยา!I381"")"),340)</f>
        <v>340</v>
      </c>
      <c r="BB20" s="248">
        <f ca="1">IFERROR(__xludf.DUMMYFUNCTION("IMPORTRANGE(""https://docs.google.com/spreadsheets/d/1K0Aa9s-6EuHE5M0FG1F9aHLXRCOV917xvycTdLdct0w/edit?usp=sharing"",""พะเยา!J381"")"),424)</f>
        <v>424</v>
      </c>
      <c r="BC20" s="248">
        <f ca="1">IFERROR(__xludf.DUMMYFUNCTION("IMPORTRANGE(""https://docs.google.com/spreadsheets/d/1K0Aa9s-6EuHE5M0FG1F9aHLXRCOV917xvycTdLdct0w/edit?usp=sharing"",""พะเยา!J382"")"),2450.87)</f>
        <v>2450.87</v>
      </c>
      <c r="BD20" s="252">
        <f t="shared" ca="1" si="51"/>
        <v>124.70588235294117</v>
      </c>
    </row>
    <row r="21" spans="1:56" ht="24" customHeight="1" x14ac:dyDescent="0.3">
      <c r="A21" s="243">
        <v>8</v>
      </c>
      <c r="B21" s="244" t="s">
        <v>43</v>
      </c>
      <c r="C21" s="245">
        <f t="shared" ca="1" si="0"/>
        <v>894590</v>
      </c>
      <c r="D21" s="246">
        <f t="shared" ca="1" si="64"/>
        <v>788990</v>
      </c>
      <c r="E21" s="247">
        <f ca="1">IFERROR(__xludf.DUMMYFUNCTION("IMPORTRANGE(""https://docs.google.com/spreadsheets/d/1MeEWN-I1oV_STSDYn1IFDPWt_1FKiwhDph83XaGc0o0/edit?usp=sharing"",""งบพรบ!EX21"")"),429600)</f>
        <v>429600</v>
      </c>
      <c r="F21" s="247">
        <f ca="1">IFERROR(__xludf.DUMMYFUNCTION("IMPORTRANGE(""https://docs.google.com/spreadsheets/d/1MeEWN-I1oV_STSDYn1IFDPWt_1FKiwhDph83XaGc0o0/edit?usp=sharing"",""งบพรบ!EY21"")"),359390)</f>
        <v>359390</v>
      </c>
      <c r="G21" s="247">
        <f ca="1">IFERROR(__xludf.DUMMYFUNCTION("IMPORTRANGE(""https://docs.google.com/spreadsheets/d/1MeEWN-I1oV_STSDYn1IFDPWt_1FKiwhDph83XaGc0o0/edit?usp=sharing"",""งบพรบ!EZ21"")"),105600)</f>
        <v>105600</v>
      </c>
      <c r="H21" s="247">
        <f ca="1">IFERROR(__xludf.DUMMYFUNCTION("IMPORTRANGE(""https://docs.google.com/spreadsheets/d/1MeEWN-I1oV_STSDYn1IFDPWt_1FKiwhDph83XaGc0o0/edit?usp=sharing"",""งบพรบ!FB21"")"),868990)</f>
        <v>868990</v>
      </c>
      <c r="I21" s="247">
        <f ca="1">IFERROR(__xludf.DUMMYFUNCTION("IMPORTRANGE(""https://docs.google.com/spreadsheets/d/1MeEWN-I1oV_STSDYn1IFDPWt_1FKiwhDph83XaGc0o0/edit?usp=sharing"",""งบพรบ!FC21"")"),105600)</f>
        <v>105600</v>
      </c>
      <c r="J21" s="247">
        <f t="shared" ca="1" si="3"/>
        <v>889600.73</v>
      </c>
      <c r="K21" s="253">
        <f t="shared" ca="1" si="4"/>
        <v>99.442284174873407</v>
      </c>
      <c r="L21" s="247">
        <f ca="1">IFERROR(__xludf.DUMMYFUNCTION("IMPORTRANGE(""https://docs.google.com/spreadsheets/d/1MeEWN-I1oV_STSDYn1IFDPWt_1FKiwhDph83XaGc0o0/edit?usp=sharing"",""งบพรบ!FD21"")"),784000.73)</f>
        <v>784000.73</v>
      </c>
      <c r="M21" s="250">
        <f t="shared" ca="1" si="5"/>
        <v>99.367638373109926</v>
      </c>
      <c r="N21" s="250">
        <f t="shared" ca="1" si="6"/>
        <v>90.219764324100396</v>
      </c>
      <c r="O21" s="251">
        <f ca="1">IFERROR(__xludf.DUMMYFUNCTION("IMPORTRANGE(""https://docs.google.com/spreadsheets/d/1MeEWN-I1oV_STSDYn1IFDPWt_1FKiwhDph83XaGc0o0/edit?usp=sharing"",""งบพรบ!FE21"")"),105600)</f>
        <v>105600</v>
      </c>
      <c r="P21" s="250">
        <f t="shared" ca="1" si="53"/>
        <v>100</v>
      </c>
      <c r="Q21" s="250">
        <f t="shared" ca="1" si="8"/>
        <v>100</v>
      </c>
      <c r="R21" s="248">
        <f ca="1">IFERROR(__xludf.DUMMYFUNCTION("IMPORTRANGE(""https://docs.google.com/spreadsheets/d/1Y9LPKx95PyL5OKy09d-KbKJSuuEZCFdkhYjwC0XQjBA/edit?usp=sharing"",""พิจิตร!I359"")"),1250)</f>
        <v>1250</v>
      </c>
      <c r="S21" s="248">
        <f ca="1">IFERROR(__xludf.DUMMYFUNCTION("IMPORTRANGE(""https://docs.google.com/spreadsheets/d/1Y9LPKx95PyL5OKy09d-KbKJSuuEZCFdkhYjwC0XQjBA/edit?usp=sharing"",""พิจิตร!J358"")"),183)</f>
        <v>183</v>
      </c>
      <c r="T21" s="248">
        <f ca="1">IFERROR(__xludf.DUMMYFUNCTION("IMPORTRANGE(""https://docs.google.com/spreadsheets/d/1Y9LPKx95PyL5OKy09d-KbKJSuuEZCFdkhYjwC0XQjBA/edit?usp=sharing"",""พิจิตร!J359"")"),1340.9)</f>
        <v>1340.9</v>
      </c>
      <c r="U21" s="252">
        <f t="shared" ca="1" si="43"/>
        <v>107.27200000000001</v>
      </c>
      <c r="V21" s="248">
        <f ca="1">IFERROR(__xludf.DUMMYFUNCTION("IMPORTRANGE(""https://docs.google.com/spreadsheets/d/1Y9LPKx95PyL5OKy09d-KbKJSuuEZCFdkhYjwC0XQjBA/edit?usp=sharing"",""พิจิตร!I360"")"),125)</f>
        <v>125</v>
      </c>
      <c r="W21" s="248">
        <f ca="1">IFERROR(__xludf.DUMMYFUNCTION("IMPORTRANGE(""https://docs.google.com/spreadsheets/d/1Y9LPKx95PyL5OKy09d-KbKJSuuEZCFdkhYjwC0XQjBA/edit?usp=sharing"",""พิจิตร!J360"")"),163)</f>
        <v>163</v>
      </c>
      <c r="X21" s="248">
        <f ca="1">IFERROR(__xludf.DUMMYFUNCTION("IMPORTRANGE(""https://docs.google.com/spreadsheets/d/1Y9LPKx95PyL5OKy09d-KbKJSuuEZCFdkhYjwC0XQjBA/edit?usp=sharing"",""พิจิตร!J361"")"),1262.92)</f>
        <v>1262.92</v>
      </c>
      <c r="Y21" s="252">
        <f t="shared" ca="1" si="44"/>
        <v>130.4</v>
      </c>
      <c r="Z21" s="248">
        <f ca="1">IFERROR(__xludf.DUMMYFUNCTION("IMPORTRANGE(""https://docs.google.com/spreadsheets/d/1Y9LPKx95PyL5OKy09d-KbKJSuuEZCFdkhYjwC0XQjBA/edit?usp=sharing"",""พิจิตร!I362"")"),125)</f>
        <v>125</v>
      </c>
      <c r="AA21" s="248">
        <f ca="1">IFERROR(__xludf.DUMMYFUNCTION("IMPORTRANGE(""https://docs.google.com/spreadsheets/d/1Y9LPKx95PyL5OKy09d-KbKJSuuEZCFdkhYjwC0XQjBA/edit?usp=sharing"",""พิจิตร!J362"")"),139)</f>
        <v>139</v>
      </c>
      <c r="AB21" s="248">
        <f ca="1">IFERROR(__xludf.DUMMYFUNCTION("IMPORTRANGE(""https://docs.google.com/spreadsheets/d/1Y9LPKx95PyL5OKy09d-KbKJSuuEZCFdkhYjwC0XQjBA/edit?usp=sharing"",""พิจิตร!J363"")"),1091.81)</f>
        <v>1091.81</v>
      </c>
      <c r="AC21" s="252">
        <f t="shared" ca="1" si="45"/>
        <v>111.2</v>
      </c>
      <c r="AD21" s="248">
        <f ca="1">IFERROR(__xludf.DUMMYFUNCTION("IMPORTRANGE(""https://docs.google.com/spreadsheets/d/1Y9LPKx95PyL5OKy09d-KbKJSuuEZCFdkhYjwC0XQjBA/edit?usp=sharing"",""พิจิตร!I364"")"),425)</f>
        <v>425</v>
      </c>
      <c r="AE21" s="248">
        <f ca="1">IFERROR(__xludf.DUMMYFUNCTION("IMPORTRANGE(""https://docs.google.com/spreadsheets/d/1Y9LPKx95PyL5OKy09d-KbKJSuuEZCFdkhYjwC0XQjBA/edit?usp=sharing"",""พิจิตร!J364"")"),442)</f>
        <v>442</v>
      </c>
      <c r="AF21" s="252">
        <f t="shared" ca="1" si="16"/>
        <v>104</v>
      </c>
      <c r="AG21" s="248">
        <f ca="1">IFERROR(__xludf.DUMMYFUNCTION("IMPORTRANGE(""https://docs.google.com/spreadsheets/d/1Y9LPKx95PyL5OKy09d-KbKJSuuEZCFdkhYjwC0XQjBA/edit?usp=sharing"",""พิจิตร!I369"")"),50)</f>
        <v>50</v>
      </c>
      <c r="AH21" s="248">
        <f ca="1">IFERROR(__xludf.DUMMYFUNCTION("IMPORTRANGE(""https://docs.google.com/spreadsheets/d/1Y9LPKx95PyL5OKy09d-KbKJSuuEZCFdkhYjwC0XQjBA/edit?usp=sharing"",""พิจิตร!J368"")"),26)</f>
        <v>26</v>
      </c>
      <c r="AI21" s="248">
        <f ca="1">IFERROR(__xludf.DUMMYFUNCTION("IMPORTRANGE(""https://docs.google.com/spreadsheets/d/1Y9LPKx95PyL5OKy09d-KbKJSuuEZCFdkhYjwC0XQjBA/edit?usp=sharing"",""พิจิตร!J369"")"),88.67)</f>
        <v>88.67</v>
      </c>
      <c r="AJ21" s="252">
        <f t="shared" ca="1" si="46"/>
        <v>177.34</v>
      </c>
      <c r="AK21" s="248">
        <f ca="1">IFERROR(__xludf.DUMMYFUNCTION("IMPORTRANGE(""https://docs.google.com/spreadsheets/d/1Y9LPKx95PyL5OKy09d-KbKJSuuEZCFdkhYjwC0XQjBA/edit?usp=sharing"",""พิจิตร!I370"")"),5)</f>
        <v>5</v>
      </c>
      <c r="AL21" s="248">
        <f ca="1">IFERROR(__xludf.DUMMYFUNCTION("IMPORTRANGE(""https://docs.google.com/spreadsheets/d/1Y9LPKx95PyL5OKy09d-KbKJSuuEZCFdkhYjwC0XQjBA/edit?usp=sharing"",""พิจิตร!J370"")"),6)</f>
        <v>6</v>
      </c>
      <c r="AM21" s="248">
        <f ca="1">IFERROR(__xludf.DUMMYFUNCTION("IMPORTRANGE(""https://docs.google.com/spreadsheets/d/1Y9LPKx95PyL5OKy09d-KbKJSuuEZCFdkhYjwC0XQjBA/edit?usp=sharing"",""พิจิตร!J371"")"),10.69)</f>
        <v>10.69</v>
      </c>
      <c r="AN21" s="252">
        <f t="shared" ca="1" si="47"/>
        <v>120</v>
      </c>
      <c r="AO21" s="248">
        <f ca="1">IFERROR(__xludf.DUMMYFUNCTION("IMPORTRANGE(""https://docs.google.com/spreadsheets/d/1Y9LPKx95PyL5OKy09d-KbKJSuuEZCFdkhYjwC0XQjBA/edit?usp=sharing"",""พิจิตร!I372"")"),5)</f>
        <v>5</v>
      </c>
      <c r="AP21" s="248">
        <f ca="1">IFERROR(__xludf.DUMMYFUNCTION("IMPORTRANGE(""https://docs.google.com/spreadsheets/d/1Y9LPKx95PyL5OKy09d-KbKJSuuEZCFdkhYjwC0XQjBA/edit?usp=sharing"",""พิจิตร!J372"")"),6)</f>
        <v>6</v>
      </c>
      <c r="AQ21" s="248">
        <f ca="1">IFERROR(__xludf.DUMMYFUNCTION("IMPORTRANGE(""https://docs.google.com/spreadsheets/d/1Y9LPKx95PyL5OKy09d-KbKJSuuEZCFdkhYjwC0XQjBA/edit?usp=sharing"",""พิจิตร!J373"")"),10.69)</f>
        <v>10.69</v>
      </c>
      <c r="AR21" s="252">
        <f t="shared" ca="1" si="48"/>
        <v>120</v>
      </c>
      <c r="AS21" s="248">
        <f ca="1">IFERROR(__xludf.DUMMYFUNCTION("IMPORTRANGE(""https://docs.google.com/spreadsheets/d/1Y9LPKx95PyL5OKy09d-KbKJSuuEZCFdkhYjwC0XQjBA/edit?usp=sharing"",""พิจิตร!I378"")"),1200)</f>
        <v>1200</v>
      </c>
      <c r="AT21" s="248">
        <f ca="1">IFERROR(__xludf.DUMMYFUNCTION("IMPORTRANGE(""https://docs.google.com/spreadsheets/d/1Y9LPKx95PyL5OKy09d-KbKJSuuEZCFdkhYjwC0XQjBA/edit?usp=sharing"",""พิจิตร!J377"")"),157)</f>
        <v>157</v>
      </c>
      <c r="AU21" s="248">
        <f ca="1">IFERROR(__xludf.DUMMYFUNCTION("IMPORTRANGE(""https://docs.google.com/spreadsheets/d/1Y9LPKx95PyL5OKy09d-KbKJSuuEZCFdkhYjwC0XQjBA/edit?usp=sharing"",""พิจิตร!J378"")"),1252.23)</f>
        <v>1252.23</v>
      </c>
      <c r="AV21" s="252">
        <f t="shared" ca="1" si="49"/>
        <v>104.35250000000001</v>
      </c>
      <c r="AW21" s="248">
        <f ca="1">IFERROR(__xludf.DUMMYFUNCTION("IMPORTRANGE(""https://docs.google.com/spreadsheets/d/1Y9LPKx95PyL5OKy09d-KbKJSuuEZCFdkhYjwC0XQjBA/edit?usp=sharing"",""พิจิตร!I379"")"),420)</f>
        <v>420</v>
      </c>
      <c r="AX21" s="248">
        <f ca="1">IFERROR(__xludf.DUMMYFUNCTION("IMPORTRANGE(""https://docs.google.com/spreadsheets/d/1Y9LPKx95PyL5OKy09d-KbKJSuuEZCFdkhYjwC0XQjBA/edit?usp=sharing"",""พิจิตร!J379"")"),460)</f>
        <v>460</v>
      </c>
      <c r="AY21" s="248">
        <f ca="1">IFERROR(__xludf.DUMMYFUNCTION("IMPORTRANGE(""https://docs.google.com/spreadsheets/d/1Y9LPKx95PyL5OKy09d-KbKJSuuEZCFdkhYjwC0XQjBA/edit?usp=sharing"",""พิจิตร!J380"")"),6444.67)</f>
        <v>6444.67</v>
      </c>
      <c r="AZ21" s="252">
        <f t="shared" ca="1" si="50"/>
        <v>109.52380952380952</v>
      </c>
      <c r="BA21" s="248">
        <f ca="1">IFERROR(__xludf.DUMMYFUNCTION("IMPORTRANGE(""https://docs.google.com/spreadsheets/d/1Y9LPKx95PyL5OKy09d-KbKJSuuEZCFdkhYjwC0XQjBA/edit?usp=sharing"",""พิจิตร!I381"")"),420)</f>
        <v>420</v>
      </c>
      <c r="BB21" s="248">
        <f ca="1">IFERROR(__xludf.DUMMYFUNCTION("IMPORTRANGE(""https://docs.google.com/spreadsheets/d/1Y9LPKx95PyL5OKy09d-KbKJSuuEZCFdkhYjwC0XQjBA/edit?usp=sharing"",""พิจิตร!J381"")"),436)</f>
        <v>436</v>
      </c>
      <c r="BC21" s="248">
        <f ca="1">IFERROR(__xludf.DUMMYFUNCTION("IMPORTRANGE(""https://docs.google.com/spreadsheets/d/1Y9LPKx95PyL5OKy09d-KbKJSuuEZCFdkhYjwC0XQjBA/edit?usp=sharing"",""พิจิตร!J382"")"),6273.55999999999)</f>
        <v>6273.5599999999904</v>
      </c>
      <c r="BD21" s="252">
        <f t="shared" ca="1" si="51"/>
        <v>103.80952380952381</v>
      </c>
    </row>
    <row r="22" spans="1:56" ht="24" customHeight="1" x14ac:dyDescent="0.3">
      <c r="A22" s="243">
        <v>9</v>
      </c>
      <c r="B22" s="244" t="s">
        <v>44</v>
      </c>
      <c r="C22" s="245">
        <f t="shared" ca="1" si="0"/>
        <v>702430</v>
      </c>
      <c r="D22" s="246">
        <f t="shared" ca="1" si="64"/>
        <v>493630</v>
      </c>
      <c r="E22" s="247">
        <f ca="1">IFERROR(__xludf.DUMMYFUNCTION("IMPORTRANGE(""https://docs.google.com/spreadsheets/d/1MeEWN-I1oV_STSDYn1IFDPWt_1FKiwhDph83XaGc0o0/edit?usp=sharing"",""งบพรบ!EX22"")"),87600)</f>
        <v>87600</v>
      </c>
      <c r="F22" s="247">
        <f ca="1">IFERROR(__xludf.DUMMYFUNCTION("IMPORTRANGE(""https://docs.google.com/spreadsheets/d/1MeEWN-I1oV_STSDYn1IFDPWt_1FKiwhDph83XaGc0o0/edit?usp=sharing"",""งบพรบ!EY22"")"),406030)</f>
        <v>406030</v>
      </c>
      <c r="G22" s="247">
        <f ca="1">IFERROR(__xludf.DUMMYFUNCTION("IMPORTRANGE(""https://docs.google.com/spreadsheets/d/1MeEWN-I1oV_STSDYn1IFDPWt_1FKiwhDph83XaGc0o0/edit?usp=sharing"",""งบพรบ!EZ22"")"),208800)</f>
        <v>208800</v>
      </c>
      <c r="H22" s="247">
        <f ca="1">IFERROR(__xludf.DUMMYFUNCTION("IMPORTRANGE(""https://docs.google.com/spreadsheets/d/1MeEWN-I1oV_STSDYn1IFDPWt_1FKiwhDph83XaGc0o0/edit?usp=sharing"",""งบพรบ!FB22"")"),563630)</f>
        <v>563630</v>
      </c>
      <c r="I22" s="247">
        <f ca="1">IFERROR(__xludf.DUMMYFUNCTION("IMPORTRANGE(""https://docs.google.com/spreadsheets/d/1MeEWN-I1oV_STSDYn1IFDPWt_1FKiwhDph83XaGc0o0/edit?usp=sharing"",""งบพรบ!FC22"")"),208800)</f>
        <v>208800</v>
      </c>
      <c r="J22" s="247">
        <f t="shared" ca="1" si="3"/>
        <v>687648.28</v>
      </c>
      <c r="K22" s="253">
        <f t="shared" ca="1" si="4"/>
        <v>97.895630881368959</v>
      </c>
      <c r="L22" s="247">
        <f ca="1">IFERROR(__xludf.DUMMYFUNCTION("IMPORTRANGE(""https://docs.google.com/spreadsheets/d/1MeEWN-I1oV_STSDYn1IFDPWt_1FKiwhDph83XaGc0o0/edit?usp=sharing"",""งบพรบ!FD22"")"),478848.28)</f>
        <v>478848.28</v>
      </c>
      <c r="M22" s="250">
        <f t="shared" ca="1" si="5"/>
        <v>97.005506148329715</v>
      </c>
      <c r="N22" s="250">
        <f t="shared" ca="1" si="6"/>
        <v>84.957912105459258</v>
      </c>
      <c r="O22" s="251">
        <f ca="1">IFERROR(__xludf.DUMMYFUNCTION("IMPORTRANGE(""https://docs.google.com/spreadsheets/d/1MeEWN-I1oV_STSDYn1IFDPWt_1FKiwhDph83XaGc0o0/edit?usp=sharing"",""งบพรบ!FE22"")"),208800)</f>
        <v>208800</v>
      </c>
      <c r="P22" s="250">
        <f t="shared" ca="1" si="53"/>
        <v>100</v>
      </c>
      <c r="Q22" s="250">
        <f t="shared" ca="1" si="8"/>
        <v>100</v>
      </c>
      <c r="R22" s="248">
        <f ca="1">IFERROR(__xludf.DUMMYFUNCTION("IMPORTRANGE(""https://docs.google.com/spreadsheets/d/16OMuOwy2eVqZcYWOouQtTpa8X1L23h4660uVHc0C8os/edit?usp=sharing"",""พิษณุโลก!I359"")"),1850)</f>
        <v>1850</v>
      </c>
      <c r="S22" s="248">
        <f ca="1">IFERROR(__xludf.DUMMYFUNCTION("IMPORTRANGE(""https://docs.google.com/spreadsheets/d/16OMuOwy2eVqZcYWOouQtTpa8X1L23h4660uVHc0C8os/edit?usp=sharing"",""พิษณุโลก!J358"")"),134)</f>
        <v>134</v>
      </c>
      <c r="T22" s="248">
        <f ca="1">IFERROR(__xludf.DUMMYFUNCTION("IMPORTRANGE(""https://docs.google.com/spreadsheets/d/16OMuOwy2eVqZcYWOouQtTpa8X1L23h4660uVHc0C8os/edit?usp=sharing"",""พิษณุโลก!J359"")"),1177.87)</f>
        <v>1177.8699999999999</v>
      </c>
      <c r="U22" s="252">
        <f t="shared" ca="1" si="43"/>
        <v>63.668648648648642</v>
      </c>
      <c r="V22" s="248">
        <f ca="1">IFERROR(__xludf.DUMMYFUNCTION("IMPORTRANGE(""https://docs.google.com/spreadsheets/d/16OMuOwy2eVqZcYWOouQtTpa8X1L23h4660uVHc0C8os/edit?usp=sharing"",""พิษณุโลก!I360"")"),190)</f>
        <v>190</v>
      </c>
      <c r="W22" s="248">
        <f ca="1">IFERROR(__xludf.DUMMYFUNCTION("IMPORTRANGE(""https://docs.google.com/spreadsheets/d/16OMuOwy2eVqZcYWOouQtTpa8X1L23h4660uVHc0C8os/edit?usp=sharing"",""พิษณุโลก!J360"")"),150)</f>
        <v>150</v>
      </c>
      <c r="X22" s="248">
        <f ca="1">IFERROR(__xludf.DUMMYFUNCTION("IMPORTRANGE(""https://docs.google.com/spreadsheets/d/16OMuOwy2eVqZcYWOouQtTpa8X1L23h4660uVHc0C8os/edit?usp=sharing"",""พิษณุโลก!J361"")"),1504.73)</f>
        <v>1504.73</v>
      </c>
      <c r="Y22" s="252">
        <f t="shared" ca="1" si="44"/>
        <v>78.94736842105263</v>
      </c>
      <c r="Z22" s="248">
        <f ca="1">IFERROR(__xludf.DUMMYFUNCTION("IMPORTRANGE(""https://docs.google.com/spreadsheets/d/16OMuOwy2eVqZcYWOouQtTpa8X1L23h4660uVHc0C8os/edit?usp=sharing"",""พิษณุโลก!I362"")"),190)</f>
        <v>190</v>
      </c>
      <c r="AA22" s="248">
        <f ca="1">IFERROR(__xludf.DUMMYFUNCTION("IMPORTRANGE(""https://docs.google.com/spreadsheets/d/16OMuOwy2eVqZcYWOouQtTpa8X1L23h4660uVHc0C8os/edit?usp=sharing"",""พิษณุโลก!J362"")"),123)</f>
        <v>123</v>
      </c>
      <c r="AB22" s="248">
        <f ca="1">IFERROR(__xludf.DUMMYFUNCTION("IMPORTRANGE(""https://docs.google.com/spreadsheets/d/16OMuOwy2eVqZcYWOouQtTpa8X1L23h4660uVHc0C8os/edit?usp=sharing"",""พิษณุโลก!J363"")"),1425.8)</f>
        <v>1425.8</v>
      </c>
      <c r="AC22" s="252">
        <f t="shared" ca="1" si="45"/>
        <v>64.736842105263165</v>
      </c>
      <c r="AD22" s="248">
        <f ca="1">IFERROR(__xludf.DUMMYFUNCTION("IMPORTRANGE(""https://docs.google.com/spreadsheets/d/16OMuOwy2eVqZcYWOouQtTpa8X1L23h4660uVHc0C8os/edit?usp=sharing"",""พิษณุโลก!I364"")"),530)</f>
        <v>530</v>
      </c>
      <c r="AE22" s="248">
        <f ca="1">IFERROR(__xludf.DUMMYFUNCTION("IMPORTRANGE(""https://docs.google.com/spreadsheets/d/16OMuOwy2eVqZcYWOouQtTpa8X1L23h4660uVHc0C8os/edit?usp=sharing"",""พิษณุโลก!J364"")"),252)</f>
        <v>252</v>
      </c>
      <c r="AF22" s="252">
        <f t="shared" ca="1" si="16"/>
        <v>47.547169811320757</v>
      </c>
      <c r="AG22" s="248">
        <f ca="1">IFERROR(__xludf.DUMMYFUNCTION("IMPORTRANGE(""https://docs.google.com/spreadsheets/d/16OMuOwy2eVqZcYWOouQtTpa8X1L23h4660uVHc0C8os/edit?usp=sharing"",""พิษณุโลก!I369"")"),1500)</f>
        <v>1500</v>
      </c>
      <c r="AH22" s="248">
        <f ca="1">IFERROR(__xludf.DUMMYFUNCTION("IMPORTRANGE(""https://docs.google.com/spreadsheets/d/16OMuOwy2eVqZcYWOouQtTpa8X1L23h4660uVHc0C8os/edit?usp=sharing"",""พิษณุโลก!J368"")"),93)</f>
        <v>93</v>
      </c>
      <c r="AI22" s="248">
        <f ca="1">IFERROR(__xludf.DUMMYFUNCTION("IMPORTRANGE(""https://docs.google.com/spreadsheets/d/16OMuOwy2eVqZcYWOouQtTpa8X1L23h4660uVHc0C8os/edit?usp=sharing"",""พิษณุโลก!J369"")"),891.79)</f>
        <v>891.79</v>
      </c>
      <c r="AJ22" s="252">
        <f t="shared" ca="1" si="46"/>
        <v>59.452666666666666</v>
      </c>
      <c r="AK22" s="248">
        <f ca="1">IFERROR(__xludf.DUMMYFUNCTION("IMPORTRANGE(""https://docs.google.com/spreadsheets/d/16OMuOwy2eVqZcYWOouQtTpa8X1L23h4660uVHc0C8os/edit?usp=sharing"",""พิษณุโลก!I370"")"),150)</f>
        <v>150</v>
      </c>
      <c r="AL22" s="248">
        <f ca="1">IFERROR(__xludf.DUMMYFUNCTION("IMPORTRANGE(""https://docs.google.com/spreadsheets/d/16OMuOwy2eVqZcYWOouQtTpa8X1L23h4660uVHc0C8os/edit?usp=sharing"",""พิษณุโลก!J370"")"),109)</f>
        <v>109</v>
      </c>
      <c r="AM22" s="248">
        <f ca="1">IFERROR(__xludf.DUMMYFUNCTION("IMPORTRANGE(""https://docs.google.com/spreadsheets/d/16OMuOwy2eVqZcYWOouQtTpa8X1L23h4660uVHc0C8os/edit?usp=sharing"",""พิษณุโลก!J371"")"),1218.65)</f>
        <v>1218.6500000000001</v>
      </c>
      <c r="AN22" s="252">
        <f t="shared" ca="1" si="47"/>
        <v>72.666666666666671</v>
      </c>
      <c r="AO22" s="248">
        <f ca="1">IFERROR(__xludf.DUMMYFUNCTION("IMPORTRANGE(""https://docs.google.com/spreadsheets/d/16OMuOwy2eVqZcYWOouQtTpa8X1L23h4660uVHc0C8os/edit?usp=sharing"",""พิษณุโลก!I372"")"),150)</f>
        <v>150</v>
      </c>
      <c r="AP22" s="248">
        <f ca="1">IFERROR(__xludf.DUMMYFUNCTION("IMPORTRANGE(""https://docs.google.com/spreadsheets/d/16OMuOwy2eVqZcYWOouQtTpa8X1L23h4660uVHc0C8os/edit?usp=sharing"",""พิษณุโลก!J372"")"),93)</f>
        <v>93</v>
      </c>
      <c r="AQ22" s="248">
        <f ca="1">IFERROR(__xludf.DUMMYFUNCTION("IMPORTRANGE(""https://docs.google.com/spreadsheets/d/16OMuOwy2eVqZcYWOouQtTpa8X1L23h4660uVHc0C8os/edit?usp=sharing"",""พิษณุโลก!J373"")"),1171.73)</f>
        <v>1171.73</v>
      </c>
      <c r="AR22" s="252">
        <f t="shared" ca="1" si="48"/>
        <v>62</v>
      </c>
      <c r="AS22" s="248">
        <f ca="1">IFERROR(__xludf.DUMMYFUNCTION("IMPORTRANGE(""https://docs.google.com/spreadsheets/d/16OMuOwy2eVqZcYWOouQtTpa8X1L23h4660uVHc0C8os/edit?usp=sharing"",""พิษณุโลก!I378"")"),350)</f>
        <v>350</v>
      </c>
      <c r="AT22" s="248">
        <f ca="1">IFERROR(__xludf.DUMMYFUNCTION("IMPORTRANGE(""https://docs.google.com/spreadsheets/d/16OMuOwy2eVqZcYWOouQtTpa8X1L23h4660uVHc0C8os/edit?usp=sharing"",""พิษณุโลก!J377"")"),41)</f>
        <v>41</v>
      </c>
      <c r="AU22" s="248">
        <f ca="1">IFERROR(__xludf.DUMMYFUNCTION("IMPORTRANGE(""https://docs.google.com/spreadsheets/d/16OMuOwy2eVqZcYWOouQtTpa8X1L23h4660uVHc0C8os/edit?usp=sharing"",""พิษณุโลก!J378"")"),286.08)</f>
        <v>286.08</v>
      </c>
      <c r="AV22" s="252">
        <f t="shared" ca="1" si="49"/>
        <v>81.737142857142857</v>
      </c>
      <c r="AW22" s="248">
        <f ca="1">IFERROR(__xludf.DUMMYFUNCTION("IMPORTRANGE(""https://docs.google.com/spreadsheets/d/16OMuOwy2eVqZcYWOouQtTpa8X1L23h4660uVHc0C8os/edit?usp=sharing"",""พิษณุโลก!I379"")"),380)</f>
        <v>380</v>
      </c>
      <c r="AX22" s="248">
        <f ca="1">IFERROR(__xludf.DUMMYFUNCTION("IMPORTRANGE(""https://docs.google.com/spreadsheets/d/16OMuOwy2eVqZcYWOouQtTpa8X1L23h4660uVHc0C8os/edit?usp=sharing"",""พิษณุโลก!J379"")"),236)</f>
        <v>236</v>
      </c>
      <c r="AY22" s="248">
        <f ca="1">IFERROR(__xludf.DUMMYFUNCTION("IMPORTRANGE(""https://docs.google.com/spreadsheets/d/16OMuOwy2eVqZcYWOouQtTpa8X1L23h4660uVHc0C8os/edit?usp=sharing"",""พิษณุโลก!J380"")"),2869.64)</f>
        <v>2869.64</v>
      </c>
      <c r="AZ22" s="252">
        <f t="shared" ca="1" si="50"/>
        <v>62.10526315789474</v>
      </c>
      <c r="BA22" s="248">
        <f ca="1">IFERROR(__xludf.DUMMYFUNCTION("IMPORTRANGE(""https://docs.google.com/spreadsheets/d/16OMuOwy2eVqZcYWOouQtTpa8X1L23h4660uVHc0C8os/edit?usp=sharing"",""พิษณุโลก!I381"")"),380)</f>
        <v>380</v>
      </c>
      <c r="BB22" s="248">
        <f ca="1">IFERROR(__xludf.DUMMYFUNCTION("IMPORTRANGE(""https://docs.google.com/spreadsheets/d/16OMuOwy2eVqZcYWOouQtTpa8X1L23h4660uVHc0C8os/edit?usp=sharing"",""พิษณุโลก!J381"")"),159)</f>
        <v>159</v>
      </c>
      <c r="BC22" s="248">
        <f ca="1">IFERROR(__xludf.DUMMYFUNCTION("IMPORTRANGE(""https://docs.google.com/spreadsheets/d/16OMuOwy2eVqZcYWOouQtTpa8X1L23h4660uVHc0C8os/edit?usp=sharing"",""พิษณุโลก!J382"")"),1919.68999999999)</f>
        <v>1919.6899999999901</v>
      </c>
      <c r="BD22" s="252">
        <f t="shared" ca="1" si="51"/>
        <v>41.842105263157897</v>
      </c>
    </row>
    <row r="23" spans="1:56" ht="24" customHeight="1" x14ac:dyDescent="0.3">
      <c r="A23" s="243">
        <v>10</v>
      </c>
      <c r="B23" s="244" t="s">
        <v>45</v>
      </c>
      <c r="C23" s="245">
        <f t="shared" ca="1" si="0"/>
        <v>987190</v>
      </c>
      <c r="D23" s="246">
        <f t="shared" ca="1" si="64"/>
        <v>851590</v>
      </c>
      <c r="E23" s="247">
        <f ca="1">IFERROR(__xludf.DUMMYFUNCTION("IMPORTRANGE(""https://docs.google.com/spreadsheets/d/1MeEWN-I1oV_STSDYn1IFDPWt_1FKiwhDph83XaGc0o0/edit?usp=sharing"",""งบพรบ!EX23"")"),0)</f>
        <v>0</v>
      </c>
      <c r="F23" s="247">
        <f ca="1">IFERROR(__xludf.DUMMYFUNCTION("IMPORTRANGE(""https://docs.google.com/spreadsheets/d/1MeEWN-I1oV_STSDYn1IFDPWt_1FKiwhDph83XaGc0o0/edit?usp=sharing"",""งบพรบ!EY23"")"),851590)</f>
        <v>851590</v>
      </c>
      <c r="G23" s="247">
        <f ca="1">IFERROR(__xludf.DUMMYFUNCTION("IMPORTRANGE(""https://docs.google.com/spreadsheets/d/1MeEWN-I1oV_STSDYn1IFDPWt_1FKiwhDph83XaGc0o0/edit?usp=sharing"",""งบพรบ!EZ23"")"),135600)</f>
        <v>135600</v>
      </c>
      <c r="H23" s="247">
        <f ca="1">IFERROR(__xludf.DUMMYFUNCTION("IMPORTRANGE(""https://docs.google.com/spreadsheets/d/1MeEWN-I1oV_STSDYn1IFDPWt_1FKiwhDph83XaGc0o0/edit?usp=sharing"",""งบพรบ!FB23"")"),985690)</f>
        <v>985690</v>
      </c>
      <c r="I23" s="247">
        <f ca="1">IFERROR(__xludf.DUMMYFUNCTION("IMPORTRANGE(""https://docs.google.com/spreadsheets/d/1MeEWN-I1oV_STSDYn1IFDPWt_1FKiwhDph83XaGc0o0/edit?usp=sharing"",""งบพรบ!FC23"")"),135600)</f>
        <v>135600</v>
      </c>
      <c r="J23" s="247">
        <f t="shared" ca="1" si="3"/>
        <v>872345.12</v>
      </c>
      <c r="K23" s="253">
        <f t="shared" ca="1" si="4"/>
        <v>88.366486694557281</v>
      </c>
      <c r="L23" s="247">
        <f ca="1">IFERROR(__xludf.DUMMYFUNCTION("IMPORTRANGE(""https://docs.google.com/spreadsheets/d/1MeEWN-I1oV_STSDYn1IFDPWt_1FKiwhDph83XaGc0o0/edit?usp=sharing"",""งบพรบ!FD23"")"),736745.12)</f>
        <v>736745.12</v>
      </c>
      <c r="M23" s="250">
        <f t="shared" ca="1" si="5"/>
        <v>86.51406427975904</v>
      </c>
      <c r="N23" s="250">
        <f t="shared" ca="1" si="6"/>
        <v>74.744100072030761</v>
      </c>
      <c r="O23" s="251">
        <f ca="1">IFERROR(__xludf.DUMMYFUNCTION("IMPORTRANGE(""https://docs.google.com/spreadsheets/d/1MeEWN-I1oV_STSDYn1IFDPWt_1FKiwhDph83XaGc0o0/edit?usp=sharing"",""งบพรบ!FE23"")"),135600)</f>
        <v>135600</v>
      </c>
      <c r="P23" s="250">
        <f t="shared" ca="1" si="53"/>
        <v>100</v>
      </c>
      <c r="Q23" s="250">
        <f t="shared" ca="1" si="8"/>
        <v>100</v>
      </c>
      <c r="R23" s="248">
        <f ca="1">IFERROR(__xludf.DUMMYFUNCTION("IMPORTRANGE(""https://docs.google.com/spreadsheets/d/1GfgTldLG6k77HXaMQzaafODklYuucJZQNs_GAPEfZyY/edit?usp=sharing"",""เพชรบูรณ์!I359"")"),5000)</f>
        <v>5000</v>
      </c>
      <c r="S23" s="248">
        <f ca="1">IFERROR(__xludf.DUMMYFUNCTION("IMPORTRANGE(""https://docs.google.com/spreadsheets/d/1GfgTldLG6k77HXaMQzaafODklYuucJZQNs_GAPEfZyY/edit?usp=sharing"",""เพชรบูรณ์!J358"")"),298)</f>
        <v>298</v>
      </c>
      <c r="T23" s="248">
        <f ca="1">IFERROR(__xludf.DUMMYFUNCTION("IMPORTRANGE(""https://docs.google.com/spreadsheets/d/1GfgTldLG6k77HXaMQzaafODklYuucJZQNs_GAPEfZyY/edit?usp=sharing"",""เพชรบูรณ์!J359"")"),3691.81999999999)</f>
        <v>3691.8199999999902</v>
      </c>
      <c r="U23" s="252">
        <f t="shared" ca="1" si="43"/>
        <v>73.836399999999799</v>
      </c>
      <c r="V23" s="248">
        <f ca="1">IFERROR(__xludf.DUMMYFUNCTION("IMPORTRANGE(""https://docs.google.com/spreadsheets/d/1GfgTldLG6k77HXaMQzaafODklYuucJZQNs_GAPEfZyY/edit?usp=sharing"",""เพชรบูรณ์!I360"")"),685)</f>
        <v>685</v>
      </c>
      <c r="W23" s="248">
        <f ca="1">IFERROR(__xludf.DUMMYFUNCTION("IMPORTRANGE(""https://docs.google.com/spreadsheets/d/1GfgTldLG6k77HXaMQzaafODklYuucJZQNs_GAPEfZyY/edit?usp=sharing"",""เพชรบูรณ์!J360"")"),394)</f>
        <v>394</v>
      </c>
      <c r="X23" s="248">
        <f ca="1">IFERROR(__xludf.DUMMYFUNCTION("IMPORTRANGE(""https://docs.google.com/spreadsheets/d/1GfgTldLG6k77HXaMQzaafODklYuucJZQNs_GAPEfZyY/edit?usp=sharing"",""เพชรบูรณ์!J361"")"),5208.07)</f>
        <v>5208.07</v>
      </c>
      <c r="Y23" s="252">
        <f t="shared" ca="1" si="44"/>
        <v>57.518248175182485</v>
      </c>
      <c r="Z23" s="248">
        <f ca="1">IFERROR(__xludf.DUMMYFUNCTION("IMPORTRANGE(""https://docs.google.com/spreadsheets/d/1GfgTldLG6k77HXaMQzaafODklYuucJZQNs_GAPEfZyY/edit?usp=sharing"",""เพชรบูรณ์!I362"")"),685)</f>
        <v>685</v>
      </c>
      <c r="AA23" s="248">
        <f ca="1">IFERROR(__xludf.DUMMYFUNCTION("IMPORTRANGE(""https://docs.google.com/spreadsheets/d/1GfgTldLG6k77HXaMQzaafODklYuucJZQNs_GAPEfZyY/edit?usp=sharing"",""เพชรบูรณ์!J362"")"),241)</f>
        <v>241</v>
      </c>
      <c r="AB23" s="248">
        <f ca="1">IFERROR(__xludf.DUMMYFUNCTION("IMPORTRANGE(""https://docs.google.com/spreadsheets/d/1GfgTldLG6k77HXaMQzaafODklYuucJZQNs_GAPEfZyY/edit?usp=sharing"",""เพชรบูรณ์!J363"")"),3279.19)</f>
        <v>3279.19</v>
      </c>
      <c r="AC23" s="252">
        <f t="shared" ca="1" si="45"/>
        <v>35.182481751824817</v>
      </c>
      <c r="AD23" s="248">
        <f ca="1">IFERROR(__xludf.DUMMYFUNCTION("IMPORTRANGE(""https://docs.google.com/spreadsheets/d/1GfgTldLG6k77HXaMQzaafODklYuucJZQNs_GAPEfZyY/edit?usp=sharing"",""เพชรบูรณ์!I364"")"),1285)</f>
        <v>1285</v>
      </c>
      <c r="AE23" s="248">
        <f ca="1">IFERROR(__xludf.DUMMYFUNCTION("IMPORTRANGE(""https://docs.google.com/spreadsheets/d/1GfgTldLG6k77HXaMQzaafODklYuucJZQNs_GAPEfZyY/edit?usp=sharing"",""เพชรบูรณ์!J364"")"),927)</f>
        <v>927</v>
      </c>
      <c r="AF23" s="252">
        <f t="shared" ca="1" si="16"/>
        <v>72.140077821011673</v>
      </c>
      <c r="AG23" s="248">
        <f ca="1">IFERROR(__xludf.DUMMYFUNCTION("IMPORTRANGE(""https://docs.google.com/spreadsheets/d/1GfgTldLG6k77HXaMQzaafODklYuucJZQNs_GAPEfZyY/edit?usp=sharing"",""เพชรบูรณ์!I369"")"),1000)</f>
        <v>1000</v>
      </c>
      <c r="AH23" s="248">
        <f ca="1">IFERROR(__xludf.DUMMYFUNCTION("IMPORTRANGE(""https://docs.google.com/spreadsheets/d/1GfgTldLG6k77HXaMQzaafODklYuucJZQNs_GAPEfZyY/edit?usp=sharing"",""เพชรบูรณ์!J368"")"),90)</f>
        <v>90</v>
      </c>
      <c r="AI23" s="248">
        <f ca="1">IFERROR(__xludf.DUMMYFUNCTION("IMPORTRANGE(""https://docs.google.com/spreadsheets/d/1GfgTldLG6k77HXaMQzaafODklYuucJZQNs_GAPEfZyY/edit?usp=sharing"",""เพชรบูรณ์!J369"")"),1141.45)</f>
        <v>1141.45</v>
      </c>
      <c r="AJ23" s="252">
        <f t="shared" ca="1" si="46"/>
        <v>114.145</v>
      </c>
      <c r="AK23" s="248">
        <f ca="1">IFERROR(__xludf.DUMMYFUNCTION("IMPORTRANGE(""https://docs.google.com/spreadsheets/d/1GfgTldLG6k77HXaMQzaafODklYuucJZQNs_GAPEfZyY/edit?usp=sharing"",""เพชรบูรณ์!I370"")"),100)</f>
        <v>100</v>
      </c>
      <c r="AL23" s="248">
        <f ca="1">IFERROR(__xludf.DUMMYFUNCTION("IMPORTRANGE(""https://docs.google.com/spreadsheets/d/1GfgTldLG6k77HXaMQzaafODklYuucJZQNs_GAPEfZyY/edit?usp=sharing"",""เพชรบูรณ์!J370"")"),187)</f>
        <v>187</v>
      </c>
      <c r="AM23" s="248">
        <f ca="1">IFERROR(__xludf.DUMMYFUNCTION("IMPORTRANGE(""https://docs.google.com/spreadsheets/d/1GfgTldLG6k77HXaMQzaafODklYuucJZQNs_GAPEfZyY/edit?usp=sharing"",""เพชรบูรณ์!J371"")"),2659.89)</f>
        <v>2659.89</v>
      </c>
      <c r="AN23" s="252">
        <f t="shared" ca="1" si="47"/>
        <v>187</v>
      </c>
      <c r="AO23" s="248">
        <f ca="1">IFERROR(__xludf.DUMMYFUNCTION("IMPORTRANGE(""https://docs.google.com/spreadsheets/d/1GfgTldLG6k77HXaMQzaafODklYuucJZQNs_GAPEfZyY/edit?usp=sharing"",""เพชรบูรณ์!I372"")"),100)</f>
        <v>100</v>
      </c>
      <c r="AP23" s="248">
        <f ca="1">IFERROR(__xludf.DUMMYFUNCTION("IMPORTRANGE(""https://docs.google.com/spreadsheets/d/1GfgTldLG6k77HXaMQzaafODklYuucJZQNs_GAPEfZyY/edit?usp=sharing"",""เพชรบูรณ์!J372"")"),112)</f>
        <v>112</v>
      </c>
      <c r="AQ23" s="248">
        <f ca="1">IFERROR(__xludf.DUMMYFUNCTION("IMPORTRANGE(""https://docs.google.com/spreadsheets/d/1GfgTldLG6k77HXaMQzaafODklYuucJZQNs_GAPEfZyY/edit?usp=sharing"",""เพชรบูรณ์!J373"")"),1718.25)</f>
        <v>1718.25</v>
      </c>
      <c r="AR23" s="252">
        <f t="shared" ca="1" si="48"/>
        <v>112</v>
      </c>
      <c r="AS23" s="248">
        <f ca="1">IFERROR(__xludf.DUMMYFUNCTION("IMPORTRANGE(""https://docs.google.com/spreadsheets/d/1GfgTldLG6k77HXaMQzaafODklYuucJZQNs_GAPEfZyY/edit?usp=sharing"",""เพชรบูรณ์!I378"")"),4000)</f>
        <v>4000</v>
      </c>
      <c r="AT23" s="248">
        <f ca="1">IFERROR(__xludf.DUMMYFUNCTION("IMPORTRANGE(""https://docs.google.com/spreadsheets/d/1GfgTldLG6k77HXaMQzaafODklYuucJZQNs_GAPEfZyY/edit?usp=sharing"",""เพชรบูรณ์!J377"")"),208)</f>
        <v>208</v>
      </c>
      <c r="AU23" s="248">
        <f ca="1">IFERROR(__xludf.DUMMYFUNCTION("IMPORTRANGE(""https://docs.google.com/spreadsheets/d/1GfgTldLG6k77HXaMQzaafODklYuucJZQNs_GAPEfZyY/edit?usp=sharing"",""เพชรบูรณ์!J378"")"),2550.37)</f>
        <v>2550.37</v>
      </c>
      <c r="AV23" s="252">
        <f t="shared" ca="1" si="49"/>
        <v>63.759250000000002</v>
      </c>
      <c r="AW23" s="248">
        <f ca="1">IFERROR(__xludf.DUMMYFUNCTION("IMPORTRANGE(""https://docs.google.com/spreadsheets/d/1GfgTldLG6k77HXaMQzaafODklYuucJZQNs_GAPEfZyY/edit?usp=sharing"",""เพชรบูรณ์!I379"")"),1185)</f>
        <v>1185</v>
      </c>
      <c r="AX23" s="248">
        <f ca="1">IFERROR(__xludf.DUMMYFUNCTION("IMPORTRANGE(""https://docs.google.com/spreadsheets/d/1GfgTldLG6k77HXaMQzaafODklYuucJZQNs_GAPEfZyY/edit?usp=sharing"",""เพชรบูรณ์!J379"")"),894)</f>
        <v>894</v>
      </c>
      <c r="AY23" s="248">
        <f ca="1">IFERROR(__xludf.DUMMYFUNCTION("IMPORTRANGE(""https://docs.google.com/spreadsheets/d/1GfgTldLG6k77HXaMQzaafODklYuucJZQNs_GAPEfZyY/edit?usp=sharing"",""เพชรบูรณ์!J380"")"),14785.04)</f>
        <v>14785.04</v>
      </c>
      <c r="AZ23" s="252">
        <f t="shared" ca="1" si="50"/>
        <v>75.443037974683548</v>
      </c>
      <c r="BA23" s="248">
        <f ca="1">IFERROR(__xludf.DUMMYFUNCTION("IMPORTRANGE(""https://docs.google.com/spreadsheets/d/1GfgTldLG6k77HXaMQzaafODklYuucJZQNs_GAPEfZyY/edit?usp=sharing"",""เพชรบูรณ์!I381"")"),1185)</f>
        <v>1185</v>
      </c>
      <c r="BB23" s="248">
        <f ca="1">IFERROR(__xludf.DUMMYFUNCTION("IMPORTRANGE(""https://docs.google.com/spreadsheets/d/1GfgTldLG6k77HXaMQzaafODklYuucJZQNs_GAPEfZyY/edit?usp=sharing"",""เพชรบูรณ์!J381"")"),815)</f>
        <v>815</v>
      </c>
      <c r="BC23" s="248">
        <f ca="1">IFERROR(__xludf.DUMMYFUNCTION("IMPORTRANGE(""https://docs.google.com/spreadsheets/d/1GfgTldLG6k77HXaMQzaafODklYuucJZQNs_GAPEfZyY/edit?usp=sharing"",""เพชรบูรณ์!J382"")"),13783.8)</f>
        <v>13783.8</v>
      </c>
      <c r="BD23" s="252">
        <f t="shared" ca="1" si="51"/>
        <v>68.776371308016877</v>
      </c>
    </row>
    <row r="24" spans="1:56" ht="24" customHeight="1" x14ac:dyDescent="0.3">
      <c r="A24" s="243">
        <v>11</v>
      </c>
      <c r="B24" s="244" t="s">
        <v>46</v>
      </c>
      <c r="C24" s="245">
        <f t="shared" ca="1" si="0"/>
        <v>614330</v>
      </c>
      <c r="D24" s="246">
        <f t="shared" ca="1" si="64"/>
        <v>545530</v>
      </c>
      <c r="E24" s="247">
        <f ca="1">IFERROR(__xludf.DUMMYFUNCTION("IMPORTRANGE(""https://docs.google.com/spreadsheets/d/1MeEWN-I1oV_STSDYn1IFDPWt_1FKiwhDph83XaGc0o0/edit?usp=sharing"",""งบพรบ!EX24"")"),228000)</f>
        <v>228000</v>
      </c>
      <c r="F24" s="247">
        <f ca="1">IFERROR(__xludf.DUMMYFUNCTION("IMPORTRANGE(""https://docs.google.com/spreadsheets/d/1MeEWN-I1oV_STSDYn1IFDPWt_1FKiwhDph83XaGc0o0/edit?usp=sharing"",""งบพรบ!EY24"")"),317530)</f>
        <v>317530</v>
      </c>
      <c r="G24" s="247">
        <f ca="1">IFERROR(__xludf.DUMMYFUNCTION("IMPORTRANGE(""https://docs.google.com/spreadsheets/d/1MeEWN-I1oV_STSDYn1IFDPWt_1FKiwhDph83XaGc0o0/edit?usp=sharing"",""งบพรบ!EZ24"")"),68800)</f>
        <v>68800</v>
      </c>
      <c r="H24" s="247">
        <f ca="1">IFERROR(__xludf.DUMMYFUNCTION("IMPORTRANGE(""https://docs.google.com/spreadsheets/d/1MeEWN-I1oV_STSDYn1IFDPWt_1FKiwhDph83XaGc0o0/edit?usp=sharing"",""งบพรบ!FB24"")"),620530)</f>
        <v>620530</v>
      </c>
      <c r="I24" s="247">
        <f ca="1">IFERROR(__xludf.DUMMYFUNCTION("IMPORTRANGE(""https://docs.google.com/spreadsheets/d/1MeEWN-I1oV_STSDYn1IFDPWt_1FKiwhDph83XaGc0o0/edit?usp=sharing"",""งบพรบ!FC24"")"),258000)</f>
        <v>258000</v>
      </c>
      <c r="J24" s="247">
        <f t="shared" ca="1" si="3"/>
        <v>538667.83000000007</v>
      </c>
      <c r="K24" s="253">
        <f t="shared" ca="1" si="4"/>
        <v>87.683790470919547</v>
      </c>
      <c r="L24" s="247">
        <f ca="1">IFERROR(__xludf.DUMMYFUNCTION("IMPORTRANGE(""https://docs.google.com/spreadsheets/d/1MeEWN-I1oV_STSDYn1IFDPWt_1FKiwhDph83XaGc0o0/edit?usp=sharing"",""งบพรบ!FD24"")"),470167.83)</f>
        <v>470167.83</v>
      </c>
      <c r="M24" s="250">
        <f t="shared" ca="1" si="5"/>
        <v>86.18551317067805</v>
      </c>
      <c r="N24" s="250">
        <f t="shared" ca="1" si="6"/>
        <v>75.768750906483163</v>
      </c>
      <c r="O24" s="251">
        <f ca="1">IFERROR(__xludf.DUMMYFUNCTION("IMPORTRANGE(""https://docs.google.com/spreadsheets/d/1MeEWN-I1oV_STSDYn1IFDPWt_1FKiwhDph83XaGc0o0/edit?usp=sharing"",""งบพรบ!FE24"")"),68500)</f>
        <v>68500</v>
      </c>
      <c r="P24" s="250">
        <f t="shared" ca="1" si="53"/>
        <v>99.563953488372093</v>
      </c>
      <c r="Q24" s="250">
        <f t="shared" ca="1" si="8"/>
        <v>26.550387596899224</v>
      </c>
      <c r="R24" s="248">
        <f ca="1">IFERROR(__xludf.DUMMYFUNCTION("IMPORTRANGE(""https://docs.google.com/spreadsheets/d/1gvTMYAnm7v1yG1BKWFtr0DnaTsq59oW9dwWvFgq6hs0/edit?usp=sharing"",""แพร่!I359"")"),800)</f>
        <v>800</v>
      </c>
      <c r="S24" s="248">
        <f ca="1">IFERROR(__xludf.DUMMYFUNCTION("IMPORTRANGE(""https://docs.google.com/spreadsheets/d/1gvTMYAnm7v1yG1BKWFtr0DnaTsq59oW9dwWvFgq6hs0/edit?usp=sharing"",""แพร่!J358"")"),136)</f>
        <v>136</v>
      </c>
      <c r="T24" s="248">
        <f ca="1">IFERROR(__xludf.DUMMYFUNCTION("IMPORTRANGE(""https://docs.google.com/spreadsheets/d/1gvTMYAnm7v1yG1BKWFtr0DnaTsq59oW9dwWvFgq6hs0/edit?usp=sharing"",""แพร่!J359"")"),831.109999999999)</f>
        <v>831.10999999999899</v>
      </c>
      <c r="U24" s="252">
        <f t="shared" ca="1" si="43"/>
        <v>103.88874999999987</v>
      </c>
      <c r="V24" s="248">
        <f ca="1">IFERROR(__xludf.DUMMYFUNCTION("IMPORTRANGE(""https://docs.google.com/spreadsheets/d/1gvTMYAnm7v1yG1BKWFtr0DnaTsq59oW9dwWvFgq6hs0/edit?usp=sharing"",""แพร่!I360"")"),80)</f>
        <v>80</v>
      </c>
      <c r="W24" s="248">
        <f ca="1">IFERROR(__xludf.DUMMYFUNCTION("IMPORTRANGE(""https://docs.google.com/spreadsheets/d/1gvTMYAnm7v1yG1BKWFtr0DnaTsq59oW9dwWvFgq6hs0/edit?usp=sharing"",""แพร่!J360"")"),140)</f>
        <v>140</v>
      </c>
      <c r="X24" s="248">
        <f ca="1">IFERROR(__xludf.DUMMYFUNCTION("IMPORTRANGE(""https://docs.google.com/spreadsheets/d/1gvTMYAnm7v1yG1BKWFtr0DnaTsq59oW9dwWvFgq6hs0/edit?usp=sharing"",""แพร่!J361"")"),834.099999999999)</f>
        <v>834.099999999999</v>
      </c>
      <c r="Y24" s="252">
        <f t="shared" ca="1" si="44"/>
        <v>175</v>
      </c>
      <c r="Z24" s="248">
        <f ca="1">IFERROR(__xludf.DUMMYFUNCTION("IMPORTRANGE(""https://docs.google.com/spreadsheets/d/1gvTMYAnm7v1yG1BKWFtr0DnaTsq59oW9dwWvFgq6hs0/edit?usp=sharing"",""แพร่!I362"")"),80)</f>
        <v>80</v>
      </c>
      <c r="AA24" s="248">
        <f ca="1">IFERROR(__xludf.DUMMYFUNCTION("IMPORTRANGE(""https://docs.google.com/spreadsheets/d/1gvTMYAnm7v1yG1BKWFtr0DnaTsq59oW9dwWvFgq6hs0/edit?usp=sharing"",""แพร่!J362"")"),107)</f>
        <v>107</v>
      </c>
      <c r="AB24" s="248">
        <f ca="1">IFERROR(__xludf.DUMMYFUNCTION("IMPORTRANGE(""https://docs.google.com/spreadsheets/d/1gvTMYAnm7v1yG1BKWFtr0DnaTsq59oW9dwWvFgq6hs0/edit?usp=sharing"",""แพร่!J363"")"),631.63)</f>
        <v>631.63</v>
      </c>
      <c r="AC24" s="252">
        <f t="shared" ca="1" si="45"/>
        <v>133.75</v>
      </c>
      <c r="AD24" s="248">
        <f ca="1">IFERROR(__xludf.DUMMYFUNCTION("IMPORTRANGE(""https://docs.google.com/spreadsheets/d/1gvTMYAnm7v1yG1BKWFtr0DnaTsq59oW9dwWvFgq6hs0/edit?usp=sharing"",""แพร่!I364"")"),380)</f>
        <v>380</v>
      </c>
      <c r="AE24" s="248">
        <f ca="1">IFERROR(__xludf.DUMMYFUNCTION("IMPORTRANGE(""https://docs.google.com/spreadsheets/d/1gvTMYAnm7v1yG1BKWFtr0DnaTsq59oW9dwWvFgq6hs0/edit?usp=sharing"",""แพร่!J364"")"),434)</f>
        <v>434</v>
      </c>
      <c r="AF24" s="252">
        <f t="shared" ca="1" si="16"/>
        <v>114.21052631578948</v>
      </c>
      <c r="AG24" s="248">
        <f ca="1">IFERROR(__xludf.DUMMYFUNCTION("IMPORTRANGE(""https://docs.google.com/spreadsheets/d/1gvTMYAnm7v1yG1BKWFtr0DnaTsq59oW9dwWvFgq6hs0/edit?usp=sharing"",""แพร่!I369"")"),500)</f>
        <v>500</v>
      </c>
      <c r="AH24" s="248">
        <f ca="1">IFERROR(__xludf.DUMMYFUNCTION("IMPORTRANGE(""https://docs.google.com/spreadsheets/d/1gvTMYAnm7v1yG1BKWFtr0DnaTsq59oW9dwWvFgq6hs0/edit?usp=sharing"",""แพร่!J368"")"),79)</f>
        <v>79</v>
      </c>
      <c r="AI24" s="248">
        <f ca="1">IFERROR(__xludf.DUMMYFUNCTION("IMPORTRANGE(""https://docs.google.com/spreadsheets/d/1gvTMYAnm7v1yG1BKWFtr0DnaTsq59oW9dwWvFgq6hs0/edit?usp=sharing"",""แพร่!J369"")"),514.52)</f>
        <v>514.52</v>
      </c>
      <c r="AJ24" s="252">
        <f t="shared" ca="1" si="46"/>
        <v>102.904</v>
      </c>
      <c r="AK24" s="248">
        <f ca="1">IFERROR(__xludf.DUMMYFUNCTION("IMPORTRANGE(""https://docs.google.com/spreadsheets/d/1gvTMYAnm7v1yG1BKWFtr0DnaTsq59oW9dwWvFgq6hs0/edit?usp=sharing"",""แพร่!I370"")"),50)</f>
        <v>50</v>
      </c>
      <c r="AL24" s="248">
        <f ca="1">IFERROR(__xludf.DUMMYFUNCTION("IMPORTRANGE(""https://docs.google.com/spreadsheets/d/1gvTMYAnm7v1yG1BKWFtr0DnaTsq59oW9dwWvFgq6hs0/edit?usp=sharing"",""แพร่!J370"")"),84)</f>
        <v>84</v>
      </c>
      <c r="AM24" s="248">
        <f ca="1">IFERROR(__xludf.DUMMYFUNCTION("IMPORTRANGE(""https://docs.google.com/spreadsheets/d/1gvTMYAnm7v1yG1BKWFtr0DnaTsq59oW9dwWvFgq6hs0/edit?usp=sharing"",""แพร่!J371"")"),524.06)</f>
        <v>524.05999999999995</v>
      </c>
      <c r="AN24" s="252">
        <f t="shared" ca="1" si="47"/>
        <v>168</v>
      </c>
      <c r="AO24" s="248">
        <f ca="1">IFERROR(__xludf.DUMMYFUNCTION("IMPORTRANGE(""https://docs.google.com/spreadsheets/d/1gvTMYAnm7v1yG1BKWFtr0DnaTsq59oW9dwWvFgq6hs0/edit?usp=sharing"",""แพร่!I372"")"),50)</f>
        <v>50</v>
      </c>
      <c r="AP24" s="248">
        <f ca="1">IFERROR(__xludf.DUMMYFUNCTION("IMPORTRANGE(""https://docs.google.com/spreadsheets/d/1gvTMYAnm7v1yG1BKWFtr0DnaTsq59oW9dwWvFgq6hs0/edit?usp=sharing"",""แพร่!J372"")"),78)</f>
        <v>78</v>
      </c>
      <c r="AQ24" s="248">
        <f ca="1">IFERROR(__xludf.DUMMYFUNCTION("IMPORTRANGE(""https://docs.google.com/spreadsheets/d/1gvTMYAnm7v1yG1BKWFtr0DnaTsq59oW9dwWvFgq6hs0/edit?usp=sharing"",""แพร่!J373"")"),490.01)</f>
        <v>490.01</v>
      </c>
      <c r="AR24" s="252">
        <f t="shared" ca="1" si="48"/>
        <v>156</v>
      </c>
      <c r="AS24" s="248">
        <f ca="1">IFERROR(__xludf.DUMMYFUNCTION("IMPORTRANGE(""https://docs.google.com/spreadsheets/d/1gvTMYAnm7v1yG1BKWFtr0DnaTsq59oW9dwWvFgq6hs0/edit?usp=sharing"",""แพร่!I378"")"),300)</f>
        <v>300</v>
      </c>
      <c r="AT24" s="248">
        <f ca="1">IFERROR(__xludf.DUMMYFUNCTION("IMPORTRANGE(""https://docs.google.com/spreadsheets/d/1gvTMYAnm7v1yG1BKWFtr0DnaTsq59oW9dwWvFgq6hs0/edit?usp=sharing"",""แพร่!J377"")"),57)</f>
        <v>57</v>
      </c>
      <c r="AU24" s="248">
        <f ca="1">IFERROR(__xludf.DUMMYFUNCTION("IMPORTRANGE(""https://docs.google.com/spreadsheets/d/1gvTMYAnm7v1yG1BKWFtr0DnaTsq59oW9dwWvFgq6hs0/edit?usp=sharing"",""แพร่!J378"")"),316.59)</f>
        <v>316.58999999999997</v>
      </c>
      <c r="AV24" s="252">
        <f t="shared" ca="1" si="49"/>
        <v>105.52999999999999</v>
      </c>
      <c r="AW24" s="248">
        <f ca="1">IFERROR(__xludf.DUMMYFUNCTION("IMPORTRANGE(""https://docs.google.com/spreadsheets/d/1gvTMYAnm7v1yG1BKWFtr0DnaTsq59oW9dwWvFgq6hs0/edit?usp=sharing"",""แพร่!I379"")"),330)</f>
        <v>330</v>
      </c>
      <c r="AX24" s="248">
        <f ca="1">IFERROR(__xludf.DUMMYFUNCTION("IMPORTRANGE(""https://docs.google.com/spreadsheets/d/1gvTMYAnm7v1yG1BKWFtr0DnaTsq59oW9dwWvFgq6hs0/edit?usp=sharing"",""แพร่!J379"")"),384)</f>
        <v>384</v>
      </c>
      <c r="AY24" s="248">
        <f ca="1">IFERROR(__xludf.DUMMYFUNCTION("IMPORTRANGE(""https://docs.google.com/spreadsheets/d/1gvTMYAnm7v1yG1BKWFtr0DnaTsq59oW9dwWvFgq6hs0/edit?usp=sharing"",""แพร่!J380"")"),3409.59)</f>
        <v>3409.59</v>
      </c>
      <c r="AZ24" s="252">
        <f t="shared" ca="1" si="50"/>
        <v>116.36363636363636</v>
      </c>
      <c r="BA24" s="248">
        <f ca="1">IFERROR(__xludf.DUMMYFUNCTION("IMPORTRANGE(""https://docs.google.com/spreadsheets/d/1gvTMYAnm7v1yG1BKWFtr0DnaTsq59oW9dwWvFgq6hs0/edit?usp=sharing"",""แพร่!I381"")"),330)</f>
        <v>330</v>
      </c>
      <c r="BB24" s="248">
        <f ca="1">IFERROR(__xludf.DUMMYFUNCTION("IMPORTRANGE(""https://docs.google.com/spreadsheets/d/1gvTMYAnm7v1yG1BKWFtr0DnaTsq59oW9dwWvFgq6hs0/edit?usp=sharing"",""แพร่!J381"")"),356)</f>
        <v>356</v>
      </c>
      <c r="BC24" s="248">
        <f ca="1">IFERROR(__xludf.DUMMYFUNCTION("IMPORTRANGE(""https://docs.google.com/spreadsheets/d/1gvTMYAnm7v1yG1BKWFtr0DnaTsq59oW9dwWvFgq6hs0/edit?usp=sharing"",""แพร่!J382"")"),3228.50999999999)</f>
        <v>3228.5099999999902</v>
      </c>
      <c r="BD24" s="252">
        <f t="shared" ca="1" si="51"/>
        <v>107.87878787878788</v>
      </c>
    </row>
    <row r="25" spans="1:56" ht="24" customHeight="1" x14ac:dyDescent="0.3">
      <c r="A25" s="243">
        <v>12</v>
      </c>
      <c r="B25" s="244" t="s">
        <v>47</v>
      </c>
      <c r="C25" s="245">
        <f t="shared" ca="1" si="0"/>
        <v>835790</v>
      </c>
      <c r="D25" s="246">
        <f t="shared" ca="1" si="64"/>
        <v>775790</v>
      </c>
      <c r="E25" s="247">
        <f ca="1">IFERROR(__xludf.DUMMYFUNCTION("IMPORTRANGE(""https://docs.google.com/spreadsheets/d/1MeEWN-I1oV_STSDYn1IFDPWt_1FKiwhDph83XaGc0o0/edit?usp=sharing"",""งบพรบ!EX25"")"),517200)</f>
        <v>517200</v>
      </c>
      <c r="F25" s="247">
        <f ca="1">IFERROR(__xludf.DUMMYFUNCTION("IMPORTRANGE(""https://docs.google.com/spreadsheets/d/1MeEWN-I1oV_STSDYn1IFDPWt_1FKiwhDph83XaGc0o0/edit?usp=sharing"",""งบพรบ!EY25"")"),258590)</f>
        <v>258590</v>
      </c>
      <c r="G25" s="247">
        <f ca="1">IFERROR(__xludf.DUMMYFUNCTION("IMPORTRANGE(""https://docs.google.com/spreadsheets/d/1MeEWN-I1oV_STSDYn1IFDPWt_1FKiwhDph83XaGc0o0/edit?usp=sharing"",""งบพรบ!EZ25"")"),60000)</f>
        <v>60000</v>
      </c>
      <c r="H25" s="247">
        <f ca="1">IFERROR(__xludf.DUMMYFUNCTION("IMPORTRANGE(""https://docs.google.com/spreadsheets/d/1MeEWN-I1oV_STSDYn1IFDPWt_1FKiwhDph83XaGc0o0/edit?usp=sharing"",""งบพรบ!FB25"")"),821850)</f>
        <v>821850</v>
      </c>
      <c r="I25" s="247">
        <f ca="1">IFERROR(__xludf.DUMMYFUNCTION("IMPORTRANGE(""https://docs.google.com/spreadsheets/d/1MeEWN-I1oV_STSDYn1IFDPWt_1FKiwhDph83XaGc0o0/edit?usp=sharing"",""งบพรบ!FC25"")"),60000)</f>
        <v>60000</v>
      </c>
      <c r="J25" s="247">
        <f t="shared" ca="1" si="3"/>
        <v>796216</v>
      </c>
      <c r="K25" s="253">
        <f t="shared" ca="1" si="4"/>
        <v>95.265078548439206</v>
      </c>
      <c r="L25" s="247">
        <f ca="1">IFERROR(__xludf.DUMMYFUNCTION("IMPORTRANGE(""https://docs.google.com/spreadsheets/d/1MeEWN-I1oV_STSDYn1IFDPWt_1FKiwhDph83XaGc0o0/edit?usp=sharing"",""งบพรบ!FD25"")"),736216)</f>
        <v>736216</v>
      </c>
      <c r="M25" s="250">
        <f t="shared" ca="1" si="5"/>
        <v>94.898877273488964</v>
      </c>
      <c r="N25" s="250">
        <f t="shared" ca="1" si="6"/>
        <v>89.580337044472842</v>
      </c>
      <c r="O25" s="251">
        <f ca="1">IFERROR(__xludf.DUMMYFUNCTION("IMPORTRANGE(""https://docs.google.com/spreadsheets/d/1MeEWN-I1oV_STSDYn1IFDPWt_1FKiwhDph83XaGc0o0/edit?usp=sharing"",""งบพรบ!FE25"")"),60000)</f>
        <v>60000</v>
      </c>
      <c r="P25" s="250">
        <f t="shared" ca="1" si="53"/>
        <v>100</v>
      </c>
      <c r="Q25" s="250">
        <f t="shared" ca="1" si="8"/>
        <v>100</v>
      </c>
      <c r="R25" s="248">
        <f ca="1">IFERROR(__xludf.DUMMYFUNCTION("IMPORTRANGE(""https://docs.google.com/spreadsheets/d/1Wbcosgy-Xa1xXUArJSOenub6EfZHUSzc_bpJFWwQUf0/edit?usp=sharing"",""แม่ฮ่องสอน!I359"")"),210)</f>
        <v>210</v>
      </c>
      <c r="S25" s="248">
        <f ca="1">IFERROR(__xludf.DUMMYFUNCTION("IMPORTRANGE(""https://docs.google.com/spreadsheets/d/1Wbcosgy-Xa1xXUArJSOenub6EfZHUSzc_bpJFWwQUf0/edit?usp=sharing"",""แม่ฮ่องสอน!J358"")"),84)</f>
        <v>84</v>
      </c>
      <c r="T25" s="248">
        <f ca="1">IFERROR(__xludf.DUMMYFUNCTION("IMPORTRANGE(""https://docs.google.com/spreadsheets/d/1Wbcosgy-Xa1xXUArJSOenub6EfZHUSzc_bpJFWwQUf0/edit?usp=sharing"",""แม่ฮ่องสอน!J359"")"),232)</f>
        <v>232</v>
      </c>
      <c r="U25" s="252">
        <f t="shared" ca="1" si="43"/>
        <v>110.47619047619048</v>
      </c>
      <c r="V25" s="248">
        <f ca="1">IFERROR(__xludf.DUMMYFUNCTION("IMPORTRANGE(""https://docs.google.com/spreadsheets/d/1Wbcosgy-Xa1xXUArJSOenub6EfZHUSzc_bpJFWwQUf0/edit?usp=sharing"",""แม่ฮ่องสอน!I360"")"),45)</f>
        <v>45</v>
      </c>
      <c r="W25" s="248">
        <f ca="1">IFERROR(__xludf.DUMMYFUNCTION("IMPORTRANGE(""https://docs.google.com/spreadsheets/d/1Wbcosgy-Xa1xXUArJSOenub6EfZHUSzc_bpJFWwQUf0/edit?usp=sharing"",""แม่ฮ่องสอน!J360"")"),82)</f>
        <v>82</v>
      </c>
      <c r="X25" s="248">
        <f ca="1">IFERROR(__xludf.DUMMYFUNCTION("IMPORTRANGE(""https://docs.google.com/spreadsheets/d/1Wbcosgy-Xa1xXUArJSOenub6EfZHUSzc_bpJFWwQUf0/edit?usp=sharing"",""แม่ฮ่องสอน!J361"")"),220.609999999999)</f>
        <v>220.60999999999899</v>
      </c>
      <c r="Y25" s="252">
        <f t="shared" ca="1" si="44"/>
        <v>182.22222222222223</v>
      </c>
      <c r="Z25" s="248">
        <f ca="1">IFERROR(__xludf.DUMMYFUNCTION("IMPORTRANGE(""https://docs.google.com/spreadsheets/d/1Wbcosgy-Xa1xXUArJSOenub6EfZHUSzc_bpJFWwQUf0/edit?usp=sharing"",""แม่ฮ่องสอน!I362"")"),45)</f>
        <v>45</v>
      </c>
      <c r="AA25" s="248">
        <f ca="1">IFERROR(__xludf.DUMMYFUNCTION("IMPORTRANGE(""https://docs.google.com/spreadsheets/d/1Wbcosgy-Xa1xXUArJSOenub6EfZHUSzc_bpJFWwQUf0/edit?usp=sharing"",""แม่ฮ่องสอน!J362"")"),81)</f>
        <v>81</v>
      </c>
      <c r="AB25" s="248">
        <f ca="1">IFERROR(__xludf.DUMMYFUNCTION("IMPORTRANGE(""https://docs.google.com/spreadsheets/d/1Wbcosgy-Xa1xXUArJSOenub6EfZHUSzc_bpJFWwQUf0/edit?usp=sharing"",""แม่ฮ่องสอน!J363"")"),221.519999999999)</f>
        <v>221.51999999999899</v>
      </c>
      <c r="AC25" s="252">
        <f t="shared" ca="1" si="45"/>
        <v>180</v>
      </c>
      <c r="AD25" s="248">
        <f ca="1">IFERROR(__xludf.DUMMYFUNCTION("IMPORTRANGE(""https://docs.google.com/spreadsheets/d/1Wbcosgy-Xa1xXUArJSOenub6EfZHUSzc_bpJFWwQUf0/edit?usp=sharing"",""แม่ฮ่องสอน!I364"")"),105)</f>
        <v>105</v>
      </c>
      <c r="AE25" s="248">
        <f ca="1">IFERROR(__xludf.DUMMYFUNCTION("IMPORTRANGE(""https://docs.google.com/spreadsheets/d/1Wbcosgy-Xa1xXUArJSOenub6EfZHUSzc_bpJFWwQUf0/edit?usp=sharing"",""แม่ฮ่องสอน!J364"")"),117)</f>
        <v>117</v>
      </c>
      <c r="AF25" s="252">
        <f t="shared" ca="1" si="16"/>
        <v>111.42857142857143</v>
      </c>
      <c r="AG25" s="248">
        <f ca="1">IFERROR(__xludf.DUMMYFUNCTION("IMPORTRANGE(""https://docs.google.com/spreadsheets/d/1Wbcosgy-Xa1xXUArJSOenub6EfZHUSzc_bpJFWwQUf0/edit?usp=sharing"",""แม่ฮ่องสอน!I369"")"),50)</f>
        <v>50</v>
      </c>
      <c r="AH25" s="248">
        <f ca="1">IFERROR(__xludf.DUMMYFUNCTION("IMPORTRANGE(""https://docs.google.com/spreadsheets/d/1Wbcosgy-Xa1xXUArJSOenub6EfZHUSzc_bpJFWwQUf0/edit?usp=sharing"",""แม่ฮ่องสอน!J368"")"),24)</f>
        <v>24</v>
      </c>
      <c r="AI25" s="248">
        <f ca="1">IFERROR(__xludf.DUMMYFUNCTION("IMPORTRANGE(""https://docs.google.com/spreadsheets/d/1Wbcosgy-Xa1xXUArJSOenub6EfZHUSzc_bpJFWwQUf0/edit?usp=sharing"",""แม่ฮ่องสอน!J369"")"),53.05)</f>
        <v>53.05</v>
      </c>
      <c r="AJ25" s="252">
        <f t="shared" ca="1" si="46"/>
        <v>106.1</v>
      </c>
      <c r="AK25" s="248">
        <f ca="1">IFERROR(__xludf.DUMMYFUNCTION("IMPORTRANGE(""https://docs.google.com/spreadsheets/d/1Wbcosgy-Xa1xXUArJSOenub6EfZHUSzc_bpJFWwQUf0/edit?usp=sharing"",""แม่ฮ่องสอน!I370"")"),18)</f>
        <v>18</v>
      </c>
      <c r="AL25" s="248">
        <f ca="1">IFERROR(__xludf.DUMMYFUNCTION("IMPORTRANGE(""https://docs.google.com/spreadsheets/d/1Wbcosgy-Xa1xXUArJSOenub6EfZHUSzc_bpJFWwQUf0/edit?usp=sharing"",""แม่ฮ่องสอน!J370"")"),22)</f>
        <v>22</v>
      </c>
      <c r="AM25" s="248">
        <f ca="1">IFERROR(__xludf.DUMMYFUNCTION("IMPORTRANGE(""https://docs.google.com/spreadsheets/d/1Wbcosgy-Xa1xXUArJSOenub6EfZHUSzc_bpJFWwQUf0/edit?usp=sharing"",""แม่ฮ่องสอน!J371"")"),41.66)</f>
        <v>41.66</v>
      </c>
      <c r="AN25" s="252">
        <f t="shared" ca="1" si="47"/>
        <v>122.22222222222223</v>
      </c>
      <c r="AO25" s="248">
        <f ca="1">IFERROR(__xludf.DUMMYFUNCTION("IMPORTRANGE(""https://docs.google.com/spreadsheets/d/1Wbcosgy-Xa1xXUArJSOenub6EfZHUSzc_bpJFWwQUf0/edit?usp=sharing"",""แม่ฮ่องสอน!I372"")"),18)</f>
        <v>18</v>
      </c>
      <c r="AP25" s="248">
        <f ca="1">IFERROR(__xludf.DUMMYFUNCTION("IMPORTRANGE(""https://docs.google.com/spreadsheets/d/1Wbcosgy-Xa1xXUArJSOenub6EfZHUSzc_bpJFWwQUf0/edit?usp=sharing"",""แม่ฮ่องสอน!J372"")"),21)</f>
        <v>21</v>
      </c>
      <c r="AQ25" s="248">
        <f ca="1">IFERROR(__xludf.DUMMYFUNCTION("IMPORTRANGE(""https://docs.google.com/spreadsheets/d/1Wbcosgy-Xa1xXUArJSOenub6EfZHUSzc_bpJFWwQUf0/edit?usp=sharing"",""แม่ฮ่องสอน!J373"")"),42.73)</f>
        <v>42.73</v>
      </c>
      <c r="AR25" s="252">
        <f t="shared" ca="1" si="48"/>
        <v>116.66666666666667</v>
      </c>
      <c r="AS25" s="248">
        <f ca="1">IFERROR(__xludf.DUMMYFUNCTION("IMPORTRANGE(""https://docs.google.com/spreadsheets/d/1Wbcosgy-Xa1xXUArJSOenub6EfZHUSzc_bpJFWwQUf0/edit?usp=sharing"",""แม่ฮ่องสอน!I378"")"),160)</f>
        <v>160</v>
      </c>
      <c r="AT25" s="248">
        <f ca="1">IFERROR(__xludf.DUMMYFUNCTION("IMPORTRANGE(""https://docs.google.com/spreadsheets/d/1Wbcosgy-Xa1xXUArJSOenub6EfZHUSzc_bpJFWwQUf0/edit?usp=sharing"",""แม่ฮ่องสอน!J377"")"),60)</f>
        <v>60</v>
      </c>
      <c r="AU25" s="248">
        <f ca="1">IFERROR(__xludf.DUMMYFUNCTION("IMPORTRANGE(""https://docs.google.com/spreadsheets/d/1Wbcosgy-Xa1xXUArJSOenub6EfZHUSzc_bpJFWwQUf0/edit?usp=sharing"",""แม่ฮ่องสอน!J378"")"),178.95)</f>
        <v>178.95</v>
      </c>
      <c r="AV25" s="252">
        <f t="shared" ca="1" si="49"/>
        <v>111.84375</v>
      </c>
      <c r="AW25" s="248">
        <f ca="1">IFERROR(__xludf.DUMMYFUNCTION("IMPORTRANGE(""https://docs.google.com/spreadsheets/d/1Wbcosgy-Xa1xXUArJSOenub6EfZHUSzc_bpJFWwQUf0/edit?usp=sharing"",""แม่ฮ่องสอน!I379"")"),87)</f>
        <v>87</v>
      </c>
      <c r="AX25" s="248">
        <f ca="1">IFERROR(__xludf.DUMMYFUNCTION("IMPORTRANGE(""https://docs.google.com/spreadsheets/d/1Wbcosgy-Xa1xXUArJSOenub6EfZHUSzc_bpJFWwQUf0/edit?usp=sharing"",""แม่ฮ่องสอน!J379"")"),96)</f>
        <v>96</v>
      </c>
      <c r="AY25" s="248">
        <f ca="1">IFERROR(__xludf.DUMMYFUNCTION("IMPORTRANGE(""https://docs.google.com/spreadsheets/d/1Wbcosgy-Xa1xXUArJSOenub6EfZHUSzc_bpJFWwQUf0/edit?usp=sharing"",""แม่ฮ่องสอน!J380"")"),321.5)</f>
        <v>321.5</v>
      </c>
      <c r="AZ25" s="252">
        <f t="shared" ca="1" si="50"/>
        <v>110.34482758620689</v>
      </c>
      <c r="BA25" s="248">
        <f ca="1">IFERROR(__xludf.DUMMYFUNCTION("IMPORTRANGE(""https://docs.google.com/spreadsheets/d/1Wbcosgy-Xa1xXUArJSOenub6EfZHUSzc_bpJFWwQUf0/edit?usp=sharing"",""แม่ฮ่องสอน!I381"")"),87)</f>
        <v>87</v>
      </c>
      <c r="BB25" s="248">
        <f ca="1">IFERROR(__xludf.DUMMYFUNCTION("IMPORTRANGE(""https://docs.google.com/spreadsheets/d/1Wbcosgy-Xa1xXUArJSOenub6EfZHUSzc_bpJFWwQUf0/edit?usp=sharing"",""แม่ฮ่องสอน!J381"")"),96)</f>
        <v>96</v>
      </c>
      <c r="BC25" s="248">
        <f ca="1">IFERROR(__xludf.DUMMYFUNCTION("IMPORTRANGE(""https://docs.google.com/spreadsheets/d/1Wbcosgy-Xa1xXUArJSOenub6EfZHUSzc_bpJFWwQUf0/edit?usp=sharing"",""แม่ฮ่องสอน!J382"")"),321.34)</f>
        <v>321.33999999999997</v>
      </c>
      <c r="BD25" s="252">
        <f t="shared" ca="1" si="51"/>
        <v>110.34482758620689</v>
      </c>
    </row>
    <row r="26" spans="1:56" ht="24" customHeight="1" x14ac:dyDescent="0.3">
      <c r="A26" s="243">
        <v>13</v>
      </c>
      <c r="B26" s="244" t="s">
        <v>48</v>
      </c>
      <c r="C26" s="245">
        <f t="shared" ca="1" si="0"/>
        <v>604950</v>
      </c>
      <c r="D26" s="246">
        <f t="shared" ca="1" si="64"/>
        <v>589950</v>
      </c>
      <c r="E26" s="247">
        <f ca="1">IFERROR(__xludf.DUMMYFUNCTION("IMPORTRANGE(""https://docs.google.com/spreadsheets/d/1MeEWN-I1oV_STSDYn1IFDPWt_1FKiwhDph83XaGc0o0/edit?usp=sharing"",""งบพรบ!EX26"")"),315600)</f>
        <v>315600</v>
      </c>
      <c r="F26" s="247">
        <f ca="1">IFERROR(__xludf.DUMMYFUNCTION("IMPORTRANGE(""https://docs.google.com/spreadsheets/d/1MeEWN-I1oV_STSDYn1IFDPWt_1FKiwhDph83XaGc0o0/edit?usp=sharing"",""งบพรบ!EY26"")"),274350)</f>
        <v>274350</v>
      </c>
      <c r="G26" s="247">
        <f ca="1">IFERROR(__xludf.DUMMYFUNCTION("IMPORTRANGE(""https://docs.google.com/spreadsheets/d/1MeEWN-I1oV_STSDYn1IFDPWt_1FKiwhDph83XaGc0o0/edit?usp=sharing"",""งบพรบ!EZ26"")"),15000)</f>
        <v>15000</v>
      </c>
      <c r="H26" s="247">
        <f ca="1">IFERROR(__xludf.DUMMYFUNCTION("IMPORTRANGE(""https://docs.google.com/spreadsheets/d/1MeEWN-I1oV_STSDYn1IFDPWt_1FKiwhDph83XaGc0o0/edit?usp=sharing"",""งบพรบ!FB26"")"),668030)</f>
        <v>668030</v>
      </c>
      <c r="I26" s="247">
        <f ca="1">IFERROR(__xludf.DUMMYFUNCTION("IMPORTRANGE(""https://docs.google.com/spreadsheets/d/1MeEWN-I1oV_STSDYn1IFDPWt_1FKiwhDph83XaGc0o0/edit?usp=sharing"",""งบพรบ!FC26"")"),15000)</f>
        <v>15000</v>
      </c>
      <c r="J26" s="247">
        <f t="shared" ca="1" si="3"/>
        <v>581176.19999999995</v>
      </c>
      <c r="K26" s="253">
        <f t="shared" ca="1" si="4"/>
        <v>96.070121497644422</v>
      </c>
      <c r="L26" s="247">
        <f ca="1">IFERROR(__xludf.DUMMYFUNCTION("IMPORTRANGE(""https://docs.google.com/spreadsheets/d/1MeEWN-I1oV_STSDYn1IFDPWt_1FKiwhDph83XaGc0o0/edit?usp=sharing"",""งบพรบ!FD26"")"),566176.2)</f>
        <v>566176.19999999995</v>
      </c>
      <c r="M26" s="250">
        <f t="shared" ca="1" si="5"/>
        <v>95.970200864480034</v>
      </c>
      <c r="N26" s="250">
        <f t="shared" ca="1" si="6"/>
        <v>84.753109890274374</v>
      </c>
      <c r="O26" s="251">
        <f ca="1">IFERROR(__xludf.DUMMYFUNCTION("IMPORTRANGE(""https://docs.google.com/spreadsheets/d/1MeEWN-I1oV_STSDYn1IFDPWt_1FKiwhDph83XaGc0o0/edit?usp=sharing"",""งบพรบ!FE26"")"),15000)</f>
        <v>15000</v>
      </c>
      <c r="P26" s="250">
        <f t="shared" ca="1" si="53"/>
        <v>100</v>
      </c>
      <c r="Q26" s="250">
        <f t="shared" ca="1" si="8"/>
        <v>100</v>
      </c>
      <c r="R26" s="248">
        <f ca="1">IFERROR(__xludf.DUMMYFUNCTION("IMPORTRANGE(""https://docs.google.com/spreadsheets/d/1p7ERhsr0qZeSn-KSOdeHS9r0heI-lHtkcn2OH7hP0jQ/edit?usp=sharing"",""ลำปาง!I359"")"),620)</f>
        <v>620</v>
      </c>
      <c r="S26" s="248">
        <f ca="1">IFERROR(__xludf.DUMMYFUNCTION("IMPORTRANGE(""https://docs.google.com/spreadsheets/d/1p7ERhsr0qZeSn-KSOdeHS9r0heI-lHtkcn2OH7hP0jQ/edit?usp=sharing"",""ลำปาง!J358"")"),190)</f>
        <v>190</v>
      </c>
      <c r="T26" s="248">
        <f ca="1">IFERROR(__xludf.DUMMYFUNCTION("IMPORTRANGE(""https://docs.google.com/spreadsheets/d/1p7ERhsr0qZeSn-KSOdeHS9r0heI-lHtkcn2OH7hP0jQ/edit?usp=sharing"",""ลำปาง!J359"")"),832.2)</f>
        <v>832.2</v>
      </c>
      <c r="U26" s="252">
        <f t="shared" ca="1" si="43"/>
        <v>134.2258064516129</v>
      </c>
      <c r="V26" s="248">
        <f ca="1">IFERROR(__xludf.DUMMYFUNCTION("IMPORTRANGE(""https://docs.google.com/spreadsheets/d/1p7ERhsr0qZeSn-KSOdeHS9r0heI-lHtkcn2OH7hP0jQ/edit?usp=sharing"",""ลำปาง!I360"")"),70)</f>
        <v>70</v>
      </c>
      <c r="W26" s="248">
        <f ca="1">IFERROR(__xludf.DUMMYFUNCTION("IMPORTRANGE(""https://docs.google.com/spreadsheets/d/1p7ERhsr0qZeSn-KSOdeHS9r0heI-lHtkcn2OH7hP0jQ/edit?usp=sharing"",""ลำปาง!J360"")"),183)</f>
        <v>183</v>
      </c>
      <c r="X26" s="248">
        <f ca="1">IFERROR(__xludf.DUMMYFUNCTION("IMPORTRANGE(""https://docs.google.com/spreadsheets/d/1p7ERhsr0qZeSn-KSOdeHS9r0heI-lHtkcn2OH7hP0jQ/edit?usp=sharing"",""ลำปาง!J361"")"),783.22)</f>
        <v>783.22</v>
      </c>
      <c r="Y26" s="252">
        <f t="shared" ca="1" si="44"/>
        <v>261.42857142857144</v>
      </c>
      <c r="Z26" s="248">
        <f ca="1">IFERROR(__xludf.DUMMYFUNCTION("IMPORTRANGE(""https://docs.google.com/spreadsheets/d/1p7ERhsr0qZeSn-KSOdeHS9r0heI-lHtkcn2OH7hP0jQ/edit?usp=sharing"",""ลำปาง!I362"")"),70)</f>
        <v>70</v>
      </c>
      <c r="AA26" s="248">
        <f ca="1">IFERROR(__xludf.DUMMYFUNCTION("IMPORTRANGE(""https://docs.google.com/spreadsheets/d/1p7ERhsr0qZeSn-KSOdeHS9r0heI-lHtkcn2OH7hP0jQ/edit?usp=sharing"",""ลำปาง!J362"")"),96)</f>
        <v>96</v>
      </c>
      <c r="AB26" s="248">
        <f ca="1">IFERROR(__xludf.DUMMYFUNCTION("IMPORTRANGE(""https://docs.google.com/spreadsheets/d/1p7ERhsr0qZeSn-KSOdeHS9r0heI-lHtkcn2OH7hP0jQ/edit?usp=sharing"",""ลำปาง!J363"")"),547.59)</f>
        <v>547.59</v>
      </c>
      <c r="AC26" s="252">
        <f t="shared" ca="1" si="45"/>
        <v>137.14285714285714</v>
      </c>
      <c r="AD26" s="248">
        <f ca="1">IFERROR(__xludf.DUMMYFUNCTION("IMPORTRANGE(""https://docs.google.com/spreadsheets/d/1p7ERhsr0qZeSn-KSOdeHS9r0heI-lHtkcn2OH7hP0jQ/edit?usp=sharing"",""ลำปาง!I364"")"),230)</f>
        <v>230</v>
      </c>
      <c r="AE26" s="248">
        <f ca="1">IFERROR(__xludf.DUMMYFUNCTION("IMPORTRANGE(""https://docs.google.com/spreadsheets/d/1p7ERhsr0qZeSn-KSOdeHS9r0heI-lHtkcn2OH7hP0jQ/edit?usp=sharing"",""ลำปาง!J364"")"),303)</f>
        <v>303</v>
      </c>
      <c r="AF26" s="252">
        <f t="shared" ca="1" si="16"/>
        <v>131.7391304347826</v>
      </c>
      <c r="AG26" s="248">
        <f ca="1">IFERROR(__xludf.DUMMYFUNCTION("IMPORTRANGE(""https://docs.google.com/spreadsheets/d/1p7ERhsr0qZeSn-KSOdeHS9r0heI-lHtkcn2OH7hP0jQ/edit?usp=sharing"",""ลำปาง!I369"")"),400)</f>
        <v>400</v>
      </c>
      <c r="AH26" s="248">
        <f ca="1">IFERROR(__xludf.DUMMYFUNCTION("IMPORTRANGE(""https://docs.google.com/spreadsheets/d/1p7ERhsr0qZeSn-KSOdeHS9r0heI-lHtkcn2OH7hP0jQ/edit?usp=sharing"",""ลำปาง!J368"")"),149)</f>
        <v>149</v>
      </c>
      <c r="AI26" s="248">
        <f ca="1">IFERROR(__xludf.DUMMYFUNCTION("IMPORTRANGE(""https://docs.google.com/spreadsheets/d/1p7ERhsr0qZeSn-KSOdeHS9r0heI-lHtkcn2OH7hP0jQ/edit?usp=sharing"",""ลำปาง!J369"")"),617.71)</f>
        <v>617.71</v>
      </c>
      <c r="AJ26" s="252">
        <f t="shared" ca="1" si="46"/>
        <v>154.42750000000001</v>
      </c>
      <c r="AK26" s="248">
        <f ca="1">IFERROR(__xludf.DUMMYFUNCTION("IMPORTRANGE(""https://docs.google.com/spreadsheets/d/1p7ERhsr0qZeSn-KSOdeHS9r0heI-lHtkcn2OH7hP0jQ/edit?usp=sharing"",""ลำปาง!I370"")"),40)</f>
        <v>40</v>
      </c>
      <c r="AL26" s="248">
        <f ca="1">IFERROR(__xludf.DUMMYFUNCTION("IMPORTRANGE(""https://docs.google.com/spreadsheets/d/1p7ERhsr0qZeSn-KSOdeHS9r0heI-lHtkcn2OH7hP0jQ/edit?usp=sharing"",""ลำปาง!J370"")"),141)</f>
        <v>141</v>
      </c>
      <c r="AM26" s="248">
        <f ca="1">IFERROR(__xludf.DUMMYFUNCTION("IMPORTRANGE(""https://docs.google.com/spreadsheets/d/1p7ERhsr0qZeSn-KSOdeHS9r0heI-lHtkcn2OH7hP0jQ/edit?usp=sharing"",""ลำปาง!J371"")"),567.37)</f>
        <v>567.37</v>
      </c>
      <c r="AN26" s="252">
        <f t="shared" ca="1" si="47"/>
        <v>352.5</v>
      </c>
      <c r="AO26" s="248">
        <f ca="1">IFERROR(__xludf.DUMMYFUNCTION("IMPORTRANGE(""https://docs.google.com/spreadsheets/d/1p7ERhsr0qZeSn-KSOdeHS9r0heI-lHtkcn2OH7hP0jQ/edit?usp=sharing"",""ลำปาง!I372"")"),40)</f>
        <v>40</v>
      </c>
      <c r="AP26" s="248">
        <f ca="1">IFERROR(__xludf.DUMMYFUNCTION("IMPORTRANGE(""https://docs.google.com/spreadsheets/d/1p7ERhsr0qZeSn-KSOdeHS9r0heI-lHtkcn2OH7hP0jQ/edit?usp=sharing"",""ลำปาง!J372"")"),59)</f>
        <v>59</v>
      </c>
      <c r="AQ26" s="248">
        <f ca="1">IFERROR(__xludf.DUMMYFUNCTION("IMPORTRANGE(""https://docs.google.com/spreadsheets/d/1p7ERhsr0qZeSn-KSOdeHS9r0heI-lHtkcn2OH7hP0jQ/edit?usp=sharing"",""ลำปาง!J373"")"),340.94)</f>
        <v>340.94</v>
      </c>
      <c r="AR26" s="252">
        <f t="shared" ca="1" si="48"/>
        <v>147.5</v>
      </c>
      <c r="AS26" s="248">
        <f ca="1">IFERROR(__xludf.DUMMYFUNCTION("IMPORTRANGE(""https://docs.google.com/spreadsheets/d/1p7ERhsr0qZeSn-KSOdeHS9r0heI-lHtkcn2OH7hP0jQ/edit?usp=sharing"",""ลำปาง!I378"")"),220)</f>
        <v>220</v>
      </c>
      <c r="AT26" s="248">
        <f ca="1">IFERROR(__xludf.DUMMYFUNCTION("IMPORTRANGE(""https://docs.google.com/spreadsheets/d/1p7ERhsr0qZeSn-KSOdeHS9r0heI-lHtkcn2OH7hP0jQ/edit?usp=sharing"",""ลำปาง!J377"")"),41)</f>
        <v>41</v>
      </c>
      <c r="AU26" s="248">
        <f ca="1">IFERROR(__xludf.DUMMYFUNCTION("IMPORTRANGE(""https://docs.google.com/spreadsheets/d/1p7ERhsr0qZeSn-KSOdeHS9r0heI-lHtkcn2OH7hP0jQ/edit?usp=sharing"",""ลำปาง!J378"")"),214.49)</f>
        <v>214.49</v>
      </c>
      <c r="AV26" s="252">
        <f t="shared" ca="1" si="49"/>
        <v>97.49545454545455</v>
      </c>
      <c r="AW26" s="248">
        <f ca="1">IFERROR(__xludf.DUMMYFUNCTION("IMPORTRANGE(""https://docs.google.com/spreadsheets/d/1p7ERhsr0qZeSn-KSOdeHS9r0heI-lHtkcn2OH7hP0jQ/edit?usp=sharing"",""ลำปาง!I379"")"),190)</f>
        <v>190</v>
      </c>
      <c r="AX26" s="248">
        <f ca="1">IFERROR(__xludf.DUMMYFUNCTION("IMPORTRANGE(""https://docs.google.com/spreadsheets/d/1p7ERhsr0qZeSn-KSOdeHS9r0heI-lHtkcn2OH7hP0jQ/edit?usp=sharing"",""ลำปาง!J379"")"),250)</f>
        <v>250</v>
      </c>
      <c r="AY26" s="248">
        <f ca="1">IFERROR(__xludf.DUMMYFUNCTION("IMPORTRANGE(""https://docs.google.com/spreadsheets/d/1p7ERhsr0qZeSn-KSOdeHS9r0heI-lHtkcn2OH7hP0jQ/edit?usp=sharing"",""ลำปาง!J380"")"),1671.78)</f>
        <v>1671.78</v>
      </c>
      <c r="AZ26" s="252">
        <f t="shared" ca="1" si="50"/>
        <v>131.57894736842104</v>
      </c>
      <c r="BA26" s="248">
        <f ca="1">IFERROR(__xludf.DUMMYFUNCTION("IMPORTRANGE(""https://docs.google.com/spreadsheets/d/1p7ERhsr0qZeSn-KSOdeHS9r0heI-lHtkcn2OH7hP0jQ/edit?usp=sharing"",""ลำปาง!I381"")"),190)</f>
        <v>190</v>
      </c>
      <c r="BB26" s="248">
        <f ca="1">IFERROR(__xludf.DUMMYFUNCTION("IMPORTRANGE(""https://docs.google.com/spreadsheets/d/1p7ERhsr0qZeSn-KSOdeHS9r0heI-lHtkcn2OH7hP0jQ/edit?usp=sharing"",""ลำปาง!J381"")"),244)</f>
        <v>244</v>
      </c>
      <c r="BC26" s="248">
        <f ca="1">IFERROR(__xludf.DUMMYFUNCTION("IMPORTRANGE(""https://docs.google.com/spreadsheets/d/1p7ERhsr0qZeSn-KSOdeHS9r0heI-lHtkcn2OH7hP0jQ/edit?usp=sharing"",""ลำปาง!J382"")"),1664.15)</f>
        <v>1664.15</v>
      </c>
      <c r="BD26" s="252">
        <f t="shared" ca="1" si="51"/>
        <v>128.42105263157896</v>
      </c>
    </row>
    <row r="27" spans="1:56" ht="24" customHeight="1" x14ac:dyDescent="0.3">
      <c r="A27" s="243">
        <v>14</v>
      </c>
      <c r="B27" s="244" t="s">
        <v>49</v>
      </c>
      <c r="C27" s="245">
        <f t="shared" ca="1" si="0"/>
        <v>364830</v>
      </c>
      <c r="D27" s="246">
        <f t="shared" ca="1" si="64"/>
        <v>364830</v>
      </c>
      <c r="E27" s="247">
        <f ca="1">IFERROR(__xludf.DUMMYFUNCTION("IMPORTRANGE(""https://docs.google.com/spreadsheets/d/1MeEWN-I1oV_STSDYn1IFDPWt_1FKiwhDph83XaGc0o0/edit?usp=sharing"",""งบพรบ!EX27"")"),87600)</f>
        <v>87600</v>
      </c>
      <c r="F27" s="247">
        <f ca="1">IFERROR(__xludf.DUMMYFUNCTION("IMPORTRANGE(""https://docs.google.com/spreadsheets/d/1MeEWN-I1oV_STSDYn1IFDPWt_1FKiwhDph83XaGc0o0/edit?usp=sharing"",""งบพรบ!EY27"")"),277230)</f>
        <v>277230</v>
      </c>
      <c r="G27" s="277">
        <f ca="1">IFERROR(__xludf.DUMMYFUNCTION("IMPORTRANGE(""https://docs.google.com/spreadsheets/d/1MeEWN-I1oV_STSDYn1IFDPWt_1FKiwhDph83XaGc0o0/edit?usp=sharing"",""งบพรบ!EZ27"")"),0)</f>
        <v>0</v>
      </c>
      <c r="H27" s="247">
        <f ca="1">IFERROR(__xludf.DUMMYFUNCTION("IMPORTRANGE(""https://docs.google.com/spreadsheets/d/1MeEWN-I1oV_STSDYn1IFDPWt_1FKiwhDph83XaGc0o0/edit?usp=sharing"",""งบพรบ!FB27"")"),429830)</f>
        <v>429830</v>
      </c>
      <c r="I27" s="247">
        <f ca="1">IFERROR(__xludf.DUMMYFUNCTION("IMPORTRANGE(""https://docs.google.com/spreadsheets/d/1MeEWN-I1oV_STSDYn1IFDPWt_1FKiwhDph83XaGc0o0/edit?usp=sharing"",""งบพรบ!FC27"")"),0)</f>
        <v>0</v>
      </c>
      <c r="J27" s="247">
        <f t="shared" ca="1" si="3"/>
        <v>352333.74</v>
      </c>
      <c r="K27" s="253">
        <f t="shared" ca="1" si="4"/>
        <v>96.574771811528663</v>
      </c>
      <c r="L27" s="247">
        <f ca="1">IFERROR(__xludf.DUMMYFUNCTION("IMPORTRANGE(""https://docs.google.com/spreadsheets/d/1MeEWN-I1oV_STSDYn1IFDPWt_1FKiwhDph83XaGc0o0/edit?usp=sharing"",""งบพรบ!FD27"")"),352333.74)</f>
        <v>352333.74</v>
      </c>
      <c r="M27" s="250">
        <f t="shared" ca="1" si="5"/>
        <v>96.574771811528663</v>
      </c>
      <c r="N27" s="250">
        <f t="shared" ca="1" si="6"/>
        <v>81.970486006095427</v>
      </c>
      <c r="O27" s="251">
        <f ca="1">IFERROR(__xludf.DUMMYFUNCTION("IMPORTRANGE(""https://docs.google.com/spreadsheets/d/1MeEWN-I1oV_STSDYn1IFDPWt_1FKiwhDph83XaGc0o0/edit?usp=sharing"",""งบพรบ!FE27"")"),0)</f>
        <v>0</v>
      </c>
      <c r="P27" s="250">
        <f t="shared" ca="1" si="53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IFERROR(__xludf.DUMMYFUNCTION("IMPORTRANGE(""https://docs.google.com/spreadsheets/d/1-uUXvimVhiU2U0bMN-xi2te0tS4X7DI2GLPnMjzl8cA/edit?usp=sharing"",""ลำพูน!I359"")"),540)</f>
        <v>540</v>
      </c>
      <c r="S27" s="248">
        <f ca="1">IFERROR(__xludf.DUMMYFUNCTION("IMPORTRANGE(""https://docs.google.com/spreadsheets/d/1-uUXvimVhiU2U0bMN-xi2te0tS4X7DI2GLPnMjzl8cA/edit?usp=sharing"",""ลำพูน!J358"")"),138)</f>
        <v>138</v>
      </c>
      <c r="T27" s="248">
        <f ca="1">IFERROR(__xludf.DUMMYFUNCTION("IMPORTRANGE(""https://docs.google.com/spreadsheets/d/1-uUXvimVhiU2U0bMN-xi2te0tS4X7DI2GLPnMjzl8cA/edit?usp=sharing"",""ลำพูน!J359"")"),569.25)</f>
        <v>569.25</v>
      </c>
      <c r="U27" s="252">
        <f t="shared" ca="1" si="43"/>
        <v>105.41666666666667</v>
      </c>
      <c r="V27" s="248">
        <f ca="1">IFERROR(__xludf.DUMMYFUNCTION("IMPORTRANGE(""https://docs.google.com/spreadsheets/d/1-uUXvimVhiU2U0bMN-xi2te0tS4X7DI2GLPnMjzl8cA/edit?usp=sharing"",""ลำพูน!I360"")"),59)</f>
        <v>59</v>
      </c>
      <c r="W27" s="248">
        <f ca="1">IFERROR(__xludf.DUMMYFUNCTION("IMPORTRANGE(""https://docs.google.com/spreadsheets/d/1-uUXvimVhiU2U0bMN-xi2te0tS4X7DI2GLPnMjzl8cA/edit?usp=sharing"",""ลำพูน!J360"")"),121)</f>
        <v>121</v>
      </c>
      <c r="X27" s="248">
        <f ca="1">IFERROR(__xludf.DUMMYFUNCTION("IMPORTRANGE(""https://docs.google.com/spreadsheets/d/1-uUXvimVhiU2U0bMN-xi2te0tS4X7DI2GLPnMjzl8cA/edit?usp=sharing"",""ลำพูน!J361"")"),467.5)</f>
        <v>467.5</v>
      </c>
      <c r="Y27" s="252">
        <f t="shared" ca="1" si="44"/>
        <v>205.08474576271186</v>
      </c>
      <c r="Z27" s="248">
        <f ca="1">IFERROR(__xludf.DUMMYFUNCTION("IMPORTRANGE(""https://docs.google.com/spreadsheets/d/1-uUXvimVhiU2U0bMN-xi2te0tS4X7DI2GLPnMjzl8cA/edit?usp=sharing"",""ลำพูน!I362"")"),59)</f>
        <v>59</v>
      </c>
      <c r="AA27" s="248">
        <f ca="1">IFERROR(__xludf.DUMMYFUNCTION("IMPORTRANGE(""https://docs.google.com/spreadsheets/d/1-uUXvimVhiU2U0bMN-xi2te0tS4X7DI2GLPnMjzl8cA/edit?usp=sharing"",""ลำพูน!J362"")"),120)</f>
        <v>120</v>
      </c>
      <c r="AB27" s="248">
        <f ca="1">IFERROR(__xludf.DUMMYFUNCTION("IMPORTRANGE(""https://docs.google.com/spreadsheets/d/1-uUXvimVhiU2U0bMN-xi2te0tS4X7DI2GLPnMjzl8cA/edit?usp=sharing"",""ลำพูน!J363"")"),461.86)</f>
        <v>461.86</v>
      </c>
      <c r="AC27" s="252">
        <f t="shared" ca="1" si="45"/>
        <v>203.38983050847457</v>
      </c>
      <c r="AD27" s="248">
        <f ca="1">IFERROR(__xludf.DUMMYFUNCTION("IMPORTRANGE(""https://docs.google.com/spreadsheets/d/1-uUXvimVhiU2U0bMN-xi2te0tS4X7DI2GLPnMjzl8cA/edit?usp=sharing"",""ลำพูน!I364"")"),159)</f>
        <v>159</v>
      </c>
      <c r="AE27" s="248">
        <f ca="1">IFERROR(__xludf.DUMMYFUNCTION("IMPORTRANGE(""https://docs.google.com/spreadsheets/d/1-uUXvimVhiU2U0bMN-xi2te0tS4X7DI2GLPnMjzl8cA/edit?usp=sharing"",""ลำพูน!J364"")"),178)</f>
        <v>178</v>
      </c>
      <c r="AF27" s="252">
        <f t="shared" ca="1" si="16"/>
        <v>111.9496855345912</v>
      </c>
      <c r="AG27" s="248">
        <f ca="1">IFERROR(__xludf.DUMMYFUNCTION("IMPORTRANGE(""https://docs.google.com/spreadsheets/d/1-uUXvimVhiU2U0bMN-xi2te0tS4X7DI2GLPnMjzl8cA/edit?usp=sharing"",""ลำพูน!I369"")"),400)</f>
        <v>400</v>
      </c>
      <c r="AH27" s="248">
        <f ca="1">IFERROR(__xludf.DUMMYFUNCTION("IMPORTRANGE(""https://docs.google.com/spreadsheets/d/1-uUXvimVhiU2U0bMN-xi2te0tS4X7DI2GLPnMjzl8cA/edit?usp=sharing"",""ลำพูน!J368"")"),106)</f>
        <v>106</v>
      </c>
      <c r="AI27" s="248">
        <f ca="1">IFERROR(__xludf.DUMMYFUNCTION("IMPORTRANGE(""https://docs.google.com/spreadsheets/d/1-uUXvimVhiU2U0bMN-xi2te0tS4X7DI2GLPnMjzl8cA/edit?usp=sharing"",""ลำพูน!J369"")"),420.2)</f>
        <v>420.2</v>
      </c>
      <c r="AJ27" s="252">
        <f t="shared" ca="1" si="46"/>
        <v>105.05</v>
      </c>
      <c r="AK27" s="248">
        <f ca="1">IFERROR(__xludf.DUMMYFUNCTION("IMPORTRANGE(""https://docs.google.com/spreadsheets/d/1-uUXvimVhiU2U0bMN-xi2te0tS4X7DI2GLPnMjzl8cA/edit?usp=sharing"",""ลำพูน!I370"")"),40)</f>
        <v>40</v>
      </c>
      <c r="AL27" s="248">
        <f ca="1">IFERROR(__xludf.DUMMYFUNCTION("IMPORTRANGE(""https://docs.google.com/spreadsheets/d/1-uUXvimVhiU2U0bMN-xi2te0tS4X7DI2GLPnMjzl8cA/edit?usp=sharing"",""ลำพูน!J370"")"),92)</f>
        <v>92</v>
      </c>
      <c r="AM27" s="248">
        <f ca="1">IFERROR(__xludf.DUMMYFUNCTION("IMPORTRANGE(""https://docs.google.com/spreadsheets/d/1-uUXvimVhiU2U0bMN-xi2te0tS4X7DI2GLPnMjzl8cA/edit?usp=sharing"",""ลำพูน!J371"")"),365.16)</f>
        <v>365.16</v>
      </c>
      <c r="AN27" s="252">
        <f t="shared" ca="1" si="47"/>
        <v>230</v>
      </c>
      <c r="AO27" s="248">
        <f ca="1">IFERROR(__xludf.DUMMYFUNCTION("IMPORTRANGE(""https://docs.google.com/spreadsheets/d/1-uUXvimVhiU2U0bMN-xi2te0tS4X7DI2GLPnMjzl8cA/edit?usp=sharing"",""ลำพูน!I372"")"),40)</f>
        <v>40</v>
      </c>
      <c r="AP27" s="248">
        <f ca="1">IFERROR(__xludf.DUMMYFUNCTION("IMPORTRANGE(""https://docs.google.com/spreadsheets/d/1-uUXvimVhiU2U0bMN-xi2te0tS4X7DI2GLPnMjzl8cA/edit?usp=sharing"",""ลำพูน!J372"")"),91)</f>
        <v>91</v>
      </c>
      <c r="AQ27" s="248">
        <f ca="1">IFERROR(__xludf.DUMMYFUNCTION("IMPORTRANGE(""https://docs.google.com/spreadsheets/d/1-uUXvimVhiU2U0bMN-xi2te0tS4X7DI2GLPnMjzl8cA/edit?usp=sharing"",""ลำพูน!J373"")"),359.52)</f>
        <v>359.52</v>
      </c>
      <c r="AR27" s="252">
        <f t="shared" ca="1" si="48"/>
        <v>227.5</v>
      </c>
      <c r="AS27" s="248">
        <f ca="1">IFERROR(__xludf.DUMMYFUNCTION("IMPORTRANGE(""https://docs.google.com/spreadsheets/d/1-uUXvimVhiU2U0bMN-xi2te0tS4X7DI2GLPnMjzl8cA/edit?usp=sharing"",""ลำพูน!I378"")"),140)</f>
        <v>140</v>
      </c>
      <c r="AT27" s="248">
        <f ca="1">IFERROR(__xludf.DUMMYFUNCTION("IMPORTRANGE(""https://docs.google.com/spreadsheets/d/1-uUXvimVhiU2U0bMN-xi2te0tS4X7DI2GLPnMjzl8cA/edit?usp=sharing"",""ลำพูน!J377"")"),32)</f>
        <v>32</v>
      </c>
      <c r="AU27" s="248">
        <f ca="1">IFERROR(__xludf.DUMMYFUNCTION("IMPORTRANGE(""https://docs.google.com/spreadsheets/d/1-uUXvimVhiU2U0bMN-xi2te0tS4X7DI2GLPnMjzl8cA/edit?usp=sharing"",""ลำพูน!J378"")"),149.05)</f>
        <v>149.05000000000001</v>
      </c>
      <c r="AV27" s="252">
        <f t="shared" ca="1" si="49"/>
        <v>106.46428571428572</v>
      </c>
      <c r="AW27" s="248">
        <f ca="1">IFERROR(__xludf.DUMMYFUNCTION("IMPORTRANGE(""https://docs.google.com/spreadsheets/d/1-uUXvimVhiU2U0bMN-xi2te0tS4X7DI2GLPnMjzl8cA/edit?usp=sharing"",""ลำพูน!I379"")"),119)</f>
        <v>119</v>
      </c>
      <c r="AX27" s="248">
        <f ca="1">IFERROR(__xludf.DUMMYFUNCTION("IMPORTRANGE(""https://docs.google.com/spreadsheets/d/1-uUXvimVhiU2U0bMN-xi2te0tS4X7DI2GLPnMjzl8cA/edit?usp=sharing"",""ลำพูน!J379"")"),88)</f>
        <v>88</v>
      </c>
      <c r="AY27" s="248">
        <f ca="1">IFERROR(__xludf.DUMMYFUNCTION("IMPORTRANGE(""https://docs.google.com/spreadsheets/d/1-uUXvimVhiU2U0bMN-xi2te0tS4X7DI2GLPnMjzl8cA/edit?usp=sharing"",""ลำพูน!J380"")"),425.44)</f>
        <v>425.44</v>
      </c>
      <c r="AZ27" s="252">
        <f t="shared" ca="1" si="50"/>
        <v>73.949579831932766</v>
      </c>
      <c r="BA27" s="248">
        <f ca="1">IFERROR(__xludf.DUMMYFUNCTION("IMPORTRANGE(""https://docs.google.com/spreadsheets/d/1-uUXvimVhiU2U0bMN-xi2te0tS4X7DI2GLPnMjzl8cA/edit?usp=sharing"",""ลำพูน!I381"")"),119)</f>
        <v>119</v>
      </c>
      <c r="BB27" s="248">
        <f ca="1">IFERROR(__xludf.DUMMYFUNCTION("IMPORTRANGE(""https://docs.google.com/spreadsheets/d/1-uUXvimVhiU2U0bMN-xi2te0tS4X7DI2GLPnMjzl8cA/edit?usp=sharing"",""ลำพูน!J381"")"),87)</f>
        <v>87</v>
      </c>
      <c r="BC27" s="248">
        <f ca="1">IFERROR(__xludf.DUMMYFUNCTION("IMPORTRANGE(""https://docs.google.com/spreadsheets/d/1-uUXvimVhiU2U0bMN-xi2te0tS4X7DI2GLPnMjzl8cA/edit?usp=sharing"",""ลำพูน!J382"")"),422.09)</f>
        <v>422.09</v>
      </c>
      <c r="BD27" s="252">
        <f t="shared" ca="1" si="51"/>
        <v>73.109243697478988</v>
      </c>
    </row>
    <row r="28" spans="1:56" ht="24" customHeight="1" x14ac:dyDescent="0.3">
      <c r="A28" s="243">
        <v>15</v>
      </c>
      <c r="B28" s="244" t="s">
        <v>50</v>
      </c>
      <c r="C28" s="245">
        <f t="shared" ca="1" si="0"/>
        <v>593930</v>
      </c>
      <c r="D28" s="246">
        <f t="shared" ca="1" si="64"/>
        <v>496130</v>
      </c>
      <c r="E28" s="247">
        <f ca="1">IFERROR(__xludf.DUMMYFUNCTION("IMPORTRANGE(""https://docs.google.com/spreadsheets/d/1MeEWN-I1oV_STSDYn1IFDPWt_1FKiwhDph83XaGc0o0/edit?usp=sharing"",""งบพรบ!EX28"")"),87600)</f>
        <v>87600</v>
      </c>
      <c r="F28" s="247">
        <f ca="1">IFERROR(__xludf.DUMMYFUNCTION("IMPORTRANGE(""https://docs.google.com/spreadsheets/d/1MeEWN-I1oV_STSDYn1IFDPWt_1FKiwhDph83XaGc0o0/edit?usp=sharing"",""งบพรบ!EY28"")"),408530)</f>
        <v>408530</v>
      </c>
      <c r="G28" s="247">
        <f ca="1">IFERROR(__xludf.DUMMYFUNCTION("IMPORTRANGE(""https://docs.google.com/spreadsheets/d/1MeEWN-I1oV_STSDYn1IFDPWt_1FKiwhDph83XaGc0o0/edit?usp=sharing"",""งบพรบ!EZ28"")"),97800)</f>
        <v>97800</v>
      </c>
      <c r="H28" s="247">
        <f ca="1">IFERROR(__xludf.DUMMYFUNCTION("IMPORTRANGE(""https://docs.google.com/spreadsheets/d/1MeEWN-I1oV_STSDYn1IFDPWt_1FKiwhDph83XaGc0o0/edit?usp=sharing"",""งบพรบ!FB28"")"),621130)</f>
        <v>621130</v>
      </c>
      <c r="I28" s="247">
        <f ca="1">IFERROR(__xludf.DUMMYFUNCTION("IMPORTRANGE(""https://docs.google.com/spreadsheets/d/1MeEWN-I1oV_STSDYn1IFDPWt_1FKiwhDph83XaGc0o0/edit?usp=sharing"",""งบพรบ!FC28"")"),97800)</f>
        <v>97800</v>
      </c>
      <c r="J28" s="247">
        <f t="shared" ca="1" si="3"/>
        <v>558952.04</v>
      </c>
      <c r="K28" s="253">
        <f t="shared" ca="1" si="4"/>
        <v>94.110760527334875</v>
      </c>
      <c r="L28" s="247">
        <f ca="1">IFERROR(__xludf.DUMMYFUNCTION("IMPORTRANGE(""https://docs.google.com/spreadsheets/d/1MeEWN-I1oV_STSDYn1IFDPWt_1FKiwhDph83XaGc0o0/edit?usp=sharing"",""งบพรบ!FD28"")"),461152.04)</f>
        <v>461152.04</v>
      </c>
      <c r="M28" s="250">
        <f t="shared" ca="1" si="5"/>
        <v>92.949839759740385</v>
      </c>
      <c r="N28" s="250">
        <f t="shared" ca="1" si="6"/>
        <v>74.244045529921266</v>
      </c>
      <c r="O28" s="251">
        <f ca="1">IFERROR(__xludf.DUMMYFUNCTION("IMPORTRANGE(""https://docs.google.com/spreadsheets/d/1MeEWN-I1oV_STSDYn1IFDPWt_1FKiwhDph83XaGc0o0/edit?usp=sharing"",""งบพรบ!FE28"")"),97800)</f>
        <v>97800</v>
      </c>
      <c r="P28" s="250">
        <f t="shared" ca="1" si="53"/>
        <v>100</v>
      </c>
      <c r="Q28" s="250">
        <f t="shared" ca="1" si="8"/>
        <v>100</v>
      </c>
      <c r="R28" s="248">
        <f ca="1">IFERROR(__xludf.DUMMYFUNCTION("IMPORTRANGE(""https://docs.google.com/spreadsheets/d/17HrOaa5pBUI1onckFfumXB8xlg35qb2uBAFfF1D-Myo/edit?usp=sharing"",""สุโขทัย!I359"")"),1800)</f>
        <v>1800</v>
      </c>
      <c r="S28" s="248">
        <f ca="1">IFERROR(__xludf.DUMMYFUNCTION("IMPORTRANGE(""https://docs.google.com/spreadsheets/d/17HrOaa5pBUI1onckFfumXB8xlg35qb2uBAFfF1D-Myo/edit?usp=sharing"",""สุโขทัย!J358"")"),293)</f>
        <v>293</v>
      </c>
      <c r="T28" s="248">
        <f ca="1">IFERROR(__xludf.DUMMYFUNCTION("IMPORTRANGE(""https://docs.google.com/spreadsheets/d/17HrOaa5pBUI1onckFfumXB8xlg35qb2uBAFfF1D-Myo/edit?usp=sharing"",""สุโขทัย!J359"")"),2308.45)</f>
        <v>2308.4499999999998</v>
      </c>
      <c r="U28" s="252">
        <f t="shared" ca="1" si="43"/>
        <v>128.24722222222221</v>
      </c>
      <c r="V28" s="248">
        <f ca="1">IFERROR(__xludf.DUMMYFUNCTION("IMPORTRANGE(""https://docs.google.com/spreadsheets/d/17HrOaa5pBUI1onckFfumXB8xlg35qb2uBAFfF1D-Myo/edit?usp=sharing"",""สุโขทัย!I360"")"),190)</f>
        <v>190</v>
      </c>
      <c r="W28" s="248">
        <f ca="1">IFERROR(__xludf.DUMMYFUNCTION("IMPORTRANGE(""https://docs.google.com/spreadsheets/d/17HrOaa5pBUI1onckFfumXB8xlg35qb2uBAFfF1D-Myo/edit?usp=sharing"",""สุโขทัย!J360"")"),275)</f>
        <v>275</v>
      </c>
      <c r="X28" s="248">
        <f ca="1">IFERROR(__xludf.DUMMYFUNCTION("IMPORTRANGE(""https://docs.google.com/spreadsheets/d/17HrOaa5pBUI1onckFfumXB8xlg35qb2uBAFfF1D-Myo/edit?usp=sharing"",""สุโขทัย!J361"")"),2213.37)</f>
        <v>2213.37</v>
      </c>
      <c r="Y28" s="252">
        <f t="shared" ca="1" si="44"/>
        <v>144.73684210526315</v>
      </c>
      <c r="Z28" s="248">
        <f ca="1">IFERROR(__xludf.DUMMYFUNCTION("IMPORTRANGE(""https://docs.google.com/spreadsheets/d/17HrOaa5pBUI1onckFfumXB8xlg35qb2uBAFfF1D-Myo/edit?usp=sharing"",""สุโขทัย!I362"")"),190)</f>
        <v>190</v>
      </c>
      <c r="AA28" s="248">
        <f ca="1">IFERROR(__xludf.DUMMYFUNCTION("IMPORTRANGE(""https://docs.google.com/spreadsheets/d/17HrOaa5pBUI1onckFfumXB8xlg35qb2uBAFfF1D-Myo/edit?usp=sharing"",""สุโขทัย!J362"")"),257)</f>
        <v>257</v>
      </c>
      <c r="AB28" s="248">
        <f ca="1">IFERROR(__xludf.DUMMYFUNCTION("IMPORTRANGE(""https://docs.google.com/spreadsheets/d/17HrOaa5pBUI1onckFfumXB8xlg35qb2uBAFfF1D-Myo/edit?usp=sharing"",""สุโขทัย!J363"")"),2058.75)</f>
        <v>2058.75</v>
      </c>
      <c r="AC28" s="252">
        <f t="shared" ca="1" si="45"/>
        <v>135.26315789473685</v>
      </c>
      <c r="AD28" s="248">
        <f ca="1">IFERROR(__xludf.DUMMYFUNCTION("IMPORTRANGE(""https://docs.google.com/spreadsheets/d/17HrOaa5pBUI1onckFfumXB8xlg35qb2uBAFfF1D-Myo/edit?usp=sharing"",""สุโขทัย!I364"")"),690)</f>
        <v>690</v>
      </c>
      <c r="AE28" s="248">
        <f ca="1">IFERROR(__xludf.DUMMYFUNCTION("IMPORTRANGE(""https://docs.google.com/spreadsheets/d/17HrOaa5pBUI1onckFfumXB8xlg35qb2uBAFfF1D-Myo/edit?usp=sharing"",""สุโขทัย!J364"")"),716)</f>
        <v>716</v>
      </c>
      <c r="AF28" s="252">
        <f t="shared" ca="1" si="16"/>
        <v>103.76811594202898</v>
      </c>
      <c r="AG28" s="248">
        <f ca="1">IFERROR(__xludf.DUMMYFUNCTION("IMPORTRANGE(""https://docs.google.com/spreadsheets/d/17HrOaa5pBUI1onckFfumXB8xlg35qb2uBAFfF1D-Myo/edit?usp=sharing"",""สุโขทัย!I369"")"),600)</f>
        <v>600</v>
      </c>
      <c r="AH28" s="248">
        <f ca="1">IFERROR(__xludf.DUMMYFUNCTION("IMPORTRANGE(""https://docs.google.com/spreadsheets/d/17HrOaa5pBUI1onckFfumXB8xlg35qb2uBAFfF1D-Myo/edit?usp=sharing"",""สุโขทัย!J368"")"),95)</f>
        <v>95</v>
      </c>
      <c r="AI28" s="248">
        <f ca="1">IFERROR(__xludf.DUMMYFUNCTION("IMPORTRANGE(""https://docs.google.com/spreadsheets/d/17HrOaa5pBUI1onckFfumXB8xlg35qb2uBAFfF1D-Myo/edit?usp=sharing"",""สุโขทัย!J369"")"),819.22)</f>
        <v>819.22</v>
      </c>
      <c r="AJ28" s="252">
        <f t="shared" ca="1" si="46"/>
        <v>136.53666666666666</v>
      </c>
      <c r="AK28" s="248">
        <f ca="1">IFERROR(__xludf.DUMMYFUNCTION("IMPORTRANGE(""https://docs.google.com/spreadsheets/d/17HrOaa5pBUI1onckFfumXB8xlg35qb2uBAFfF1D-Myo/edit?usp=sharing"",""สุโขทัย!I370"")"),40)</f>
        <v>40</v>
      </c>
      <c r="AL28" s="248">
        <f ca="1">IFERROR(__xludf.DUMMYFUNCTION("IMPORTRANGE(""https://docs.google.com/spreadsheets/d/17HrOaa5pBUI1onckFfumXB8xlg35qb2uBAFfF1D-Myo/edit?usp=sharing"",""สุโขทัย!J370"")"),75)</f>
        <v>75</v>
      </c>
      <c r="AM28" s="248">
        <f ca="1">IFERROR(__xludf.DUMMYFUNCTION("IMPORTRANGE(""https://docs.google.com/spreadsheets/d/17HrOaa5pBUI1onckFfumXB8xlg35qb2uBAFfF1D-Myo/edit?usp=sharing"",""สุโขทัย!J371"")"),696.97)</f>
        <v>696.97</v>
      </c>
      <c r="AN28" s="252">
        <f t="shared" ca="1" si="47"/>
        <v>187.5</v>
      </c>
      <c r="AO28" s="248">
        <f ca="1">IFERROR(__xludf.DUMMYFUNCTION("IMPORTRANGE(""https://docs.google.com/spreadsheets/d/17HrOaa5pBUI1onckFfumXB8xlg35qb2uBAFfF1D-Myo/edit?usp=sharing"",""สุโขทัย!I372"")"),40)</f>
        <v>40</v>
      </c>
      <c r="AP28" s="248">
        <f ca="1">IFERROR(__xludf.DUMMYFUNCTION("IMPORTRANGE(""https://docs.google.com/spreadsheets/d/17HrOaa5pBUI1onckFfumXB8xlg35qb2uBAFfF1D-Myo/edit?usp=sharing"",""สุโขทัย!J372"")"),74)</f>
        <v>74</v>
      </c>
      <c r="AQ28" s="248">
        <f ca="1">IFERROR(__xludf.DUMMYFUNCTION("IMPORTRANGE(""https://docs.google.com/spreadsheets/d/17HrOaa5pBUI1onckFfumXB8xlg35qb2uBAFfF1D-Myo/edit?usp=sharing"",""สุโขทัย!J373"")"),661.79)</f>
        <v>661.79</v>
      </c>
      <c r="AR28" s="252">
        <f t="shared" ca="1" si="48"/>
        <v>185</v>
      </c>
      <c r="AS28" s="248">
        <f ca="1">IFERROR(__xludf.DUMMYFUNCTION("IMPORTRANGE(""https://docs.google.com/spreadsheets/d/17HrOaa5pBUI1onckFfumXB8xlg35qb2uBAFfF1D-Myo/edit?usp=sharing"",""สุโขทัย!I378"")"),1200)</f>
        <v>1200</v>
      </c>
      <c r="AT28" s="248">
        <f ca="1">IFERROR(__xludf.DUMMYFUNCTION("IMPORTRANGE(""https://docs.google.com/spreadsheets/d/17HrOaa5pBUI1onckFfumXB8xlg35qb2uBAFfF1D-Myo/edit?usp=sharing"",""สุโขทัย!J377"")"),198)</f>
        <v>198</v>
      </c>
      <c r="AU28" s="248">
        <f ca="1">IFERROR(__xludf.DUMMYFUNCTION("IMPORTRANGE(""https://docs.google.com/spreadsheets/d/17HrOaa5pBUI1onckFfumXB8xlg35qb2uBAFfF1D-Myo/edit?usp=sharing"",""สุโขทัย!J378"")"),1489.23)</f>
        <v>1489.23</v>
      </c>
      <c r="AV28" s="252">
        <f t="shared" ca="1" si="49"/>
        <v>124.10250000000001</v>
      </c>
      <c r="AW28" s="248">
        <f ca="1">IFERROR(__xludf.DUMMYFUNCTION("IMPORTRANGE(""https://docs.google.com/spreadsheets/d/17HrOaa5pBUI1onckFfumXB8xlg35qb2uBAFfF1D-Myo/edit?usp=sharing"",""สุโขทัย!I379"")"),650)</f>
        <v>650</v>
      </c>
      <c r="AX28" s="248">
        <f ca="1">IFERROR(__xludf.DUMMYFUNCTION("IMPORTRANGE(""https://docs.google.com/spreadsheets/d/17HrOaa5pBUI1onckFfumXB8xlg35qb2uBAFfF1D-Myo/edit?usp=sharing"",""สุโขทัย!J379"")"),657)</f>
        <v>657</v>
      </c>
      <c r="AY28" s="248">
        <f ca="1">IFERROR(__xludf.DUMMYFUNCTION("IMPORTRANGE(""https://docs.google.com/spreadsheets/d/17HrOaa5pBUI1onckFfumXB8xlg35qb2uBAFfF1D-Myo/edit?usp=sharing"",""สุโขทัย!J380"")"),7431.01)</f>
        <v>7431.01</v>
      </c>
      <c r="AZ28" s="252">
        <f t="shared" ca="1" si="50"/>
        <v>101.07692307692308</v>
      </c>
      <c r="BA28" s="248">
        <f ca="1">IFERROR(__xludf.DUMMYFUNCTION("IMPORTRANGE(""https://docs.google.com/spreadsheets/d/17HrOaa5pBUI1onckFfumXB8xlg35qb2uBAFfF1D-Myo/edit?usp=sharing"",""สุโขทัย!I381"")"),650)</f>
        <v>650</v>
      </c>
      <c r="BB28" s="248">
        <f ca="1">IFERROR(__xludf.DUMMYFUNCTION("IMPORTRANGE(""https://docs.google.com/spreadsheets/d/17HrOaa5pBUI1onckFfumXB8xlg35qb2uBAFfF1D-Myo/edit?usp=sharing"",""สุโขทัย!J381"")"),642)</f>
        <v>642</v>
      </c>
      <c r="BC28" s="248">
        <f ca="1">IFERROR(__xludf.DUMMYFUNCTION("IMPORTRANGE(""https://docs.google.com/spreadsheets/d/17HrOaa5pBUI1onckFfumXB8xlg35qb2uBAFfF1D-Myo/edit?usp=sharing"",""สุโขทัย!J382"")"),7386.28)</f>
        <v>7386.28</v>
      </c>
      <c r="BD28" s="252">
        <f t="shared" ca="1" si="51"/>
        <v>98.769230769230774</v>
      </c>
    </row>
    <row r="29" spans="1:56" ht="24" customHeight="1" x14ac:dyDescent="0.3">
      <c r="A29" s="243">
        <v>16</v>
      </c>
      <c r="B29" s="244" t="s">
        <v>51</v>
      </c>
      <c r="C29" s="245">
        <f t="shared" ca="1" si="0"/>
        <v>959100</v>
      </c>
      <c r="D29" s="246">
        <f t="shared" ca="1" si="64"/>
        <v>890300</v>
      </c>
      <c r="E29" s="247">
        <f ca="1">IFERROR(__xludf.DUMMYFUNCTION("IMPORTRANGE(""https://docs.google.com/spreadsheets/d/1MeEWN-I1oV_STSDYn1IFDPWt_1FKiwhDph83XaGc0o0/edit?usp=sharing"",""งบพรบ!EX29"")"),517200)</f>
        <v>517200</v>
      </c>
      <c r="F29" s="247">
        <f ca="1">IFERROR(__xludf.DUMMYFUNCTION("IMPORTRANGE(""https://docs.google.com/spreadsheets/d/1MeEWN-I1oV_STSDYn1IFDPWt_1FKiwhDph83XaGc0o0/edit?usp=sharing"",""งบพรบ!EY29"")"),373100)</f>
        <v>373100</v>
      </c>
      <c r="G29" s="247">
        <f ca="1">IFERROR(__xludf.DUMMYFUNCTION("IMPORTRANGE(""https://docs.google.com/spreadsheets/d/1MeEWN-I1oV_STSDYn1IFDPWt_1FKiwhDph83XaGc0o0/edit?usp=sharing"",""งบพรบ!EZ29"")"),68800)</f>
        <v>68800</v>
      </c>
      <c r="H29" s="247">
        <f ca="1">IFERROR(__xludf.DUMMYFUNCTION("IMPORTRANGE(""https://docs.google.com/spreadsheets/d/1MeEWN-I1oV_STSDYn1IFDPWt_1FKiwhDph83XaGc0o0/edit?usp=sharing"",""งบพรบ!FB29"")"),965800)</f>
        <v>965800</v>
      </c>
      <c r="I29" s="247">
        <f ca="1">IFERROR(__xludf.DUMMYFUNCTION("IMPORTRANGE(""https://docs.google.com/spreadsheets/d/1MeEWN-I1oV_STSDYn1IFDPWt_1FKiwhDph83XaGc0o0/edit?usp=sharing"",""งบพรบ!FC29"")"),68300)</f>
        <v>68300</v>
      </c>
      <c r="J29" s="247">
        <f t="shared" ca="1" si="3"/>
        <v>901596.6</v>
      </c>
      <c r="K29" s="253">
        <f t="shared" ca="1" si="4"/>
        <v>94.004441664060053</v>
      </c>
      <c r="L29" s="247">
        <f ca="1">IFERROR(__xludf.DUMMYFUNCTION("IMPORTRANGE(""https://docs.google.com/spreadsheets/d/1MeEWN-I1oV_STSDYn1IFDPWt_1FKiwhDph83XaGc0o0/edit?usp=sharing"",""งบพรบ!FD29"")"),833296.6)</f>
        <v>833296.6</v>
      </c>
      <c r="M29" s="250">
        <f t="shared" ca="1" si="5"/>
        <v>93.597281815118492</v>
      </c>
      <c r="N29" s="250">
        <f t="shared" ca="1" si="6"/>
        <v>86.280451439221366</v>
      </c>
      <c r="O29" s="251">
        <f ca="1">IFERROR(__xludf.DUMMYFUNCTION("IMPORTRANGE(""https://docs.google.com/spreadsheets/d/1MeEWN-I1oV_STSDYn1IFDPWt_1FKiwhDph83XaGc0o0/edit?usp=sharing"",""งบพรบ!FE29"")"),68300)</f>
        <v>68300</v>
      </c>
      <c r="P29" s="250">
        <f t="shared" ca="1" si="53"/>
        <v>99.273255813953483</v>
      </c>
      <c r="Q29" s="250">
        <f t="shared" ca="1" si="8"/>
        <v>100</v>
      </c>
      <c r="R29" s="248">
        <f ca="1">IFERROR(__xludf.DUMMYFUNCTION("IMPORTRANGE(""https://docs.google.com/spreadsheets/d/1ubs5cl16eYL9gHbdHTJtmtYb9MGzHBs7CAphn8kNCgM/edit?usp=sharing"",""อุตรดิตถ์!I359"")"),1650)</f>
        <v>1650</v>
      </c>
      <c r="S29" s="248">
        <f ca="1">IFERROR(__xludf.DUMMYFUNCTION("IMPORTRANGE(""https://docs.google.com/spreadsheets/d/1ubs5cl16eYL9gHbdHTJtmtYb9MGzHBs7CAphn8kNCgM/edit?usp=sharing"",""อุตรดิตถ์!J358"")"),283)</f>
        <v>283</v>
      </c>
      <c r="T29" s="248">
        <f ca="1">IFERROR(__xludf.DUMMYFUNCTION("IMPORTRANGE(""https://docs.google.com/spreadsheets/d/1ubs5cl16eYL9gHbdHTJtmtYb9MGzHBs7CAphn8kNCgM/edit?usp=sharing"",""อุตรดิตถ์!J359"")"),1702.79)</f>
        <v>1702.79</v>
      </c>
      <c r="U29" s="252">
        <f t="shared" ca="1" si="43"/>
        <v>103.19939393939394</v>
      </c>
      <c r="V29" s="248">
        <f ca="1">IFERROR(__xludf.DUMMYFUNCTION("IMPORTRANGE(""https://docs.google.com/spreadsheets/d/1ubs5cl16eYL9gHbdHTJtmtYb9MGzHBs7CAphn8kNCgM/edit?usp=sharing"",""อุตรดิตถ์!I360"")"),170)</f>
        <v>170</v>
      </c>
      <c r="W29" s="248">
        <f ca="1">IFERROR(__xludf.DUMMYFUNCTION("IMPORTRANGE(""https://docs.google.com/spreadsheets/d/1ubs5cl16eYL9gHbdHTJtmtYb9MGzHBs7CAphn8kNCgM/edit?usp=sharing"",""อุตรดิตถ์!J360"")"),244)</f>
        <v>244</v>
      </c>
      <c r="X29" s="248">
        <f ca="1">IFERROR(__xludf.DUMMYFUNCTION("IMPORTRANGE(""https://docs.google.com/spreadsheets/d/1ubs5cl16eYL9gHbdHTJtmtYb9MGzHBs7CAphn8kNCgM/edit?usp=sharing"",""อุตรดิตถ์!J361"")"),1565.88)</f>
        <v>1565.88</v>
      </c>
      <c r="Y29" s="252">
        <f t="shared" ca="1" si="44"/>
        <v>143.52941176470588</v>
      </c>
      <c r="Z29" s="248">
        <f ca="1">IFERROR(__xludf.DUMMYFUNCTION("IMPORTRANGE(""https://docs.google.com/spreadsheets/d/1ubs5cl16eYL9gHbdHTJtmtYb9MGzHBs7CAphn8kNCgM/edit?usp=sharing"",""อุตรดิตถ์!I362"")"),170)</f>
        <v>170</v>
      </c>
      <c r="AA29" s="248">
        <f ca="1">IFERROR(__xludf.DUMMYFUNCTION("IMPORTRANGE(""https://docs.google.com/spreadsheets/d/1ubs5cl16eYL9gHbdHTJtmtYb9MGzHBs7CAphn8kNCgM/edit?usp=sharing"",""อุตรดิตถ์!J362"")"),124)</f>
        <v>124</v>
      </c>
      <c r="AB29" s="248">
        <f ca="1">IFERROR(__xludf.DUMMYFUNCTION("IMPORTRANGE(""https://docs.google.com/spreadsheets/d/1ubs5cl16eYL9gHbdHTJtmtYb9MGzHBs7CAphn8kNCgM/edit?usp=sharing"",""อุตรดิตถ์!J363"")"),718.76)</f>
        <v>718.76</v>
      </c>
      <c r="AC29" s="252">
        <f t="shared" ca="1" si="45"/>
        <v>72.941176470588232</v>
      </c>
      <c r="AD29" s="248">
        <f ca="1">IFERROR(__xludf.DUMMYFUNCTION("IMPORTRANGE(""https://docs.google.com/spreadsheets/d/1ubs5cl16eYL9gHbdHTJtmtYb9MGzHBs7CAphn8kNCgM/edit?usp=sharing"",""อุตรดิตถ์!I364"")"),550)</f>
        <v>550</v>
      </c>
      <c r="AE29" s="248">
        <f ca="1">IFERROR(__xludf.DUMMYFUNCTION("IMPORTRANGE(""https://docs.google.com/spreadsheets/d/1ubs5cl16eYL9gHbdHTJtmtYb9MGzHBs7CAphn8kNCgM/edit?usp=sharing"",""อุตรดิตถ์!J364"")"),558)</f>
        <v>558</v>
      </c>
      <c r="AF29" s="252">
        <f t="shared" ca="1" si="16"/>
        <v>101.45454545454545</v>
      </c>
      <c r="AG29" s="248">
        <f ca="1">IFERROR(__xludf.DUMMYFUNCTION("IMPORTRANGE(""https://docs.google.com/spreadsheets/d/1ubs5cl16eYL9gHbdHTJtmtYb9MGzHBs7CAphn8kNCgM/edit?usp=sharing"",""อุตรดิตถ์!I369"")"),400)</f>
        <v>400</v>
      </c>
      <c r="AH29" s="248">
        <f ca="1">IFERROR(__xludf.DUMMYFUNCTION("IMPORTRANGE(""https://docs.google.com/spreadsheets/d/1ubs5cl16eYL9gHbdHTJtmtYb9MGzHBs7CAphn8kNCgM/edit?usp=sharing"",""อุตรดิตถ์!J368"")"),117)</f>
        <v>117</v>
      </c>
      <c r="AI29" s="248">
        <f ca="1">IFERROR(__xludf.DUMMYFUNCTION("IMPORTRANGE(""https://docs.google.com/spreadsheets/d/1ubs5cl16eYL9gHbdHTJtmtYb9MGzHBs7CAphn8kNCgM/edit?usp=sharing"",""อุตรดิตถ์!J369"")"),460.88)</f>
        <v>460.88</v>
      </c>
      <c r="AJ29" s="252">
        <f t="shared" ca="1" si="46"/>
        <v>115.22</v>
      </c>
      <c r="AK29" s="248">
        <f ca="1">IFERROR(__xludf.DUMMYFUNCTION("IMPORTRANGE(""https://docs.google.com/spreadsheets/d/1ubs5cl16eYL9gHbdHTJtmtYb9MGzHBs7CAphn8kNCgM/edit?usp=sharing"",""อุตรดิตถ์!I370"")"),40)</f>
        <v>40</v>
      </c>
      <c r="AL29" s="248">
        <f ca="1">IFERROR(__xludf.DUMMYFUNCTION("IMPORTRANGE(""https://docs.google.com/spreadsheets/d/1ubs5cl16eYL9gHbdHTJtmtYb9MGzHBs7CAphn8kNCgM/edit?usp=sharing"",""อุตรดิตถ์!J370"")"),78)</f>
        <v>78</v>
      </c>
      <c r="AM29" s="248">
        <f ca="1">IFERROR(__xludf.DUMMYFUNCTION("IMPORTRANGE(""https://docs.google.com/spreadsheets/d/1ubs5cl16eYL9gHbdHTJtmtYb9MGzHBs7CAphn8kNCgM/edit?usp=sharing"",""อุตรดิตถ์!J371"")"),323.97)</f>
        <v>323.97000000000003</v>
      </c>
      <c r="AN29" s="252">
        <f t="shared" ca="1" si="47"/>
        <v>195</v>
      </c>
      <c r="AO29" s="248">
        <f ca="1">IFERROR(__xludf.DUMMYFUNCTION("IMPORTRANGE(""https://docs.google.com/spreadsheets/d/1ubs5cl16eYL9gHbdHTJtmtYb9MGzHBs7CAphn8kNCgM/edit?usp=sharing"",""อุตรดิตถ์!I372"")"),40)</f>
        <v>40</v>
      </c>
      <c r="AP29" s="248">
        <f ca="1">IFERROR(__xludf.DUMMYFUNCTION("IMPORTRANGE(""https://docs.google.com/spreadsheets/d/1ubs5cl16eYL9gHbdHTJtmtYb9MGzHBs7CAphn8kNCgM/edit?usp=sharing"",""อุตรดิตถ์!J372"")"),72)</f>
        <v>72</v>
      </c>
      <c r="AQ29" s="248">
        <f ca="1">IFERROR(__xludf.DUMMYFUNCTION("IMPORTRANGE(""https://docs.google.com/spreadsheets/d/1ubs5cl16eYL9gHbdHTJtmtYb9MGzHBs7CAphn8kNCgM/edit?usp=sharing"",""อุตรดิตถ์!J373"")"),280.98)</f>
        <v>280.98</v>
      </c>
      <c r="AR29" s="252">
        <f t="shared" ca="1" si="48"/>
        <v>180</v>
      </c>
      <c r="AS29" s="248">
        <f ca="1">IFERROR(__xludf.DUMMYFUNCTION("IMPORTRANGE(""https://docs.google.com/spreadsheets/d/1ubs5cl16eYL9gHbdHTJtmtYb9MGzHBs7CAphn8kNCgM/edit?usp=sharing"",""อุตรดิตถ์!I378"")"),1250)</f>
        <v>1250</v>
      </c>
      <c r="AT29" s="248">
        <f ca="1">IFERROR(__xludf.DUMMYFUNCTION("IMPORTRANGE(""https://docs.google.com/spreadsheets/d/1ubs5cl16eYL9gHbdHTJtmtYb9MGzHBs7CAphn8kNCgM/edit?usp=sharing"",""อุตรดิตถ์!J377"")"),166)</f>
        <v>166</v>
      </c>
      <c r="AU29" s="248">
        <f ca="1">IFERROR(__xludf.DUMMYFUNCTION("IMPORTRANGE(""https://docs.google.com/spreadsheets/d/1ubs5cl16eYL9gHbdHTJtmtYb9MGzHBs7CAphn8kNCgM/edit?usp=sharing"",""อุตรดิตถ์!J378"")"),1241.91)</f>
        <v>1241.9100000000001</v>
      </c>
      <c r="AV29" s="252">
        <f t="shared" ca="1" si="49"/>
        <v>99.352800000000016</v>
      </c>
      <c r="AW29" s="248">
        <f ca="1">IFERROR(__xludf.DUMMYFUNCTION("IMPORTRANGE(""https://docs.google.com/spreadsheets/d/1ubs5cl16eYL9gHbdHTJtmtYb9MGzHBs7CAphn8kNCgM/edit?usp=sharing"",""อุตรดิตถ์!I379"")"),510)</f>
        <v>510</v>
      </c>
      <c r="AX29" s="248">
        <f ca="1">IFERROR(__xludf.DUMMYFUNCTION("IMPORTRANGE(""https://docs.google.com/spreadsheets/d/1ubs5cl16eYL9gHbdHTJtmtYb9MGzHBs7CAphn8kNCgM/edit?usp=sharing"",""อุตรดิตถ์!J379"")"),608)</f>
        <v>608</v>
      </c>
      <c r="AY29" s="248">
        <f ca="1">IFERROR(__xludf.DUMMYFUNCTION("IMPORTRANGE(""https://docs.google.com/spreadsheets/d/1ubs5cl16eYL9gHbdHTJtmtYb9MGzHBs7CAphn8kNCgM/edit?usp=sharing"",""อุตรดิตถ์!J380"")"),6454.38)</f>
        <v>6454.38</v>
      </c>
      <c r="AZ29" s="252">
        <f t="shared" ca="1" si="50"/>
        <v>119.21568627450981</v>
      </c>
      <c r="BA29" s="248">
        <f ca="1">IFERROR(__xludf.DUMMYFUNCTION("IMPORTRANGE(""https://docs.google.com/spreadsheets/d/1ubs5cl16eYL9gHbdHTJtmtYb9MGzHBs7CAphn8kNCgM/edit?usp=sharing"",""อุตรดิตถ์!I381"")"),510)</f>
        <v>510</v>
      </c>
      <c r="BB29" s="248">
        <f ca="1">IFERROR(__xludf.DUMMYFUNCTION("IMPORTRANGE(""https://docs.google.com/spreadsheets/d/1ubs5cl16eYL9gHbdHTJtmtYb9MGzHBs7CAphn8kNCgM/edit?usp=sharing"",""อุตรดิตถ์!J381"")"),486)</f>
        <v>486</v>
      </c>
      <c r="BC29" s="248">
        <f ca="1">IFERROR(__xludf.DUMMYFUNCTION("IMPORTRANGE(""https://docs.google.com/spreadsheets/d/1ubs5cl16eYL9gHbdHTJtmtYb9MGzHBs7CAphn8kNCgM/edit?usp=sharing"",""อุตรดิตถ์!J382"")"),5608.80999999999)</f>
        <v>5608.8099999999904</v>
      </c>
      <c r="BD29" s="252">
        <f t="shared" ca="1" si="51"/>
        <v>95.294117647058826</v>
      </c>
    </row>
    <row r="30" spans="1:56" ht="24" customHeight="1" x14ac:dyDescent="0.3">
      <c r="A30" s="254">
        <v>17</v>
      </c>
      <c r="B30" s="255" t="s">
        <v>52</v>
      </c>
      <c r="C30" s="256">
        <f t="shared" ca="1" si="0"/>
        <v>668820</v>
      </c>
      <c r="D30" s="257">
        <f t="shared" ca="1" si="64"/>
        <v>617520</v>
      </c>
      <c r="E30" s="258">
        <f ca="1">IFERROR(__xludf.DUMMYFUNCTION("IMPORTRANGE(""https://docs.google.com/spreadsheets/d/1MeEWN-I1oV_STSDYn1IFDPWt_1FKiwhDph83XaGc0o0/edit?usp=sharing"",""งบพรบ!EX30"")"),175200)</f>
        <v>175200</v>
      </c>
      <c r="F30" s="258">
        <f ca="1">IFERROR(__xludf.DUMMYFUNCTION("IMPORTRANGE(""https://docs.google.com/spreadsheets/d/1MeEWN-I1oV_STSDYn1IFDPWt_1FKiwhDph83XaGc0o0/edit?usp=sharing"",""งบพรบ!EY30"")"),442320)</f>
        <v>442320</v>
      </c>
      <c r="G30" s="258">
        <f ca="1">IFERROR(__xludf.DUMMYFUNCTION("IMPORTRANGE(""https://docs.google.com/spreadsheets/d/1MeEWN-I1oV_STSDYn1IFDPWt_1FKiwhDph83XaGc0o0/edit?usp=sharing"",""งบพรบ!EZ30"")"),51300)</f>
        <v>51300</v>
      </c>
      <c r="H30" s="258">
        <f ca="1">IFERROR(__xludf.DUMMYFUNCTION("IMPORTRANGE(""https://docs.google.com/spreadsheets/d/1MeEWN-I1oV_STSDYn1IFDPWt_1FKiwhDph83XaGc0o0/edit?usp=sharing"",""งบพรบ!FB30"")"),809130)</f>
        <v>809130</v>
      </c>
      <c r="I30" s="258">
        <f ca="1">IFERROR(__xludf.DUMMYFUNCTION("IMPORTRANGE(""https://docs.google.com/spreadsheets/d/1MeEWN-I1oV_STSDYn1IFDPWt_1FKiwhDph83XaGc0o0/edit?usp=sharing"",""งบพรบ!FC30"")"),51300)</f>
        <v>51300</v>
      </c>
      <c r="J30" s="258">
        <f t="shared" ca="1" si="3"/>
        <v>775765.06</v>
      </c>
      <c r="K30" s="259">
        <f t="shared" ca="1" si="4"/>
        <v>115.99011094165844</v>
      </c>
      <c r="L30" s="258">
        <f ca="1">IFERROR(__xludf.DUMMYFUNCTION("IMPORTRANGE(""https://docs.google.com/spreadsheets/d/1MeEWN-I1oV_STSDYn1IFDPWt_1FKiwhDph83XaGc0o0/edit?usp=sharing"",""งบพรบ!FD30"")"),724465.06)</f>
        <v>724465.06</v>
      </c>
      <c r="M30" s="260">
        <f t="shared" ca="1" si="5"/>
        <v>117.31847713434382</v>
      </c>
      <c r="N30" s="260">
        <f t="shared" ca="1" si="6"/>
        <v>89.536299482159848</v>
      </c>
      <c r="O30" s="261">
        <f ca="1">IFERROR(__xludf.DUMMYFUNCTION("IMPORTRANGE(""https://docs.google.com/spreadsheets/d/1MeEWN-I1oV_STSDYn1IFDPWt_1FKiwhDph83XaGc0o0/edit?usp=sharing"",""งบพรบ!FE30"")"),51300)</f>
        <v>51300</v>
      </c>
      <c r="P30" s="260">
        <f t="shared" ca="1" si="53"/>
        <v>100</v>
      </c>
      <c r="Q30" s="260">
        <f t="shared" ca="1" si="8"/>
        <v>100</v>
      </c>
      <c r="R30" s="287">
        <f ca="1">IFERROR(__xludf.DUMMYFUNCTION("IMPORTRANGE(""https://docs.google.com/spreadsheets/d/1kII0BjS6CtVrBvI8IrytgPdxDrlyQDyigzMsohRtDMs/edit?usp=sharing"",""อุทัยธานี!I359"")"),2000)</f>
        <v>2000</v>
      </c>
      <c r="S30" s="287">
        <f ca="1">IFERROR(__xludf.DUMMYFUNCTION("IMPORTRANGE(""https://docs.google.com/spreadsheets/d/1kII0BjS6CtVrBvI8IrytgPdxDrlyQDyigzMsohRtDMs/edit?usp=sharing"",""อุทัยธานี!J358"")"),214)</f>
        <v>214</v>
      </c>
      <c r="T30" s="287">
        <f ca="1">IFERROR(__xludf.DUMMYFUNCTION("IMPORTRANGE(""https://docs.google.com/spreadsheets/d/1kII0BjS6CtVrBvI8IrytgPdxDrlyQDyigzMsohRtDMs/edit?usp=sharing"",""อุทัยธานี!J359"")"),2263.6)</f>
        <v>2263.6</v>
      </c>
      <c r="U30" s="263">
        <f t="shared" ca="1" si="43"/>
        <v>113.18</v>
      </c>
      <c r="V30" s="287">
        <f ca="1">IFERROR(__xludf.DUMMYFUNCTION("IMPORTRANGE(""https://docs.google.com/spreadsheets/d/1kII0BjS6CtVrBvI8IrytgPdxDrlyQDyigzMsohRtDMs/edit?usp=sharing"",""อุทัยธานี!I360"")"),200)</f>
        <v>200</v>
      </c>
      <c r="W30" s="287">
        <f ca="1">IFERROR(__xludf.DUMMYFUNCTION("IMPORTRANGE(""https://docs.google.com/spreadsheets/d/1kII0BjS6CtVrBvI8IrytgPdxDrlyQDyigzMsohRtDMs/edit?usp=sharing"",""อุทัยธานี!J360"")"),75)</f>
        <v>75</v>
      </c>
      <c r="X30" s="287">
        <f ca="1">IFERROR(__xludf.DUMMYFUNCTION("IMPORTRANGE(""https://docs.google.com/spreadsheets/d/1kII0BjS6CtVrBvI8IrytgPdxDrlyQDyigzMsohRtDMs/edit?usp=sharing"",""อุทัยธานี!J361"")"),870.77)</f>
        <v>870.77</v>
      </c>
      <c r="Y30" s="263">
        <f t="shared" ca="1" si="44"/>
        <v>37.5</v>
      </c>
      <c r="Z30" s="287">
        <f ca="1">IFERROR(__xludf.DUMMYFUNCTION("IMPORTRANGE(""https://docs.google.com/spreadsheets/d/1kII0BjS6CtVrBvI8IrytgPdxDrlyQDyigzMsohRtDMs/edit?usp=sharing"",""อุทัยธานี!I362"")"),200)</f>
        <v>200</v>
      </c>
      <c r="AA30" s="287">
        <f ca="1">IFERROR(__xludf.DUMMYFUNCTION("IMPORTRANGE(""https://docs.google.com/spreadsheets/d/1kII0BjS6CtVrBvI8IrytgPdxDrlyQDyigzMsohRtDMs/edit?usp=sharing"",""อุทัยธานี!J362"")"),69)</f>
        <v>69</v>
      </c>
      <c r="AB30" s="287">
        <f ca="1">IFERROR(__xludf.DUMMYFUNCTION("IMPORTRANGE(""https://docs.google.com/spreadsheets/d/1kII0BjS6CtVrBvI8IrytgPdxDrlyQDyigzMsohRtDMs/edit?usp=sharing"",""อุทัยธานี!J363"")"),813.23)</f>
        <v>813.23</v>
      </c>
      <c r="AC30" s="263">
        <f t="shared" ca="1" si="45"/>
        <v>34.5</v>
      </c>
      <c r="AD30" s="287">
        <f ca="1">IFERROR(__xludf.DUMMYFUNCTION("IMPORTRANGE(""https://docs.google.com/spreadsheets/d/1kII0BjS6CtVrBvI8IrytgPdxDrlyQDyigzMsohRtDMs/edit?usp=sharing"",""อุทัยธานี!I364"")"),450)</f>
        <v>450</v>
      </c>
      <c r="AE30" s="287">
        <f ca="1">IFERROR(__xludf.DUMMYFUNCTION("IMPORTRANGE(""https://docs.google.com/spreadsheets/d/1kII0BjS6CtVrBvI8IrytgPdxDrlyQDyigzMsohRtDMs/edit?usp=sharing"",""อุทัยธานี!J364"")"),312)</f>
        <v>312</v>
      </c>
      <c r="AF30" s="263">
        <f t="shared" ca="1" si="16"/>
        <v>69.333333333333329</v>
      </c>
      <c r="AG30" s="287">
        <f ca="1">IFERROR(__xludf.DUMMYFUNCTION("IMPORTRANGE(""https://docs.google.com/spreadsheets/d/1kII0BjS6CtVrBvI8IrytgPdxDrlyQDyigzMsohRtDMs/edit?usp=sharing"",""อุทัยธานี!I369"")"),500)</f>
        <v>500</v>
      </c>
      <c r="AH30" s="287">
        <f ca="1">IFERROR(__xludf.DUMMYFUNCTION("IMPORTRANGE(""https://docs.google.com/spreadsheets/d/1kII0BjS6CtVrBvI8IrytgPdxDrlyQDyigzMsohRtDMs/edit?usp=sharing"",""อุทัยธานี!J368"")"),65)</f>
        <v>65</v>
      </c>
      <c r="AI30" s="287">
        <f ca="1">IFERROR(__xludf.DUMMYFUNCTION("IMPORTRANGE(""https://docs.google.com/spreadsheets/d/1kII0BjS6CtVrBvI8IrytgPdxDrlyQDyigzMsohRtDMs/edit?usp=sharing"",""อุทัยธานี!J369"")"),675.64)</f>
        <v>675.64</v>
      </c>
      <c r="AJ30" s="263">
        <f t="shared" ca="1" si="46"/>
        <v>135.12799999999999</v>
      </c>
      <c r="AK30" s="287">
        <f ca="1">IFERROR(__xludf.DUMMYFUNCTION("IMPORTRANGE(""https://docs.google.com/spreadsheets/d/1kII0BjS6CtVrBvI8IrytgPdxDrlyQDyigzMsohRtDMs/edit?usp=sharing"",""อุทัยธานี!I370"")"),50)</f>
        <v>50</v>
      </c>
      <c r="AL30" s="287">
        <f ca="1">IFERROR(__xludf.DUMMYFUNCTION("IMPORTRANGE(""https://docs.google.com/spreadsheets/d/1kII0BjS6CtVrBvI8IrytgPdxDrlyQDyigzMsohRtDMs/edit?usp=sharing"",""อุทัยธานี!J370"")"),17)</f>
        <v>17</v>
      </c>
      <c r="AM30" s="287">
        <f ca="1">IFERROR(__xludf.DUMMYFUNCTION("IMPORTRANGE(""https://docs.google.com/spreadsheets/d/1kII0BjS6CtVrBvI8IrytgPdxDrlyQDyigzMsohRtDMs/edit?usp=sharing"",""อุทัยธานี!J371"")"),153.24)</f>
        <v>153.24</v>
      </c>
      <c r="AN30" s="263">
        <f t="shared" ca="1" si="47"/>
        <v>34</v>
      </c>
      <c r="AO30" s="287">
        <f ca="1">IFERROR(__xludf.DUMMYFUNCTION("IMPORTRANGE(""https://docs.google.com/spreadsheets/d/1kII0BjS6CtVrBvI8IrytgPdxDrlyQDyigzMsohRtDMs/edit?usp=sharing"",""อุทัยธานี!I372"")"),50)</f>
        <v>50</v>
      </c>
      <c r="AP30" s="287">
        <f ca="1">IFERROR(__xludf.DUMMYFUNCTION("IMPORTRANGE(""https://docs.google.com/spreadsheets/d/1kII0BjS6CtVrBvI8IrytgPdxDrlyQDyigzMsohRtDMs/edit?usp=sharing"",""อุทัยธานี!J372"")"),13)</f>
        <v>13</v>
      </c>
      <c r="AQ30" s="287">
        <f ca="1">IFERROR(__xludf.DUMMYFUNCTION("IMPORTRANGE(""https://docs.google.com/spreadsheets/d/1kII0BjS6CtVrBvI8IrytgPdxDrlyQDyigzMsohRtDMs/edit?usp=sharing"",""อุทัยธานี!J373"")"),109.06)</f>
        <v>109.06</v>
      </c>
      <c r="AR30" s="263">
        <f t="shared" ca="1" si="48"/>
        <v>26</v>
      </c>
      <c r="AS30" s="287">
        <f ca="1">IFERROR(__xludf.DUMMYFUNCTION("IMPORTRANGE(""https://docs.google.com/spreadsheets/d/1kII0BjS6CtVrBvI8IrytgPdxDrlyQDyigzMsohRtDMs/edit?usp=sharing"",""อุทัยธานี!I378"")"),1500)</f>
        <v>1500</v>
      </c>
      <c r="AT30" s="287">
        <f ca="1">IFERROR(__xludf.DUMMYFUNCTION("IMPORTRANGE(""https://docs.google.com/spreadsheets/d/1kII0BjS6CtVrBvI8IrytgPdxDrlyQDyigzMsohRtDMs/edit?usp=sharing"",""อุทัยธานี!J377"")"),149)</f>
        <v>149</v>
      </c>
      <c r="AU30" s="287">
        <f ca="1">IFERROR(__xludf.DUMMYFUNCTION("IMPORTRANGE(""https://docs.google.com/spreadsheets/d/1kII0BjS6CtVrBvI8IrytgPdxDrlyQDyigzMsohRtDMs/edit?usp=sharing"",""อุทัยธานี!J378"")"),1587.96)</f>
        <v>1587.96</v>
      </c>
      <c r="AV30" s="263">
        <f t="shared" ca="1" si="49"/>
        <v>105.864</v>
      </c>
      <c r="AW30" s="287">
        <f ca="1">IFERROR(__xludf.DUMMYFUNCTION("IMPORTRANGE(""https://docs.google.com/spreadsheets/d/1kII0BjS6CtVrBvI8IrytgPdxDrlyQDyigzMsohRtDMs/edit?usp=sharing"",""อุทัยธานี!I379"")"),400)</f>
        <v>400</v>
      </c>
      <c r="AX30" s="287">
        <f ca="1">IFERROR(__xludf.DUMMYFUNCTION("IMPORTRANGE(""https://docs.google.com/spreadsheets/d/1kII0BjS6CtVrBvI8IrytgPdxDrlyQDyigzMsohRtDMs/edit?usp=sharing"",""อุทัยธานี!J379"")"),309)</f>
        <v>309</v>
      </c>
      <c r="AY30" s="287">
        <f ca="1">IFERROR(__xludf.DUMMYFUNCTION("IMPORTRANGE(""https://docs.google.com/spreadsheets/d/1kII0BjS6CtVrBvI8IrytgPdxDrlyQDyigzMsohRtDMs/edit?usp=sharing"",""อุทัยธานี!J380"")"),6114.79)</f>
        <v>6114.79</v>
      </c>
      <c r="AZ30" s="263">
        <f t="shared" ca="1" si="50"/>
        <v>77.25</v>
      </c>
      <c r="BA30" s="287">
        <f ca="1">IFERROR(__xludf.DUMMYFUNCTION("IMPORTRANGE(""https://docs.google.com/spreadsheets/d/1kII0BjS6CtVrBvI8IrytgPdxDrlyQDyigzMsohRtDMs/edit?usp=sharing"",""อุทัยธานี!I381"")"),400)</f>
        <v>400</v>
      </c>
      <c r="BB30" s="287">
        <f ca="1">IFERROR(__xludf.DUMMYFUNCTION("IMPORTRANGE(""https://docs.google.com/spreadsheets/d/1kII0BjS6CtVrBvI8IrytgPdxDrlyQDyigzMsohRtDMs/edit?usp=sharing"",""อุทัยธานี!J381"")"),299)</f>
        <v>299</v>
      </c>
      <c r="BC30" s="287">
        <f ca="1">IFERROR(__xludf.DUMMYFUNCTION("IMPORTRANGE(""https://docs.google.com/spreadsheets/d/1kII0BjS6CtVrBvI8IrytgPdxDrlyQDyigzMsohRtDMs/edit?usp=sharing"",""อุทัยธานี!J382"")"),5955.5)</f>
        <v>5955.5</v>
      </c>
      <c r="BD30" s="263">
        <f t="shared" ca="1" si="51"/>
        <v>74.75</v>
      </c>
    </row>
    <row r="31" spans="1:56" ht="21" customHeight="1" x14ac:dyDescent="0.3">
      <c r="A31" s="442" t="s">
        <v>53</v>
      </c>
      <c r="B31" s="414"/>
      <c r="C31" s="224">
        <f t="shared" ca="1" si="0"/>
        <v>29266000</v>
      </c>
      <c r="D31" s="224">
        <f t="shared" ref="D31:I31" ca="1" si="65">SUM(D32:D51)</f>
        <v>26914600</v>
      </c>
      <c r="E31" s="224">
        <f t="shared" ca="1" si="65"/>
        <v>5583600</v>
      </c>
      <c r="F31" s="224">
        <f t="shared" ca="1" si="65"/>
        <v>21331000</v>
      </c>
      <c r="G31" s="224">
        <f t="shared" ca="1" si="65"/>
        <v>2351400</v>
      </c>
      <c r="H31" s="224">
        <f t="shared" ca="1" si="65"/>
        <v>29103132</v>
      </c>
      <c r="I31" s="224">
        <f t="shared" ca="1" si="65"/>
        <v>2427720</v>
      </c>
      <c r="J31" s="224">
        <f t="shared" ca="1" si="3"/>
        <v>27744232.59</v>
      </c>
      <c r="K31" s="225">
        <f t="shared" ca="1" si="4"/>
        <v>94.800220699788156</v>
      </c>
      <c r="L31" s="224">
        <f ca="1">SUM(L32:L51)</f>
        <v>25316512.59</v>
      </c>
      <c r="M31" s="226">
        <f t="shared" ca="1" si="5"/>
        <v>94.062377259925839</v>
      </c>
      <c r="N31" s="226">
        <f t="shared" ca="1" si="6"/>
        <v>86.988962528156762</v>
      </c>
      <c r="O31" s="227">
        <f ca="1">SUM(O32:O51)</f>
        <v>2427720</v>
      </c>
      <c r="P31" s="226">
        <f t="shared" ca="1" si="53"/>
        <v>103.24572595049757</v>
      </c>
      <c r="Q31" s="226">
        <f t="shared" ca="1" si="8"/>
        <v>100</v>
      </c>
      <c r="R31" s="224">
        <f t="shared" ref="R31:T31" ca="1" si="66">SUM(R32:R51)</f>
        <v>151020</v>
      </c>
      <c r="S31" s="224">
        <f t="shared" ca="1" si="66"/>
        <v>15698</v>
      </c>
      <c r="T31" s="224">
        <f t="shared" ca="1" si="66"/>
        <v>134380.49999999997</v>
      </c>
      <c r="U31" s="226">
        <f t="shared" ca="1" si="43"/>
        <v>88.981922924115992</v>
      </c>
      <c r="V31" s="224">
        <f t="shared" ref="V31:X31" ca="1" si="67">SUM(V32:V51)</f>
        <v>14473</v>
      </c>
      <c r="W31" s="224">
        <f t="shared" ca="1" si="67"/>
        <v>14230</v>
      </c>
      <c r="X31" s="224">
        <f t="shared" ca="1" si="67"/>
        <v>123975.27999999985</v>
      </c>
      <c r="Y31" s="226">
        <f t="shared" ca="1" si="44"/>
        <v>98.321011538727291</v>
      </c>
      <c r="Z31" s="224">
        <f t="shared" ref="Z31:AB31" ca="1" si="68">SUM(Z32:Z51)</f>
        <v>14473</v>
      </c>
      <c r="AA31" s="224">
        <f t="shared" ca="1" si="68"/>
        <v>9288</v>
      </c>
      <c r="AB31" s="224">
        <f t="shared" ca="1" si="68"/>
        <v>79258.729999999952</v>
      </c>
      <c r="AC31" s="226">
        <f t="shared" ca="1" si="45"/>
        <v>64.174670075312648</v>
      </c>
      <c r="AD31" s="224">
        <f t="shared" ref="AD31:AE31" ca="1" si="69">SUM(AD32:AD51)</f>
        <v>25758</v>
      </c>
      <c r="AE31" s="224">
        <f t="shared" ca="1" si="69"/>
        <v>21429</v>
      </c>
      <c r="AF31" s="226">
        <f t="shared" ca="1" si="16"/>
        <v>83.193570929419991</v>
      </c>
      <c r="AG31" s="224">
        <f t="shared" ref="AG31:AI31" ca="1" si="70">SUM(AG32:AG51)</f>
        <v>50320</v>
      </c>
      <c r="AH31" s="224">
        <f t="shared" ca="1" si="70"/>
        <v>5252</v>
      </c>
      <c r="AI31" s="224">
        <f t="shared" ca="1" si="70"/>
        <v>44071.029999999992</v>
      </c>
      <c r="AJ31" s="226">
        <f t="shared" ca="1" si="46"/>
        <v>87.581538155802846</v>
      </c>
      <c r="AK31" s="224">
        <f t="shared" ref="AK31:AM31" ca="1" si="71">SUM(AK32:AK51)</f>
        <v>4842</v>
      </c>
      <c r="AL31" s="224">
        <f t="shared" ca="1" si="71"/>
        <v>4060</v>
      </c>
      <c r="AM31" s="224">
        <f t="shared" ca="1" si="71"/>
        <v>33783.81</v>
      </c>
      <c r="AN31" s="226">
        <f t="shared" ca="1" si="47"/>
        <v>83.849648905410987</v>
      </c>
      <c r="AO31" s="224">
        <f t="shared" ref="AO31:AQ31" ca="1" si="72">SUM(AO32:AO51)</f>
        <v>4842</v>
      </c>
      <c r="AP31" s="224">
        <f t="shared" ca="1" si="72"/>
        <v>3265</v>
      </c>
      <c r="AQ31" s="224">
        <f t="shared" ca="1" si="72"/>
        <v>26575.73</v>
      </c>
      <c r="AR31" s="226">
        <f t="shared" ca="1" si="48"/>
        <v>67.430813713341593</v>
      </c>
      <c r="AS31" s="224">
        <f t="shared" ref="AS31:AU31" ca="1" si="73">SUM(AS32:AS51)</f>
        <v>100700</v>
      </c>
      <c r="AT31" s="224">
        <f t="shared" ca="1" si="73"/>
        <v>10446</v>
      </c>
      <c r="AU31" s="224">
        <f t="shared" ca="1" si="73"/>
        <v>90309.47</v>
      </c>
      <c r="AV31" s="226">
        <f t="shared" ca="1" si="49"/>
        <v>89.681698113207545</v>
      </c>
      <c r="AW31" s="224">
        <f t="shared" ref="AW31:AY31" ca="1" si="74">SUM(AW32:AW51)</f>
        <v>20916</v>
      </c>
      <c r="AX31" s="224">
        <f t="shared" ca="1" si="74"/>
        <v>24046</v>
      </c>
      <c r="AY31" s="224">
        <f t="shared" ca="1" si="74"/>
        <v>267283.53999999969</v>
      </c>
      <c r="AZ31" s="226">
        <f t="shared" ca="1" si="50"/>
        <v>114.96462038630713</v>
      </c>
      <c r="BA31" s="224">
        <f t="shared" ref="BA31:BC31" ca="1" si="75">SUM(BA32:BA51)</f>
        <v>20916</v>
      </c>
      <c r="BB31" s="224">
        <f t="shared" ca="1" si="75"/>
        <v>18164</v>
      </c>
      <c r="BC31" s="224">
        <f t="shared" ca="1" si="75"/>
        <v>206318.0199999999</v>
      </c>
      <c r="BD31" s="226">
        <f t="shared" ca="1" si="51"/>
        <v>86.842608529355516</v>
      </c>
    </row>
    <row r="32" spans="1:56" ht="21" customHeight="1" x14ac:dyDescent="0.3">
      <c r="A32" s="243">
        <v>1</v>
      </c>
      <c r="B32" s="244" t="s">
        <v>54</v>
      </c>
      <c r="C32" s="245">
        <f t="shared" ca="1" si="0"/>
        <v>1058490</v>
      </c>
      <c r="D32" s="246">
        <f t="shared" ref="D32:D51" ca="1" si="76">+E32+F32</f>
        <v>974690</v>
      </c>
      <c r="E32" s="247">
        <f ca="1">IFERROR(__xludf.DUMMYFUNCTION("IMPORTRANGE(""https://docs.google.com/spreadsheets/d/1MeEWN-I1oV_STSDYn1IFDPWt_1FKiwhDph83XaGc0o0/edit?usp=sharing"",""งบพรบ!EX32"")"),429600)</f>
        <v>429600</v>
      </c>
      <c r="F32" s="247">
        <f ca="1">IFERROR(__xludf.DUMMYFUNCTION("IMPORTRANGE(""https://docs.google.com/spreadsheets/d/1MeEWN-I1oV_STSDYn1IFDPWt_1FKiwhDph83XaGc0o0/edit?usp=sharing"",""งบพรบ!EY32"")"),545090)</f>
        <v>545090</v>
      </c>
      <c r="G32" s="248">
        <f ca="1">IFERROR(__xludf.DUMMYFUNCTION("IMPORTRANGE(""https://docs.google.com/spreadsheets/d/1MeEWN-I1oV_STSDYn1IFDPWt_1FKiwhDph83XaGc0o0/edit?usp=sharing"",""งบพรบ!EZ32"")"),83800)</f>
        <v>83800</v>
      </c>
      <c r="H32" s="248">
        <f ca="1">IFERROR(__xludf.DUMMYFUNCTION("IMPORTRANGE(""https://docs.google.com/spreadsheets/d/1MeEWN-I1oV_STSDYn1IFDPWt_1FKiwhDph83XaGc0o0/edit?usp=sharing"",""งบพรบ!FB32"")"),1044690)</f>
        <v>1044690</v>
      </c>
      <c r="I32" s="248">
        <f ca="1">IFERROR(__xludf.DUMMYFUNCTION("IMPORTRANGE(""https://docs.google.com/spreadsheets/d/1MeEWN-I1oV_STSDYn1IFDPWt_1FKiwhDph83XaGc0o0/edit?usp=sharing"",""งบพรบ!FC32"")"),83800)</f>
        <v>83800</v>
      </c>
      <c r="J32" s="248">
        <f t="shared" ca="1" si="3"/>
        <v>1043789.94</v>
      </c>
      <c r="K32" s="249">
        <f t="shared" ca="1" si="4"/>
        <v>98.611223535413657</v>
      </c>
      <c r="L32" s="248">
        <f ca="1">IFERROR(__xludf.DUMMYFUNCTION("IMPORTRANGE(""https://docs.google.com/spreadsheets/d/1MeEWN-I1oV_STSDYn1IFDPWt_1FKiwhDph83XaGc0o0/edit?usp=sharing"",""งบพรบ!FD32"")"),959989.94)</f>
        <v>959989.94</v>
      </c>
      <c r="M32" s="250">
        <f t="shared" ca="1" si="5"/>
        <v>98.491822015204832</v>
      </c>
      <c r="N32" s="250">
        <f t="shared" ca="1" si="6"/>
        <v>91.892325953153573</v>
      </c>
      <c r="O32" s="251">
        <f ca="1">IFERROR(__xludf.DUMMYFUNCTION("IMPORTRANGE(""https://docs.google.com/spreadsheets/d/1MeEWN-I1oV_STSDYn1IFDPWt_1FKiwhDph83XaGc0o0/edit?usp=sharing"",""งบพรบ!FE32"")"),83800)</f>
        <v>83800</v>
      </c>
      <c r="P32" s="250">
        <f t="shared" ca="1" si="53"/>
        <v>100</v>
      </c>
      <c r="Q32" s="250">
        <f t="shared" ca="1" si="8"/>
        <v>100</v>
      </c>
      <c r="R32" s="248">
        <f ca="1">IFERROR(__xludf.DUMMYFUNCTION("IMPORTRANGE(""https://docs.google.com/spreadsheets/d/1fb2B9NLcpJgjIieIJvenUTNPn0TimZDUi0OtYeiSQ_s/edit?usp=sharing"",""กาฬสินธุ์!I359"")"),2500)</f>
        <v>2500</v>
      </c>
      <c r="S32" s="248">
        <f ca="1">IFERROR(__xludf.DUMMYFUNCTION("IMPORTRANGE(""https://docs.google.com/spreadsheets/d/1fb2B9NLcpJgjIieIJvenUTNPn0TimZDUi0OtYeiSQ_s/edit?usp=sharing"",""กาฬสินธุ์!J358"")"),303)</f>
        <v>303</v>
      </c>
      <c r="T32" s="248">
        <f ca="1">IFERROR(__xludf.DUMMYFUNCTION("IMPORTRANGE(""https://docs.google.com/spreadsheets/d/1fb2B9NLcpJgjIieIJvenUTNPn0TimZDUi0OtYeiSQ_s/edit?usp=sharing"",""กาฬสินธุ์!J359"")"),2703.61)</f>
        <v>2703.61</v>
      </c>
      <c r="U32" s="252">
        <f t="shared" ca="1" si="43"/>
        <v>108.1444</v>
      </c>
      <c r="V32" s="248">
        <f ca="1">IFERROR(__xludf.DUMMYFUNCTION("IMPORTRANGE(""https://docs.google.com/spreadsheets/d/1fb2B9NLcpJgjIieIJvenUTNPn0TimZDUi0OtYeiSQ_s/edit?usp=sharing"",""กาฬสินธุ์!I360"")"),250)</f>
        <v>250</v>
      </c>
      <c r="W32" s="248">
        <f ca="1">IFERROR(__xludf.DUMMYFUNCTION("IMPORTRANGE(""https://docs.google.com/spreadsheets/d/1fb2B9NLcpJgjIieIJvenUTNPn0TimZDUi0OtYeiSQ_s/edit?usp=sharing"",""กาฬสินธุ์!J360"")"),309)</f>
        <v>309</v>
      </c>
      <c r="X32" s="248">
        <f ca="1">IFERROR(__xludf.DUMMYFUNCTION("IMPORTRANGE(""https://docs.google.com/spreadsheets/d/1fb2B9NLcpJgjIieIJvenUTNPn0TimZDUi0OtYeiSQ_s/edit?usp=sharing"",""กาฬสินธุ์!J361"")"),2697.54)</f>
        <v>2697.54</v>
      </c>
      <c r="Y32" s="252">
        <f t="shared" ca="1" si="44"/>
        <v>123.6</v>
      </c>
      <c r="Z32" s="248">
        <f ca="1">IFERROR(__xludf.DUMMYFUNCTION("IMPORTRANGE(""https://docs.google.com/spreadsheets/d/1fb2B9NLcpJgjIieIJvenUTNPn0TimZDUi0OtYeiSQ_s/edit?usp=sharing"",""กาฬสินธุ์!I362"")"),250)</f>
        <v>250</v>
      </c>
      <c r="AA32" s="248">
        <f ca="1">IFERROR(__xludf.DUMMYFUNCTION("IMPORTRANGE(""https://docs.google.com/spreadsheets/d/1fb2B9NLcpJgjIieIJvenUTNPn0TimZDUi0OtYeiSQ_s/edit?usp=sharing"",""กาฬสินธุ์!J362"")"),270)</f>
        <v>270</v>
      </c>
      <c r="AB32" s="248">
        <f ca="1">IFERROR(__xludf.DUMMYFUNCTION("IMPORTRANGE(""https://docs.google.com/spreadsheets/d/1fb2B9NLcpJgjIieIJvenUTNPn0TimZDUi0OtYeiSQ_s/edit?usp=sharing"",""กาฬสินธุ์!J363"")"),2309.1)</f>
        <v>2309.1</v>
      </c>
      <c r="AC32" s="252">
        <f t="shared" ca="1" si="45"/>
        <v>108</v>
      </c>
      <c r="AD32" s="248">
        <f ca="1">IFERROR(__xludf.DUMMYFUNCTION("IMPORTRANGE(""https://docs.google.com/spreadsheets/d/1fb2B9NLcpJgjIieIJvenUTNPn0TimZDUi0OtYeiSQ_s/edit?usp=sharing"",""กาฬสินธุ์!I364"")"),700)</f>
        <v>700</v>
      </c>
      <c r="AE32" s="248">
        <f ca="1">IFERROR(__xludf.DUMMYFUNCTION("IMPORTRANGE(""https://docs.google.com/spreadsheets/d/1fb2B9NLcpJgjIieIJvenUTNPn0TimZDUi0OtYeiSQ_s/edit?usp=sharing"",""กาฬสินธุ์!J364"")"),765)</f>
        <v>765</v>
      </c>
      <c r="AF32" s="252">
        <f t="shared" ca="1" si="16"/>
        <v>109.28571428571429</v>
      </c>
      <c r="AG32" s="248">
        <f ca="1">IFERROR(__xludf.DUMMYFUNCTION("IMPORTRANGE(""https://docs.google.com/spreadsheets/d/1fb2B9NLcpJgjIieIJvenUTNPn0TimZDUi0OtYeiSQ_s/edit?usp=sharing"",""กาฬสินธุ์!I369"")"),300)</f>
        <v>300</v>
      </c>
      <c r="AH32" s="248">
        <f ca="1">IFERROR(__xludf.DUMMYFUNCTION("IMPORTRANGE(""https://docs.google.com/spreadsheets/d/1fb2B9NLcpJgjIieIJvenUTNPn0TimZDUi0OtYeiSQ_s/edit?usp=sharing"",""กาฬสินธุ์!J368"")"),52)</f>
        <v>52</v>
      </c>
      <c r="AI32" s="248">
        <f ca="1">IFERROR(__xludf.DUMMYFUNCTION("IMPORTRANGE(""https://docs.google.com/spreadsheets/d/1fb2B9NLcpJgjIieIJvenUTNPn0TimZDUi0OtYeiSQ_s/edit?usp=sharing"",""กาฬสินธุ์!J369"")"),374.77)</f>
        <v>374.77</v>
      </c>
      <c r="AJ32" s="252">
        <f t="shared" ca="1" si="46"/>
        <v>124.92333333333333</v>
      </c>
      <c r="AK32" s="248">
        <f ca="1">IFERROR(__xludf.DUMMYFUNCTION("IMPORTRANGE(""https://docs.google.com/spreadsheets/d/1fb2B9NLcpJgjIieIJvenUTNPn0TimZDUi0OtYeiSQ_s/edit?usp=sharing"",""กาฬสินธุ์!I370"")"),50)</f>
        <v>50</v>
      </c>
      <c r="AL32" s="248">
        <f ca="1">IFERROR(__xludf.DUMMYFUNCTION("IMPORTRANGE(""https://docs.google.com/spreadsheets/d/1fb2B9NLcpJgjIieIJvenUTNPn0TimZDUi0OtYeiSQ_s/edit?usp=sharing"",""กาฬสินธุ์!J370"")"),62)</f>
        <v>62</v>
      </c>
      <c r="AM32" s="248">
        <f ca="1">IFERROR(__xludf.DUMMYFUNCTION("IMPORTRANGE(""https://docs.google.com/spreadsheets/d/1fb2B9NLcpJgjIieIJvenUTNPn0TimZDUi0OtYeiSQ_s/edit?usp=sharing"",""กาฬสินธุ์!J371"")"),388.32)</f>
        <v>388.32</v>
      </c>
      <c r="AN32" s="252">
        <f t="shared" ca="1" si="47"/>
        <v>124</v>
      </c>
      <c r="AO32" s="248">
        <f ca="1">IFERROR(__xludf.DUMMYFUNCTION("IMPORTRANGE(""https://docs.google.com/spreadsheets/d/1fb2B9NLcpJgjIieIJvenUTNPn0TimZDUi0OtYeiSQ_s/edit?usp=sharing"",""กาฬสินธุ์!I372"")"),50)</f>
        <v>50</v>
      </c>
      <c r="AP32" s="248">
        <f ca="1">IFERROR(__xludf.DUMMYFUNCTION("IMPORTRANGE(""https://docs.google.com/spreadsheets/d/1fb2B9NLcpJgjIieIJvenUTNPn0TimZDUi0OtYeiSQ_s/edit?usp=sharing"",""กาฬสินธุ์!J372"")"),54)</f>
        <v>54</v>
      </c>
      <c r="AQ32" s="248">
        <f ca="1">IFERROR(__xludf.DUMMYFUNCTION("IMPORTRANGE(""https://docs.google.com/spreadsheets/d/1fb2B9NLcpJgjIieIJvenUTNPn0TimZDUi0OtYeiSQ_s/edit?usp=sharing"",""กาฬสินธุ์!J373"")"),330.3)</f>
        <v>330.3</v>
      </c>
      <c r="AR32" s="252">
        <f t="shared" ca="1" si="48"/>
        <v>108</v>
      </c>
      <c r="AS32" s="248">
        <f ca="1">IFERROR(__xludf.DUMMYFUNCTION("IMPORTRANGE(""https://docs.google.com/spreadsheets/d/1fb2B9NLcpJgjIieIJvenUTNPn0TimZDUi0OtYeiSQ_s/edit?usp=sharing"",""กาฬสินธุ์!I378"")"),2200)</f>
        <v>2200</v>
      </c>
      <c r="AT32" s="248">
        <f ca="1">IFERROR(__xludf.DUMMYFUNCTION("IMPORTRANGE(""https://docs.google.com/spreadsheets/d/1fb2B9NLcpJgjIieIJvenUTNPn0TimZDUi0OtYeiSQ_s/edit?usp=sharing"",""กาฬสินธุ์!J377"")"),251)</f>
        <v>251</v>
      </c>
      <c r="AU32" s="248">
        <f ca="1">IFERROR(__xludf.DUMMYFUNCTION("IMPORTRANGE(""https://docs.google.com/spreadsheets/d/1fb2B9NLcpJgjIieIJvenUTNPn0TimZDUi0OtYeiSQ_s/edit?usp=sharing"",""กาฬสินธุ์!J378"")"),2328.84)</f>
        <v>2328.84</v>
      </c>
      <c r="AV32" s="252">
        <f t="shared" ca="1" si="49"/>
        <v>105.85636363636364</v>
      </c>
      <c r="AW32" s="248">
        <f ca="1">IFERROR(__xludf.DUMMYFUNCTION("IMPORTRANGE(""https://docs.google.com/spreadsheets/d/1fb2B9NLcpJgjIieIJvenUTNPn0TimZDUi0OtYeiSQ_s/edit?usp=sharing"",""กาฬสินธุ์!I379"")"),650)</f>
        <v>650</v>
      </c>
      <c r="AX32" s="248">
        <f ca="1">IFERROR(__xludf.DUMMYFUNCTION("IMPORTRANGE(""https://docs.google.com/spreadsheets/d/1fb2B9NLcpJgjIieIJvenUTNPn0TimZDUi0OtYeiSQ_s/edit?usp=sharing"",""กาฬสินธุ์!J379"")"),764)</f>
        <v>764</v>
      </c>
      <c r="AY32" s="248">
        <f ca="1">IFERROR(__xludf.DUMMYFUNCTION("IMPORTRANGE(""https://docs.google.com/spreadsheets/d/1fb2B9NLcpJgjIieIJvenUTNPn0TimZDUi0OtYeiSQ_s/edit?usp=sharing"",""กาฬสินธุ์!J380"")"),8625.63)</f>
        <v>8625.6299999999992</v>
      </c>
      <c r="AZ32" s="252">
        <f t="shared" ca="1" si="50"/>
        <v>117.53846153846153</v>
      </c>
      <c r="BA32" s="248">
        <f ca="1">IFERROR(__xludf.DUMMYFUNCTION("IMPORTRANGE(""https://docs.google.com/spreadsheets/d/1fb2B9NLcpJgjIieIJvenUTNPn0TimZDUi0OtYeiSQ_s/edit?usp=sharing"",""กาฬสินธุ์!I381"")"),650)</f>
        <v>650</v>
      </c>
      <c r="BB32" s="248">
        <f ca="1">IFERROR(__xludf.DUMMYFUNCTION("IMPORTRANGE(""https://docs.google.com/spreadsheets/d/1fb2B9NLcpJgjIieIJvenUTNPn0TimZDUi0OtYeiSQ_s/edit?usp=sharing"",""กาฬสินธุ์!J381"")"),711)</f>
        <v>711</v>
      </c>
      <c r="BC32" s="248">
        <f ca="1">IFERROR(__xludf.DUMMYFUNCTION("IMPORTRANGE(""https://docs.google.com/spreadsheets/d/1fb2B9NLcpJgjIieIJvenUTNPn0TimZDUi0OtYeiSQ_s/edit?usp=sharing"",""กาฬสินธุ์!J382"")"),8105.01)</f>
        <v>8105.01</v>
      </c>
      <c r="BD32" s="252">
        <f t="shared" ca="1" si="51"/>
        <v>109.38461538461539</v>
      </c>
    </row>
    <row r="33" spans="1:56" ht="21" customHeight="1" x14ac:dyDescent="0.3">
      <c r="A33" s="243">
        <v>2</v>
      </c>
      <c r="B33" s="244" t="s">
        <v>55</v>
      </c>
      <c r="C33" s="245">
        <f t="shared" ca="1" si="0"/>
        <v>1082650</v>
      </c>
      <c r="D33" s="246">
        <f t="shared" ca="1" si="76"/>
        <v>984850</v>
      </c>
      <c r="E33" s="247">
        <f ca="1">IFERROR(__xludf.DUMMYFUNCTION("IMPORTRANGE(""https://docs.google.com/spreadsheets/d/1MeEWN-I1oV_STSDYn1IFDPWt_1FKiwhDph83XaGc0o0/edit?usp=sharing"",""งบพรบ!EX33"")"),175200)</f>
        <v>175200</v>
      </c>
      <c r="F33" s="247">
        <f ca="1">IFERROR(__xludf.DUMMYFUNCTION("IMPORTRANGE(""https://docs.google.com/spreadsheets/d/1MeEWN-I1oV_STSDYn1IFDPWt_1FKiwhDph83XaGc0o0/edit?usp=sharing"",""งบพรบ!EY33"")"),809650)</f>
        <v>809650</v>
      </c>
      <c r="G33" s="247">
        <f ca="1">IFERROR(__xludf.DUMMYFUNCTION("IMPORTRANGE(""https://docs.google.com/spreadsheets/d/1MeEWN-I1oV_STSDYn1IFDPWt_1FKiwhDph83XaGc0o0/edit?usp=sharing"",""งบพรบ!EZ33"")"),97800)</f>
        <v>97800</v>
      </c>
      <c r="H33" s="247">
        <f ca="1">IFERROR(__xludf.DUMMYFUNCTION("IMPORTRANGE(""https://docs.google.com/spreadsheets/d/1MeEWN-I1oV_STSDYn1IFDPWt_1FKiwhDph83XaGc0o0/edit?usp=sharing"",""งบพรบ!FB33"")"),1114130)</f>
        <v>1114130</v>
      </c>
      <c r="I33" s="247">
        <f ca="1">IFERROR(__xludf.DUMMYFUNCTION("IMPORTRANGE(""https://docs.google.com/spreadsheets/d/1MeEWN-I1oV_STSDYn1IFDPWt_1FKiwhDph83XaGc0o0/edit?usp=sharing"",""งบพรบ!FC33"")"),97200)</f>
        <v>97200</v>
      </c>
      <c r="J33" s="247">
        <f t="shared" ca="1" si="3"/>
        <v>1129020.21</v>
      </c>
      <c r="K33" s="253">
        <f t="shared" ca="1" si="4"/>
        <v>104.28302867962869</v>
      </c>
      <c r="L33" s="247">
        <f ca="1">IFERROR(__xludf.DUMMYFUNCTION("IMPORTRANGE(""https://docs.google.com/spreadsheets/d/1MeEWN-I1oV_STSDYn1IFDPWt_1FKiwhDph83XaGc0o0/edit?usp=sharing"",""งบพรบ!FD33"")"),1031820.21)</f>
        <v>1031820.21</v>
      </c>
      <c r="M33" s="250">
        <f t="shared" ca="1" si="5"/>
        <v>104.7692755241915</v>
      </c>
      <c r="N33" s="250">
        <f t="shared" ca="1" si="6"/>
        <v>92.612191575489391</v>
      </c>
      <c r="O33" s="251">
        <f ca="1">IFERROR(__xludf.DUMMYFUNCTION("IMPORTRANGE(""https://docs.google.com/spreadsheets/d/1MeEWN-I1oV_STSDYn1IFDPWt_1FKiwhDph83XaGc0o0/edit?usp=sharing"",""งบพรบ!FE33"")"),97200)</f>
        <v>97200</v>
      </c>
      <c r="P33" s="250">
        <f t="shared" ca="1" si="53"/>
        <v>99.386503067484668</v>
      </c>
      <c r="Q33" s="250">
        <f t="shared" ca="1" si="8"/>
        <v>100</v>
      </c>
      <c r="R33" s="248">
        <f ca="1">IFERROR(__xludf.DUMMYFUNCTION("IMPORTRANGE(""https://docs.google.com/spreadsheets/d/1SaMnqrwRGmFYNR0MhpWmHuL5niYUd5E7vDq8X7whAlI/edit?usp=sharing"",""ขอนแก่น!I359"")"),4500)</f>
        <v>4500</v>
      </c>
      <c r="S33" s="248">
        <f ca="1">IFERROR(__xludf.DUMMYFUNCTION("IMPORTRANGE(""https://docs.google.com/spreadsheets/d/1SaMnqrwRGmFYNR0MhpWmHuL5niYUd5E7vDq8X7whAlI/edit?usp=sharing"",""ขอนแก่น!J358"")"),348)</f>
        <v>348</v>
      </c>
      <c r="T33" s="248">
        <f ca="1">IFERROR(__xludf.DUMMYFUNCTION("IMPORTRANGE(""https://docs.google.com/spreadsheets/d/1SaMnqrwRGmFYNR0MhpWmHuL5niYUd5E7vDq8X7whAlI/edit?usp=sharing"",""ขอนแก่น!J359"")"),3171.52999999999)</f>
        <v>3171.5299999999902</v>
      </c>
      <c r="U33" s="252">
        <f t="shared" ca="1" si="43"/>
        <v>70.478444444444222</v>
      </c>
      <c r="V33" s="248">
        <f ca="1">IFERROR(__xludf.DUMMYFUNCTION("IMPORTRANGE(""https://docs.google.com/spreadsheets/d/1SaMnqrwRGmFYNR0MhpWmHuL5niYUd5E7vDq8X7whAlI/edit?usp=sharing"",""ขอนแก่น!I360"")"),450)</f>
        <v>450</v>
      </c>
      <c r="W33" s="248">
        <f ca="1">IFERROR(__xludf.DUMMYFUNCTION("IMPORTRANGE(""https://docs.google.com/spreadsheets/d/1SaMnqrwRGmFYNR0MhpWmHuL5niYUd5E7vDq8X7whAlI/edit?usp=sharing"",""ขอนแก่น!J360"")"),348)</f>
        <v>348</v>
      </c>
      <c r="X33" s="248">
        <f ca="1">IFERROR(__xludf.DUMMYFUNCTION("IMPORTRANGE(""https://docs.google.com/spreadsheets/d/1SaMnqrwRGmFYNR0MhpWmHuL5niYUd5E7vDq8X7whAlI/edit?usp=sharing"",""ขอนแก่น!J361"")"),3161.43)</f>
        <v>3161.43</v>
      </c>
      <c r="Y33" s="252">
        <f t="shared" ca="1" si="44"/>
        <v>77.333333333333329</v>
      </c>
      <c r="Z33" s="248">
        <f ca="1">IFERROR(__xludf.DUMMYFUNCTION("IMPORTRANGE(""https://docs.google.com/spreadsheets/d/1SaMnqrwRGmFYNR0MhpWmHuL5niYUd5E7vDq8X7whAlI/edit?usp=sharing"",""ขอนแก่น!I362"")"),450)</f>
        <v>450</v>
      </c>
      <c r="AA33" s="248">
        <f ca="1">IFERROR(__xludf.DUMMYFUNCTION("IMPORTRANGE(""https://docs.google.com/spreadsheets/d/1SaMnqrwRGmFYNR0MhpWmHuL5niYUd5E7vDq8X7whAlI/edit?usp=sharing"",""ขอนแก่น!J362"")"),347)</f>
        <v>347</v>
      </c>
      <c r="AB33" s="248">
        <f ca="1">IFERROR(__xludf.DUMMYFUNCTION("IMPORTRANGE(""https://docs.google.com/spreadsheets/d/1SaMnqrwRGmFYNR0MhpWmHuL5niYUd5E7vDq8X7whAlI/edit?usp=sharing"",""ขอนแก่น!J363"")"),3142.04)</f>
        <v>3142.04</v>
      </c>
      <c r="AC33" s="252">
        <f t="shared" ca="1" si="45"/>
        <v>77.111111111111114</v>
      </c>
      <c r="AD33" s="248">
        <f ca="1">IFERROR(__xludf.DUMMYFUNCTION("IMPORTRANGE(""https://docs.google.com/spreadsheets/d/1SaMnqrwRGmFYNR0MhpWmHuL5niYUd5E7vDq8X7whAlI/edit?usp=sharing"",""ขอนแก่น!I364"")"),1200)</f>
        <v>1200</v>
      </c>
      <c r="AE33" s="248">
        <f ca="1">IFERROR(__xludf.DUMMYFUNCTION("IMPORTRANGE(""https://docs.google.com/spreadsheets/d/1SaMnqrwRGmFYNR0MhpWmHuL5niYUd5E7vDq8X7whAlI/edit?usp=sharing"",""ขอนแก่น!J364"")"),1302)</f>
        <v>1302</v>
      </c>
      <c r="AF33" s="252">
        <f t="shared" ca="1" si="16"/>
        <v>108.5</v>
      </c>
      <c r="AG33" s="248">
        <f ca="1">IFERROR(__xludf.DUMMYFUNCTION("IMPORTRANGE(""https://docs.google.com/spreadsheets/d/1SaMnqrwRGmFYNR0MhpWmHuL5niYUd5E7vDq8X7whAlI/edit?usp=sharing"",""ขอนแก่น!I369"")"),1000)</f>
        <v>1000</v>
      </c>
      <c r="AH33" s="248">
        <f ca="1">IFERROR(__xludf.DUMMYFUNCTION("IMPORTRANGE(""https://docs.google.com/spreadsheets/d/1SaMnqrwRGmFYNR0MhpWmHuL5niYUd5E7vDq8X7whAlI/edit?usp=sharing"",""ขอนแก่น!J368"")"),107)</f>
        <v>107</v>
      </c>
      <c r="AI33" s="248">
        <f ca="1">IFERROR(__xludf.DUMMYFUNCTION("IMPORTRANGE(""https://docs.google.com/spreadsheets/d/1SaMnqrwRGmFYNR0MhpWmHuL5niYUd5E7vDq8X7whAlI/edit?usp=sharing"",""ขอนแก่น!J369"")"),1156.79)</f>
        <v>1156.79</v>
      </c>
      <c r="AJ33" s="252">
        <f t="shared" ca="1" si="46"/>
        <v>115.679</v>
      </c>
      <c r="AK33" s="248">
        <f ca="1">IFERROR(__xludf.DUMMYFUNCTION("IMPORTRANGE(""https://docs.google.com/spreadsheets/d/1SaMnqrwRGmFYNR0MhpWmHuL5niYUd5E7vDq8X7whAlI/edit?usp=sharing"",""ขอนแก่น!I370"")"),100)</f>
        <v>100</v>
      </c>
      <c r="AL33" s="248">
        <f ca="1">IFERROR(__xludf.DUMMYFUNCTION("IMPORTRANGE(""https://docs.google.com/spreadsheets/d/1SaMnqrwRGmFYNR0MhpWmHuL5niYUd5E7vDq8X7whAlI/edit?usp=sharing"",""ขอนแก่น!J370"")"),107)</f>
        <v>107</v>
      </c>
      <c r="AM33" s="248">
        <f ca="1">IFERROR(__xludf.DUMMYFUNCTION("IMPORTRANGE(""https://docs.google.com/spreadsheets/d/1SaMnqrwRGmFYNR0MhpWmHuL5niYUd5E7vDq8X7whAlI/edit?usp=sharing"",""ขอนแก่น!J371"")"),1146.69)</f>
        <v>1146.69</v>
      </c>
      <c r="AN33" s="252">
        <f t="shared" ca="1" si="47"/>
        <v>107</v>
      </c>
      <c r="AO33" s="248">
        <f ca="1">IFERROR(__xludf.DUMMYFUNCTION("IMPORTRANGE(""https://docs.google.com/spreadsheets/d/1SaMnqrwRGmFYNR0MhpWmHuL5niYUd5E7vDq8X7whAlI/edit?usp=sharing"",""ขอนแก่น!I372"")"),100)</f>
        <v>100</v>
      </c>
      <c r="AP33" s="248">
        <f ca="1">IFERROR(__xludf.DUMMYFUNCTION("IMPORTRANGE(""https://docs.google.com/spreadsheets/d/1SaMnqrwRGmFYNR0MhpWmHuL5niYUd5E7vDq8X7whAlI/edit?usp=sharing"",""ขอนแก่น!J372"")"),106)</f>
        <v>106</v>
      </c>
      <c r="AQ33" s="248">
        <f ca="1">IFERROR(__xludf.DUMMYFUNCTION("IMPORTRANGE(""https://docs.google.com/spreadsheets/d/1SaMnqrwRGmFYNR0MhpWmHuL5niYUd5E7vDq8X7whAlI/edit?usp=sharing"",""ขอนแก่น!J373"")"),1127.3)</f>
        <v>1127.3</v>
      </c>
      <c r="AR33" s="252">
        <f t="shared" ca="1" si="48"/>
        <v>106</v>
      </c>
      <c r="AS33" s="248">
        <f ca="1">IFERROR(__xludf.DUMMYFUNCTION("IMPORTRANGE(""https://docs.google.com/spreadsheets/d/1SaMnqrwRGmFYNR0MhpWmHuL5niYUd5E7vDq8X7whAlI/edit?usp=sharing"",""ขอนแก่น!I378"")"),3500)</f>
        <v>3500</v>
      </c>
      <c r="AT33" s="248">
        <f ca="1">IFERROR(__xludf.DUMMYFUNCTION("IMPORTRANGE(""https://docs.google.com/spreadsheets/d/1SaMnqrwRGmFYNR0MhpWmHuL5niYUd5E7vDq8X7whAlI/edit?usp=sharing"",""ขอนแก่น!J377"")"),241)</f>
        <v>241</v>
      </c>
      <c r="AU33" s="248">
        <f ca="1">IFERROR(__xludf.DUMMYFUNCTION("IMPORTRANGE(""https://docs.google.com/spreadsheets/d/1SaMnqrwRGmFYNR0MhpWmHuL5niYUd5E7vDq8X7whAlI/edit?usp=sharing"",""ขอนแก่น!J378"")"),2014.74)</f>
        <v>2014.74</v>
      </c>
      <c r="AV33" s="252">
        <f t="shared" ca="1" si="49"/>
        <v>57.564</v>
      </c>
      <c r="AW33" s="248">
        <f ca="1">IFERROR(__xludf.DUMMYFUNCTION("IMPORTRANGE(""https://docs.google.com/spreadsheets/d/1SaMnqrwRGmFYNR0MhpWmHuL5niYUd5E7vDq8X7whAlI/edit?usp=sharing"",""ขอนแก่น!I379"")"),1100)</f>
        <v>1100</v>
      </c>
      <c r="AX33" s="248">
        <f ca="1">IFERROR(__xludf.DUMMYFUNCTION("IMPORTRANGE(""https://docs.google.com/spreadsheets/d/1SaMnqrwRGmFYNR0MhpWmHuL5niYUd5E7vDq8X7whAlI/edit?usp=sharing"",""ขอนแก่น!J379"")"),1233)</f>
        <v>1233</v>
      </c>
      <c r="AY33" s="248">
        <f ca="1">IFERROR(__xludf.DUMMYFUNCTION("IMPORTRANGE(""https://docs.google.com/spreadsheets/d/1SaMnqrwRGmFYNR0MhpWmHuL5niYUd5E7vDq8X7whAlI/edit?usp=sharing"",""ขอนแก่น!J380"")"),14963.26)</f>
        <v>14963.26</v>
      </c>
      <c r="AZ33" s="252">
        <f t="shared" ca="1" si="50"/>
        <v>112.09090909090909</v>
      </c>
      <c r="BA33" s="248">
        <f ca="1">IFERROR(__xludf.DUMMYFUNCTION("IMPORTRANGE(""https://docs.google.com/spreadsheets/d/1SaMnqrwRGmFYNR0MhpWmHuL5niYUd5E7vDq8X7whAlI/edit?usp=sharing"",""ขอนแก่น!I381"")"),1100)</f>
        <v>1100</v>
      </c>
      <c r="BB33" s="248">
        <f ca="1">IFERROR(__xludf.DUMMYFUNCTION("IMPORTRANGE(""https://docs.google.com/spreadsheets/d/1SaMnqrwRGmFYNR0MhpWmHuL5niYUd5E7vDq8X7whAlI/edit?usp=sharing"",""ขอนแก่น!J381"")"),1196)</f>
        <v>1196</v>
      </c>
      <c r="BC33" s="248">
        <f ca="1">IFERROR(__xludf.DUMMYFUNCTION("IMPORTRANGE(""https://docs.google.com/spreadsheets/d/1SaMnqrwRGmFYNR0MhpWmHuL5niYUd5E7vDq8X7whAlI/edit?usp=sharing"",""ขอนแก่น!J382"")"),14579.94)</f>
        <v>14579.94</v>
      </c>
      <c r="BD33" s="252">
        <f t="shared" ca="1" si="51"/>
        <v>108.72727272727273</v>
      </c>
    </row>
    <row r="34" spans="1:56" ht="21" customHeight="1" x14ac:dyDescent="0.3">
      <c r="A34" s="243">
        <v>3</v>
      </c>
      <c r="B34" s="244" t="s">
        <v>56</v>
      </c>
      <c r="C34" s="245">
        <f t="shared" ca="1" si="0"/>
        <v>1905220</v>
      </c>
      <c r="D34" s="246">
        <f t="shared" ca="1" si="76"/>
        <v>1753620</v>
      </c>
      <c r="E34" s="247">
        <f ca="1">IFERROR(__xludf.DUMMYFUNCTION("IMPORTRANGE(""https://docs.google.com/spreadsheets/d/1MeEWN-I1oV_STSDYn1IFDPWt_1FKiwhDph83XaGc0o0/edit?usp=sharing"",""งบพรบ!EX34"")"),657600)</f>
        <v>657600</v>
      </c>
      <c r="F34" s="247">
        <f ca="1">IFERROR(__xludf.DUMMYFUNCTION("IMPORTRANGE(""https://docs.google.com/spreadsheets/d/1MeEWN-I1oV_STSDYn1IFDPWt_1FKiwhDph83XaGc0o0/edit?usp=sharing"",""งบพรบ!EY34"")"),1096020)</f>
        <v>1096020</v>
      </c>
      <c r="G34" s="247">
        <f ca="1">IFERROR(__xludf.DUMMYFUNCTION("IMPORTRANGE(""https://docs.google.com/spreadsheets/d/1MeEWN-I1oV_STSDYn1IFDPWt_1FKiwhDph83XaGc0o0/edit?usp=sharing"",""งบพรบ!EZ34"")"),151600)</f>
        <v>151600</v>
      </c>
      <c r="H34" s="247">
        <f ca="1">IFERROR(__xludf.DUMMYFUNCTION("IMPORTRANGE(""https://docs.google.com/spreadsheets/d/1MeEWN-I1oV_STSDYn1IFDPWt_1FKiwhDph83XaGc0o0/edit?usp=sharing"",""งบพรบ!FB34"")"),1773620)</f>
        <v>1773620</v>
      </c>
      <c r="I34" s="247">
        <f ca="1">IFERROR(__xludf.DUMMYFUNCTION("IMPORTRANGE(""https://docs.google.com/spreadsheets/d/1MeEWN-I1oV_STSDYn1IFDPWt_1FKiwhDph83XaGc0o0/edit?usp=sharing"",""งบพรบ!FC34"")"),151600)</f>
        <v>151600</v>
      </c>
      <c r="J34" s="247">
        <f t="shared" ca="1" si="3"/>
        <v>1570711.6</v>
      </c>
      <c r="K34" s="253">
        <f t="shared" ca="1" si="4"/>
        <v>82.442531571157133</v>
      </c>
      <c r="L34" s="247">
        <f ca="1">IFERROR(__xludf.DUMMYFUNCTION("IMPORTRANGE(""https://docs.google.com/spreadsheets/d/1MeEWN-I1oV_STSDYn1IFDPWt_1FKiwhDph83XaGc0o0/edit?usp=sharing"",""งบพรบ!FD34"")"),1419111.6)</f>
        <v>1419111.6</v>
      </c>
      <c r="M34" s="250">
        <f t="shared" ca="1" si="5"/>
        <v>80.924692920929274</v>
      </c>
      <c r="N34" s="250">
        <f t="shared" ca="1" si="6"/>
        <v>80.012155929680546</v>
      </c>
      <c r="O34" s="251">
        <f ca="1">IFERROR(__xludf.DUMMYFUNCTION("IMPORTRANGE(""https://docs.google.com/spreadsheets/d/1MeEWN-I1oV_STSDYn1IFDPWt_1FKiwhDph83XaGc0o0/edit?usp=sharing"",""งบพรบ!FE34"")"),151600)</f>
        <v>151600</v>
      </c>
      <c r="P34" s="250">
        <f t="shared" ca="1" si="53"/>
        <v>100</v>
      </c>
      <c r="Q34" s="250">
        <f t="shared" ca="1" si="8"/>
        <v>100</v>
      </c>
      <c r="R34" s="248">
        <f ca="1">IFERROR(__xludf.DUMMYFUNCTION("IMPORTRANGE(""https://docs.google.com/spreadsheets/d/1xQzEtGHhTTgxHh6YUkKY1P4dRyjVhS74dGswLfAASA4/edit?usp=sharing"",""ชัยภูมิ!I359"")"),7000)</f>
        <v>7000</v>
      </c>
      <c r="S34" s="248">
        <f ca="1">IFERROR(__xludf.DUMMYFUNCTION("IMPORTRANGE(""https://docs.google.com/spreadsheets/d/1xQzEtGHhTTgxHh6YUkKY1P4dRyjVhS74dGswLfAASA4/edit?usp=sharing"",""ชัยภูมิ!J358"")"),797)</f>
        <v>797</v>
      </c>
      <c r="T34" s="248">
        <f ca="1">IFERROR(__xludf.DUMMYFUNCTION("IMPORTRANGE(""https://docs.google.com/spreadsheets/d/1xQzEtGHhTTgxHh6YUkKY1P4dRyjVhS74dGswLfAASA4/edit?usp=sharing"",""ชัยภูมิ!J359"")"),8307.02)</f>
        <v>8307.02</v>
      </c>
      <c r="U34" s="252">
        <f t="shared" ca="1" si="43"/>
        <v>118.67171428571429</v>
      </c>
      <c r="V34" s="248">
        <f ca="1">IFERROR(__xludf.DUMMYFUNCTION("IMPORTRANGE(""https://docs.google.com/spreadsheets/d/1xQzEtGHhTTgxHh6YUkKY1P4dRyjVhS74dGswLfAASA4/edit?usp=sharing"",""ชัยภูมิ!I360"")"),700)</f>
        <v>700</v>
      </c>
      <c r="W34" s="248">
        <f ca="1">IFERROR(__xludf.DUMMYFUNCTION("IMPORTRANGE(""https://docs.google.com/spreadsheets/d/1xQzEtGHhTTgxHh6YUkKY1P4dRyjVhS74dGswLfAASA4/edit?usp=sharing"",""ชัยภูมิ!J360"")"),590)</f>
        <v>590</v>
      </c>
      <c r="X34" s="248">
        <f ca="1">IFERROR(__xludf.DUMMYFUNCTION("IMPORTRANGE(""https://docs.google.com/spreadsheets/d/1xQzEtGHhTTgxHh6YUkKY1P4dRyjVhS74dGswLfAASA4/edit?usp=sharing"",""ชัยภูมิ!J361"")"),6291.92)</f>
        <v>6291.92</v>
      </c>
      <c r="Y34" s="252">
        <f t="shared" ca="1" si="44"/>
        <v>84.285714285714292</v>
      </c>
      <c r="Z34" s="248">
        <f ca="1">IFERROR(__xludf.DUMMYFUNCTION("IMPORTRANGE(""https://docs.google.com/spreadsheets/d/1xQzEtGHhTTgxHh6YUkKY1P4dRyjVhS74dGswLfAASA4/edit?usp=sharing"",""ชัยภูมิ!I362"")"),700)</f>
        <v>700</v>
      </c>
      <c r="AA34" s="248">
        <f ca="1">IFERROR(__xludf.DUMMYFUNCTION("IMPORTRANGE(""https://docs.google.com/spreadsheets/d/1xQzEtGHhTTgxHh6YUkKY1P4dRyjVhS74dGswLfAASA4/edit?usp=sharing"",""ชัยภูมิ!J362"")"),423)</f>
        <v>423</v>
      </c>
      <c r="AB34" s="248">
        <f ca="1">IFERROR(__xludf.DUMMYFUNCTION("IMPORTRANGE(""https://docs.google.com/spreadsheets/d/1xQzEtGHhTTgxHh6YUkKY1P4dRyjVhS74dGswLfAASA4/edit?usp=sharing"",""ชัยภูมิ!J363"")"),4489.59)</f>
        <v>4489.59</v>
      </c>
      <c r="AC34" s="252">
        <f t="shared" ca="1" si="45"/>
        <v>60.428571428571431</v>
      </c>
      <c r="AD34" s="248">
        <f ca="1">IFERROR(__xludf.DUMMYFUNCTION("IMPORTRANGE(""https://docs.google.com/spreadsheets/d/1xQzEtGHhTTgxHh6YUkKY1P4dRyjVhS74dGswLfAASA4/edit?usp=sharing"",""ชัยภูมิ!I364"")"),1450)</f>
        <v>1450</v>
      </c>
      <c r="AE34" s="248">
        <f ca="1">IFERROR(__xludf.DUMMYFUNCTION("IMPORTRANGE(""https://docs.google.com/spreadsheets/d/1xQzEtGHhTTgxHh6YUkKY1P4dRyjVhS74dGswLfAASA4/edit?usp=sharing"",""ชัยภูมิ!J364"")"),1056)</f>
        <v>1056</v>
      </c>
      <c r="AF34" s="252">
        <f t="shared" ca="1" si="16"/>
        <v>72.827586206896555</v>
      </c>
      <c r="AG34" s="248">
        <f ca="1">IFERROR(__xludf.DUMMYFUNCTION("IMPORTRANGE(""https://docs.google.com/spreadsheets/d/1xQzEtGHhTTgxHh6YUkKY1P4dRyjVhS74dGswLfAASA4/edit?usp=sharing"",""ชัยภูมิ!I369"")"),1000)</f>
        <v>1000</v>
      </c>
      <c r="AH34" s="248">
        <f ca="1">IFERROR(__xludf.DUMMYFUNCTION("IMPORTRANGE(""https://docs.google.com/spreadsheets/d/1xQzEtGHhTTgxHh6YUkKY1P4dRyjVhS74dGswLfAASA4/edit?usp=sharing"",""ชัยภูมิ!J368"")"),163)</f>
        <v>163</v>
      </c>
      <c r="AI34" s="248">
        <f ca="1">IFERROR(__xludf.DUMMYFUNCTION("IMPORTRANGE(""https://docs.google.com/spreadsheets/d/1xQzEtGHhTTgxHh6YUkKY1P4dRyjVhS74dGswLfAASA4/edit?usp=sharing"",""ชัยภูมิ!J369"")"),1863.95)</f>
        <v>1863.95</v>
      </c>
      <c r="AJ34" s="252">
        <f t="shared" ca="1" si="46"/>
        <v>186.39500000000001</v>
      </c>
      <c r="AK34" s="248">
        <f ca="1">IFERROR(__xludf.DUMMYFUNCTION("IMPORTRANGE(""https://docs.google.com/spreadsheets/d/1xQzEtGHhTTgxHh6YUkKY1P4dRyjVhS74dGswLfAASA4/edit?usp=sharing"",""ชัยภูมิ!I370"")"),100)</f>
        <v>100</v>
      </c>
      <c r="AL34" s="248">
        <f ca="1">IFERROR(__xludf.DUMMYFUNCTION("IMPORTRANGE(""https://docs.google.com/spreadsheets/d/1xQzEtGHhTTgxHh6YUkKY1P4dRyjVhS74dGswLfAASA4/edit?usp=sharing"",""ชัยภูมิ!J370"")"),71)</f>
        <v>71</v>
      </c>
      <c r="AM34" s="248">
        <f ca="1">IFERROR(__xludf.DUMMYFUNCTION("IMPORTRANGE(""https://docs.google.com/spreadsheets/d/1xQzEtGHhTTgxHh6YUkKY1P4dRyjVhS74dGswLfAASA4/edit?usp=sharing"",""ชัยภูมิ!J371"")"),832.15)</f>
        <v>832.15</v>
      </c>
      <c r="AN34" s="252">
        <f t="shared" ca="1" si="47"/>
        <v>71</v>
      </c>
      <c r="AO34" s="248">
        <f ca="1">IFERROR(__xludf.DUMMYFUNCTION("IMPORTRANGE(""https://docs.google.com/spreadsheets/d/1xQzEtGHhTTgxHh6YUkKY1P4dRyjVhS74dGswLfAASA4/edit?usp=sharing"",""ชัยภูมิ!I372"")"),100)</f>
        <v>100</v>
      </c>
      <c r="AP34" s="248">
        <f ca="1">IFERROR(__xludf.DUMMYFUNCTION("IMPORTRANGE(""https://docs.google.com/spreadsheets/d/1xQzEtGHhTTgxHh6YUkKY1P4dRyjVhS74dGswLfAASA4/edit?usp=sharing"",""ชัยภูมิ!J372"")"),59)</f>
        <v>59</v>
      </c>
      <c r="AQ34" s="248">
        <f ca="1">IFERROR(__xludf.DUMMYFUNCTION("IMPORTRANGE(""https://docs.google.com/spreadsheets/d/1xQzEtGHhTTgxHh6YUkKY1P4dRyjVhS74dGswLfAASA4/edit?usp=sharing"",""ชัยภูมิ!J373"")"),713.15)</f>
        <v>713.15</v>
      </c>
      <c r="AR34" s="252">
        <f t="shared" ca="1" si="48"/>
        <v>59</v>
      </c>
      <c r="AS34" s="248">
        <f ca="1">IFERROR(__xludf.DUMMYFUNCTION("IMPORTRANGE(""https://docs.google.com/spreadsheets/d/1xQzEtGHhTTgxHh6YUkKY1P4dRyjVhS74dGswLfAASA4/edit?usp=sharing"",""ชัยภูมิ!I378"")"),6000)</f>
        <v>6000</v>
      </c>
      <c r="AT34" s="248">
        <f ca="1">IFERROR(__xludf.DUMMYFUNCTION("IMPORTRANGE(""https://docs.google.com/spreadsheets/d/1xQzEtGHhTTgxHh6YUkKY1P4dRyjVhS74dGswLfAASA4/edit?usp=sharing"",""ชัยภูมิ!J377"")"),634)</f>
        <v>634</v>
      </c>
      <c r="AU34" s="248">
        <f ca="1">IFERROR(__xludf.DUMMYFUNCTION("IMPORTRANGE(""https://docs.google.com/spreadsheets/d/1xQzEtGHhTTgxHh6YUkKY1P4dRyjVhS74dGswLfAASA4/edit?usp=sharing"",""ชัยภูมิ!J378"")"),6443.07)</f>
        <v>6443.07</v>
      </c>
      <c r="AV34" s="252">
        <f t="shared" ca="1" si="49"/>
        <v>107.3845</v>
      </c>
      <c r="AW34" s="248">
        <f ca="1">IFERROR(__xludf.DUMMYFUNCTION("IMPORTRANGE(""https://docs.google.com/spreadsheets/d/1xQzEtGHhTTgxHh6YUkKY1P4dRyjVhS74dGswLfAASA4/edit?usp=sharing"",""ชัยภูมิ!I379"")"),1350)</f>
        <v>1350</v>
      </c>
      <c r="AX34" s="248">
        <f ca="1">IFERROR(__xludf.DUMMYFUNCTION("IMPORTRANGE(""https://docs.google.com/spreadsheets/d/1xQzEtGHhTTgxHh6YUkKY1P4dRyjVhS74dGswLfAASA4/edit?usp=sharing"",""ชัยภูมิ!J379"")"),1209)</f>
        <v>1209</v>
      </c>
      <c r="AY34" s="248">
        <f ca="1">IFERROR(__xludf.DUMMYFUNCTION("IMPORTRANGE(""https://docs.google.com/spreadsheets/d/1xQzEtGHhTTgxHh6YUkKY1P4dRyjVhS74dGswLfAASA4/edit?usp=sharing"",""ชัยภูมิ!J380"")"),15664.92)</f>
        <v>15664.92</v>
      </c>
      <c r="AZ34" s="252">
        <f t="shared" ca="1" si="50"/>
        <v>89.555555555555557</v>
      </c>
      <c r="BA34" s="248">
        <f ca="1">IFERROR(__xludf.DUMMYFUNCTION("IMPORTRANGE(""https://docs.google.com/spreadsheets/d/1xQzEtGHhTTgxHh6YUkKY1P4dRyjVhS74dGswLfAASA4/edit?usp=sharing"",""ชัยภูมิ!I381"")"),1350)</f>
        <v>1350</v>
      </c>
      <c r="BB34" s="248">
        <f ca="1">IFERROR(__xludf.DUMMYFUNCTION("IMPORTRANGE(""https://docs.google.com/spreadsheets/d/1xQzEtGHhTTgxHh6YUkKY1P4dRyjVhS74dGswLfAASA4/edit?usp=sharing"",""ชัยภูมิ!J381"")"),997)</f>
        <v>997</v>
      </c>
      <c r="BC34" s="248">
        <f ca="1">IFERROR(__xludf.DUMMYFUNCTION("IMPORTRANGE(""https://docs.google.com/spreadsheets/d/1xQzEtGHhTTgxHh6YUkKY1P4dRyjVhS74dGswLfAASA4/edit?usp=sharing"",""ชัยภูมิ!J382"")"),13278.23)</f>
        <v>13278.23</v>
      </c>
      <c r="BD34" s="252">
        <f t="shared" ca="1" si="51"/>
        <v>73.851851851851848</v>
      </c>
    </row>
    <row r="35" spans="1:56" ht="21" customHeight="1" x14ac:dyDescent="0.3">
      <c r="A35" s="243">
        <v>4</v>
      </c>
      <c r="B35" s="244" t="s">
        <v>57</v>
      </c>
      <c r="C35" s="245">
        <f t="shared" ca="1" si="0"/>
        <v>752470</v>
      </c>
      <c r="D35" s="246">
        <f t="shared" ca="1" si="76"/>
        <v>616870</v>
      </c>
      <c r="E35" s="247">
        <f ca="1">IFERROR(__xludf.DUMMYFUNCTION("IMPORTRANGE(""https://docs.google.com/spreadsheets/d/1MeEWN-I1oV_STSDYn1IFDPWt_1FKiwhDph83XaGc0o0/edit?usp=sharing"",""งบพรบ!EX35"")"),175200)</f>
        <v>175200</v>
      </c>
      <c r="F35" s="247">
        <f ca="1">IFERROR(__xludf.DUMMYFUNCTION("IMPORTRANGE(""https://docs.google.com/spreadsheets/d/1MeEWN-I1oV_STSDYn1IFDPWt_1FKiwhDph83XaGc0o0/edit?usp=sharing"",""งบพรบ!EY35"")"),441670)</f>
        <v>441670</v>
      </c>
      <c r="G35" s="247">
        <f ca="1">IFERROR(__xludf.DUMMYFUNCTION("IMPORTRANGE(""https://docs.google.com/spreadsheets/d/1MeEWN-I1oV_STSDYn1IFDPWt_1FKiwhDph83XaGc0o0/edit?usp=sharing"",""งบพรบ!EZ35"")"),135600)</f>
        <v>135600</v>
      </c>
      <c r="H35" s="247">
        <f ca="1">IFERROR(__xludf.DUMMYFUNCTION("IMPORTRANGE(""https://docs.google.com/spreadsheets/d/1MeEWN-I1oV_STSDYn1IFDPWt_1FKiwhDph83XaGc0o0/edit?usp=sharing"",""งบพรบ!FB35"")"),701870)</f>
        <v>701870</v>
      </c>
      <c r="I35" s="247">
        <f ca="1">IFERROR(__xludf.DUMMYFUNCTION("IMPORTRANGE(""https://docs.google.com/spreadsheets/d/1MeEWN-I1oV_STSDYn1IFDPWt_1FKiwhDph83XaGc0o0/edit?usp=sharing"",""งบพรบ!FC35"")"),131400)</f>
        <v>131400</v>
      </c>
      <c r="J35" s="247">
        <f t="shared" ca="1" si="3"/>
        <v>744855.84</v>
      </c>
      <c r="K35" s="253">
        <f t="shared" ca="1" si="4"/>
        <v>98.988111153933048</v>
      </c>
      <c r="L35" s="247">
        <f ca="1">IFERROR(__xludf.DUMMYFUNCTION("IMPORTRANGE(""https://docs.google.com/spreadsheets/d/1MeEWN-I1oV_STSDYn1IFDPWt_1FKiwhDph83XaGc0o0/edit?usp=sharing"",""งบพรบ!FD35"")"),613455.84)</f>
        <v>613455.84</v>
      </c>
      <c r="M35" s="250">
        <f t="shared" ca="1" si="5"/>
        <v>99.44653492632159</v>
      </c>
      <c r="N35" s="250">
        <f t="shared" ca="1" si="6"/>
        <v>87.403057546269252</v>
      </c>
      <c r="O35" s="251">
        <f ca="1">IFERROR(__xludf.DUMMYFUNCTION("IMPORTRANGE(""https://docs.google.com/spreadsheets/d/1MeEWN-I1oV_STSDYn1IFDPWt_1FKiwhDph83XaGc0o0/edit?usp=sharing"",""งบพรบ!FE35"")"),131400)</f>
        <v>131400</v>
      </c>
      <c r="P35" s="250">
        <f t="shared" ca="1" si="53"/>
        <v>96.902654867256643</v>
      </c>
      <c r="Q35" s="250">
        <f t="shared" ca="1" si="8"/>
        <v>100</v>
      </c>
      <c r="R35" s="248">
        <f ca="1">IFERROR(__xludf.DUMMYFUNCTION("IMPORTRANGE(""https://docs.google.com/spreadsheets/d/1EXMBoBxU3OFbjT2TRpneM33qFjqDzrKmn9ydcflfI0o/edit?usp=sharing"",""นครพนม!I359"")"),2300)</f>
        <v>2300</v>
      </c>
      <c r="S35" s="248">
        <f ca="1">IFERROR(__xludf.DUMMYFUNCTION("IMPORTRANGE(""https://docs.google.com/spreadsheets/d/1EXMBoBxU3OFbjT2TRpneM33qFjqDzrKmn9ydcflfI0o/edit?usp=sharing"",""นครพนม!J358"")"),240)</f>
        <v>240</v>
      </c>
      <c r="T35" s="248">
        <f ca="1">IFERROR(__xludf.DUMMYFUNCTION("IMPORTRANGE(""https://docs.google.com/spreadsheets/d/1EXMBoBxU3OFbjT2TRpneM33qFjqDzrKmn9ydcflfI0o/edit?usp=sharing"",""นครพนม!J359"")"),2498.87)</f>
        <v>2498.87</v>
      </c>
      <c r="U35" s="252">
        <f t="shared" ca="1" si="43"/>
        <v>108.64652173913043</v>
      </c>
      <c r="V35" s="248">
        <f ca="1">IFERROR(__xludf.DUMMYFUNCTION("IMPORTRANGE(""https://docs.google.com/spreadsheets/d/1EXMBoBxU3OFbjT2TRpneM33qFjqDzrKmn9ydcflfI0o/edit?usp=sharing"",""นครพนม!I360"")"),230)</f>
        <v>230</v>
      </c>
      <c r="W35" s="248">
        <f ca="1">IFERROR(__xludf.DUMMYFUNCTION("IMPORTRANGE(""https://docs.google.com/spreadsheets/d/1EXMBoBxU3OFbjT2TRpneM33qFjqDzrKmn9ydcflfI0o/edit?usp=sharing"",""นครพนม!J360"")"),244)</f>
        <v>244</v>
      </c>
      <c r="X35" s="248">
        <f ca="1">IFERROR(__xludf.DUMMYFUNCTION("IMPORTRANGE(""https://docs.google.com/spreadsheets/d/1EXMBoBxU3OFbjT2TRpneM33qFjqDzrKmn9ydcflfI0o/edit?usp=sharing"",""นครพนม!J361"")"),2530.13)</f>
        <v>2530.13</v>
      </c>
      <c r="Y35" s="252">
        <f t="shared" ca="1" si="44"/>
        <v>106.08695652173913</v>
      </c>
      <c r="Z35" s="248">
        <f ca="1">IFERROR(__xludf.DUMMYFUNCTION("IMPORTRANGE(""https://docs.google.com/spreadsheets/d/1EXMBoBxU3OFbjT2TRpneM33qFjqDzrKmn9ydcflfI0o/edit?usp=sharing"",""นครพนม!I362"")"),230)</f>
        <v>230</v>
      </c>
      <c r="AA35" s="248">
        <f ca="1">IFERROR(__xludf.DUMMYFUNCTION("IMPORTRANGE(""https://docs.google.com/spreadsheets/d/1EXMBoBxU3OFbjT2TRpneM33qFjqDzrKmn9ydcflfI0o/edit?usp=sharing"",""นครพนม!J362"")"),244)</f>
        <v>244</v>
      </c>
      <c r="AB35" s="248">
        <f ca="1">IFERROR(__xludf.DUMMYFUNCTION("IMPORTRANGE(""https://docs.google.com/spreadsheets/d/1EXMBoBxU3OFbjT2TRpneM33qFjqDzrKmn9ydcflfI0o/edit?usp=sharing"",""นครพนม!J363"")"),2530.13)</f>
        <v>2530.13</v>
      </c>
      <c r="AC35" s="252">
        <f t="shared" ca="1" si="45"/>
        <v>106.08695652173913</v>
      </c>
      <c r="AD35" s="248">
        <f ca="1">IFERROR(__xludf.DUMMYFUNCTION("IMPORTRANGE(""https://docs.google.com/spreadsheets/d/1EXMBoBxU3OFbjT2TRpneM33qFjqDzrKmn9ydcflfI0o/edit?usp=sharing"",""นครพนม!I364"")"),430)</f>
        <v>430</v>
      </c>
      <c r="AE35" s="248">
        <f ca="1">IFERROR(__xludf.DUMMYFUNCTION("IMPORTRANGE(""https://docs.google.com/spreadsheets/d/1EXMBoBxU3OFbjT2TRpneM33qFjqDzrKmn9ydcflfI0o/edit?usp=sharing"",""นครพนม!J364"")"),506)</f>
        <v>506</v>
      </c>
      <c r="AF35" s="252">
        <f t="shared" ca="1" si="16"/>
        <v>117.67441860465117</v>
      </c>
      <c r="AG35" s="248">
        <f ca="1">IFERROR(__xludf.DUMMYFUNCTION("IMPORTRANGE(""https://docs.google.com/spreadsheets/d/1EXMBoBxU3OFbjT2TRpneM33qFjqDzrKmn9ydcflfI0o/edit?usp=sharing"",""นครพนม!I369"")"),300)</f>
        <v>300</v>
      </c>
      <c r="AH35" s="248">
        <f ca="1">IFERROR(__xludf.DUMMYFUNCTION("IMPORTRANGE(""https://docs.google.com/spreadsheets/d/1EXMBoBxU3OFbjT2TRpneM33qFjqDzrKmn9ydcflfI0o/edit?usp=sharing"",""นครพนม!J368"")"),37)</f>
        <v>37</v>
      </c>
      <c r="AI35" s="248">
        <f ca="1">IFERROR(__xludf.DUMMYFUNCTION("IMPORTRANGE(""https://docs.google.com/spreadsheets/d/1EXMBoBxU3OFbjT2TRpneM33qFjqDzrKmn9ydcflfI0o/edit?usp=sharing"",""นครพนม!J369"")"),340.07)</f>
        <v>340.07</v>
      </c>
      <c r="AJ35" s="252">
        <f t="shared" ca="1" si="46"/>
        <v>113.35666666666667</v>
      </c>
      <c r="AK35" s="248">
        <f ca="1">IFERROR(__xludf.DUMMYFUNCTION("IMPORTRANGE(""https://docs.google.com/spreadsheets/d/1EXMBoBxU3OFbjT2TRpneM33qFjqDzrKmn9ydcflfI0o/edit?usp=sharing"",""นครพนม!I370"")"),30)</f>
        <v>30</v>
      </c>
      <c r="AL35" s="248">
        <f ca="1">IFERROR(__xludf.DUMMYFUNCTION("IMPORTRANGE(""https://docs.google.com/spreadsheets/d/1EXMBoBxU3OFbjT2TRpneM33qFjqDzrKmn9ydcflfI0o/edit?usp=sharing"",""นครพนม!J370"")"),41)</f>
        <v>41</v>
      </c>
      <c r="AM35" s="248">
        <f ca="1">IFERROR(__xludf.DUMMYFUNCTION("IMPORTRANGE(""https://docs.google.com/spreadsheets/d/1EXMBoBxU3OFbjT2TRpneM33qFjqDzrKmn9ydcflfI0o/edit?usp=sharing"",""นครพนม!J371"")"),369.77)</f>
        <v>369.77</v>
      </c>
      <c r="AN35" s="252">
        <f t="shared" ca="1" si="47"/>
        <v>136.66666666666666</v>
      </c>
      <c r="AO35" s="248">
        <f ca="1">IFERROR(__xludf.DUMMYFUNCTION("IMPORTRANGE(""https://docs.google.com/spreadsheets/d/1EXMBoBxU3OFbjT2TRpneM33qFjqDzrKmn9ydcflfI0o/edit?usp=sharing"",""นครพนม!I372"")"),30)</f>
        <v>30</v>
      </c>
      <c r="AP35" s="248">
        <f ca="1">IFERROR(__xludf.DUMMYFUNCTION("IMPORTRANGE(""https://docs.google.com/spreadsheets/d/1EXMBoBxU3OFbjT2TRpneM33qFjqDzrKmn9ydcflfI0o/edit?usp=sharing"",""นครพนม!J372"")"),41)</f>
        <v>41</v>
      </c>
      <c r="AQ35" s="248">
        <f ca="1">IFERROR(__xludf.DUMMYFUNCTION("IMPORTRANGE(""https://docs.google.com/spreadsheets/d/1EXMBoBxU3OFbjT2TRpneM33qFjqDzrKmn9ydcflfI0o/edit?usp=sharing"",""นครพนม!J373"")"),369.77)</f>
        <v>369.77</v>
      </c>
      <c r="AR35" s="252">
        <f t="shared" ca="1" si="48"/>
        <v>136.66666666666666</v>
      </c>
      <c r="AS35" s="248">
        <f ca="1">IFERROR(__xludf.DUMMYFUNCTION("IMPORTRANGE(""https://docs.google.com/spreadsheets/d/1EXMBoBxU3OFbjT2TRpneM33qFjqDzrKmn9ydcflfI0o/edit?usp=sharing"",""นครพนม!I378"")"),2000)</f>
        <v>2000</v>
      </c>
      <c r="AT35" s="248">
        <f ca="1">IFERROR(__xludf.DUMMYFUNCTION("IMPORTRANGE(""https://docs.google.com/spreadsheets/d/1EXMBoBxU3OFbjT2TRpneM33qFjqDzrKmn9ydcflfI0o/edit?usp=sharing"",""นครพนม!J377"")"),203)</f>
        <v>203</v>
      </c>
      <c r="AU35" s="248">
        <f ca="1">IFERROR(__xludf.DUMMYFUNCTION("IMPORTRANGE(""https://docs.google.com/spreadsheets/d/1EXMBoBxU3OFbjT2TRpneM33qFjqDzrKmn9ydcflfI0o/edit?usp=sharing"",""นครพนม!J378"")"),2158.8)</f>
        <v>2158.8000000000002</v>
      </c>
      <c r="AV35" s="252">
        <f t="shared" ca="1" si="49"/>
        <v>107.94000000000001</v>
      </c>
      <c r="AW35" s="248">
        <f ca="1">IFERROR(__xludf.DUMMYFUNCTION("IMPORTRANGE(""https://docs.google.com/spreadsheets/d/1EXMBoBxU3OFbjT2TRpneM33qFjqDzrKmn9ydcflfI0o/edit?usp=sharing"",""นครพนม!I379"")"),400)</f>
        <v>400</v>
      </c>
      <c r="AX35" s="248">
        <f ca="1">IFERROR(__xludf.DUMMYFUNCTION("IMPORTRANGE(""https://docs.google.com/spreadsheets/d/1EXMBoBxU3OFbjT2TRpneM33qFjqDzrKmn9ydcflfI0o/edit?usp=sharing"",""นครพนม!J379"")"),465)</f>
        <v>465</v>
      </c>
      <c r="AY35" s="248">
        <f ca="1">IFERROR(__xludf.DUMMYFUNCTION("IMPORTRANGE(""https://docs.google.com/spreadsheets/d/1EXMBoBxU3OFbjT2TRpneM33qFjqDzrKmn9ydcflfI0o/edit?usp=sharing"",""นครพนม!J380"")"),5617.7)</f>
        <v>5617.7</v>
      </c>
      <c r="AZ35" s="252">
        <f t="shared" ca="1" si="50"/>
        <v>116.25</v>
      </c>
      <c r="BA35" s="248">
        <f ca="1">IFERROR(__xludf.DUMMYFUNCTION("IMPORTRANGE(""https://docs.google.com/spreadsheets/d/1EXMBoBxU3OFbjT2TRpneM33qFjqDzrKmn9ydcflfI0o/edit?usp=sharing"",""นครพนม!I381"")"),400)</f>
        <v>400</v>
      </c>
      <c r="BB35" s="248">
        <f ca="1">IFERROR(__xludf.DUMMYFUNCTION("IMPORTRANGE(""https://docs.google.com/spreadsheets/d/1EXMBoBxU3OFbjT2TRpneM33qFjqDzrKmn9ydcflfI0o/edit?usp=sharing"",""นครพนม!J381"")"),465)</f>
        <v>465</v>
      </c>
      <c r="BC35" s="248">
        <f ca="1">IFERROR(__xludf.DUMMYFUNCTION("IMPORTRANGE(""https://docs.google.com/spreadsheets/d/1EXMBoBxU3OFbjT2TRpneM33qFjqDzrKmn9ydcflfI0o/edit?usp=sharing"",""นครพนม!J382"")"),5588.3)</f>
        <v>5588.3</v>
      </c>
      <c r="BD35" s="252">
        <f t="shared" ca="1" si="51"/>
        <v>116.25</v>
      </c>
    </row>
    <row r="36" spans="1:56" ht="21" customHeight="1" x14ac:dyDescent="0.3">
      <c r="A36" s="243">
        <v>5</v>
      </c>
      <c r="B36" s="244" t="s">
        <v>58</v>
      </c>
      <c r="C36" s="245">
        <f t="shared" ca="1" si="0"/>
        <v>2798010</v>
      </c>
      <c r="D36" s="246">
        <f t="shared" ca="1" si="76"/>
        <v>2639610</v>
      </c>
      <c r="E36" s="247">
        <f ca="1">IFERROR(__xludf.DUMMYFUNCTION("IMPORTRANGE(""https://docs.google.com/spreadsheets/d/1MeEWN-I1oV_STSDYn1IFDPWt_1FKiwhDph83XaGc0o0/edit?usp=sharing"",""งบพรบ!EX36"")"),350400)</f>
        <v>350400</v>
      </c>
      <c r="F36" s="247">
        <f ca="1">IFERROR(__xludf.DUMMYFUNCTION("IMPORTRANGE(""https://docs.google.com/spreadsheets/d/1MeEWN-I1oV_STSDYn1IFDPWt_1FKiwhDph83XaGc0o0/edit?usp=sharing"",""งบพรบ!EY36"")"),2289210)</f>
        <v>2289210</v>
      </c>
      <c r="G36" s="247">
        <f ca="1">IFERROR(__xludf.DUMMYFUNCTION("IMPORTRANGE(""https://docs.google.com/spreadsheets/d/1MeEWN-I1oV_STSDYn1IFDPWt_1FKiwhDph83XaGc0o0/edit?usp=sharing"",""งบพรบ!EZ36"")"),158400)</f>
        <v>158400</v>
      </c>
      <c r="H36" s="247">
        <f ca="1">IFERROR(__xludf.DUMMYFUNCTION("IMPORTRANGE(""https://docs.google.com/spreadsheets/d/1MeEWN-I1oV_STSDYn1IFDPWt_1FKiwhDph83XaGc0o0/edit?usp=sharing"",""งบพรบ!FB36"")"),2720410)</f>
        <v>2720410</v>
      </c>
      <c r="I36" s="247">
        <f ca="1">IFERROR(__xludf.DUMMYFUNCTION("IMPORTRANGE(""https://docs.google.com/spreadsheets/d/1MeEWN-I1oV_STSDYn1IFDPWt_1FKiwhDph83XaGc0o0/edit?usp=sharing"",""งบพรบ!FC36"")"),158400)</f>
        <v>158400</v>
      </c>
      <c r="J36" s="247">
        <f t="shared" ca="1" si="3"/>
        <v>2519260.11</v>
      </c>
      <c r="K36" s="253">
        <f t="shared" ca="1" si="4"/>
        <v>90.03756634179291</v>
      </c>
      <c r="L36" s="247">
        <f ca="1">IFERROR(__xludf.DUMMYFUNCTION("IMPORTRANGE(""https://docs.google.com/spreadsheets/d/1MeEWN-I1oV_STSDYn1IFDPWt_1FKiwhDph83XaGc0o0/edit?usp=sharing"",""งบพรบ!FD36"")"),2360860.11)</f>
        <v>2360860.11</v>
      </c>
      <c r="M36" s="250">
        <f t="shared" ca="1" si="5"/>
        <v>89.439732005864499</v>
      </c>
      <c r="N36" s="250">
        <f t="shared" ca="1" si="6"/>
        <v>86.783246275377607</v>
      </c>
      <c r="O36" s="251">
        <f ca="1">IFERROR(__xludf.DUMMYFUNCTION("IMPORTRANGE(""https://docs.google.com/spreadsheets/d/1MeEWN-I1oV_STSDYn1IFDPWt_1FKiwhDph83XaGc0o0/edit?usp=sharing"",""งบพรบ!FE36"")"),158400)</f>
        <v>158400</v>
      </c>
      <c r="P36" s="250">
        <f t="shared" ca="1" si="53"/>
        <v>100</v>
      </c>
      <c r="Q36" s="250">
        <f t="shared" ca="1" si="8"/>
        <v>100</v>
      </c>
      <c r="R36" s="248">
        <f ca="1">IFERROR(__xludf.DUMMYFUNCTION("IMPORTRANGE(""https://docs.google.com/spreadsheets/d/1bDQrolntRWtHumK8W-x-HXKntwxB9S3sF5aDeRS66Ko/edit?usp=sharing"",""นครราชสีมา!I359"")"),20000)</f>
        <v>20000</v>
      </c>
      <c r="S36" s="248">
        <f ca="1">IFERROR(__xludf.DUMMYFUNCTION("IMPORTRANGE(""https://docs.google.com/spreadsheets/d/1bDQrolntRWtHumK8W-x-HXKntwxB9S3sF5aDeRS66Ko/edit?usp=sharing"",""นครราชสีมา!J358"")"),1240)</f>
        <v>1240</v>
      </c>
      <c r="T36" s="248">
        <f ca="1">IFERROR(__xludf.DUMMYFUNCTION("IMPORTRANGE(""https://docs.google.com/spreadsheets/d/1bDQrolntRWtHumK8W-x-HXKntwxB9S3sF5aDeRS66Ko/edit?usp=sharing"",""นครราชสีมา!J359"")"),14045.17)</f>
        <v>14045.17</v>
      </c>
      <c r="U36" s="252">
        <f t="shared" ca="1" si="43"/>
        <v>70.225849999999994</v>
      </c>
      <c r="V36" s="248">
        <f ca="1">IFERROR(__xludf.DUMMYFUNCTION("IMPORTRANGE(""https://docs.google.com/spreadsheets/d/1bDQrolntRWtHumK8W-x-HXKntwxB9S3sF5aDeRS66Ko/edit?usp=sharing"",""นครราชสีมา!I360"")"),2000)</f>
        <v>2000</v>
      </c>
      <c r="W36" s="248">
        <f ca="1">IFERROR(__xludf.DUMMYFUNCTION("IMPORTRANGE(""https://docs.google.com/spreadsheets/d/1bDQrolntRWtHumK8W-x-HXKntwxB9S3sF5aDeRS66Ko/edit?usp=sharing"",""นครราชสีมา!J360"")"),1168)</f>
        <v>1168</v>
      </c>
      <c r="X36" s="248">
        <f ca="1">IFERROR(__xludf.DUMMYFUNCTION("IMPORTRANGE(""https://docs.google.com/spreadsheets/d/1bDQrolntRWtHumK8W-x-HXKntwxB9S3sF5aDeRS66Ko/edit?usp=sharing"",""นครราชสีมา!J361"")"),12513.6899999999)</f>
        <v>12513.6899999999</v>
      </c>
      <c r="Y36" s="252">
        <f t="shared" ca="1" si="44"/>
        <v>58.4</v>
      </c>
      <c r="Z36" s="248">
        <f ca="1">IFERROR(__xludf.DUMMYFUNCTION("IMPORTRANGE(""https://docs.google.com/spreadsheets/d/1bDQrolntRWtHumK8W-x-HXKntwxB9S3sF5aDeRS66Ko/edit?usp=sharing"",""นครราชสีมา!I362"")"),2000)</f>
        <v>2000</v>
      </c>
      <c r="AA36" s="248">
        <f ca="1">IFERROR(__xludf.DUMMYFUNCTION("IMPORTRANGE(""https://docs.google.com/spreadsheets/d/1bDQrolntRWtHumK8W-x-HXKntwxB9S3sF5aDeRS66Ko/edit?usp=sharing"",""นครราชสีมา!J362"")"),360)</f>
        <v>360</v>
      </c>
      <c r="AB36" s="248">
        <f ca="1">IFERROR(__xludf.DUMMYFUNCTION("IMPORTRANGE(""https://docs.google.com/spreadsheets/d/1bDQrolntRWtHumK8W-x-HXKntwxB9S3sF5aDeRS66Ko/edit?usp=sharing"",""นครราชสีมา!J363"")"),4051.33)</f>
        <v>4051.33</v>
      </c>
      <c r="AC36" s="252">
        <f t="shared" ca="1" si="45"/>
        <v>18</v>
      </c>
      <c r="AD36" s="248">
        <f ca="1">IFERROR(__xludf.DUMMYFUNCTION("IMPORTRANGE(""https://docs.google.com/spreadsheets/d/1bDQrolntRWtHumK8W-x-HXKntwxB9S3sF5aDeRS66Ko/edit?usp=sharing"",""นครราชสีมา!I364"")"),3000)</f>
        <v>3000</v>
      </c>
      <c r="AE36" s="248">
        <f ca="1">IFERROR(__xludf.DUMMYFUNCTION("IMPORTRANGE(""https://docs.google.com/spreadsheets/d/1bDQrolntRWtHumK8W-x-HXKntwxB9S3sF5aDeRS66Ko/edit?usp=sharing"",""นครราชสีมา!J364"")"),1904)</f>
        <v>1904</v>
      </c>
      <c r="AF36" s="252">
        <f t="shared" ca="1" si="16"/>
        <v>63.466666666666669</v>
      </c>
      <c r="AG36" s="248">
        <f ca="1">IFERROR(__xludf.DUMMYFUNCTION("IMPORTRANGE(""https://docs.google.com/spreadsheets/d/1bDQrolntRWtHumK8W-x-HXKntwxB9S3sF5aDeRS66Ko/edit?usp=sharing"",""นครราชสีมา!I369"")"),15000)</f>
        <v>15000</v>
      </c>
      <c r="AH36" s="248">
        <f ca="1">IFERROR(__xludf.DUMMYFUNCTION("IMPORTRANGE(""https://docs.google.com/spreadsheets/d/1bDQrolntRWtHumK8W-x-HXKntwxB9S3sF5aDeRS66Ko/edit?usp=sharing"",""นครราชสีมา!J368"")"),578)</f>
        <v>578</v>
      </c>
      <c r="AI36" s="248">
        <f ca="1">IFERROR(__xludf.DUMMYFUNCTION("IMPORTRANGE(""https://docs.google.com/spreadsheets/d/1bDQrolntRWtHumK8W-x-HXKntwxB9S3sF5aDeRS66Ko/edit?usp=sharing"",""นครราชสีมา!J369"")"),7799.45)</f>
        <v>7799.45</v>
      </c>
      <c r="AJ36" s="252">
        <f t="shared" ca="1" si="46"/>
        <v>51.996333333333332</v>
      </c>
      <c r="AK36" s="248">
        <f ca="1">IFERROR(__xludf.DUMMYFUNCTION("IMPORTRANGE(""https://docs.google.com/spreadsheets/d/1bDQrolntRWtHumK8W-x-HXKntwxB9S3sF5aDeRS66Ko/edit?usp=sharing"",""นครราชสีมา!I370"")"),1500)</f>
        <v>1500</v>
      </c>
      <c r="AL36" s="248">
        <f ca="1">IFERROR(__xludf.DUMMYFUNCTION("IMPORTRANGE(""https://docs.google.com/spreadsheets/d/1bDQrolntRWtHumK8W-x-HXKntwxB9S3sF5aDeRS66Ko/edit?usp=sharing"",""นครราชสีมา!J370"")"),500)</f>
        <v>500</v>
      </c>
      <c r="AM36" s="248">
        <f ca="1">IFERROR(__xludf.DUMMYFUNCTION("IMPORTRANGE(""https://docs.google.com/spreadsheets/d/1bDQrolntRWtHumK8W-x-HXKntwxB9S3sF5aDeRS66Ko/edit?usp=sharing"",""นครราชสีมา!J371"")"),6183.21)</f>
        <v>6183.21</v>
      </c>
      <c r="AN36" s="252">
        <f t="shared" ca="1" si="47"/>
        <v>33.333333333333336</v>
      </c>
      <c r="AO36" s="248">
        <f ca="1">IFERROR(__xludf.DUMMYFUNCTION("IMPORTRANGE(""https://docs.google.com/spreadsheets/d/1bDQrolntRWtHumK8W-x-HXKntwxB9S3sF5aDeRS66Ko/edit?usp=sharing"",""นครราชสีมา!I372"")"),1500)</f>
        <v>1500</v>
      </c>
      <c r="AP36" s="248">
        <f ca="1">IFERROR(__xludf.DUMMYFUNCTION("IMPORTRANGE(""https://docs.google.com/spreadsheets/d/1bDQrolntRWtHumK8W-x-HXKntwxB9S3sF5aDeRS66Ko/edit?usp=sharing"",""นครราชสีมา!J372"")"),302)</f>
        <v>302</v>
      </c>
      <c r="AQ36" s="248">
        <f ca="1">IFERROR(__xludf.DUMMYFUNCTION("IMPORTRANGE(""https://docs.google.com/spreadsheets/d/1bDQrolntRWtHumK8W-x-HXKntwxB9S3sF5aDeRS66Ko/edit?usp=sharing"",""นครราชสีมา!J373"")"),3423.83)</f>
        <v>3423.83</v>
      </c>
      <c r="AR36" s="252">
        <f t="shared" ca="1" si="48"/>
        <v>20.133333333333333</v>
      </c>
      <c r="AS36" s="248">
        <f ca="1">IFERROR(__xludf.DUMMYFUNCTION("IMPORTRANGE(""https://docs.google.com/spreadsheets/d/1bDQrolntRWtHumK8W-x-HXKntwxB9S3sF5aDeRS66Ko/edit?usp=sharing"",""นครราชสีมา!I378"")"),5000)</f>
        <v>5000</v>
      </c>
      <c r="AT36" s="248">
        <f ca="1">IFERROR(__xludf.DUMMYFUNCTION("IMPORTRANGE(""https://docs.google.com/spreadsheets/d/1bDQrolntRWtHumK8W-x-HXKntwxB9S3sF5aDeRS66Ko/edit?usp=sharing"",""นครราชสีมา!J377"")"),662)</f>
        <v>662</v>
      </c>
      <c r="AU36" s="248">
        <f ca="1">IFERROR(__xludf.DUMMYFUNCTION("IMPORTRANGE(""https://docs.google.com/spreadsheets/d/1bDQrolntRWtHumK8W-x-HXKntwxB9S3sF5aDeRS66Ko/edit?usp=sharing"",""นครราชสีมา!J378"")"),6245.72)</f>
        <v>6245.72</v>
      </c>
      <c r="AV36" s="252">
        <f t="shared" ca="1" si="49"/>
        <v>124.9144</v>
      </c>
      <c r="AW36" s="248">
        <f ca="1">IFERROR(__xludf.DUMMYFUNCTION("IMPORTRANGE(""https://docs.google.com/spreadsheets/d/1bDQrolntRWtHumK8W-x-HXKntwxB9S3sF5aDeRS66Ko/edit?usp=sharing"",""นครราชสีมา!I379"")"),1500)</f>
        <v>1500</v>
      </c>
      <c r="AX36" s="248">
        <f ca="1">IFERROR(__xludf.DUMMYFUNCTION("IMPORTRANGE(""https://docs.google.com/spreadsheets/d/1bDQrolntRWtHumK8W-x-HXKntwxB9S3sF5aDeRS66Ko/edit?usp=sharing"",""นครราชสีมา!J379"")"),2213)</f>
        <v>2213</v>
      </c>
      <c r="AY36" s="248">
        <f ca="1">IFERROR(__xludf.DUMMYFUNCTION("IMPORTRANGE(""https://docs.google.com/spreadsheets/d/1bDQrolntRWtHumK8W-x-HXKntwxB9S3sF5aDeRS66Ko/edit?usp=sharing"",""นครราชสีมา!J380"")"),29087.2399999999)</f>
        <v>29087.2399999999</v>
      </c>
      <c r="AZ36" s="252">
        <f t="shared" ca="1" si="50"/>
        <v>147.53333333333333</v>
      </c>
      <c r="BA36" s="248">
        <f ca="1">IFERROR(__xludf.DUMMYFUNCTION("IMPORTRANGE(""https://docs.google.com/spreadsheets/d/1bDQrolntRWtHumK8W-x-HXKntwxB9S3sF5aDeRS66Ko/edit?usp=sharing"",""นครราชสีมา!I381"")"),1500)</f>
        <v>1500</v>
      </c>
      <c r="BB36" s="248">
        <f ca="1">IFERROR(__xludf.DUMMYFUNCTION("IMPORTRANGE(""https://docs.google.com/spreadsheets/d/1bDQrolntRWtHumK8W-x-HXKntwxB9S3sF5aDeRS66Ko/edit?usp=sharing"",""นครราชสีมา!J381"")"),1602)</f>
        <v>1602</v>
      </c>
      <c r="BC36" s="248">
        <f ca="1">IFERROR(__xludf.DUMMYFUNCTION("IMPORTRANGE(""https://docs.google.com/spreadsheets/d/1bDQrolntRWtHumK8W-x-HXKntwxB9S3sF5aDeRS66Ko/edit?usp=sharing"",""นครราชสีมา!J382"")"),23378.55)</f>
        <v>23378.55</v>
      </c>
      <c r="BD36" s="252">
        <f t="shared" ca="1" si="51"/>
        <v>106.8</v>
      </c>
    </row>
    <row r="37" spans="1:56" ht="21" customHeight="1" x14ac:dyDescent="0.3">
      <c r="A37" s="243">
        <v>6</v>
      </c>
      <c r="B37" s="244" t="s">
        <v>59</v>
      </c>
      <c r="C37" s="245">
        <f t="shared" ca="1" si="0"/>
        <v>1464800</v>
      </c>
      <c r="D37" s="246">
        <f t="shared" ca="1" si="76"/>
        <v>1329200</v>
      </c>
      <c r="E37" s="247">
        <f ca="1">IFERROR(__xludf.DUMMYFUNCTION("IMPORTRANGE(""https://docs.google.com/spreadsheets/d/1MeEWN-I1oV_STSDYn1IFDPWt_1FKiwhDph83XaGc0o0/edit?usp=sharing"",""งบพรบ!EX37"")"),201600)</f>
        <v>201600</v>
      </c>
      <c r="F37" s="247">
        <f ca="1">IFERROR(__xludf.DUMMYFUNCTION("IMPORTRANGE(""https://docs.google.com/spreadsheets/d/1MeEWN-I1oV_STSDYn1IFDPWt_1FKiwhDph83XaGc0o0/edit?usp=sharing"",""งบพรบ!EY37"")"),1127600)</f>
        <v>1127600</v>
      </c>
      <c r="G37" s="247">
        <f ca="1">IFERROR(__xludf.DUMMYFUNCTION("IMPORTRANGE(""https://docs.google.com/spreadsheets/d/1MeEWN-I1oV_STSDYn1IFDPWt_1FKiwhDph83XaGc0o0/edit?usp=sharing"",""งบพรบ!EZ37"")"),135600)</f>
        <v>135600</v>
      </c>
      <c r="H37" s="247">
        <f ca="1">IFERROR(__xludf.DUMMYFUNCTION("IMPORTRANGE(""https://docs.google.com/spreadsheets/d/1MeEWN-I1oV_STSDYn1IFDPWt_1FKiwhDph83XaGc0o0/edit?usp=sharing"",""งบพรบ!FB37"")"),1328824)</f>
        <v>1328824</v>
      </c>
      <c r="I37" s="247">
        <f ca="1">IFERROR(__xludf.DUMMYFUNCTION("IMPORTRANGE(""https://docs.google.com/spreadsheets/d/1MeEWN-I1oV_STSDYn1IFDPWt_1FKiwhDph83XaGc0o0/edit?usp=sharing"",""งบพรบ!FC37"")"),135600)</f>
        <v>135600</v>
      </c>
      <c r="J37" s="247">
        <f t="shared" ca="1" si="3"/>
        <v>1336406.5</v>
      </c>
      <c r="K37" s="253">
        <f t="shared" ca="1" si="4"/>
        <v>91.234741944292736</v>
      </c>
      <c r="L37" s="247">
        <f ca="1">IFERROR(__xludf.DUMMYFUNCTION("IMPORTRANGE(""https://docs.google.com/spreadsheets/d/1MeEWN-I1oV_STSDYn1IFDPWt_1FKiwhDph83XaGc0o0/edit?usp=sharing"",""งบพรบ!FD37"")"),1200806.5)</f>
        <v>1200806.5</v>
      </c>
      <c r="M37" s="250">
        <f t="shared" ca="1" si="5"/>
        <v>90.340543183869997</v>
      </c>
      <c r="N37" s="250">
        <f t="shared" ca="1" si="6"/>
        <v>90.366105669373823</v>
      </c>
      <c r="O37" s="251">
        <f ca="1">IFERROR(__xludf.DUMMYFUNCTION("IMPORTRANGE(""https://docs.google.com/spreadsheets/d/1MeEWN-I1oV_STSDYn1IFDPWt_1FKiwhDph83XaGc0o0/edit?usp=sharing"",""งบพรบ!FE37"")"),135600)</f>
        <v>135600</v>
      </c>
      <c r="P37" s="250">
        <f t="shared" ca="1" si="53"/>
        <v>100</v>
      </c>
      <c r="Q37" s="250">
        <f t="shared" ca="1" si="8"/>
        <v>100</v>
      </c>
      <c r="R37" s="248">
        <f ca="1">IFERROR(__xludf.DUMMYFUNCTION("IMPORTRANGE(""https://docs.google.com/spreadsheets/d/1_MzZ-2gVPiCW-d2VcafoCmFJQTSrZ6SQyFcMqRRQQ2w/edit?usp=sharing"",""บึงกาฬ!I359"")"),6300)</f>
        <v>6300</v>
      </c>
      <c r="S37" s="248">
        <f ca="1">IFERROR(__xludf.DUMMYFUNCTION("IMPORTRANGE(""https://docs.google.com/spreadsheets/d/1_MzZ-2gVPiCW-d2VcafoCmFJQTSrZ6SQyFcMqRRQQ2w/edit?usp=sharing"",""บึงกาฬ!J358"")"),597)</f>
        <v>597</v>
      </c>
      <c r="T37" s="248">
        <f ca="1">IFERROR(__xludf.DUMMYFUNCTION("IMPORTRANGE(""https://docs.google.com/spreadsheets/d/1_MzZ-2gVPiCW-d2VcafoCmFJQTSrZ6SQyFcMqRRQQ2w/edit?usp=sharing"",""บึงกาฬ!J359"")"),6639.05999999999)</f>
        <v>6639.0599999999904</v>
      </c>
      <c r="U37" s="252">
        <f t="shared" ca="1" si="43"/>
        <v>105.38190476190461</v>
      </c>
      <c r="V37" s="248">
        <f ca="1">IFERROR(__xludf.DUMMYFUNCTION("IMPORTRANGE(""https://docs.google.com/spreadsheets/d/1_MzZ-2gVPiCW-d2VcafoCmFJQTSrZ6SQyFcMqRRQQ2w/edit?usp=sharing"",""บึงกาฬ!I360"")"),620)</f>
        <v>620</v>
      </c>
      <c r="W37" s="248">
        <f ca="1">IFERROR(__xludf.DUMMYFUNCTION("IMPORTRANGE(""https://docs.google.com/spreadsheets/d/1_MzZ-2gVPiCW-d2VcafoCmFJQTSrZ6SQyFcMqRRQQ2w/edit?usp=sharing"",""บึงกาฬ!J360"")"),565)</f>
        <v>565</v>
      </c>
      <c r="X37" s="248">
        <f ca="1">IFERROR(__xludf.DUMMYFUNCTION("IMPORTRANGE(""https://docs.google.com/spreadsheets/d/1_MzZ-2gVPiCW-d2VcafoCmFJQTSrZ6SQyFcMqRRQQ2w/edit?usp=sharing"",""บึงกาฬ!J361"")"),6228.29)</f>
        <v>6228.29</v>
      </c>
      <c r="Y37" s="252">
        <f t="shared" ca="1" si="44"/>
        <v>91.129032258064512</v>
      </c>
      <c r="Z37" s="248">
        <f ca="1">IFERROR(__xludf.DUMMYFUNCTION("IMPORTRANGE(""https://docs.google.com/spreadsheets/d/1_MzZ-2gVPiCW-d2VcafoCmFJQTSrZ6SQyFcMqRRQQ2w/edit?usp=sharing"",""บึงกาฬ!I362"")"),620)</f>
        <v>620</v>
      </c>
      <c r="AA37" s="248">
        <f ca="1">IFERROR(__xludf.DUMMYFUNCTION("IMPORTRANGE(""https://docs.google.com/spreadsheets/d/1_MzZ-2gVPiCW-d2VcafoCmFJQTSrZ6SQyFcMqRRQQ2w/edit?usp=sharing"",""บึงกาฬ!J362"")"),156)</f>
        <v>156</v>
      </c>
      <c r="AB37" s="248">
        <f ca="1">IFERROR(__xludf.DUMMYFUNCTION("IMPORTRANGE(""https://docs.google.com/spreadsheets/d/1_MzZ-2gVPiCW-d2VcafoCmFJQTSrZ6SQyFcMqRRQQ2w/edit?usp=sharing"",""บึงกาฬ!J363"")"),1811.1)</f>
        <v>1811.1</v>
      </c>
      <c r="AC37" s="252">
        <f t="shared" ca="1" si="45"/>
        <v>25.161290322580644</v>
      </c>
      <c r="AD37" s="248">
        <f ca="1">IFERROR(__xludf.DUMMYFUNCTION("IMPORTRANGE(""https://docs.google.com/spreadsheets/d/1_MzZ-2gVPiCW-d2VcafoCmFJQTSrZ6SQyFcMqRRQQ2w/edit?usp=sharing"",""บึงกาฬ!I364"")"),1520)</f>
        <v>1520</v>
      </c>
      <c r="AE37" s="248">
        <f ca="1">IFERROR(__xludf.DUMMYFUNCTION("IMPORTRANGE(""https://docs.google.com/spreadsheets/d/1_MzZ-2gVPiCW-d2VcafoCmFJQTSrZ6SQyFcMqRRQQ2w/edit?usp=sharing"",""บึงกาฬ!J364"")"),545)</f>
        <v>545</v>
      </c>
      <c r="AF37" s="252">
        <f t="shared" ca="1" si="16"/>
        <v>35.85526315789474</v>
      </c>
      <c r="AG37" s="248">
        <f ca="1">IFERROR(__xludf.DUMMYFUNCTION("IMPORTRANGE(""https://docs.google.com/spreadsheets/d/1_MzZ-2gVPiCW-d2VcafoCmFJQTSrZ6SQyFcMqRRQQ2w/edit?usp=sharing"",""บึงกาฬ!I369"")"),300)</f>
        <v>300</v>
      </c>
      <c r="AH37" s="248">
        <f ca="1">IFERROR(__xludf.DUMMYFUNCTION("IMPORTRANGE(""https://docs.google.com/spreadsheets/d/1_MzZ-2gVPiCW-d2VcafoCmFJQTSrZ6SQyFcMqRRQQ2w/edit?usp=sharing"",""บึงกาฬ!J368"")"),57)</f>
        <v>57</v>
      </c>
      <c r="AI37" s="248">
        <f ca="1">IFERROR(__xludf.DUMMYFUNCTION("IMPORTRANGE(""https://docs.google.com/spreadsheets/d/1_MzZ-2gVPiCW-d2VcafoCmFJQTSrZ6SQyFcMqRRQQ2w/edit?usp=sharing"",""บึงกาฬ!J369"")"),679.15)</f>
        <v>679.15</v>
      </c>
      <c r="AJ37" s="252">
        <f t="shared" ca="1" si="46"/>
        <v>226.38333333333333</v>
      </c>
      <c r="AK37" s="248">
        <f ca="1">IFERROR(__xludf.DUMMYFUNCTION("IMPORTRANGE(""https://docs.google.com/spreadsheets/d/1_MzZ-2gVPiCW-d2VcafoCmFJQTSrZ6SQyFcMqRRQQ2w/edit?usp=sharing"",""บึงกาฬ!I370"")"),20)</f>
        <v>20</v>
      </c>
      <c r="AL37" s="248">
        <f ca="1">IFERROR(__xludf.DUMMYFUNCTION("IMPORTRANGE(""https://docs.google.com/spreadsheets/d/1_MzZ-2gVPiCW-d2VcafoCmFJQTSrZ6SQyFcMqRRQQ2w/edit?usp=sharing"",""บึงกาฬ!J370"")"),33)</f>
        <v>33</v>
      </c>
      <c r="AM37" s="248">
        <f ca="1">IFERROR(__xludf.DUMMYFUNCTION("IMPORTRANGE(""https://docs.google.com/spreadsheets/d/1_MzZ-2gVPiCW-d2VcafoCmFJQTSrZ6SQyFcMqRRQQ2w/edit?usp=sharing"",""บึงกาฬ!J371"")"),414.55)</f>
        <v>414.55</v>
      </c>
      <c r="AN37" s="252">
        <f t="shared" ca="1" si="47"/>
        <v>165</v>
      </c>
      <c r="AO37" s="248">
        <f ca="1">IFERROR(__xludf.DUMMYFUNCTION("IMPORTRANGE(""https://docs.google.com/spreadsheets/d/1_MzZ-2gVPiCW-d2VcafoCmFJQTSrZ6SQyFcMqRRQQ2w/edit?usp=sharing"",""บึงกาฬ!I372"")"),20)</f>
        <v>20</v>
      </c>
      <c r="AP37" s="248">
        <f ca="1">IFERROR(__xludf.DUMMYFUNCTION("IMPORTRANGE(""https://docs.google.com/spreadsheets/d/1_MzZ-2gVPiCW-d2VcafoCmFJQTSrZ6SQyFcMqRRQQ2w/edit?usp=sharing"",""บึงกาฬ!J372"")"),37)</f>
        <v>37</v>
      </c>
      <c r="AQ37" s="248">
        <f ca="1">IFERROR(__xludf.DUMMYFUNCTION("IMPORTRANGE(""https://docs.google.com/spreadsheets/d/1_MzZ-2gVPiCW-d2VcafoCmFJQTSrZ6SQyFcMqRRQQ2w/edit?usp=sharing"",""บึงกาฬ!J373"")"),440)</f>
        <v>440</v>
      </c>
      <c r="AR37" s="252">
        <f t="shared" ca="1" si="48"/>
        <v>185</v>
      </c>
      <c r="AS37" s="248">
        <f ca="1">IFERROR(__xludf.DUMMYFUNCTION("IMPORTRANGE(""https://docs.google.com/spreadsheets/d/1_MzZ-2gVPiCW-d2VcafoCmFJQTSrZ6SQyFcMqRRQQ2w/edit?usp=sharing"",""บึงกาฬ!I378"")"),6000)</f>
        <v>6000</v>
      </c>
      <c r="AT37" s="248">
        <f ca="1">IFERROR(__xludf.DUMMYFUNCTION("IMPORTRANGE(""https://docs.google.com/spreadsheets/d/1_MzZ-2gVPiCW-d2VcafoCmFJQTSrZ6SQyFcMqRRQQ2w/edit?usp=sharing"",""บึงกาฬ!J377"")"),540)</f>
        <v>540</v>
      </c>
      <c r="AU37" s="248">
        <f ca="1">IFERROR(__xludf.DUMMYFUNCTION("IMPORTRANGE(""https://docs.google.com/spreadsheets/d/1_MzZ-2gVPiCW-d2VcafoCmFJQTSrZ6SQyFcMqRRQQ2w/edit?usp=sharing"",""บึงกาฬ!J378"")"),5959.91)</f>
        <v>5959.91</v>
      </c>
      <c r="AV37" s="252">
        <f t="shared" ca="1" si="49"/>
        <v>99.331833333333336</v>
      </c>
      <c r="AW37" s="248">
        <f ca="1">IFERROR(__xludf.DUMMYFUNCTION("IMPORTRANGE(""https://docs.google.com/spreadsheets/d/1_MzZ-2gVPiCW-d2VcafoCmFJQTSrZ6SQyFcMqRRQQ2w/edit?usp=sharing"",""บึงกาฬ!I379"")"),1500)</f>
        <v>1500</v>
      </c>
      <c r="AX37" s="248">
        <f ca="1">IFERROR(__xludf.DUMMYFUNCTION("IMPORTRANGE(""https://docs.google.com/spreadsheets/d/1_MzZ-2gVPiCW-d2VcafoCmFJQTSrZ6SQyFcMqRRQQ2w/edit?usp=sharing"",""บึงกาฬ!J379"")"),1602)</f>
        <v>1602</v>
      </c>
      <c r="AY37" s="248">
        <f ca="1">IFERROR(__xludf.DUMMYFUNCTION("IMPORTRANGE(""https://docs.google.com/spreadsheets/d/1_MzZ-2gVPiCW-d2VcafoCmFJQTSrZ6SQyFcMqRRQQ2w/edit?usp=sharing"",""บึงกาฬ!J380"")"),23197.35)</f>
        <v>23197.35</v>
      </c>
      <c r="AZ37" s="252">
        <f t="shared" ca="1" si="50"/>
        <v>106.8</v>
      </c>
      <c r="BA37" s="248">
        <f ca="1">IFERROR(__xludf.DUMMYFUNCTION("IMPORTRANGE(""https://docs.google.com/spreadsheets/d/1_MzZ-2gVPiCW-d2VcafoCmFJQTSrZ6SQyFcMqRRQQ2w/edit?usp=sharing"",""บึงกาฬ!I381"")"),1500)</f>
        <v>1500</v>
      </c>
      <c r="BB37" s="248">
        <f ca="1">IFERROR(__xludf.DUMMYFUNCTION("IMPORTRANGE(""https://docs.google.com/spreadsheets/d/1_MzZ-2gVPiCW-d2VcafoCmFJQTSrZ6SQyFcMqRRQQ2w/edit?usp=sharing"",""บึงกาฬ!J381"")"),508)</f>
        <v>508</v>
      </c>
      <c r="BC37" s="248">
        <f ca="1">IFERROR(__xludf.DUMMYFUNCTION("IMPORTRANGE(""https://docs.google.com/spreadsheets/d/1_MzZ-2gVPiCW-d2VcafoCmFJQTSrZ6SQyFcMqRRQQ2w/edit?usp=sharing"",""บึงกาฬ!J382"")"),7708.44)</f>
        <v>7708.44</v>
      </c>
      <c r="BD37" s="252">
        <f t="shared" ca="1" si="51"/>
        <v>33.866666666666667</v>
      </c>
    </row>
    <row r="38" spans="1:56" ht="21" customHeight="1" x14ac:dyDescent="0.3">
      <c r="A38" s="243">
        <v>7</v>
      </c>
      <c r="B38" s="244" t="s">
        <v>60</v>
      </c>
      <c r="C38" s="245">
        <f t="shared" ca="1" si="0"/>
        <v>1329450</v>
      </c>
      <c r="D38" s="246">
        <f t="shared" ca="1" si="76"/>
        <v>1215650</v>
      </c>
      <c r="E38" s="247">
        <f ca="1">IFERROR(__xludf.DUMMYFUNCTION("IMPORTRANGE(""https://docs.google.com/spreadsheets/d/1MeEWN-I1oV_STSDYn1IFDPWt_1FKiwhDph83XaGc0o0/edit?usp=sharing"",""งบพรบ!EX38"")"),175200)</f>
        <v>175200</v>
      </c>
      <c r="F38" s="247">
        <f ca="1">IFERROR(__xludf.DUMMYFUNCTION("IMPORTRANGE(""https://docs.google.com/spreadsheets/d/1MeEWN-I1oV_STSDYn1IFDPWt_1FKiwhDph83XaGc0o0/edit?usp=sharing"",""งบพรบ!EY38"")"),1040450)</f>
        <v>1040450</v>
      </c>
      <c r="G38" s="247">
        <f ca="1">IFERROR(__xludf.DUMMYFUNCTION("IMPORTRANGE(""https://docs.google.com/spreadsheets/d/1MeEWN-I1oV_STSDYn1IFDPWt_1FKiwhDph83XaGc0o0/edit?usp=sharing"",""งบพรบ!EZ38"")"),113800)</f>
        <v>113800</v>
      </c>
      <c r="H38" s="247">
        <f ca="1">IFERROR(__xludf.DUMMYFUNCTION("IMPORTRANGE(""https://docs.google.com/spreadsheets/d/1MeEWN-I1oV_STSDYn1IFDPWt_1FKiwhDph83XaGc0o0/edit?usp=sharing"",""งบพรบ!FB38"")"),1335650)</f>
        <v>1335650</v>
      </c>
      <c r="I38" s="247">
        <f ca="1">IFERROR(__xludf.DUMMYFUNCTION("IMPORTRANGE(""https://docs.google.com/spreadsheets/d/1MeEWN-I1oV_STSDYn1IFDPWt_1FKiwhDph83XaGc0o0/edit?usp=sharing"",""งบพรบ!FC38"")"),113800)</f>
        <v>113800</v>
      </c>
      <c r="J38" s="247">
        <f t="shared" ca="1" si="3"/>
        <v>1353673.6</v>
      </c>
      <c r="K38" s="253">
        <f t="shared" ca="1" si="4"/>
        <v>101.82207679867615</v>
      </c>
      <c r="L38" s="247">
        <f ca="1">IFERROR(__xludf.DUMMYFUNCTION("IMPORTRANGE(""https://docs.google.com/spreadsheets/d/1MeEWN-I1oV_STSDYn1IFDPWt_1FKiwhDph83XaGc0o0/edit?usp=sharing"",""งบพรบ!FD38"")"),1239873.6)</f>
        <v>1239873.6000000001</v>
      </c>
      <c r="M38" s="250">
        <f t="shared" ca="1" si="5"/>
        <v>101.99264590959571</v>
      </c>
      <c r="N38" s="250">
        <f t="shared" ca="1" si="6"/>
        <v>92.829229214240272</v>
      </c>
      <c r="O38" s="251">
        <f ca="1">IFERROR(__xludf.DUMMYFUNCTION("IMPORTRANGE(""https://docs.google.com/spreadsheets/d/1MeEWN-I1oV_STSDYn1IFDPWt_1FKiwhDph83XaGc0o0/edit?usp=sharing"",""งบพรบ!FE38"")"),113800)</f>
        <v>113800</v>
      </c>
      <c r="P38" s="250">
        <f t="shared" ca="1" si="53"/>
        <v>100</v>
      </c>
      <c r="Q38" s="250">
        <f t="shared" ca="1" si="8"/>
        <v>100</v>
      </c>
      <c r="R38" s="248">
        <f ca="1">IFERROR(__xludf.DUMMYFUNCTION("IMPORTRANGE(""https://docs.google.com/spreadsheets/d/1B3lPpzOuaNwVItLwLEZYl_qEblfcx7dRnbRkAw0l-pE/edit?usp=sharing"",""บุรีรัมย์!I359"")"),6960)</f>
        <v>6960</v>
      </c>
      <c r="S38" s="248">
        <f ca="1">IFERROR(__xludf.DUMMYFUNCTION("IMPORTRANGE(""https://docs.google.com/spreadsheets/d/1B3lPpzOuaNwVItLwLEZYl_qEblfcx7dRnbRkAw0l-pE/edit?usp=sharing"",""บุรีรัมย์!J358"")"),1063)</f>
        <v>1063</v>
      </c>
      <c r="T38" s="248">
        <f ca="1">IFERROR(__xludf.DUMMYFUNCTION("IMPORTRANGE(""https://docs.google.com/spreadsheets/d/1B3lPpzOuaNwVItLwLEZYl_qEblfcx7dRnbRkAw0l-pE/edit?usp=sharing"",""บุรีรัมย์!J359"")"),7472.04999999999)</f>
        <v>7472.0499999999902</v>
      </c>
      <c r="U38" s="252">
        <f t="shared" ca="1" si="43"/>
        <v>107.35704022988493</v>
      </c>
      <c r="V38" s="248">
        <f ca="1">IFERROR(__xludf.DUMMYFUNCTION("IMPORTRANGE(""https://docs.google.com/spreadsheets/d/1B3lPpzOuaNwVItLwLEZYl_qEblfcx7dRnbRkAw0l-pE/edit?usp=sharing"",""บุรีรัมย์!I360"")"),696)</f>
        <v>696</v>
      </c>
      <c r="W38" s="248">
        <f ca="1">IFERROR(__xludf.DUMMYFUNCTION("IMPORTRANGE(""https://docs.google.com/spreadsheets/d/1B3lPpzOuaNwVItLwLEZYl_qEblfcx7dRnbRkAw0l-pE/edit?usp=sharing"",""บุรีรัมย์!J360"")"),784)</f>
        <v>784</v>
      </c>
      <c r="X38" s="248">
        <f ca="1">IFERROR(__xludf.DUMMYFUNCTION("IMPORTRANGE(""https://docs.google.com/spreadsheets/d/1B3lPpzOuaNwVItLwLEZYl_qEblfcx7dRnbRkAw0l-pE/edit?usp=sharing"",""บุรีรัมย์!J361"")"),5738.15)</f>
        <v>5738.15</v>
      </c>
      <c r="Y38" s="252">
        <f t="shared" ca="1" si="44"/>
        <v>112.64367816091954</v>
      </c>
      <c r="Z38" s="248">
        <f ca="1">IFERROR(__xludf.DUMMYFUNCTION("IMPORTRANGE(""https://docs.google.com/spreadsheets/d/1B3lPpzOuaNwVItLwLEZYl_qEblfcx7dRnbRkAw0l-pE/edit?usp=sharing"",""บุรีรัมย์!I362"")"),696)</f>
        <v>696</v>
      </c>
      <c r="AA38" s="248">
        <f ca="1">IFERROR(__xludf.DUMMYFUNCTION("IMPORTRANGE(""https://docs.google.com/spreadsheets/d/1B3lPpzOuaNwVItLwLEZYl_qEblfcx7dRnbRkAw0l-pE/edit?usp=sharing"",""บุรีรัมย์!J362"")"),703)</f>
        <v>703</v>
      </c>
      <c r="AB38" s="248">
        <f ca="1">IFERROR(__xludf.DUMMYFUNCTION("IMPORTRANGE(""https://docs.google.com/spreadsheets/d/1B3lPpzOuaNwVItLwLEZYl_qEblfcx7dRnbRkAw0l-pE/edit?usp=sharing"",""บุรีรัมย์!J363"")"),5616.59)</f>
        <v>5616.59</v>
      </c>
      <c r="AC38" s="252">
        <f t="shared" ca="1" si="45"/>
        <v>101.00574712643679</v>
      </c>
      <c r="AD38" s="248">
        <f ca="1">IFERROR(__xludf.DUMMYFUNCTION("IMPORTRANGE(""https://docs.google.com/spreadsheets/d/1B3lPpzOuaNwVItLwLEZYl_qEblfcx7dRnbRkAw0l-pE/edit?usp=sharing"",""บุรีรัมย์!I364"")"),1236)</f>
        <v>1236</v>
      </c>
      <c r="AE38" s="248">
        <f ca="1">IFERROR(__xludf.DUMMYFUNCTION("IMPORTRANGE(""https://docs.google.com/spreadsheets/d/1B3lPpzOuaNwVItLwLEZYl_qEblfcx7dRnbRkAw0l-pE/edit?usp=sharing"",""บุรีรัมย์!J364"")"),1321)</f>
        <v>1321</v>
      </c>
      <c r="AF38" s="252">
        <f t="shared" ca="1" si="16"/>
        <v>106.87702265372168</v>
      </c>
      <c r="AG38" s="248">
        <f ca="1">IFERROR(__xludf.DUMMYFUNCTION("IMPORTRANGE(""https://docs.google.com/spreadsheets/d/1B3lPpzOuaNwVItLwLEZYl_qEblfcx7dRnbRkAw0l-pE/edit?usp=sharing"",""บุรีรัมย์!I369"")"),5960)</f>
        <v>5960</v>
      </c>
      <c r="AH38" s="248">
        <f ca="1">IFERROR(__xludf.DUMMYFUNCTION("IMPORTRANGE(""https://docs.google.com/spreadsheets/d/1B3lPpzOuaNwVItLwLEZYl_qEblfcx7dRnbRkAw0l-pE/edit?usp=sharing"",""บุรีรัมย์!J368"")"),909)</f>
        <v>909</v>
      </c>
      <c r="AI38" s="248">
        <f ca="1">IFERROR(__xludf.DUMMYFUNCTION("IMPORTRANGE(""https://docs.google.com/spreadsheets/d/1B3lPpzOuaNwVItLwLEZYl_qEblfcx7dRnbRkAw0l-pE/edit?usp=sharing"",""บุรีรัมย์!J369"")"),6333.48)</f>
        <v>6333.48</v>
      </c>
      <c r="AJ38" s="252">
        <f t="shared" ca="1" si="46"/>
        <v>106.26644295302013</v>
      </c>
      <c r="AK38" s="248">
        <f ca="1">IFERROR(__xludf.DUMMYFUNCTION("IMPORTRANGE(""https://docs.google.com/spreadsheets/d/1B3lPpzOuaNwVItLwLEZYl_qEblfcx7dRnbRkAw0l-pE/edit?usp=sharing"",""บุรีรัมย์!I370"")"),596)</f>
        <v>596</v>
      </c>
      <c r="AL38" s="248">
        <f ca="1">IFERROR(__xludf.DUMMYFUNCTION("IMPORTRANGE(""https://docs.google.com/spreadsheets/d/1B3lPpzOuaNwVItLwLEZYl_qEblfcx7dRnbRkAw0l-pE/edit?usp=sharing"",""บุรีรัมย์!J370"")"),700)</f>
        <v>700</v>
      </c>
      <c r="AM38" s="248">
        <f ca="1">IFERROR(__xludf.DUMMYFUNCTION("IMPORTRANGE(""https://docs.google.com/spreadsheets/d/1B3lPpzOuaNwVItLwLEZYl_qEblfcx7dRnbRkAw0l-pE/edit?usp=sharing"",""บุรีรัมย์!J371"")"),5079.23)</f>
        <v>5079.2299999999996</v>
      </c>
      <c r="AN38" s="252">
        <f t="shared" ca="1" si="47"/>
        <v>117.4496644295302</v>
      </c>
      <c r="AO38" s="248">
        <f ca="1">IFERROR(__xludf.DUMMYFUNCTION("IMPORTRANGE(""https://docs.google.com/spreadsheets/d/1B3lPpzOuaNwVItLwLEZYl_qEblfcx7dRnbRkAw0l-pE/edit?usp=sharing"",""บุรีรัมย์!I372"")"),596)</f>
        <v>596</v>
      </c>
      <c r="AP38" s="248">
        <f ca="1">IFERROR(__xludf.DUMMYFUNCTION("IMPORTRANGE(""https://docs.google.com/spreadsheets/d/1B3lPpzOuaNwVItLwLEZYl_qEblfcx7dRnbRkAw0l-pE/edit?usp=sharing"",""บุรีรัมย์!J372"")"),619)</f>
        <v>619</v>
      </c>
      <c r="AQ38" s="248">
        <f ca="1">IFERROR(__xludf.DUMMYFUNCTION("IMPORTRANGE(""https://docs.google.com/spreadsheets/d/1B3lPpzOuaNwVItLwLEZYl_qEblfcx7dRnbRkAw0l-pE/edit?usp=sharing"",""บุรีรัมย์!J373"")"),4957.67)</f>
        <v>4957.67</v>
      </c>
      <c r="AR38" s="252">
        <f t="shared" ca="1" si="48"/>
        <v>103.85906040268456</v>
      </c>
      <c r="AS38" s="248">
        <f ca="1">IFERROR(__xludf.DUMMYFUNCTION("IMPORTRANGE(""https://docs.google.com/spreadsheets/d/1B3lPpzOuaNwVItLwLEZYl_qEblfcx7dRnbRkAw0l-pE/edit?usp=sharing"",""บุรีรัมย์!I378"")"),1000)</f>
        <v>1000</v>
      </c>
      <c r="AT38" s="248">
        <f ca="1">IFERROR(__xludf.DUMMYFUNCTION("IMPORTRANGE(""https://docs.google.com/spreadsheets/d/1B3lPpzOuaNwVItLwLEZYl_qEblfcx7dRnbRkAw0l-pE/edit?usp=sharing"",""บุรีรัมย์!J377"")"),154)</f>
        <v>154</v>
      </c>
      <c r="AU38" s="248">
        <f ca="1">IFERROR(__xludf.DUMMYFUNCTION("IMPORTRANGE(""https://docs.google.com/spreadsheets/d/1B3lPpzOuaNwVItLwLEZYl_qEblfcx7dRnbRkAw0l-pE/edit?usp=sharing"",""บุรีรัมย์!J378"")"),1138.57)</f>
        <v>1138.57</v>
      </c>
      <c r="AV38" s="252">
        <f t="shared" ca="1" si="49"/>
        <v>113.857</v>
      </c>
      <c r="AW38" s="248">
        <f ca="1">IFERROR(__xludf.DUMMYFUNCTION("IMPORTRANGE(""https://docs.google.com/spreadsheets/d/1B3lPpzOuaNwVItLwLEZYl_qEblfcx7dRnbRkAw0l-pE/edit?usp=sharing"",""บุรีรัมย์!I379"")"),640)</f>
        <v>640</v>
      </c>
      <c r="AX38" s="248">
        <f ca="1">IFERROR(__xludf.DUMMYFUNCTION("IMPORTRANGE(""https://docs.google.com/spreadsheets/d/1B3lPpzOuaNwVItLwLEZYl_qEblfcx7dRnbRkAw0l-pE/edit?usp=sharing"",""บุรีรัมย์!J379"")"),705)</f>
        <v>705</v>
      </c>
      <c r="AY38" s="248">
        <f ca="1">IFERROR(__xludf.DUMMYFUNCTION("IMPORTRANGE(""https://docs.google.com/spreadsheets/d/1B3lPpzOuaNwVItLwLEZYl_qEblfcx7dRnbRkAw0l-pE/edit?usp=sharing"",""บุรีรัมย์!J380"")"),7151.9)</f>
        <v>7151.9</v>
      </c>
      <c r="AZ38" s="252">
        <f t="shared" ca="1" si="50"/>
        <v>110.15625</v>
      </c>
      <c r="BA38" s="248">
        <f ca="1">IFERROR(__xludf.DUMMYFUNCTION("IMPORTRANGE(""https://docs.google.com/spreadsheets/d/1B3lPpzOuaNwVItLwLEZYl_qEblfcx7dRnbRkAw0l-pE/edit?usp=sharing"",""บุรีรัมย์!I381"")"),640)</f>
        <v>640</v>
      </c>
      <c r="BB38" s="248">
        <f ca="1">IFERROR(__xludf.DUMMYFUNCTION("IMPORTRANGE(""https://docs.google.com/spreadsheets/d/1B3lPpzOuaNwVItLwLEZYl_qEblfcx7dRnbRkAw0l-pE/edit?usp=sharing"",""บุรีรัมย์!J381"")"),702)</f>
        <v>702</v>
      </c>
      <c r="BC38" s="248">
        <f ca="1">IFERROR(__xludf.DUMMYFUNCTION("IMPORTRANGE(""https://docs.google.com/spreadsheets/d/1B3lPpzOuaNwVItLwLEZYl_qEblfcx7dRnbRkAw0l-pE/edit?usp=sharing"",""บุรีรัมย์!J382"")"),7119.84)</f>
        <v>7119.84</v>
      </c>
      <c r="BD38" s="252">
        <f t="shared" ca="1" si="51"/>
        <v>109.6875</v>
      </c>
    </row>
    <row r="39" spans="1:56" ht="21" customHeight="1" x14ac:dyDescent="0.3">
      <c r="A39" s="243">
        <v>8</v>
      </c>
      <c r="B39" s="244" t="s">
        <v>61</v>
      </c>
      <c r="C39" s="245">
        <f t="shared" ca="1" si="0"/>
        <v>491410</v>
      </c>
      <c r="D39" s="246">
        <f t="shared" ca="1" si="76"/>
        <v>431410</v>
      </c>
      <c r="E39" s="247">
        <f ca="1">IFERROR(__xludf.DUMMYFUNCTION("IMPORTRANGE(""https://docs.google.com/spreadsheets/d/1MeEWN-I1oV_STSDYn1IFDPWt_1FKiwhDph83XaGc0o0/edit?usp=sharing"",""งบพรบ!EX39"")"),87600)</f>
        <v>87600</v>
      </c>
      <c r="F39" s="247">
        <f ca="1">IFERROR(__xludf.DUMMYFUNCTION("IMPORTRANGE(""https://docs.google.com/spreadsheets/d/1MeEWN-I1oV_STSDYn1IFDPWt_1FKiwhDph83XaGc0o0/edit?usp=sharing"",""งบพรบ!EY39"")"),343810)</f>
        <v>343810</v>
      </c>
      <c r="G39" s="247">
        <f ca="1">IFERROR(__xludf.DUMMYFUNCTION("IMPORTRANGE(""https://docs.google.com/spreadsheets/d/1MeEWN-I1oV_STSDYn1IFDPWt_1FKiwhDph83XaGc0o0/edit?usp=sharing"",""งบพรบ!EZ39"")"),60000)</f>
        <v>60000</v>
      </c>
      <c r="H39" s="247">
        <f ca="1">IFERROR(__xludf.DUMMYFUNCTION("IMPORTRANGE(""https://docs.google.com/spreadsheets/d/1MeEWN-I1oV_STSDYn1IFDPWt_1FKiwhDph83XaGc0o0/edit?usp=sharing"",""งบพรบ!FB39"")"),531490)</f>
        <v>531490</v>
      </c>
      <c r="I39" s="247">
        <f ca="1">IFERROR(__xludf.DUMMYFUNCTION("IMPORTRANGE(""https://docs.google.com/spreadsheets/d/1MeEWN-I1oV_STSDYn1IFDPWt_1FKiwhDph83XaGc0o0/edit?usp=sharing"",""งบพรบ!FC39"")"),60000)</f>
        <v>60000</v>
      </c>
      <c r="J39" s="247">
        <f t="shared" ca="1" si="3"/>
        <v>533876.16999999993</v>
      </c>
      <c r="K39" s="253">
        <f t="shared" ca="1" si="4"/>
        <v>108.64169837813637</v>
      </c>
      <c r="L39" s="247">
        <f ca="1">IFERROR(__xludf.DUMMYFUNCTION("IMPORTRANGE(""https://docs.google.com/spreadsheets/d/1MeEWN-I1oV_STSDYn1IFDPWt_1FKiwhDph83XaGc0o0/edit?usp=sharing"",""งบพรบ!FD39"")"),473876.17)</f>
        <v>473876.17</v>
      </c>
      <c r="M39" s="250">
        <f t="shared" ca="1" si="5"/>
        <v>109.84357571683549</v>
      </c>
      <c r="N39" s="250">
        <f t="shared" ca="1" si="6"/>
        <v>89.159940920807543</v>
      </c>
      <c r="O39" s="251">
        <f ca="1">IFERROR(__xludf.DUMMYFUNCTION("IMPORTRANGE(""https://docs.google.com/spreadsheets/d/1MeEWN-I1oV_STSDYn1IFDPWt_1FKiwhDph83XaGc0o0/edit?usp=sharing"",""งบพรบ!FE39"")"),60000)</f>
        <v>60000</v>
      </c>
      <c r="P39" s="250">
        <f t="shared" ca="1" si="53"/>
        <v>100</v>
      </c>
      <c r="Q39" s="250">
        <f t="shared" ca="1" si="8"/>
        <v>100</v>
      </c>
      <c r="R39" s="248">
        <f ca="1">IFERROR(__xludf.DUMMYFUNCTION("IMPORTRANGE(""https://docs.google.com/spreadsheets/d/19GOkiOqnzYbevLYWrMk4qFOXe3rX14BkSA8X-mq-a40/edit?usp=sharing"",""มหาสารคาม!I359"")"),1150)</f>
        <v>1150</v>
      </c>
      <c r="S39" s="248">
        <f ca="1">IFERROR(__xludf.DUMMYFUNCTION("IMPORTRANGE(""https://docs.google.com/spreadsheets/d/19GOkiOqnzYbevLYWrMk4qFOXe3rX14BkSA8X-mq-a40/edit?usp=sharing"",""มหาสารคาม!J358"")"),132)</f>
        <v>132</v>
      </c>
      <c r="T39" s="248">
        <f ca="1">IFERROR(__xludf.DUMMYFUNCTION("IMPORTRANGE(""https://docs.google.com/spreadsheets/d/19GOkiOqnzYbevLYWrMk4qFOXe3rX14BkSA8X-mq-a40/edit?usp=sharing"",""มหาสารคาม!J359"")"),1111.71)</f>
        <v>1111.71</v>
      </c>
      <c r="U39" s="252">
        <f t="shared" ca="1" si="43"/>
        <v>96.670434782608694</v>
      </c>
      <c r="V39" s="248">
        <f ca="1">IFERROR(__xludf.DUMMYFUNCTION("IMPORTRANGE(""https://docs.google.com/spreadsheets/d/19GOkiOqnzYbevLYWrMk4qFOXe3rX14BkSA8X-mq-a40/edit?usp=sharing"",""มหาสารคาม!I360"")"),115)</f>
        <v>115</v>
      </c>
      <c r="W39" s="248">
        <f ca="1">IFERROR(__xludf.DUMMYFUNCTION("IMPORTRANGE(""https://docs.google.com/spreadsheets/d/19GOkiOqnzYbevLYWrMk4qFOXe3rX14BkSA8X-mq-a40/edit?usp=sharing"",""มหาสารคาม!J360"")"),133)</f>
        <v>133</v>
      </c>
      <c r="X39" s="248">
        <f ca="1">IFERROR(__xludf.DUMMYFUNCTION("IMPORTRANGE(""https://docs.google.com/spreadsheets/d/19GOkiOqnzYbevLYWrMk4qFOXe3rX14BkSA8X-mq-a40/edit?usp=sharing"",""มหาสารคาม!J361"")"),1115.49)</f>
        <v>1115.49</v>
      </c>
      <c r="Y39" s="252">
        <f t="shared" ca="1" si="44"/>
        <v>115.65217391304348</v>
      </c>
      <c r="Z39" s="248">
        <f ca="1">IFERROR(__xludf.DUMMYFUNCTION("IMPORTRANGE(""https://docs.google.com/spreadsheets/d/19GOkiOqnzYbevLYWrMk4qFOXe3rX14BkSA8X-mq-a40/edit?usp=sharing"",""มหาสารคาม!I362"")"),115)</f>
        <v>115</v>
      </c>
      <c r="AA39" s="248">
        <f ca="1">IFERROR(__xludf.DUMMYFUNCTION("IMPORTRANGE(""https://docs.google.com/spreadsheets/d/19GOkiOqnzYbevLYWrMk4qFOXe3rX14BkSA8X-mq-a40/edit?usp=sharing"",""มหาสารคาม!J362"")"),120)</f>
        <v>120</v>
      </c>
      <c r="AB39" s="248">
        <f ca="1">IFERROR(__xludf.DUMMYFUNCTION("IMPORTRANGE(""https://docs.google.com/spreadsheets/d/19GOkiOqnzYbevLYWrMk4qFOXe3rX14BkSA8X-mq-a40/edit?usp=sharing"",""มหาสารคาม!J363"")"),1032.26)</f>
        <v>1032.26</v>
      </c>
      <c r="AC39" s="252">
        <f t="shared" ca="1" si="45"/>
        <v>104.34782608695652</v>
      </c>
      <c r="AD39" s="248">
        <f ca="1">IFERROR(__xludf.DUMMYFUNCTION("IMPORTRANGE(""https://docs.google.com/spreadsheets/d/19GOkiOqnzYbevLYWrMk4qFOXe3rX14BkSA8X-mq-a40/edit?usp=sharing"",""มหาสารคาม!I364"")"),315)</f>
        <v>315</v>
      </c>
      <c r="AE39" s="248">
        <f ca="1">IFERROR(__xludf.DUMMYFUNCTION("IMPORTRANGE(""https://docs.google.com/spreadsheets/d/19GOkiOqnzYbevLYWrMk4qFOXe3rX14BkSA8X-mq-a40/edit?usp=sharing"",""มหาสารคาม!J364"")"),384)</f>
        <v>384</v>
      </c>
      <c r="AF39" s="252">
        <f t="shared" ca="1" si="16"/>
        <v>121.9047619047619</v>
      </c>
      <c r="AG39" s="248">
        <f ca="1">IFERROR(__xludf.DUMMYFUNCTION("IMPORTRANGE(""https://docs.google.com/spreadsheets/d/19GOkiOqnzYbevLYWrMk4qFOXe3rX14BkSA8X-mq-a40/edit?usp=sharing"",""มหาสารคาม!I369"")"),150)</f>
        <v>150</v>
      </c>
      <c r="AH39" s="248">
        <f ca="1">IFERROR(__xludf.DUMMYFUNCTION("IMPORTRANGE(""https://docs.google.com/spreadsheets/d/19GOkiOqnzYbevLYWrMk4qFOXe3rX14BkSA8X-mq-a40/edit?usp=sharing"",""มหาสารคาม!J368"")"),16)</f>
        <v>16</v>
      </c>
      <c r="AI39" s="248">
        <f ca="1">IFERROR(__xludf.DUMMYFUNCTION("IMPORTRANGE(""https://docs.google.com/spreadsheets/d/19GOkiOqnzYbevLYWrMk4qFOXe3rX14BkSA8X-mq-a40/edit?usp=sharing"",""มหาสารคาม!J369"")"),47.05)</f>
        <v>47.05</v>
      </c>
      <c r="AJ39" s="252">
        <f t="shared" ca="1" si="46"/>
        <v>31.366666666666667</v>
      </c>
      <c r="AK39" s="248">
        <f ca="1">IFERROR(__xludf.DUMMYFUNCTION("IMPORTRANGE(""https://docs.google.com/spreadsheets/d/19GOkiOqnzYbevLYWrMk4qFOXe3rX14BkSA8X-mq-a40/edit?usp=sharing"",""มหาสารคาม!I370"")"),15)</f>
        <v>15</v>
      </c>
      <c r="AL39" s="248">
        <f ca="1">IFERROR(__xludf.DUMMYFUNCTION("IMPORTRANGE(""https://docs.google.com/spreadsheets/d/19GOkiOqnzYbevLYWrMk4qFOXe3rX14BkSA8X-mq-a40/edit?usp=sharing"",""มหาสารคาม!J370"")"),17)</f>
        <v>17</v>
      </c>
      <c r="AM39" s="248">
        <f ca="1">IFERROR(__xludf.DUMMYFUNCTION("IMPORTRANGE(""https://docs.google.com/spreadsheets/d/19GOkiOqnzYbevLYWrMk4qFOXe3rX14BkSA8X-mq-a40/edit?usp=sharing"",""มหาสารคาม!J371"")"),50.83)</f>
        <v>50.83</v>
      </c>
      <c r="AN39" s="252">
        <f t="shared" ca="1" si="47"/>
        <v>113.33333333333333</v>
      </c>
      <c r="AO39" s="248">
        <f ca="1">IFERROR(__xludf.DUMMYFUNCTION("IMPORTRANGE(""https://docs.google.com/spreadsheets/d/19GOkiOqnzYbevLYWrMk4qFOXe3rX14BkSA8X-mq-a40/edit?usp=sharing"",""มหาสารคาม!I372"")"),15)</f>
        <v>15</v>
      </c>
      <c r="AP39" s="248">
        <f ca="1">IFERROR(__xludf.DUMMYFUNCTION("IMPORTRANGE(""https://docs.google.com/spreadsheets/d/19GOkiOqnzYbevLYWrMk4qFOXe3rX14BkSA8X-mq-a40/edit?usp=sharing"",""มหาสารคาม!J372"")"),17)</f>
        <v>17</v>
      </c>
      <c r="AQ39" s="248">
        <f ca="1">IFERROR(__xludf.DUMMYFUNCTION("IMPORTRANGE(""https://docs.google.com/spreadsheets/d/19GOkiOqnzYbevLYWrMk4qFOXe3rX14BkSA8X-mq-a40/edit?usp=sharing"",""มหาสารคาม!J373"")"),50.83)</f>
        <v>50.83</v>
      </c>
      <c r="AR39" s="252">
        <f t="shared" ca="1" si="48"/>
        <v>113.33333333333333</v>
      </c>
      <c r="AS39" s="248">
        <f ca="1">IFERROR(__xludf.DUMMYFUNCTION("IMPORTRANGE(""https://docs.google.com/spreadsheets/d/19GOkiOqnzYbevLYWrMk4qFOXe3rX14BkSA8X-mq-a40/edit?usp=sharing"",""มหาสารคาม!I378"")"),1000)</f>
        <v>1000</v>
      </c>
      <c r="AT39" s="248">
        <f ca="1">IFERROR(__xludf.DUMMYFUNCTION("IMPORTRANGE(""https://docs.google.com/spreadsheets/d/19GOkiOqnzYbevLYWrMk4qFOXe3rX14BkSA8X-mq-a40/edit?usp=sharing"",""มหาสารคาม!J377"")"),116)</f>
        <v>116</v>
      </c>
      <c r="AU39" s="248">
        <f ca="1">IFERROR(__xludf.DUMMYFUNCTION("IMPORTRANGE(""https://docs.google.com/spreadsheets/d/19GOkiOqnzYbevLYWrMk4qFOXe3rX14BkSA8X-mq-a40/edit?usp=sharing"",""มหาสารคาม!J378"")"),1064.66)</f>
        <v>1064.6600000000001</v>
      </c>
      <c r="AV39" s="252">
        <f t="shared" ca="1" si="49"/>
        <v>106.46600000000001</v>
      </c>
      <c r="AW39" s="248">
        <f ca="1">IFERROR(__xludf.DUMMYFUNCTION("IMPORTRANGE(""https://docs.google.com/spreadsheets/d/19GOkiOqnzYbevLYWrMk4qFOXe3rX14BkSA8X-mq-a40/edit?usp=sharing"",""มหาสารคาม!I379"")"),300)</f>
        <v>300</v>
      </c>
      <c r="AX39" s="248">
        <f ca="1">IFERROR(__xludf.DUMMYFUNCTION("IMPORTRANGE(""https://docs.google.com/spreadsheets/d/19GOkiOqnzYbevLYWrMk4qFOXe3rX14BkSA8X-mq-a40/edit?usp=sharing"",""มหาสารคาม!J379"")"),399)</f>
        <v>399</v>
      </c>
      <c r="AY39" s="248">
        <f ca="1">IFERROR(__xludf.DUMMYFUNCTION("IMPORTRANGE(""https://docs.google.com/spreadsheets/d/19GOkiOqnzYbevLYWrMk4qFOXe3rX14BkSA8X-mq-a40/edit?usp=sharing"",""มหาสารคาม!J380"")"),4025.77)</f>
        <v>4025.77</v>
      </c>
      <c r="AZ39" s="252">
        <f t="shared" ca="1" si="50"/>
        <v>133</v>
      </c>
      <c r="BA39" s="248">
        <f ca="1">IFERROR(__xludf.DUMMYFUNCTION("IMPORTRANGE(""https://docs.google.com/spreadsheets/d/19GOkiOqnzYbevLYWrMk4qFOXe3rX14BkSA8X-mq-a40/edit?usp=sharing"",""มหาสารคาม!I381"")"),300)</f>
        <v>300</v>
      </c>
      <c r="BB39" s="248">
        <f ca="1">IFERROR(__xludf.DUMMYFUNCTION("IMPORTRANGE(""https://docs.google.com/spreadsheets/d/19GOkiOqnzYbevLYWrMk4qFOXe3rX14BkSA8X-mq-a40/edit?usp=sharing"",""มหาสารคาม!J381"")"),367)</f>
        <v>367</v>
      </c>
      <c r="BC39" s="248">
        <f ca="1">IFERROR(__xludf.DUMMYFUNCTION("IMPORTRANGE(""https://docs.google.com/spreadsheets/d/19GOkiOqnzYbevLYWrMk4qFOXe3rX14BkSA8X-mq-a40/edit?usp=sharing"",""มหาสารคาม!J382"")"),3695.37999999999)</f>
        <v>3695.3799999999901</v>
      </c>
      <c r="BD39" s="252">
        <f t="shared" ca="1" si="51"/>
        <v>122.33333333333333</v>
      </c>
    </row>
    <row r="40" spans="1:56" ht="21" customHeight="1" x14ac:dyDescent="0.3">
      <c r="A40" s="243">
        <v>9</v>
      </c>
      <c r="B40" s="244" t="s">
        <v>62</v>
      </c>
      <c r="C40" s="245">
        <f t="shared" ca="1" si="0"/>
        <v>714860</v>
      </c>
      <c r="D40" s="246">
        <f t="shared" ca="1" si="76"/>
        <v>563260</v>
      </c>
      <c r="E40" s="247">
        <f ca="1">IFERROR(__xludf.DUMMYFUNCTION("IMPORTRANGE(""https://docs.google.com/spreadsheets/d/1MeEWN-I1oV_STSDYn1IFDPWt_1FKiwhDph83XaGc0o0/edit?usp=sharing"",""งบพรบ!EX40"")"),87600)</f>
        <v>87600</v>
      </c>
      <c r="F40" s="247">
        <f ca="1">IFERROR(__xludf.DUMMYFUNCTION("IMPORTRANGE(""https://docs.google.com/spreadsheets/d/1MeEWN-I1oV_STSDYn1IFDPWt_1FKiwhDph83XaGc0o0/edit?usp=sharing"",""งบพรบ!EY40"")"),475660)</f>
        <v>475660</v>
      </c>
      <c r="G40" s="247">
        <f ca="1">IFERROR(__xludf.DUMMYFUNCTION("IMPORTRANGE(""https://docs.google.com/spreadsheets/d/1MeEWN-I1oV_STSDYn1IFDPWt_1FKiwhDph83XaGc0o0/edit?usp=sharing"",""งบพรบ!EZ40"")"),151600)</f>
        <v>151600</v>
      </c>
      <c r="H40" s="247">
        <f ca="1">IFERROR(__xludf.DUMMYFUNCTION("IMPORTRANGE(""https://docs.google.com/spreadsheets/d/1MeEWN-I1oV_STSDYn1IFDPWt_1FKiwhDph83XaGc0o0/edit?usp=sharing"",""งบพรบ!FB40"")"),653340)</f>
        <v>653340</v>
      </c>
      <c r="I40" s="247">
        <f ca="1">IFERROR(__xludf.DUMMYFUNCTION("IMPORTRANGE(""https://docs.google.com/spreadsheets/d/1MeEWN-I1oV_STSDYn1IFDPWt_1FKiwhDph83XaGc0o0/edit?usp=sharing"",""งบพรบ!FC40"")"),151600)</f>
        <v>151600</v>
      </c>
      <c r="J40" s="247">
        <f t="shared" ca="1" si="3"/>
        <v>730221</v>
      </c>
      <c r="K40" s="253">
        <f t="shared" ca="1" si="4"/>
        <v>102.14881235486669</v>
      </c>
      <c r="L40" s="247">
        <f ca="1">IFERROR(__xludf.DUMMYFUNCTION("IMPORTRANGE(""https://docs.google.com/spreadsheets/d/1MeEWN-I1oV_STSDYn1IFDPWt_1FKiwhDph83XaGc0o0/edit?usp=sharing"",""งบพรบ!FD40"")"),578621)</f>
        <v>578621</v>
      </c>
      <c r="M40" s="250">
        <f t="shared" ca="1" si="5"/>
        <v>102.72715974860633</v>
      </c>
      <c r="N40" s="250">
        <f t="shared" ca="1" si="6"/>
        <v>88.563535065968708</v>
      </c>
      <c r="O40" s="251">
        <f ca="1">IFERROR(__xludf.DUMMYFUNCTION("IMPORTRANGE(""https://docs.google.com/spreadsheets/d/1MeEWN-I1oV_STSDYn1IFDPWt_1FKiwhDph83XaGc0o0/edit?usp=sharing"",""งบพรบ!FE40"")"),151600)</f>
        <v>151600</v>
      </c>
      <c r="P40" s="250">
        <f t="shared" ca="1" si="53"/>
        <v>100</v>
      </c>
      <c r="Q40" s="250">
        <f t="shared" ca="1" si="8"/>
        <v>100</v>
      </c>
      <c r="R40" s="248">
        <f ca="1">IFERROR(__xludf.DUMMYFUNCTION("IMPORTRANGE(""https://docs.google.com/spreadsheets/d/1uMKqWwuNQ-TCKboGA3Bb1qXb5uj2-faACNUINCz8PN4/edit?usp=sharing"",""มุกดาหาร!I359"")"),2240)</f>
        <v>2240</v>
      </c>
      <c r="S40" s="248">
        <f ca="1">IFERROR(__xludf.DUMMYFUNCTION("IMPORTRANGE(""https://docs.google.com/spreadsheets/d/1uMKqWwuNQ-TCKboGA3Bb1qXb5uj2-faACNUINCz8PN4/edit?usp=sharing"",""มุกดาหาร!J358"")"),412)</f>
        <v>412</v>
      </c>
      <c r="T40" s="248">
        <f ca="1">IFERROR(__xludf.DUMMYFUNCTION("IMPORTRANGE(""https://docs.google.com/spreadsheets/d/1uMKqWwuNQ-TCKboGA3Bb1qXb5uj2-faACNUINCz8PN4/edit?usp=sharing"",""มุกดาหาร!J359"")"),2436.29)</f>
        <v>2436.29</v>
      </c>
      <c r="U40" s="252">
        <f t="shared" ca="1" si="43"/>
        <v>108.76294642857142</v>
      </c>
      <c r="V40" s="248">
        <f ca="1">IFERROR(__xludf.DUMMYFUNCTION("IMPORTRANGE(""https://docs.google.com/spreadsheets/d/1uMKqWwuNQ-TCKboGA3Bb1qXb5uj2-faACNUINCz8PN4/edit?usp=sharing"",""มุกดาหาร!I360"")"),224)</f>
        <v>224</v>
      </c>
      <c r="W40" s="248">
        <f ca="1">IFERROR(__xludf.DUMMYFUNCTION("IMPORTRANGE(""https://docs.google.com/spreadsheets/d/1uMKqWwuNQ-TCKboGA3Bb1qXb5uj2-faACNUINCz8PN4/edit?usp=sharing"",""มุกดาหาร!J360"")"),312)</f>
        <v>312</v>
      </c>
      <c r="X40" s="248">
        <f ca="1">IFERROR(__xludf.DUMMYFUNCTION("IMPORTRANGE(""https://docs.google.com/spreadsheets/d/1uMKqWwuNQ-TCKboGA3Bb1qXb5uj2-faACNUINCz8PN4/edit?usp=sharing"",""มุกดาหาร!J361"")"),1763.27)</f>
        <v>1763.27</v>
      </c>
      <c r="Y40" s="252">
        <f t="shared" ca="1" si="44"/>
        <v>139.28571428571428</v>
      </c>
      <c r="Z40" s="248">
        <f ca="1">IFERROR(__xludf.DUMMYFUNCTION("IMPORTRANGE(""https://docs.google.com/spreadsheets/d/1uMKqWwuNQ-TCKboGA3Bb1qXb5uj2-faACNUINCz8PN4/edit?usp=sharing"",""มุกดาหาร!I362"")"),224)</f>
        <v>224</v>
      </c>
      <c r="AA40" s="248">
        <f ca="1">IFERROR(__xludf.DUMMYFUNCTION("IMPORTRANGE(""https://docs.google.com/spreadsheets/d/1uMKqWwuNQ-TCKboGA3Bb1qXb5uj2-faACNUINCz8PN4/edit?usp=sharing"",""มุกดาหาร!J362"")"),257)</f>
        <v>257</v>
      </c>
      <c r="AB40" s="248">
        <f ca="1">IFERROR(__xludf.DUMMYFUNCTION("IMPORTRANGE(""https://docs.google.com/spreadsheets/d/1uMKqWwuNQ-TCKboGA3Bb1qXb5uj2-faACNUINCz8PN4/edit?usp=sharing"",""มุกดาหาร!J363"")"),1479.66)</f>
        <v>1479.66</v>
      </c>
      <c r="AC40" s="252">
        <f t="shared" ca="1" si="45"/>
        <v>114.73214285714286</v>
      </c>
      <c r="AD40" s="248">
        <f ca="1">IFERROR(__xludf.DUMMYFUNCTION("IMPORTRANGE(""https://docs.google.com/spreadsheets/d/1uMKqWwuNQ-TCKboGA3Bb1qXb5uj2-faACNUINCz8PN4/edit?usp=sharing"",""มุกดาหาร!I364"")"),374)</f>
        <v>374</v>
      </c>
      <c r="AE40" s="248">
        <f ca="1">IFERROR(__xludf.DUMMYFUNCTION("IMPORTRANGE(""https://docs.google.com/spreadsheets/d/1uMKqWwuNQ-TCKboGA3Bb1qXb5uj2-faACNUINCz8PN4/edit?usp=sharing"",""มุกดาหาร!J364"")"),549)</f>
        <v>549</v>
      </c>
      <c r="AF40" s="252">
        <f t="shared" ca="1" si="16"/>
        <v>146.79144385026737</v>
      </c>
      <c r="AG40" s="248">
        <f ca="1">IFERROR(__xludf.DUMMYFUNCTION("IMPORTRANGE(""https://docs.google.com/spreadsheets/d/1uMKqWwuNQ-TCKboGA3Bb1qXb5uj2-faACNUINCz8PN4/edit?usp=sharing"",""มุกดาหาร!I369"")"),240)</f>
        <v>240</v>
      </c>
      <c r="AH40" s="248">
        <f ca="1">IFERROR(__xludf.DUMMYFUNCTION("IMPORTRANGE(""https://docs.google.com/spreadsheets/d/1uMKqWwuNQ-TCKboGA3Bb1qXb5uj2-faACNUINCz8PN4/edit?usp=sharing"",""มุกดาหาร!J368"")"),93)</f>
        <v>93</v>
      </c>
      <c r="AI40" s="248">
        <f ca="1">IFERROR(__xludf.DUMMYFUNCTION("IMPORTRANGE(""https://docs.google.com/spreadsheets/d/1uMKqWwuNQ-TCKboGA3Bb1qXb5uj2-faACNUINCz8PN4/edit?usp=sharing"",""มุกดาหาร!J369"")"),348.87)</f>
        <v>348.87</v>
      </c>
      <c r="AJ40" s="252">
        <f t="shared" ca="1" si="46"/>
        <v>145.36250000000001</v>
      </c>
      <c r="AK40" s="248">
        <f ca="1">IFERROR(__xludf.DUMMYFUNCTION("IMPORTRANGE(""https://docs.google.com/spreadsheets/d/1uMKqWwuNQ-TCKboGA3Bb1qXb5uj2-faACNUINCz8PN4/edit?usp=sharing"",""มุกดาหาร!I370"")"),24)</f>
        <v>24</v>
      </c>
      <c r="AL40" s="248">
        <f ca="1">IFERROR(__xludf.DUMMYFUNCTION("IMPORTRANGE(""https://docs.google.com/spreadsheets/d/1uMKqWwuNQ-TCKboGA3Bb1qXb5uj2-faACNUINCz8PN4/edit?usp=sharing"",""มุกดาหาร!J370"")"),50)</f>
        <v>50</v>
      </c>
      <c r="AM40" s="248">
        <f ca="1">IFERROR(__xludf.DUMMYFUNCTION("IMPORTRANGE(""https://docs.google.com/spreadsheets/d/1uMKqWwuNQ-TCKboGA3Bb1qXb5uj2-faACNUINCz8PN4/edit?usp=sharing"",""มุกดาหาร!J371"")"),158.75)</f>
        <v>158.75</v>
      </c>
      <c r="AN40" s="252">
        <f t="shared" ca="1" si="47"/>
        <v>208.33333333333334</v>
      </c>
      <c r="AO40" s="248">
        <f ca="1">IFERROR(__xludf.DUMMYFUNCTION("IMPORTRANGE(""https://docs.google.com/spreadsheets/d/1uMKqWwuNQ-TCKboGA3Bb1qXb5uj2-faACNUINCz8PN4/edit?usp=sharing"",""มุกดาหาร!I372"")"),24)</f>
        <v>24</v>
      </c>
      <c r="AP40" s="248">
        <f ca="1">IFERROR(__xludf.DUMMYFUNCTION("IMPORTRANGE(""https://docs.google.com/spreadsheets/d/1uMKqWwuNQ-TCKboGA3Bb1qXb5uj2-faACNUINCz8PN4/edit?usp=sharing"",""มุกดาหาร!J372"")"),50)</f>
        <v>50</v>
      </c>
      <c r="AQ40" s="248">
        <f ca="1">IFERROR(__xludf.DUMMYFUNCTION("IMPORTRANGE(""https://docs.google.com/spreadsheets/d/1uMKqWwuNQ-TCKboGA3Bb1qXb5uj2-faACNUINCz8PN4/edit?usp=sharing"",""มุกดาหาร!J373"")"),158.4)</f>
        <v>158.4</v>
      </c>
      <c r="AR40" s="252">
        <f t="shared" ca="1" si="48"/>
        <v>208.33333333333334</v>
      </c>
      <c r="AS40" s="248">
        <f ca="1">IFERROR(__xludf.DUMMYFUNCTION("IMPORTRANGE(""https://docs.google.com/spreadsheets/d/1uMKqWwuNQ-TCKboGA3Bb1qXb5uj2-faACNUINCz8PN4/edit?usp=sharing"",""มุกดาหาร!I378"")"),2000)</f>
        <v>2000</v>
      </c>
      <c r="AT40" s="248">
        <f ca="1">IFERROR(__xludf.DUMMYFUNCTION("IMPORTRANGE(""https://docs.google.com/spreadsheets/d/1uMKqWwuNQ-TCKboGA3Bb1qXb5uj2-faACNUINCz8PN4/edit?usp=sharing"",""มุกดาหาร!J377"")"),319)</f>
        <v>319</v>
      </c>
      <c r="AU40" s="248">
        <f ca="1">IFERROR(__xludf.DUMMYFUNCTION("IMPORTRANGE(""https://docs.google.com/spreadsheets/d/1uMKqWwuNQ-TCKboGA3Bb1qXb5uj2-faACNUINCz8PN4/edit?usp=sharing"",""มุกดาหาร!J378"")"),2087.42)</f>
        <v>2087.42</v>
      </c>
      <c r="AV40" s="252">
        <f t="shared" ca="1" si="49"/>
        <v>104.371</v>
      </c>
      <c r="AW40" s="248">
        <f ca="1">IFERROR(__xludf.DUMMYFUNCTION("IMPORTRANGE(""https://docs.google.com/spreadsheets/d/1uMKqWwuNQ-TCKboGA3Bb1qXb5uj2-faACNUINCz8PN4/edit?usp=sharing"",""มุกดาหาร!I379"")"),350)</f>
        <v>350</v>
      </c>
      <c r="AX40" s="248">
        <f ca="1">IFERROR(__xludf.DUMMYFUNCTION("IMPORTRANGE(""https://docs.google.com/spreadsheets/d/1uMKqWwuNQ-TCKboGA3Bb1qXb5uj2-faACNUINCz8PN4/edit?usp=sharing"",""มุกดาหาร!J379"")"),555)</f>
        <v>555</v>
      </c>
      <c r="AY40" s="248">
        <f ca="1">IFERROR(__xludf.DUMMYFUNCTION("IMPORTRANGE(""https://docs.google.com/spreadsheets/d/1uMKqWwuNQ-TCKboGA3Bb1qXb5uj2-faACNUINCz8PN4/edit?usp=sharing"",""มุกดาหาร!J380"")"),4855.34)</f>
        <v>4855.34</v>
      </c>
      <c r="AZ40" s="252">
        <f t="shared" ca="1" si="50"/>
        <v>158.57142857142858</v>
      </c>
      <c r="BA40" s="248">
        <f ca="1">IFERROR(__xludf.DUMMYFUNCTION("IMPORTRANGE(""https://docs.google.com/spreadsheets/d/1uMKqWwuNQ-TCKboGA3Bb1qXb5uj2-faACNUINCz8PN4/edit?usp=sharing"",""มุกดาหาร!I381"")"),350)</f>
        <v>350</v>
      </c>
      <c r="BB40" s="248">
        <f ca="1">IFERROR(__xludf.DUMMYFUNCTION("IMPORTRANGE(""https://docs.google.com/spreadsheets/d/1uMKqWwuNQ-TCKboGA3Bb1qXb5uj2-faACNUINCz8PN4/edit?usp=sharing"",""มุกดาหาร!J381"")"),499)</f>
        <v>499</v>
      </c>
      <c r="BC40" s="248">
        <f ca="1">IFERROR(__xludf.DUMMYFUNCTION("IMPORTRANGE(""https://docs.google.com/spreadsheets/d/1uMKqWwuNQ-TCKboGA3Bb1qXb5uj2-faACNUINCz8PN4/edit?usp=sharing"",""มุกดาหาร!J382"")"),4558.11)</f>
        <v>4558.1099999999997</v>
      </c>
      <c r="BD40" s="252">
        <f t="shared" ca="1" si="51"/>
        <v>142.57142857142858</v>
      </c>
    </row>
    <row r="41" spans="1:56" ht="21" customHeight="1" x14ac:dyDescent="0.3">
      <c r="A41" s="243">
        <v>10</v>
      </c>
      <c r="B41" s="244" t="s">
        <v>63</v>
      </c>
      <c r="C41" s="245">
        <f t="shared" ca="1" si="0"/>
        <v>791770</v>
      </c>
      <c r="D41" s="246">
        <f t="shared" ca="1" si="76"/>
        <v>700170</v>
      </c>
      <c r="E41" s="247">
        <f ca="1">IFERROR(__xludf.DUMMYFUNCTION("IMPORTRANGE(""https://docs.google.com/spreadsheets/d/1MeEWN-I1oV_STSDYn1IFDPWt_1FKiwhDph83XaGc0o0/edit?usp=sharing"",""งบพรบ!EX41"")"),0)</f>
        <v>0</v>
      </c>
      <c r="F41" s="247">
        <f ca="1">IFERROR(__xludf.DUMMYFUNCTION("IMPORTRANGE(""https://docs.google.com/spreadsheets/d/1MeEWN-I1oV_STSDYn1IFDPWt_1FKiwhDph83XaGc0o0/edit?usp=sharing"",""งบพรบ!EY41"")"),700170)</f>
        <v>700170</v>
      </c>
      <c r="G41" s="247">
        <f ca="1">IFERROR(__xludf.DUMMYFUNCTION("IMPORTRANGE(""https://docs.google.com/spreadsheets/d/1MeEWN-I1oV_STSDYn1IFDPWt_1FKiwhDph83XaGc0o0/edit?usp=sharing"",""งบพรบ!EZ41"")"),91600)</f>
        <v>91600</v>
      </c>
      <c r="H41" s="247">
        <f ca="1">IFERROR(__xludf.DUMMYFUNCTION("IMPORTRANGE(""https://docs.google.com/spreadsheets/d/1MeEWN-I1oV_STSDYn1IFDPWt_1FKiwhDph83XaGc0o0/edit?usp=sharing"",""งบพรบ!FB41"")"),800170)</f>
        <v>800170</v>
      </c>
      <c r="I41" s="247">
        <f ca="1">IFERROR(__xludf.DUMMYFUNCTION("IMPORTRANGE(""https://docs.google.com/spreadsheets/d/1MeEWN-I1oV_STSDYn1IFDPWt_1FKiwhDph83XaGc0o0/edit?usp=sharing"",""งบพรบ!FC41"")"),91600)</f>
        <v>91600</v>
      </c>
      <c r="J41" s="247">
        <f t="shared" ca="1" si="3"/>
        <v>793786</v>
      </c>
      <c r="K41" s="253">
        <f t="shared" ca="1" si="4"/>
        <v>100.25461939704712</v>
      </c>
      <c r="L41" s="247">
        <f ca="1">IFERROR(__xludf.DUMMYFUNCTION("IMPORTRANGE(""https://docs.google.com/spreadsheets/d/1MeEWN-I1oV_STSDYn1IFDPWt_1FKiwhDph83XaGc0o0/edit?usp=sharing"",""งบพรบ!FD41"")"),702186)</f>
        <v>702186</v>
      </c>
      <c r="M41" s="250">
        <f t="shared" ca="1" si="5"/>
        <v>100.28793007412486</v>
      </c>
      <c r="N41" s="250">
        <f t="shared" ca="1" si="6"/>
        <v>87.754602147043755</v>
      </c>
      <c r="O41" s="251">
        <f ca="1">IFERROR(__xludf.DUMMYFUNCTION("IMPORTRANGE(""https://docs.google.com/spreadsheets/d/1MeEWN-I1oV_STSDYn1IFDPWt_1FKiwhDph83XaGc0o0/edit?usp=sharing"",""งบพรบ!FE41"")"),91600)</f>
        <v>91600</v>
      </c>
      <c r="P41" s="250">
        <f t="shared" ca="1" si="53"/>
        <v>100</v>
      </c>
      <c r="Q41" s="250">
        <f t="shared" ca="1" si="8"/>
        <v>100</v>
      </c>
      <c r="R41" s="248">
        <f ca="1">IFERROR(__xludf.DUMMYFUNCTION("IMPORTRANGE(""https://docs.google.com/spreadsheets/d/1oKaccgDdQABndOzGr688Dbfxb_V3YcF67VqEPBtdzsc/edit?usp=sharing"",""ยโสธร!I359"")"),4700)</f>
        <v>4700</v>
      </c>
      <c r="S41" s="248">
        <f ca="1">IFERROR(__xludf.DUMMYFUNCTION("IMPORTRANGE(""https://docs.google.com/spreadsheets/d/1oKaccgDdQABndOzGr688Dbfxb_V3YcF67VqEPBtdzsc/edit?usp=sharing"",""ยโสธร!J358"")"),558)</f>
        <v>558</v>
      </c>
      <c r="T41" s="248">
        <f ca="1">IFERROR(__xludf.DUMMYFUNCTION("IMPORTRANGE(""https://docs.google.com/spreadsheets/d/1oKaccgDdQABndOzGr688Dbfxb_V3YcF67VqEPBtdzsc/edit?usp=sharing"",""ยโสธร!J359"")"),3963.65)</f>
        <v>3963.65</v>
      </c>
      <c r="U41" s="252">
        <f t="shared" ca="1" si="43"/>
        <v>84.332978723404253</v>
      </c>
      <c r="V41" s="248">
        <f ca="1">IFERROR(__xludf.DUMMYFUNCTION("IMPORTRANGE(""https://docs.google.com/spreadsheets/d/1oKaccgDdQABndOzGr688Dbfxb_V3YcF67VqEPBtdzsc/edit?usp=sharing"",""ยโสธร!I360"")"),530)</f>
        <v>530</v>
      </c>
      <c r="W41" s="248">
        <f ca="1">IFERROR(__xludf.DUMMYFUNCTION("IMPORTRANGE(""https://docs.google.com/spreadsheets/d/1oKaccgDdQABndOzGr688Dbfxb_V3YcF67VqEPBtdzsc/edit?usp=sharing"",""ยโสธร!J360"")"),570)</f>
        <v>570</v>
      </c>
      <c r="X41" s="248">
        <f ca="1">IFERROR(__xludf.DUMMYFUNCTION("IMPORTRANGE(""https://docs.google.com/spreadsheets/d/1oKaccgDdQABndOzGr688Dbfxb_V3YcF67VqEPBtdzsc/edit?usp=sharing"",""ยโสธร!J361"")"),4049.14)</f>
        <v>4049.14</v>
      </c>
      <c r="Y41" s="252">
        <f t="shared" ca="1" si="44"/>
        <v>107.54716981132076</v>
      </c>
      <c r="Z41" s="248">
        <f ca="1">IFERROR(__xludf.DUMMYFUNCTION("IMPORTRANGE(""https://docs.google.com/spreadsheets/d/1oKaccgDdQABndOzGr688Dbfxb_V3YcF67VqEPBtdzsc/edit?usp=sharing"",""ยโสธร!I362"")"),530)</f>
        <v>530</v>
      </c>
      <c r="AA41" s="248">
        <f ca="1">IFERROR(__xludf.DUMMYFUNCTION("IMPORTRANGE(""https://docs.google.com/spreadsheets/d/1oKaccgDdQABndOzGr688Dbfxb_V3YcF67VqEPBtdzsc/edit?usp=sharing"",""ยโสธร!J362"")"),559)</f>
        <v>559</v>
      </c>
      <c r="AB41" s="248">
        <f ca="1">IFERROR(__xludf.DUMMYFUNCTION("IMPORTRANGE(""https://docs.google.com/spreadsheets/d/1oKaccgDdQABndOzGr688Dbfxb_V3YcF67VqEPBtdzsc/edit?usp=sharing"",""ยโสธร!J363"")"),3940.82)</f>
        <v>3940.82</v>
      </c>
      <c r="AC41" s="252">
        <f t="shared" ca="1" si="45"/>
        <v>105.47169811320755</v>
      </c>
      <c r="AD41" s="248">
        <f ca="1">IFERROR(__xludf.DUMMYFUNCTION("IMPORTRANGE(""https://docs.google.com/spreadsheets/d/1oKaccgDdQABndOzGr688Dbfxb_V3YcF67VqEPBtdzsc/edit?usp=sharing"",""ยโสธร!I364"")"),1135)</f>
        <v>1135</v>
      </c>
      <c r="AE41" s="248">
        <f ca="1">IFERROR(__xludf.DUMMYFUNCTION("IMPORTRANGE(""https://docs.google.com/spreadsheets/d/1oKaccgDdQABndOzGr688Dbfxb_V3YcF67VqEPBtdzsc/edit?usp=sharing"",""ยโสธร!J364"")"),1185)</f>
        <v>1185</v>
      </c>
      <c r="AF41" s="252">
        <f t="shared" ca="1" si="16"/>
        <v>104.40528634361233</v>
      </c>
      <c r="AG41" s="248">
        <f ca="1">IFERROR(__xludf.DUMMYFUNCTION("IMPORTRANGE(""https://docs.google.com/spreadsheets/d/1oKaccgDdQABndOzGr688Dbfxb_V3YcF67VqEPBtdzsc/edit?usp=sharing"",""ยโสธร!I369"")"),1400)</f>
        <v>1400</v>
      </c>
      <c r="AH41" s="248">
        <f ca="1">IFERROR(__xludf.DUMMYFUNCTION("IMPORTRANGE(""https://docs.google.com/spreadsheets/d/1oKaccgDdQABndOzGr688Dbfxb_V3YcF67VqEPBtdzsc/edit?usp=sharing"",""ยโสธร!J368"")"),221)</f>
        <v>221</v>
      </c>
      <c r="AI41" s="248">
        <f ca="1">IFERROR(__xludf.DUMMYFUNCTION("IMPORTRANGE(""https://docs.google.com/spreadsheets/d/1oKaccgDdQABndOzGr688Dbfxb_V3YcF67VqEPBtdzsc/edit?usp=sharing"",""ยโสธร!J369"")"),1549.83)</f>
        <v>1549.83</v>
      </c>
      <c r="AJ41" s="252">
        <f t="shared" ca="1" si="46"/>
        <v>110.70214285714286</v>
      </c>
      <c r="AK41" s="248">
        <f ca="1">IFERROR(__xludf.DUMMYFUNCTION("IMPORTRANGE(""https://docs.google.com/spreadsheets/d/1oKaccgDdQABndOzGr688Dbfxb_V3YcF67VqEPBtdzsc/edit?usp=sharing"",""ยโสธร!I370"")"),140)</f>
        <v>140</v>
      </c>
      <c r="AL41" s="248">
        <f ca="1">IFERROR(__xludf.DUMMYFUNCTION("IMPORTRANGE(""https://docs.google.com/spreadsheets/d/1oKaccgDdQABndOzGr688Dbfxb_V3YcF67VqEPBtdzsc/edit?usp=sharing"",""ยโสธร!J370"")"),233)</f>
        <v>233</v>
      </c>
      <c r="AM41" s="248">
        <f ca="1">IFERROR(__xludf.DUMMYFUNCTION("IMPORTRANGE(""https://docs.google.com/spreadsheets/d/1oKaccgDdQABndOzGr688Dbfxb_V3YcF67VqEPBtdzsc/edit?usp=sharing"",""ยโสธร!J371"")"),1621.52)</f>
        <v>1621.52</v>
      </c>
      <c r="AN41" s="252">
        <f t="shared" ca="1" si="47"/>
        <v>166.42857142857142</v>
      </c>
      <c r="AO41" s="248">
        <f ca="1">IFERROR(__xludf.DUMMYFUNCTION("IMPORTRANGE(""https://docs.google.com/spreadsheets/d/1oKaccgDdQABndOzGr688Dbfxb_V3YcF67VqEPBtdzsc/edit?usp=sharing"",""ยโสธร!I372"")"),140)</f>
        <v>140</v>
      </c>
      <c r="AP41" s="248">
        <f ca="1">IFERROR(__xludf.DUMMYFUNCTION("IMPORTRANGE(""https://docs.google.com/spreadsheets/d/1oKaccgDdQABndOzGr688Dbfxb_V3YcF67VqEPBtdzsc/edit?usp=sharing"",""ยโสธร!J372"")"),224)</f>
        <v>224</v>
      </c>
      <c r="AQ41" s="248">
        <f ca="1">IFERROR(__xludf.DUMMYFUNCTION("IMPORTRANGE(""https://docs.google.com/spreadsheets/d/1oKaccgDdQABndOzGr688Dbfxb_V3YcF67VqEPBtdzsc/edit?usp=sharing"",""ยโสธร!J373"")"),1516.23)</f>
        <v>1516.23</v>
      </c>
      <c r="AR41" s="252">
        <f t="shared" ca="1" si="48"/>
        <v>160</v>
      </c>
      <c r="AS41" s="248">
        <f ca="1">IFERROR(__xludf.DUMMYFUNCTION("IMPORTRANGE(""https://docs.google.com/spreadsheets/d/1oKaccgDdQABndOzGr688Dbfxb_V3YcF67VqEPBtdzsc/edit?usp=sharing"",""ยโสธร!I378"")"),3300)</f>
        <v>3300</v>
      </c>
      <c r="AT41" s="248">
        <f ca="1">IFERROR(__xludf.DUMMYFUNCTION("IMPORTRANGE(""https://docs.google.com/spreadsheets/d/1oKaccgDdQABndOzGr688Dbfxb_V3YcF67VqEPBtdzsc/edit?usp=sharing"",""ยโสธร!J377"")"),337)</f>
        <v>337</v>
      </c>
      <c r="AU41" s="248">
        <f ca="1">IFERROR(__xludf.DUMMYFUNCTION("IMPORTRANGE(""https://docs.google.com/spreadsheets/d/1oKaccgDdQABndOzGr688Dbfxb_V3YcF67VqEPBtdzsc/edit?usp=sharing"",""ยโสธร!J378"")"),2413.82)</f>
        <v>2413.8200000000002</v>
      </c>
      <c r="AV41" s="252">
        <f t="shared" ca="1" si="49"/>
        <v>73.146060606060615</v>
      </c>
      <c r="AW41" s="248">
        <f ca="1">IFERROR(__xludf.DUMMYFUNCTION("IMPORTRANGE(""https://docs.google.com/spreadsheets/d/1oKaccgDdQABndOzGr688Dbfxb_V3YcF67VqEPBtdzsc/edit?usp=sharing"",""ยโสธร!I379"")"),995)</f>
        <v>995</v>
      </c>
      <c r="AX41" s="248">
        <f ca="1">IFERROR(__xludf.DUMMYFUNCTION("IMPORTRANGE(""https://docs.google.com/spreadsheets/d/1oKaccgDdQABndOzGr688Dbfxb_V3YcF67VqEPBtdzsc/edit?usp=sharing"",""ยโสธร!J379"")"),963)</f>
        <v>963</v>
      </c>
      <c r="AY41" s="248">
        <f ca="1">IFERROR(__xludf.DUMMYFUNCTION("IMPORTRANGE(""https://docs.google.com/spreadsheets/d/1oKaccgDdQABndOzGr688Dbfxb_V3YcF67VqEPBtdzsc/edit?usp=sharing"",""ยโสธร!J380"")"),10116.14)</f>
        <v>10116.14</v>
      </c>
      <c r="AZ41" s="252">
        <f t="shared" ca="1" si="50"/>
        <v>96.78391959798995</v>
      </c>
      <c r="BA41" s="248">
        <f ca="1">IFERROR(__xludf.DUMMYFUNCTION("IMPORTRANGE(""https://docs.google.com/spreadsheets/d/1oKaccgDdQABndOzGr688Dbfxb_V3YcF67VqEPBtdzsc/edit?usp=sharing"",""ยโสธร!I381"")"),995)</f>
        <v>995</v>
      </c>
      <c r="BB41" s="248">
        <f ca="1">IFERROR(__xludf.DUMMYFUNCTION("IMPORTRANGE(""https://docs.google.com/spreadsheets/d/1oKaccgDdQABndOzGr688Dbfxb_V3YcF67VqEPBtdzsc/edit?usp=sharing"",""ยโสธร!J381"")"),961)</f>
        <v>961</v>
      </c>
      <c r="BC41" s="248">
        <f ca="1">IFERROR(__xludf.DUMMYFUNCTION("IMPORTRANGE(""https://docs.google.com/spreadsheets/d/1oKaccgDdQABndOzGr688Dbfxb_V3YcF67VqEPBtdzsc/edit?usp=sharing"",""ยโสธร!J382"")"),10099.7)</f>
        <v>10099.700000000001</v>
      </c>
      <c r="BD41" s="252">
        <f t="shared" ca="1" si="51"/>
        <v>96.582914572864325</v>
      </c>
    </row>
    <row r="42" spans="1:56" ht="21" customHeight="1" x14ac:dyDescent="0.3">
      <c r="A42" s="243">
        <v>11</v>
      </c>
      <c r="B42" s="244" t="s">
        <v>64</v>
      </c>
      <c r="C42" s="245">
        <f t="shared" ca="1" si="0"/>
        <v>1261590</v>
      </c>
      <c r="D42" s="246">
        <f t="shared" ca="1" si="76"/>
        <v>1044090</v>
      </c>
      <c r="E42" s="247">
        <f ca="1">IFERROR(__xludf.DUMMYFUNCTION("IMPORTRANGE(""https://docs.google.com/spreadsheets/d/1MeEWN-I1oV_STSDYn1IFDPWt_1FKiwhDph83XaGc0o0/edit?usp=sharing"",""งบพรบ!EX42"")"),0)</f>
        <v>0</v>
      </c>
      <c r="F42" s="247">
        <f ca="1">IFERROR(__xludf.DUMMYFUNCTION("IMPORTRANGE(""https://docs.google.com/spreadsheets/d/1MeEWN-I1oV_STSDYn1IFDPWt_1FKiwhDph83XaGc0o0/edit?usp=sharing"",""งบพรบ!EY42"")"),1044090)</f>
        <v>1044090</v>
      </c>
      <c r="G42" s="247">
        <f ca="1">IFERROR(__xludf.DUMMYFUNCTION("IMPORTRANGE(""https://docs.google.com/spreadsheets/d/1MeEWN-I1oV_STSDYn1IFDPWt_1FKiwhDph83XaGc0o0/edit?usp=sharing"",""งบพรบ!EZ42"")"),217500)</f>
        <v>217500</v>
      </c>
      <c r="H42" s="247">
        <f ca="1">IFERROR(__xludf.DUMMYFUNCTION("IMPORTRANGE(""https://docs.google.com/spreadsheets/d/1MeEWN-I1oV_STSDYn1IFDPWt_1FKiwhDph83XaGc0o0/edit?usp=sharing"",""งบพรบ!FB42"")"),1119170)</f>
        <v>1119170</v>
      </c>
      <c r="I42" s="247">
        <f ca="1">IFERROR(__xludf.DUMMYFUNCTION("IMPORTRANGE(""https://docs.google.com/spreadsheets/d/1MeEWN-I1oV_STSDYn1IFDPWt_1FKiwhDph83XaGc0o0/edit?usp=sharing"",""งบพรบ!FC42"")"),217500)</f>
        <v>217500</v>
      </c>
      <c r="J42" s="247">
        <f t="shared" ca="1" si="3"/>
        <v>1201844.0899999999</v>
      </c>
      <c r="K42" s="253">
        <f t="shared" ca="1" si="4"/>
        <v>95.264237192748823</v>
      </c>
      <c r="L42" s="247">
        <f ca="1">IFERROR(__xludf.DUMMYFUNCTION("IMPORTRANGE(""https://docs.google.com/spreadsheets/d/1MeEWN-I1oV_STSDYn1IFDPWt_1FKiwhDph83XaGc0o0/edit?usp=sharing"",""งบพรบ!FD42"")"),984344.09)</f>
        <v>984344.09</v>
      </c>
      <c r="M42" s="250">
        <f t="shared" ca="1" si="5"/>
        <v>94.277704987117971</v>
      </c>
      <c r="N42" s="250">
        <f t="shared" ca="1" si="6"/>
        <v>87.953044667030028</v>
      </c>
      <c r="O42" s="251">
        <f ca="1">IFERROR(__xludf.DUMMYFUNCTION("IMPORTRANGE(""https://docs.google.com/spreadsheets/d/1MeEWN-I1oV_STSDYn1IFDPWt_1FKiwhDph83XaGc0o0/edit?usp=sharing"",""งบพรบ!FE42"")"),217500)</f>
        <v>217500</v>
      </c>
      <c r="P42" s="250">
        <f t="shared" ca="1" si="53"/>
        <v>100</v>
      </c>
      <c r="Q42" s="250">
        <f t="shared" ca="1" si="8"/>
        <v>100</v>
      </c>
      <c r="R42" s="248">
        <f ca="1">IFERROR(__xludf.DUMMYFUNCTION("IMPORTRANGE(""https://docs.google.com/spreadsheets/d/1BRgc8xKpxZ0PX-gauieMVkV_IOxKSotf0yW8MabGprQ/edit?usp=sharing"",""ร้อยเอ็ด!I359"")"),6700)</f>
        <v>6700</v>
      </c>
      <c r="S42" s="248">
        <f ca="1">IFERROR(__xludf.DUMMYFUNCTION("IMPORTRANGE(""https://docs.google.com/spreadsheets/d/1BRgc8xKpxZ0PX-gauieMVkV_IOxKSotf0yW8MabGprQ/edit?usp=sharing"",""ร้อยเอ็ด!J358"")"),691)</f>
        <v>691</v>
      </c>
      <c r="T42" s="248">
        <f ca="1">IFERROR(__xludf.DUMMYFUNCTION("IMPORTRANGE(""https://docs.google.com/spreadsheets/d/1BRgc8xKpxZ0PX-gauieMVkV_IOxKSotf0yW8MabGprQ/edit?usp=sharing"",""ร้อยเอ็ด!J359"")"),5112.81)</f>
        <v>5112.8100000000004</v>
      </c>
      <c r="U42" s="252">
        <f t="shared" ca="1" si="43"/>
        <v>76.310597014925378</v>
      </c>
      <c r="V42" s="248">
        <f ca="1">IFERROR(__xludf.DUMMYFUNCTION("IMPORTRANGE(""https://docs.google.com/spreadsheets/d/1BRgc8xKpxZ0PX-gauieMVkV_IOxKSotf0yW8MabGprQ/edit?usp=sharing"",""ร้อยเอ็ด!I360"")"),670)</f>
        <v>670</v>
      </c>
      <c r="W42" s="248">
        <f ca="1">IFERROR(__xludf.DUMMYFUNCTION("IMPORTRANGE(""https://docs.google.com/spreadsheets/d/1BRgc8xKpxZ0PX-gauieMVkV_IOxKSotf0yW8MabGprQ/edit?usp=sharing"",""ร้อยเอ็ด!J360"")"),693)</f>
        <v>693</v>
      </c>
      <c r="X42" s="248">
        <f ca="1">IFERROR(__xludf.DUMMYFUNCTION("IMPORTRANGE(""https://docs.google.com/spreadsheets/d/1BRgc8xKpxZ0PX-gauieMVkV_IOxKSotf0yW8MabGprQ/edit?usp=sharing"",""ร้อยเอ็ด!J361"")"),5081.28)</f>
        <v>5081.28</v>
      </c>
      <c r="Y42" s="252">
        <f t="shared" ca="1" si="44"/>
        <v>103.43283582089552</v>
      </c>
      <c r="Z42" s="248">
        <f ca="1">IFERROR(__xludf.DUMMYFUNCTION("IMPORTRANGE(""https://docs.google.com/spreadsheets/d/1BRgc8xKpxZ0PX-gauieMVkV_IOxKSotf0yW8MabGprQ/edit?usp=sharing"",""ร้อยเอ็ด!I362"")"),670)</f>
        <v>670</v>
      </c>
      <c r="AA42" s="248">
        <f ca="1">IFERROR(__xludf.DUMMYFUNCTION("IMPORTRANGE(""https://docs.google.com/spreadsheets/d/1BRgc8xKpxZ0PX-gauieMVkV_IOxKSotf0yW8MabGprQ/edit?usp=sharing"",""ร้อยเอ็ด!J362"")"),587)</f>
        <v>587</v>
      </c>
      <c r="AB42" s="248">
        <f ca="1">IFERROR(__xludf.DUMMYFUNCTION("IMPORTRANGE(""https://docs.google.com/spreadsheets/d/1BRgc8xKpxZ0PX-gauieMVkV_IOxKSotf0yW8MabGprQ/edit?usp=sharing"",""ร้อยเอ็ด!J363"")"),4441.66)</f>
        <v>4441.66</v>
      </c>
      <c r="AC42" s="252">
        <f t="shared" ca="1" si="45"/>
        <v>87.611940298507463</v>
      </c>
      <c r="AD42" s="248">
        <f ca="1">IFERROR(__xludf.DUMMYFUNCTION("IMPORTRANGE(""https://docs.google.com/spreadsheets/d/1BRgc8xKpxZ0PX-gauieMVkV_IOxKSotf0yW8MabGprQ/edit?usp=sharing"",""ร้อยเอ็ด!I364"")"),1120)</f>
        <v>1120</v>
      </c>
      <c r="AE42" s="248">
        <f ca="1">IFERROR(__xludf.DUMMYFUNCTION("IMPORTRANGE(""https://docs.google.com/spreadsheets/d/1BRgc8xKpxZ0PX-gauieMVkV_IOxKSotf0yW8MabGprQ/edit?usp=sharing"",""ร้อยเอ็ด!J364"")"),1345)</f>
        <v>1345</v>
      </c>
      <c r="AF42" s="252">
        <f t="shared" ca="1" si="16"/>
        <v>120.08928571428571</v>
      </c>
      <c r="AG42" s="248">
        <f ca="1">IFERROR(__xludf.DUMMYFUNCTION("IMPORTRANGE(""https://docs.google.com/spreadsheets/d/1BRgc8xKpxZ0PX-gauieMVkV_IOxKSotf0yW8MabGprQ/edit?usp=sharing"",""ร้อยเอ็ด!I369"")"),1200)</f>
        <v>1200</v>
      </c>
      <c r="AH42" s="248">
        <f ca="1">IFERROR(__xludf.DUMMYFUNCTION("IMPORTRANGE(""https://docs.google.com/spreadsheets/d/1BRgc8xKpxZ0PX-gauieMVkV_IOxKSotf0yW8MabGprQ/edit?usp=sharing"",""ร้อยเอ็ด!J368"")"),136)</f>
        <v>136</v>
      </c>
      <c r="AI42" s="248">
        <f ca="1">IFERROR(__xludf.DUMMYFUNCTION("IMPORTRANGE(""https://docs.google.com/spreadsheets/d/1BRgc8xKpxZ0PX-gauieMVkV_IOxKSotf0yW8MabGprQ/edit?usp=sharing"",""ร้อยเอ็ด!J369"")"),897.5)</f>
        <v>897.5</v>
      </c>
      <c r="AJ42" s="252">
        <f t="shared" ca="1" si="46"/>
        <v>74.791666666666671</v>
      </c>
      <c r="AK42" s="248">
        <f ca="1">IFERROR(__xludf.DUMMYFUNCTION("IMPORTRANGE(""https://docs.google.com/spreadsheets/d/1BRgc8xKpxZ0PX-gauieMVkV_IOxKSotf0yW8MabGprQ/edit?usp=sharing"",""ร้อยเอ็ด!I370"")"),120)</f>
        <v>120</v>
      </c>
      <c r="AL42" s="248">
        <f ca="1">IFERROR(__xludf.DUMMYFUNCTION("IMPORTRANGE(""https://docs.google.com/spreadsheets/d/1BRgc8xKpxZ0PX-gauieMVkV_IOxKSotf0yW8MabGprQ/edit?usp=sharing"",""ร้อยเอ็ด!J370"")"),137)</f>
        <v>137</v>
      </c>
      <c r="AM42" s="248">
        <f ca="1">IFERROR(__xludf.DUMMYFUNCTION("IMPORTRANGE(""https://docs.google.com/spreadsheets/d/1BRgc8xKpxZ0PX-gauieMVkV_IOxKSotf0yW8MabGprQ/edit?usp=sharing"",""ร้อยเอ็ด!J371"")"),858.79)</f>
        <v>858.79</v>
      </c>
      <c r="AN42" s="252">
        <f t="shared" ca="1" si="47"/>
        <v>114.16666666666667</v>
      </c>
      <c r="AO42" s="248">
        <f ca="1">IFERROR(__xludf.DUMMYFUNCTION("IMPORTRANGE(""https://docs.google.com/spreadsheets/d/1BRgc8xKpxZ0PX-gauieMVkV_IOxKSotf0yW8MabGprQ/edit?usp=sharing"",""ร้อยเอ็ด!I372"")"),120)</f>
        <v>120</v>
      </c>
      <c r="AP42" s="248">
        <f ca="1">IFERROR(__xludf.DUMMYFUNCTION("IMPORTRANGE(""https://docs.google.com/spreadsheets/d/1BRgc8xKpxZ0PX-gauieMVkV_IOxKSotf0yW8MabGprQ/edit?usp=sharing"",""ร้อยเอ็ด!J372"")"),74)</f>
        <v>74</v>
      </c>
      <c r="AQ42" s="248">
        <f ca="1">IFERROR(__xludf.DUMMYFUNCTION("IMPORTRANGE(""https://docs.google.com/spreadsheets/d/1BRgc8xKpxZ0PX-gauieMVkV_IOxKSotf0yW8MabGprQ/edit?usp=sharing"",""ร้อยเอ็ด!J373"")"),511.5)</f>
        <v>511.5</v>
      </c>
      <c r="AR42" s="252">
        <f t="shared" ca="1" si="48"/>
        <v>61.666666666666664</v>
      </c>
      <c r="AS42" s="248">
        <f ca="1">IFERROR(__xludf.DUMMYFUNCTION("IMPORTRANGE(""https://docs.google.com/spreadsheets/d/1BRgc8xKpxZ0PX-gauieMVkV_IOxKSotf0yW8MabGprQ/edit?usp=sharing"",""ร้อยเอ็ด!I378"")"),5500)</f>
        <v>5500</v>
      </c>
      <c r="AT42" s="248">
        <f ca="1">IFERROR(__xludf.DUMMYFUNCTION("IMPORTRANGE(""https://docs.google.com/spreadsheets/d/1BRgc8xKpxZ0PX-gauieMVkV_IOxKSotf0yW8MabGprQ/edit?usp=sharing"",""ร้อยเอ็ด!J377"")"),555)</f>
        <v>555</v>
      </c>
      <c r="AU42" s="248">
        <f ca="1">IFERROR(__xludf.DUMMYFUNCTION("IMPORTRANGE(""https://docs.google.com/spreadsheets/d/1BRgc8xKpxZ0PX-gauieMVkV_IOxKSotf0yW8MabGprQ/edit?usp=sharing"",""ร้อยเอ็ด!J378"")"),4215.31)</f>
        <v>4215.3100000000004</v>
      </c>
      <c r="AV42" s="252">
        <f t="shared" ca="1" si="49"/>
        <v>76.64200000000001</v>
      </c>
      <c r="AW42" s="248">
        <f ca="1">IFERROR(__xludf.DUMMYFUNCTION("IMPORTRANGE(""https://docs.google.com/spreadsheets/d/1BRgc8xKpxZ0PX-gauieMVkV_IOxKSotf0yW8MabGprQ/edit?usp=sharing"",""ร้อยเอ็ด!I379"")"),1000)</f>
        <v>1000</v>
      </c>
      <c r="AX42" s="248">
        <f ca="1">IFERROR(__xludf.DUMMYFUNCTION("IMPORTRANGE(""https://docs.google.com/spreadsheets/d/1BRgc8xKpxZ0PX-gauieMVkV_IOxKSotf0yW8MabGprQ/edit?usp=sharing"",""ร้อยเอ็ด!J379"")"),1395)</f>
        <v>1395</v>
      </c>
      <c r="AY42" s="248">
        <f ca="1">IFERROR(__xludf.DUMMYFUNCTION("IMPORTRANGE(""https://docs.google.com/spreadsheets/d/1BRgc8xKpxZ0PX-gauieMVkV_IOxKSotf0yW8MabGprQ/edit?usp=sharing"",""ร้อยเอ็ด!J380"")"),13772.08)</f>
        <v>13772.08</v>
      </c>
      <c r="AZ42" s="252">
        <f t="shared" ca="1" si="50"/>
        <v>139.5</v>
      </c>
      <c r="BA42" s="248">
        <f ca="1">IFERROR(__xludf.DUMMYFUNCTION("IMPORTRANGE(""https://docs.google.com/spreadsheets/d/1BRgc8xKpxZ0PX-gauieMVkV_IOxKSotf0yW8MabGprQ/edit?usp=sharing"",""ร้อยเอ็ด!I381"")"),1000)</f>
        <v>1000</v>
      </c>
      <c r="BB42" s="248">
        <f ca="1">IFERROR(__xludf.DUMMYFUNCTION("IMPORTRANGE(""https://docs.google.com/spreadsheets/d/1BRgc8xKpxZ0PX-gauieMVkV_IOxKSotf0yW8MabGprQ/edit?usp=sharing"",""ร้อยเอ็ด!J381"")"),1271)</f>
        <v>1271</v>
      </c>
      <c r="BC42" s="248">
        <f ca="1">IFERROR(__xludf.DUMMYFUNCTION("IMPORTRANGE(""https://docs.google.com/spreadsheets/d/1BRgc8xKpxZ0PX-gauieMVkV_IOxKSotf0yW8MabGprQ/edit?usp=sharing"",""ร้อยเอ็ด!J382"")"),12403.1199999999)</f>
        <v>12403.119999999901</v>
      </c>
      <c r="BD42" s="252">
        <f t="shared" ca="1" si="51"/>
        <v>127.1</v>
      </c>
    </row>
    <row r="43" spans="1:56" ht="21" customHeight="1" x14ac:dyDescent="0.3">
      <c r="A43" s="243">
        <v>12</v>
      </c>
      <c r="B43" s="244" t="s">
        <v>65</v>
      </c>
      <c r="C43" s="245">
        <f t="shared" ca="1" si="0"/>
        <v>1476480</v>
      </c>
      <c r="D43" s="246">
        <f t="shared" ca="1" si="76"/>
        <v>1416480</v>
      </c>
      <c r="E43" s="247">
        <f ca="1">IFERROR(__xludf.DUMMYFUNCTION("IMPORTRANGE(""https://docs.google.com/spreadsheets/d/1MeEWN-I1oV_STSDYn1IFDPWt_1FKiwhDph83XaGc0o0/edit?usp=sharing"",""งบพรบ!EX43"")"),315600)</f>
        <v>315600</v>
      </c>
      <c r="F43" s="247">
        <f ca="1">IFERROR(__xludf.DUMMYFUNCTION("IMPORTRANGE(""https://docs.google.com/spreadsheets/d/1MeEWN-I1oV_STSDYn1IFDPWt_1FKiwhDph83XaGc0o0/edit?usp=sharing"",""งบพรบ!EY43"")"),1100880)</f>
        <v>1100880</v>
      </c>
      <c r="G43" s="247">
        <f ca="1">IFERROR(__xludf.DUMMYFUNCTION("IMPORTRANGE(""https://docs.google.com/spreadsheets/d/1MeEWN-I1oV_STSDYn1IFDPWt_1FKiwhDph83XaGc0o0/edit?usp=sharing"",""งบพรบ!EZ43"")"),60000)</f>
        <v>60000</v>
      </c>
      <c r="H43" s="247">
        <f ca="1">IFERROR(__xludf.DUMMYFUNCTION("IMPORTRANGE(""https://docs.google.com/spreadsheets/d/1MeEWN-I1oV_STSDYn1IFDPWt_1FKiwhDph83XaGc0o0/edit?usp=sharing"",""งบพรบ!FB43"")"),1530980)</f>
        <v>1530980</v>
      </c>
      <c r="I43" s="247">
        <f ca="1">IFERROR(__xludf.DUMMYFUNCTION("IMPORTRANGE(""https://docs.google.com/spreadsheets/d/1MeEWN-I1oV_STSDYn1IFDPWt_1FKiwhDph83XaGc0o0/edit?usp=sharing"",""งบพรบ!FC43"")"),60000)</f>
        <v>60000</v>
      </c>
      <c r="J43" s="247">
        <f t="shared" ca="1" si="3"/>
        <v>1352073.5</v>
      </c>
      <c r="K43" s="253">
        <f t="shared" ca="1" si="4"/>
        <v>91.574115463805811</v>
      </c>
      <c r="L43" s="247">
        <f ca="1">IFERROR(__xludf.DUMMYFUNCTION("IMPORTRANGE(""https://docs.google.com/spreadsheets/d/1MeEWN-I1oV_STSDYn1IFDPWt_1FKiwhDph83XaGc0o0/edit?usp=sharing"",""งบพรบ!FD43"")"),1292073.5)</f>
        <v>1292073.5</v>
      </c>
      <c r="M43" s="250">
        <f t="shared" ca="1" si="5"/>
        <v>91.217207443804355</v>
      </c>
      <c r="N43" s="250">
        <f t="shared" ca="1" si="6"/>
        <v>84.395191315366631</v>
      </c>
      <c r="O43" s="251">
        <f ca="1">IFERROR(__xludf.DUMMYFUNCTION("IMPORTRANGE(""https://docs.google.com/spreadsheets/d/1MeEWN-I1oV_STSDYn1IFDPWt_1FKiwhDph83XaGc0o0/edit?usp=sharing"",""งบพรบ!FE43"")"),60000)</f>
        <v>60000</v>
      </c>
      <c r="P43" s="250">
        <f t="shared" ca="1" si="53"/>
        <v>100</v>
      </c>
      <c r="Q43" s="250">
        <f t="shared" ca="1" si="8"/>
        <v>100</v>
      </c>
      <c r="R43" s="248">
        <f ca="1">IFERROR(__xludf.DUMMYFUNCTION("IMPORTRANGE(""https://docs.google.com/spreadsheets/d/1IdolZc-dfdgMwAm_KZxYJl1sUOcIgnbGQzbWOlddedo/edit?usp=sharing"",""เลย!I359"")"),7550)</f>
        <v>7550</v>
      </c>
      <c r="S43" s="248">
        <f ca="1">IFERROR(__xludf.DUMMYFUNCTION("IMPORTRANGE(""https://docs.google.com/spreadsheets/d/1IdolZc-dfdgMwAm_KZxYJl1sUOcIgnbGQzbWOlddedo/edit?usp=sharing"",""เลย!J358"")"),698)</f>
        <v>698</v>
      </c>
      <c r="T43" s="248">
        <f ca="1">IFERROR(__xludf.DUMMYFUNCTION("IMPORTRANGE(""https://docs.google.com/spreadsheets/d/1IdolZc-dfdgMwAm_KZxYJl1sUOcIgnbGQzbWOlddedo/edit?usp=sharing"",""เลย!J359"")"),6390.23)</f>
        <v>6390.23</v>
      </c>
      <c r="U43" s="252">
        <f t="shared" ca="1" si="43"/>
        <v>84.63880794701987</v>
      </c>
      <c r="V43" s="248">
        <f ca="1">IFERROR(__xludf.DUMMYFUNCTION("IMPORTRANGE(""https://docs.google.com/spreadsheets/d/1IdolZc-dfdgMwAm_KZxYJl1sUOcIgnbGQzbWOlddedo/edit?usp=sharing"",""เลย!I360"")"),755)</f>
        <v>755</v>
      </c>
      <c r="W43" s="248">
        <f ca="1">IFERROR(__xludf.DUMMYFUNCTION("IMPORTRANGE(""https://docs.google.com/spreadsheets/d/1IdolZc-dfdgMwAm_KZxYJl1sUOcIgnbGQzbWOlddedo/edit?usp=sharing"",""เลย!J360"")"),575)</f>
        <v>575</v>
      </c>
      <c r="X43" s="248">
        <f ca="1">IFERROR(__xludf.DUMMYFUNCTION("IMPORTRANGE(""https://docs.google.com/spreadsheets/d/1IdolZc-dfdgMwAm_KZxYJl1sUOcIgnbGQzbWOlddedo/edit?usp=sharing"",""เลย!J361"")"),5060.29)</f>
        <v>5060.29</v>
      </c>
      <c r="Y43" s="252">
        <f t="shared" ca="1" si="44"/>
        <v>76.158940397350989</v>
      </c>
      <c r="Z43" s="248">
        <f ca="1">IFERROR(__xludf.DUMMYFUNCTION("IMPORTRANGE(""https://docs.google.com/spreadsheets/d/1IdolZc-dfdgMwAm_KZxYJl1sUOcIgnbGQzbWOlddedo/edit?usp=sharing"",""เลย!I362"")"),755)</f>
        <v>755</v>
      </c>
      <c r="AA43" s="248">
        <f ca="1">IFERROR(__xludf.DUMMYFUNCTION("IMPORTRANGE(""https://docs.google.com/spreadsheets/d/1IdolZc-dfdgMwAm_KZxYJl1sUOcIgnbGQzbWOlddedo/edit?usp=sharing"",""เลย!J362"")"),573)</f>
        <v>573</v>
      </c>
      <c r="AB43" s="248">
        <f ca="1">IFERROR(__xludf.DUMMYFUNCTION("IMPORTRANGE(""https://docs.google.com/spreadsheets/d/1IdolZc-dfdgMwAm_KZxYJl1sUOcIgnbGQzbWOlddedo/edit?usp=sharing"",""เลย!J363"")"),5058.80999999999)</f>
        <v>5058.8099999999904</v>
      </c>
      <c r="AC43" s="252">
        <f t="shared" ca="1" si="45"/>
        <v>75.894039735099341</v>
      </c>
      <c r="AD43" s="248">
        <f ca="1">IFERROR(__xludf.DUMMYFUNCTION("IMPORTRANGE(""https://docs.google.com/spreadsheets/d/1IdolZc-dfdgMwAm_KZxYJl1sUOcIgnbGQzbWOlddedo/edit?usp=sharing"",""เลย!I364"")"),1155)</f>
        <v>1155</v>
      </c>
      <c r="AE43" s="248">
        <f ca="1">IFERROR(__xludf.DUMMYFUNCTION("IMPORTRANGE(""https://docs.google.com/spreadsheets/d/1IdolZc-dfdgMwAm_KZxYJl1sUOcIgnbGQzbWOlddedo/edit?usp=sharing"",""เลย!J364"")"),1428)</f>
        <v>1428</v>
      </c>
      <c r="AF43" s="252">
        <f t="shared" ca="1" si="16"/>
        <v>123.63636363636364</v>
      </c>
      <c r="AG43" s="248">
        <f ca="1">IFERROR(__xludf.DUMMYFUNCTION("IMPORTRANGE(""https://docs.google.com/spreadsheets/d/1IdolZc-dfdgMwAm_KZxYJl1sUOcIgnbGQzbWOlddedo/edit?usp=sharing"",""เลย!I369"")"),3550)</f>
        <v>3550</v>
      </c>
      <c r="AH43" s="248">
        <f ca="1">IFERROR(__xludf.DUMMYFUNCTION("IMPORTRANGE(""https://docs.google.com/spreadsheets/d/1IdolZc-dfdgMwAm_KZxYJl1sUOcIgnbGQzbWOlddedo/edit?usp=sharing"",""เลย!J368"")"),299)</f>
        <v>299</v>
      </c>
      <c r="AI43" s="248">
        <f ca="1">IFERROR(__xludf.DUMMYFUNCTION("IMPORTRANGE(""https://docs.google.com/spreadsheets/d/1IdolZc-dfdgMwAm_KZxYJl1sUOcIgnbGQzbWOlddedo/edit?usp=sharing"",""เลย!J369"")"),2695.05)</f>
        <v>2695.05</v>
      </c>
      <c r="AJ43" s="252">
        <f t="shared" ca="1" si="46"/>
        <v>75.916901408450698</v>
      </c>
      <c r="AK43" s="248">
        <f ca="1">IFERROR(__xludf.DUMMYFUNCTION("IMPORTRANGE(""https://docs.google.com/spreadsheets/d/1IdolZc-dfdgMwAm_KZxYJl1sUOcIgnbGQzbWOlddedo/edit?usp=sharing"",""เลย!I370"")"),355)</f>
        <v>355</v>
      </c>
      <c r="AL43" s="248">
        <f ca="1">IFERROR(__xludf.DUMMYFUNCTION("IMPORTRANGE(""https://docs.google.com/spreadsheets/d/1IdolZc-dfdgMwAm_KZxYJl1sUOcIgnbGQzbWOlddedo/edit?usp=sharing"",""เลย!J370"")"),182)</f>
        <v>182</v>
      </c>
      <c r="AM43" s="248">
        <f ca="1">IFERROR(__xludf.DUMMYFUNCTION("IMPORTRANGE(""https://docs.google.com/spreadsheets/d/1IdolZc-dfdgMwAm_KZxYJl1sUOcIgnbGQzbWOlddedo/edit?usp=sharing"",""เลย!J371"")"),1448.59)</f>
        <v>1448.59</v>
      </c>
      <c r="AN43" s="252">
        <f t="shared" ca="1" si="47"/>
        <v>51.267605633802816</v>
      </c>
      <c r="AO43" s="248">
        <f ca="1">IFERROR(__xludf.DUMMYFUNCTION("IMPORTRANGE(""https://docs.google.com/spreadsheets/d/1IdolZc-dfdgMwAm_KZxYJl1sUOcIgnbGQzbWOlddedo/edit?usp=sharing"",""เลย!I372"")"),355)</f>
        <v>355</v>
      </c>
      <c r="AP43" s="248">
        <f ca="1">IFERROR(__xludf.DUMMYFUNCTION("IMPORTRANGE(""https://docs.google.com/spreadsheets/d/1IdolZc-dfdgMwAm_KZxYJl1sUOcIgnbGQzbWOlddedo/edit?usp=sharing"",""เลย!J372"")"),183)</f>
        <v>183</v>
      </c>
      <c r="AQ43" s="248">
        <f ca="1">IFERROR(__xludf.DUMMYFUNCTION("IMPORTRANGE(""https://docs.google.com/spreadsheets/d/1IdolZc-dfdgMwAm_KZxYJl1sUOcIgnbGQzbWOlddedo/edit?usp=sharing"",""เลย!J373"")"),1458.65)</f>
        <v>1458.65</v>
      </c>
      <c r="AR43" s="252">
        <f t="shared" ca="1" si="48"/>
        <v>51.549295774647888</v>
      </c>
      <c r="AS43" s="248">
        <f ca="1">IFERROR(__xludf.DUMMYFUNCTION("IMPORTRANGE(""https://docs.google.com/spreadsheets/d/1IdolZc-dfdgMwAm_KZxYJl1sUOcIgnbGQzbWOlddedo/edit?usp=sharing"",""เลย!I378"")"),4000)</f>
        <v>4000</v>
      </c>
      <c r="AT43" s="248">
        <f ca="1">IFERROR(__xludf.DUMMYFUNCTION("IMPORTRANGE(""https://docs.google.com/spreadsheets/d/1IdolZc-dfdgMwAm_KZxYJl1sUOcIgnbGQzbWOlddedo/edit?usp=sharing"",""เลย!J377"")"),399)</f>
        <v>399</v>
      </c>
      <c r="AU43" s="248">
        <f ca="1">IFERROR(__xludf.DUMMYFUNCTION("IMPORTRANGE(""https://docs.google.com/spreadsheets/d/1IdolZc-dfdgMwAm_KZxYJl1sUOcIgnbGQzbWOlddedo/edit?usp=sharing"",""เลย!J378"")"),3695.18)</f>
        <v>3695.18</v>
      </c>
      <c r="AV43" s="252">
        <f t="shared" ca="1" si="49"/>
        <v>92.379499999999993</v>
      </c>
      <c r="AW43" s="248">
        <f ca="1">IFERROR(__xludf.DUMMYFUNCTION("IMPORTRANGE(""https://docs.google.com/spreadsheets/d/1IdolZc-dfdgMwAm_KZxYJl1sUOcIgnbGQzbWOlddedo/edit?usp=sharing"",""เลย!I379"")"),800)</f>
        <v>800</v>
      </c>
      <c r="AX43" s="248">
        <f ca="1">IFERROR(__xludf.DUMMYFUNCTION("IMPORTRANGE(""https://docs.google.com/spreadsheets/d/1IdolZc-dfdgMwAm_KZxYJl1sUOcIgnbGQzbWOlddedo/edit?usp=sharing"",""เลย!J379"")"),1251)</f>
        <v>1251</v>
      </c>
      <c r="AY43" s="248">
        <f ca="1">IFERROR(__xludf.DUMMYFUNCTION("IMPORTRANGE(""https://docs.google.com/spreadsheets/d/1IdolZc-dfdgMwAm_KZxYJl1sUOcIgnbGQzbWOlddedo/edit?usp=sharing"",""เลย!J380"")"),17790.13)</f>
        <v>17790.13</v>
      </c>
      <c r="AZ43" s="252">
        <f t="shared" ca="1" si="50"/>
        <v>156.375</v>
      </c>
      <c r="BA43" s="248">
        <f ca="1">IFERROR(__xludf.DUMMYFUNCTION("IMPORTRANGE(""https://docs.google.com/spreadsheets/d/1IdolZc-dfdgMwAm_KZxYJl1sUOcIgnbGQzbWOlddedo/edit?usp=sharing"",""เลย!I381"")"),800)</f>
        <v>800</v>
      </c>
      <c r="BB43" s="248">
        <f ca="1">IFERROR(__xludf.DUMMYFUNCTION("IMPORTRANGE(""https://docs.google.com/spreadsheets/d/1IdolZc-dfdgMwAm_KZxYJl1sUOcIgnbGQzbWOlddedo/edit?usp=sharing"",""เลย!J381"")"),1245)</f>
        <v>1245</v>
      </c>
      <c r="BC43" s="248">
        <f ca="1">IFERROR(__xludf.DUMMYFUNCTION("IMPORTRANGE(""https://docs.google.com/spreadsheets/d/1IdolZc-dfdgMwAm_KZxYJl1sUOcIgnbGQzbWOlddedo/edit?usp=sharing"",""เลย!J382"")"),17676.07)</f>
        <v>17676.07</v>
      </c>
      <c r="BD43" s="252">
        <f t="shared" ca="1" si="51"/>
        <v>155.625</v>
      </c>
    </row>
    <row r="44" spans="1:56" ht="21" customHeight="1" x14ac:dyDescent="0.3">
      <c r="A44" s="243">
        <v>13</v>
      </c>
      <c r="B44" s="244" t="s">
        <v>66</v>
      </c>
      <c r="C44" s="245">
        <f t="shared" ca="1" si="0"/>
        <v>2297570</v>
      </c>
      <c r="D44" s="246">
        <f t="shared" ca="1" si="76"/>
        <v>2171170</v>
      </c>
      <c r="E44" s="247">
        <f ca="1">IFERROR(__xludf.DUMMYFUNCTION("IMPORTRANGE(""https://docs.google.com/spreadsheets/d/1MeEWN-I1oV_STSDYn1IFDPWt_1FKiwhDph83XaGc0o0/edit?usp=sharing"",""งบพรบ!EX44"")"),517200)</f>
        <v>517200</v>
      </c>
      <c r="F44" s="247">
        <f ca="1">IFERROR(__xludf.DUMMYFUNCTION("IMPORTRANGE(""https://docs.google.com/spreadsheets/d/1MeEWN-I1oV_STSDYn1IFDPWt_1FKiwhDph83XaGc0o0/edit?usp=sharing"",""งบพรบ!EY44"")"),1653970)</f>
        <v>1653970</v>
      </c>
      <c r="G44" s="247">
        <f ca="1">IFERROR(__xludf.DUMMYFUNCTION("IMPORTRANGE(""https://docs.google.com/spreadsheets/d/1MeEWN-I1oV_STSDYn1IFDPWt_1FKiwhDph83XaGc0o0/edit?usp=sharing"",""งบพรบ!EZ44"")"),126400)</f>
        <v>126400</v>
      </c>
      <c r="H44" s="247">
        <f ca="1">IFERROR(__xludf.DUMMYFUNCTION("IMPORTRANGE(""https://docs.google.com/spreadsheets/d/1MeEWN-I1oV_STSDYn1IFDPWt_1FKiwhDph83XaGc0o0/edit?usp=sharing"",""งบพรบ!FB44"")"),2216250)</f>
        <v>2216250</v>
      </c>
      <c r="I44" s="247">
        <f ca="1">IFERROR(__xludf.DUMMYFUNCTION("IMPORTRANGE(""https://docs.google.com/spreadsheets/d/1MeEWN-I1oV_STSDYn1IFDPWt_1FKiwhDph83XaGc0o0/edit?usp=sharing"",""งบพรบ!FC44"")"),125700)</f>
        <v>125700</v>
      </c>
      <c r="J44" s="247">
        <f t="shared" ca="1" si="3"/>
        <v>1789283.59</v>
      </c>
      <c r="K44" s="253">
        <f t="shared" ca="1" si="4"/>
        <v>77.877217669102578</v>
      </c>
      <c r="L44" s="247">
        <f ca="1">IFERROR(__xludf.DUMMYFUNCTION("IMPORTRANGE(""https://docs.google.com/spreadsheets/d/1MeEWN-I1oV_STSDYn1IFDPWt_1FKiwhDph83XaGc0o0/edit?usp=sharing"",""งบพรบ!FD44"")"),1663583.59)</f>
        <v>1663583.59</v>
      </c>
      <c r="M44" s="250">
        <f t="shared" ca="1" si="5"/>
        <v>76.621526181736115</v>
      </c>
      <c r="N44" s="250">
        <f t="shared" ca="1" si="6"/>
        <v>75.062993344613645</v>
      </c>
      <c r="O44" s="251">
        <f ca="1">IFERROR(__xludf.DUMMYFUNCTION("IMPORTRANGE(""https://docs.google.com/spreadsheets/d/1MeEWN-I1oV_STSDYn1IFDPWt_1FKiwhDph83XaGc0o0/edit?usp=sharing"",""งบพรบ!FE44"")"),125700)</f>
        <v>125700</v>
      </c>
      <c r="P44" s="250">
        <f t="shared" ca="1" si="53"/>
        <v>99.446202531645568</v>
      </c>
      <c r="Q44" s="250">
        <f t="shared" ca="1" si="8"/>
        <v>100</v>
      </c>
      <c r="R44" s="248">
        <f ca="1">IFERROR(__xludf.DUMMYFUNCTION("IMPORTRANGE(""https://docs.google.com/spreadsheets/d/1tZ0nmtGuIRCaGAMXHlQU8EpR9LOAJvyKfc4f7EFmE34/edit?usp=sharing"",""ศรีสะเกษ!I359"")"),11120)</f>
        <v>11120</v>
      </c>
      <c r="S44" s="248">
        <f ca="1">IFERROR(__xludf.DUMMYFUNCTION("IMPORTRANGE(""https://docs.google.com/spreadsheets/d/1tZ0nmtGuIRCaGAMXHlQU8EpR9LOAJvyKfc4f7EFmE34/edit?usp=sharing"",""ศรีสะเกษ!J358"")"),1323)</f>
        <v>1323</v>
      </c>
      <c r="T44" s="248">
        <f ca="1">IFERROR(__xludf.DUMMYFUNCTION("IMPORTRANGE(""https://docs.google.com/spreadsheets/d/1tZ0nmtGuIRCaGAMXHlQU8EpR9LOAJvyKfc4f7EFmE34/edit?usp=sharing"",""ศรีสะเกษ!J359"")"),7353.57)</f>
        <v>7353.57</v>
      </c>
      <c r="U44" s="252">
        <f t="shared" ca="1" si="43"/>
        <v>66.129226618705033</v>
      </c>
      <c r="V44" s="248">
        <f ca="1">IFERROR(__xludf.DUMMYFUNCTION("IMPORTRANGE(""https://docs.google.com/spreadsheets/d/1tZ0nmtGuIRCaGAMXHlQU8EpR9LOAJvyKfc4f7EFmE34/edit?usp=sharing"",""ศรีสะเกษ!I360"")"),1112)</f>
        <v>1112</v>
      </c>
      <c r="W44" s="248">
        <f ca="1">IFERROR(__xludf.DUMMYFUNCTION("IMPORTRANGE(""https://docs.google.com/spreadsheets/d/1tZ0nmtGuIRCaGAMXHlQU8EpR9LOAJvyKfc4f7EFmE34/edit?usp=sharing"",""ศรีสะเกษ!J360"")"),1030)</f>
        <v>1030</v>
      </c>
      <c r="X44" s="248">
        <f ca="1">IFERROR(__xludf.DUMMYFUNCTION("IMPORTRANGE(""https://docs.google.com/spreadsheets/d/1tZ0nmtGuIRCaGAMXHlQU8EpR9LOAJvyKfc4f7EFmE34/edit?usp=sharing"",""ศรีสะเกษ!J361"")"),6271.46)</f>
        <v>6271.46</v>
      </c>
      <c r="Y44" s="252">
        <f t="shared" ca="1" si="44"/>
        <v>92.625899280575538</v>
      </c>
      <c r="Z44" s="248">
        <f ca="1">IFERROR(__xludf.DUMMYFUNCTION("IMPORTRANGE(""https://docs.google.com/spreadsheets/d/1tZ0nmtGuIRCaGAMXHlQU8EpR9LOAJvyKfc4f7EFmE34/edit?usp=sharing"",""ศรีสะเกษ!I362"")"),1112)</f>
        <v>1112</v>
      </c>
      <c r="AA44" s="248">
        <f ca="1">IFERROR(__xludf.DUMMYFUNCTION("IMPORTRANGE(""https://docs.google.com/spreadsheets/d/1tZ0nmtGuIRCaGAMXHlQU8EpR9LOAJvyKfc4f7EFmE34/edit?usp=sharing"",""ศรีสะเกษ!J362"")"),273)</f>
        <v>273</v>
      </c>
      <c r="AB44" s="248">
        <f ca="1">IFERROR(__xludf.DUMMYFUNCTION("IMPORTRANGE(""https://docs.google.com/spreadsheets/d/1tZ0nmtGuIRCaGAMXHlQU8EpR9LOAJvyKfc4f7EFmE34/edit?usp=sharing"",""ศรีสะเกษ!J363"")"),1494.29)</f>
        <v>1494.29</v>
      </c>
      <c r="AC44" s="252">
        <f t="shared" ca="1" si="45"/>
        <v>24.550359712230215</v>
      </c>
      <c r="AD44" s="248">
        <f ca="1">IFERROR(__xludf.DUMMYFUNCTION("IMPORTRANGE(""https://docs.google.com/spreadsheets/d/1tZ0nmtGuIRCaGAMXHlQU8EpR9LOAJvyKfc4f7EFmE34/edit?usp=sharing"",""ศรีสะเกษ!I364"")"),2112)</f>
        <v>2112</v>
      </c>
      <c r="AE44" s="248">
        <f ca="1">IFERROR(__xludf.DUMMYFUNCTION("IMPORTRANGE(""https://docs.google.com/spreadsheets/d/1tZ0nmtGuIRCaGAMXHlQU8EpR9LOAJvyKfc4f7EFmE34/edit?usp=sharing"",""ศรีสะเกษ!J364"")"),1269)</f>
        <v>1269</v>
      </c>
      <c r="AF44" s="252">
        <f t="shared" ca="1" si="16"/>
        <v>60.085227272727273</v>
      </c>
      <c r="AG44" s="248">
        <f ca="1">IFERROR(__xludf.DUMMYFUNCTION("IMPORTRANGE(""https://docs.google.com/spreadsheets/d/1tZ0nmtGuIRCaGAMXHlQU8EpR9LOAJvyKfc4f7EFmE34/edit?usp=sharing"",""ศรีสะเกษ!I369"")"),3120)</f>
        <v>3120</v>
      </c>
      <c r="AH44" s="248">
        <f ca="1">IFERROR(__xludf.DUMMYFUNCTION("IMPORTRANGE(""https://docs.google.com/spreadsheets/d/1tZ0nmtGuIRCaGAMXHlQU8EpR9LOAJvyKfc4f7EFmE34/edit?usp=sharing"",""ศรีสะเกษ!J368"")"),604)</f>
        <v>604</v>
      </c>
      <c r="AI44" s="248">
        <f ca="1">IFERROR(__xludf.DUMMYFUNCTION("IMPORTRANGE(""https://docs.google.com/spreadsheets/d/1tZ0nmtGuIRCaGAMXHlQU8EpR9LOAJvyKfc4f7EFmE34/edit?usp=sharing"",""ศรีสะเกษ!J369"")"),3136.68)</f>
        <v>3136.68</v>
      </c>
      <c r="AJ44" s="252">
        <f t="shared" ca="1" si="46"/>
        <v>100.53461538461538</v>
      </c>
      <c r="AK44" s="248">
        <f ca="1">IFERROR(__xludf.DUMMYFUNCTION("IMPORTRANGE(""https://docs.google.com/spreadsheets/d/1tZ0nmtGuIRCaGAMXHlQU8EpR9LOAJvyKfc4f7EFmE34/edit?usp=sharing"",""ศรีสะเกษ!I370"")"),312)</f>
        <v>312</v>
      </c>
      <c r="AL44" s="248">
        <f ca="1">IFERROR(__xludf.DUMMYFUNCTION("IMPORTRANGE(""https://docs.google.com/spreadsheets/d/1tZ0nmtGuIRCaGAMXHlQU8EpR9LOAJvyKfc4f7EFmE34/edit?usp=sharing"",""ศรีสะเกษ!J370"")"),323)</f>
        <v>323</v>
      </c>
      <c r="AM44" s="248">
        <f ca="1">IFERROR(__xludf.DUMMYFUNCTION("IMPORTRANGE(""https://docs.google.com/spreadsheets/d/1tZ0nmtGuIRCaGAMXHlQU8EpR9LOAJvyKfc4f7EFmE34/edit?usp=sharing"",""ศรีสะเกษ!J371"")"),2143.33)</f>
        <v>2143.33</v>
      </c>
      <c r="AN44" s="252">
        <f t="shared" ca="1" si="47"/>
        <v>103.52564102564102</v>
      </c>
      <c r="AO44" s="248">
        <f ca="1">IFERROR(__xludf.DUMMYFUNCTION("IMPORTRANGE(""https://docs.google.com/spreadsheets/d/1tZ0nmtGuIRCaGAMXHlQU8EpR9LOAJvyKfc4f7EFmE34/edit?usp=sharing"",""ศรีสะเกษ!I372"")"),312)</f>
        <v>312</v>
      </c>
      <c r="AP44" s="248">
        <f ca="1">IFERROR(__xludf.DUMMYFUNCTION("IMPORTRANGE(""https://docs.google.com/spreadsheets/d/1tZ0nmtGuIRCaGAMXHlQU8EpR9LOAJvyKfc4f7EFmE34/edit?usp=sharing"",""ศรีสะเกษ!J372"")"),190)</f>
        <v>190</v>
      </c>
      <c r="AQ44" s="248">
        <f ca="1">IFERROR(__xludf.DUMMYFUNCTION("IMPORTRANGE(""https://docs.google.com/spreadsheets/d/1tZ0nmtGuIRCaGAMXHlQU8EpR9LOAJvyKfc4f7EFmE34/edit?usp=sharing"",""ศรีสะเกษ!J373"")"),1010.38)</f>
        <v>1010.38</v>
      </c>
      <c r="AR44" s="252">
        <f t="shared" ca="1" si="48"/>
        <v>60.897435897435898</v>
      </c>
      <c r="AS44" s="248">
        <f ca="1">IFERROR(__xludf.DUMMYFUNCTION("IMPORTRANGE(""https://docs.google.com/spreadsheets/d/1tZ0nmtGuIRCaGAMXHlQU8EpR9LOAJvyKfc4f7EFmE34/edit?usp=sharing"",""ศรีสะเกษ!I378"")"),8000)</f>
        <v>8000</v>
      </c>
      <c r="AT44" s="248">
        <f ca="1">IFERROR(__xludf.DUMMYFUNCTION("IMPORTRANGE(""https://docs.google.com/spreadsheets/d/1tZ0nmtGuIRCaGAMXHlQU8EpR9LOAJvyKfc4f7EFmE34/edit?usp=sharing"",""ศรีสะเกษ!J377"")"),719)</f>
        <v>719</v>
      </c>
      <c r="AU44" s="248">
        <f ca="1">IFERROR(__xludf.DUMMYFUNCTION("IMPORTRANGE(""https://docs.google.com/spreadsheets/d/1tZ0nmtGuIRCaGAMXHlQU8EpR9LOAJvyKfc4f7EFmE34/edit?usp=sharing"",""ศรีสะเกษ!J378"")"),4216.89)</f>
        <v>4216.8900000000003</v>
      </c>
      <c r="AV44" s="252">
        <f t="shared" ca="1" si="49"/>
        <v>52.71112500000001</v>
      </c>
      <c r="AW44" s="248">
        <f ca="1">IFERROR(__xludf.DUMMYFUNCTION("IMPORTRANGE(""https://docs.google.com/spreadsheets/d/1tZ0nmtGuIRCaGAMXHlQU8EpR9LOAJvyKfc4f7EFmE34/edit?usp=sharing"",""ศรีสะเกษ!I379"")"),1800)</f>
        <v>1800</v>
      </c>
      <c r="AX44" s="248">
        <f ca="1">IFERROR(__xludf.DUMMYFUNCTION("IMPORTRANGE(""https://docs.google.com/spreadsheets/d/1tZ0nmtGuIRCaGAMXHlQU8EpR9LOAJvyKfc4f7EFmE34/edit?usp=sharing"",""ศรีสะเกษ!J379"")"),1706)</f>
        <v>1706</v>
      </c>
      <c r="AY44" s="248">
        <f ca="1">IFERROR(__xludf.DUMMYFUNCTION("IMPORTRANGE(""https://docs.google.com/spreadsheets/d/1tZ0nmtGuIRCaGAMXHlQU8EpR9LOAJvyKfc4f7EFmE34/edit?usp=sharing"",""ศรีสะเกษ!J380"")"),12101.52)</f>
        <v>12101.52</v>
      </c>
      <c r="AZ44" s="252">
        <f t="shared" ca="1" si="50"/>
        <v>94.777777777777771</v>
      </c>
      <c r="BA44" s="248">
        <f ca="1">IFERROR(__xludf.DUMMYFUNCTION("IMPORTRANGE(""https://docs.google.com/spreadsheets/d/1tZ0nmtGuIRCaGAMXHlQU8EpR9LOAJvyKfc4f7EFmE34/edit?usp=sharing"",""ศรีสะเกษ!I381"")"),1800)</f>
        <v>1800</v>
      </c>
      <c r="BB44" s="248">
        <f ca="1">IFERROR(__xludf.DUMMYFUNCTION("IMPORTRANGE(""https://docs.google.com/spreadsheets/d/1tZ0nmtGuIRCaGAMXHlQU8EpR9LOAJvyKfc4f7EFmE34/edit?usp=sharing"",""ศรีสะเกษ!J381"")"),1079)</f>
        <v>1079</v>
      </c>
      <c r="BC44" s="248">
        <f ca="1">IFERROR(__xludf.DUMMYFUNCTION("IMPORTRANGE(""https://docs.google.com/spreadsheets/d/1tZ0nmtGuIRCaGAMXHlQU8EpR9LOAJvyKfc4f7EFmE34/edit?usp=sharing"",""ศรีสะเกษ!J382"")"),8396.79)</f>
        <v>8396.7900000000009</v>
      </c>
      <c r="BD44" s="252">
        <f t="shared" ca="1" si="51"/>
        <v>59.944444444444443</v>
      </c>
    </row>
    <row r="45" spans="1:56" ht="21" customHeight="1" x14ac:dyDescent="0.3">
      <c r="A45" s="243">
        <v>14</v>
      </c>
      <c r="B45" s="244" t="s">
        <v>67</v>
      </c>
      <c r="C45" s="245">
        <f t="shared" ca="1" si="0"/>
        <v>1645500</v>
      </c>
      <c r="D45" s="246">
        <f t="shared" ca="1" si="76"/>
        <v>1523900</v>
      </c>
      <c r="E45" s="247">
        <f ca="1">IFERROR(__xludf.DUMMYFUNCTION("IMPORTRANGE(""https://docs.google.com/spreadsheets/d/1MeEWN-I1oV_STSDYn1IFDPWt_1FKiwhDph83XaGc0o0/edit?usp=sharing"",""งบพรบ!EX45"")"),87600)</f>
        <v>87600</v>
      </c>
      <c r="F45" s="247">
        <f ca="1">IFERROR(__xludf.DUMMYFUNCTION("IMPORTRANGE(""https://docs.google.com/spreadsheets/d/1MeEWN-I1oV_STSDYn1IFDPWt_1FKiwhDph83XaGc0o0/edit?usp=sharing"",""งบพรบ!EY45"")"),1436300)</f>
        <v>1436300</v>
      </c>
      <c r="G45" s="247">
        <f ca="1">IFERROR(__xludf.DUMMYFUNCTION("IMPORTRANGE(""https://docs.google.com/spreadsheets/d/1MeEWN-I1oV_STSDYn1IFDPWt_1FKiwhDph83XaGc0o0/edit?usp=sharing"",""งบพรบ!EZ45"")"),121600)</f>
        <v>121600</v>
      </c>
      <c r="H45" s="247">
        <f ca="1">IFERROR(__xludf.DUMMYFUNCTION("IMPORTRANGE(""https://docs.google.com/spreadsheets/d/1MeEWN-I1oV_STSDYn1IFDPWt_1FKiwhDph83XaGc0o0/edit?usp=sharing"",""งบพรบ!FB45"")"),1599780)</f>
        <v>1599780</v>
      </c>
      <c r="I45" s="247">
        <f ca="1">IFERROR(__xludf.DUMMYFUNCTION("IMPORTRANGE(""https://docs.google.com/spreadsheets/d/1MeEWN-I1oV_STSDYn1IFDPWt_1FKiwhDph83XaGc0o0/edit?usp=sharing"",""งบพรบ!FC45"")"),121600)</f>
        <v>121600</v>
      </c>
      <c r="J45" s="247">
        <f t="shared" ca="1" si="3"/>
        <v>1511007.62</v>
      </c>
      <c r="K45" s="253">
        <f t="shared" ca="1" si="4"/>
        <v>91.826655727742335</v>
      </c>
      <c r="L45" s="247">
        <f ca="1">IFERROR(__xludf.DUMMYFUNCTION("IMPORTRANGE(""https://docs.google.com/spreadsheets/d/1MeEWN-I1oV_STSDYn1IFDPWt_1FKiwhDph83XaGc0o0/edit?usp=sharing"",""งบพรบ!FD45"")"),1389407.62)</f>
        <v>1389407.62</v>
      </c>
      <c r="M45" s="250">
        <f t="shared" ca="1" si="5"/>
        <v>91.174461578843761</v>
      </c>
      <c r="N45" s="250">
        <f t="shared" ca="1" si="6"/>
        <v>86.849918113740642</v>
      </c>
      <c r="O45" s="251">
        <f ca="1">IFERROR(__xludf.DUMMYFUNCTION("IMPORTRANGE(""https://docs.google.com/spreadsheets/d/1MeEWN-I1oV_STSDYn1IFDPWt_1FKiwhDph83XaGc0o0/edit?usp=sharing"",""งบพรบ!FE45"")"),121600)</f>
        <v>121600</v>
      </c>
      <c r="P45" s="250">
        <f t="shared" ca="1" si="53"/>
        <v>100</v>
      </c>
      <c r="Q45" s="250">
        <f t="shared" ca="1" si="8"/>
        <v>100</v>
      </c>
      <c r="R45" s="248">
        <f ca="1">IFERROR(__xludf.DUMMYFUNCTION("IMPORTRANGE(""https://docs.google.com/spreadsheets/d/1QC8psz9w0f9IVE9Xuc2FT_btkaOzZbbUSgYObpBuetM/edit?usp=sharing"",""สกลนคร!I359"")"),10400)</f>
        <v>10400</v>
      </c>
      <c r="S45" s="248">
        <f ca="1">IFERROR(__xludf.DUMMYFUNCTION("IMPORTRANGE(""https://docs.google.com/spreadsheets/d/1QC8psz9w0f9IVE9Xuc2FT_btkaOzZbbUSgYObpBuetM/edit?usp=sharing"",""สกลนคร!J358"")"),1266)</f>
        <v>1266</v>
      </c>
      <c r="T45" s="248">
        <f ca="1">IFERROR(__xludf.DUMMYFUNCTION("IMPORTRANGE(""https://docs.google.com/spreadsheets/d/1QC8psz9w0f9IVE9Xuc2FT_btkaOzZbbUSgYObpBuetM/edit?usp=sharing"",""สกลนคร!J359"")"),10667.33)</f>
        <v>10667.33</v>
      </c>
      <c r="U45" s="252">
        <f t="shared" ca="1" si="43"/>
        <v>102.57048076923077</v>
      </c>
      <c r="V45" s="248">
        <f ca="1">IFERROR(__xludf.DUMMYFUNCTION("IMPORTRANGE(""https://docs.google.com/spreadsheets/d/1QC8psz9w0f9IVE9Xuc2FT_btkaOzZbbUSgYObpBuetM/edit?usp=sharing"",""สกลนคร!I360"")"),840)</f>
        <v>840</v>
      </c>
      <c r="W45" s="248">
        <f ca="1">IFERROR(__xludf.DUMMYFUNCTION("IMPORTRANGE(""https://docs.google.com/spreadsheets/d/1QC8psz9w0f9IVE9Xuc2FT_btkaOzZbbUSgYObpBuetM/edit?usp=sharing"",""สกลนคร!J360"")"),1227)</f>
        <v>1227</v>
      </c>
      <c r="X45" s="248">
        <f ca="1">IFERROR(__xludf.DUMMYFUNCTION("IMPORTRANGE(""https://docs.google.com/spreadsheets/d/1QC8psz9w0f9IVE9Xuc2FT_btkaOzZbbUSgYObpBuetM/edit?usp=sharing"",""สกลนคร!J361"")"),9439.11999999999)</f>
        <v>9439.1199999999899</v>
      </c>
      <c r="Y45" s="252">
        <f t="shared" ca="1" si="44"/>
        <v>146.07142857142858</v>
      </c>
      <c r="Z45" s="248">
        <f ca="1">IFERROR(__xludf.DUMMYFUNCTION("IMPORTRANGE(""https://docs.google.com/spreadsheets/d/1QC8psz9w0f9IVE9Xuc2FT_btkaOzZbbUSgYObpBuetM/edit?usp=sharing"",""สกลนคร!I362"")"),840)</f>
        <v>840</v>
      </c>
      <c r="AA45" s="248">
        <f ca="1">IFERROR(__xludf.DUMMYFUNCTION("IMPORTRANGE(""https://docs.google.com/spreadsheets/d/1QC8psz9w0f9IVE9Xuc2FT_btkaOzZbbUSgYObpBuetM/edit?usp=sharing"",""สกลนคร!J362"")"),551)</f>
        <v>551</v>
      </c>
      <c r="AB45" s="248">
        <f ca="1">IFERROR(__xludf.DUMMYFUNCTION("IMPORTRANGE(""https://docs.google.com/spreadsheets/d/1QC8psz9w0f9IVE9Xuc2FT_btkaOzZbbUSgYObpBuetM/edit?usp=sharing"",""สกลนคร!J363"")"),4114.64)</f>
        <v>4114.6400000000003</v>
      </c>
      <c r="AC45" s="252">
        <f t="shared" ca="1" si="45"/>
        <v>65.595238095238102</v>
      </c>
      <c r="AD45" s="248">
        <f ca="1">IFERROR(__xludf.DUMMYFUNCTION("IMPORTRANGE(""https://docs.google.com/spreadsheets/d/1QC8psz9w0f9IVE9Xuc2FT_btkaOzZbbUSgYObpBuetM/edit?usp=sharing"",""สกลนคร!I364"")"),1890)</f>
        <v>1890</v>
      </c>
      <c r="AE45" s="248">
        <f ca="1">IFERROR(__xludf.DUMMYFUNCTION("IMPORTRANGE(""https://docs.google.com/spreadsheets/d/1QC8psz9w0f9IVE9Xuc2FT_btkaOzZbbUSgYObpBuetM/edit?usp=sharing"",""สกลนคร!J364"")"),1466)</f>
        <v>1466</v>
      </c>
      <c r="AF45" s="252">
        <f t="shared" ca="1" si="16"/>
        <v>77.56613756613757</v>
      </c>
      <c r="AG45" s="248">
        <f ca="1">IFERROR(__xludf.DUMMYFUNCTION("IMPORTRANGE(""https://docs.google.com/spreadsheets/d/1QC8psz9w0f9IVE9Xuc2FT_btkaOzZbbUSgYObpBuetM/edit?usp=sharing"",""สกลนคร!I369"")"),3700)</f>
        <v>3700</v>
      </c>
      <c r="AH45" s="248">
        <f ca="1">IFERROR(__xludf.DUMMYFUNCTION("IMPORTRANGE(""https://docs.google.com/spreadsheets/d/1QC8psz9w0f9IVE9Xuc2FT_btkaOzZbbUSgYObpBuetM/edit?usp=sharing"",""สกลนคร!J368"")"),356)</f>
        <v>356</v>
      </c>
      <c r="AI45" s="248">
        <f ca="1">IFERROR(__xludf.DUMMYFUNCTION("IMPORTRANGE(""https://docs.google.com/spreadsheets/d/1QC8psz9w0f9IVE9Xuc2FT_btkaOzZbbUSgYObpBuetM/edit?usp=sharing"",""สกลนคร!J369"")"),4010.57)</f>
        <v>4010.57</v>
      </c>
      <c r="AJ45" s="252">
        <f t="shared" ca="1" si="46"/>
        <v>108.39378378378379</v>
      </c>
      <c r="AK45" s="248">
        <f ca="1">IFERROR(__xludf.DUMMYFUNCTION("IMPORTRANGE(""https://docs.google.com/spreadsheets/d/1QC8psz9w0f9IVE9Xuc2FT_btkaOzZbbUSgYObpBuetM/edit?usp=sharing"",""สกลนคร!I370"")"),370)</f>
        <v>370</v>
      </c>
      <c r="AL45" s="248">
        <f ca="1">IFERROR(__xludf.DUMMYFUNCTION("IMPORTRANGE(""https://docs.google.com/spreadsheets/d/1QC8psz9w0f9IVE9Xuc2FT_btkaOzZbbUSgYObpBuetM/edit?usp=sharing"",""สกลนคร!J370"")"),345)</f>
        <v>345</v>
      </c>
      <c r="AM45" s="248">
        <f ca="1">IFERROR(__xludf.DUMMYFUNCTION("IMPORTRANGE(""https://docs.google.com/spreadsheets/d/1QC8psz9w0f9IVE9Xuc2FT_btkaOzZbbUSgYObpBuetM/edit?usp=sharing"",""สกลนคร!J371"")"),2947.34)</f>
        <v>2947.34</v>
      </c>
      <c r="AN45" s="252">
        <f t="shared" ca="1" si="47"/>
        <v>93.243243243243242</v>
      </c>
      <c r="AO45" s="248">
        <f ca="1">IFERROR(__xludf.DUMMYFUNCTION("IMPORTRANGE(""https://docs.google.com/spreadsheets/d/1QC8psz9w0f9IVE9Xuc2FT_btkaOzZbbUSgYObpBuetM/edit?usp=sharing"",""สกลนคร!I372"")"),370)</f>
        <v>370</v>
      </c>
      <c r="AP45" s="248">
        <f ca="1">IFERROR(__xludf.DUMMYFUNCTION("IMPORTRANGE(""https://docs.google.com/spreadsheets/d/1QC8psz9w0f9IVE9Xuc2FT_btkaOzZbbUSgYObpBuetM/edit?usp=sharing"",""สกลนคร!J372"")"),117)</f>
        <v>117</v>
      </c>
      <c r="AQ45" s="248">
        <f ca="1">IFERROR(__xludf.DUMMYFUNCTION("IMPORTRANGE(""https://docs.google.com/spreadsheets/d/1QC8psz9w0f9IVE9Xuc2FT_btkaOzZbbUSgYObpBuetM/edit?usp=sharing"",""สกลนคร!J373"")"),1033.26)</f>
        <v>1033.26</v>
      </c>
      <c r="AR45" s="252">
        <f t="shared" ca="1" si="48"/>
        <v>31.621621621621621</v>
      </c>
      <c r="AS45" s="248">
        <f ca="1">IFERROR(__xludf.DUMMYFUNCTION("IMPORTRANGE(""https://docs.google.com/spreadsheets/d/1QC8psz9w0f9IVE9Xuc2FT_btkaOzZbbUSgYObpBuetM/edit?usp=sharing"",""สกลนคร!I378"")"),6700)</f>
        <v>6700</v>
      </c>
      <c r="AT45" s="248">
        <f ca="1">IFERROR(__xludf.DUMMYFUNCTION("IMPORTRANGE(""https://docs.google.com/spreadsheets/d/1QC8psz9w0f9IVE9Xuc2FT_btkaOzZbbUSgYObpBuetM/edit?usp=sharing"",""สกลนคร!J377"")"),910)</f>
        <v>910</v>
      </c>
      <c r="AU45" s="248">
        <f ca="1">IFERROR(__xludf.DUMMYFUNCTION("IMPORTRANGE(""https://docs.google.com/spreadsheets/d/1QC8psz9w0f9IVE9Xuc2FT_btkaOzZbbUSgYObpBuetM/edit?usp=sharing"",""สกลนคร!J378"")"),6656.76)</f>
        <v>6656.76</v>
      </c>
      <c r="AV45" s="252">
        <f t="shared" ca="1" si="49"/>
        <v>99.354626865671648</v>
      </c>
      <c r="AW45" s="248">
        <f ca="1">IFERROR(__xludf.DUMMYFUNCTION("IMPORTRANGE(""https://docs.google.com/spreadsheets/d/1QC8psz9w0f9IVE9Xuc2FT_btkaOzZbbUSgYObpBuetM/edit?usp=sharing"",""สกลนคร!I379"")"),1520)</f>
        <v>1520</v>
      </c>
      <c r="AX45" s="248">
        <f ca="1">IFERROR(__xludf.DUMMYFUNCTION("IMPORTRANGE(""https://docs.google.com/spreadsheets/d/1QC8psz9w0f9IVE9Xuc2FT_btkaOzZbbUSgYObpBuetM/edit?usp=sharing"",""สกลนคร!J379"")"),1895)</f>
        <v>1895</v>
      </c>
      <c r="AY45" s="248">
        <f ca="1">IFERROR(__xludf.DUMMYFUNCTION("IMPORTRANGE(""https://docs.google.com/spreadsheets/d/1QC8psz9w0f9IVE9Xuc2FT_btkaOzZbbUSgYObpBuetM/edit?usp=sharing"",""สกลนคร!J380"")"),18520.35)</f>
        <v>18520.349999999999</v>
      </c>
      <c r="AZ45" s="252">
        <f t="shared" ca="1" si="50"/>
        <v>124.67105263157895</v>
      </c>
      <c r="BA45" s="248">
        <f ca="1">IFERROR(__xludf.DUMMYFUNCTION("IMPORTRANGE(""https://docs.google.com/spreadsheets/d/1QC8psz9w0f9IVE9Xuc2FT_btkaOzZbbUSgYObpBuetM/edit?usp=sharing"",""สกลนคร!I381"")"),1520)</f>
        <v>1520</v>
      </c>
      <c r="BB45" s="248">
        <f ca="1">IFERROR(__xludf.DUMMYFUNCTION("IMPORTRANGE(""https://docs.google.com/spreadsheets/d/1QC8psz9w0f9IVE9Xuc2FT_btkaOzZbbUSgYObpBuetM/edit?usp=sharing"",""สกลนคร!J381"")"),1349)</f>
        <v>1349</v>
      </c>
      <c r="BC45" s="248">
        <f ca="1">IFERROR(__xludf.DUMMYFUNCTION("IMPORTRANGE(""https://docs.google.com/spreadsheets/d/1QC8psz9w0f9IVE9Xuc2FT_btkaOzZbbUSgYObpBuetM/edit?usp=sharing"",""สกลนคร!J382"")"),13921.45)</f>
        <v>13921.45</v>
      </c>
      <c r="BD45" s="252">
        <f t="shared" ca="1" si="51"/>
        <v>88.75</v>
      </c>
    </row>
    <row r="46" spans="1:56" ht="21" customHeight="1" x14ac:dyDescent="0.3">
      <c r="A46" s="243">
        <v>15</v>
      </c>
      <c r="B46" s="244" t="s">
        <v>68</v>
      </c>
      <c r="C46" s="245">
        <f t="shared" ca="1" si="0"/>
        <v>2144960</v>
      </c>
      <c r="D46" s="246">
        <f t="shared" ca="1" si="76"/>
        <v>1977760</v>
      </c>
      <c r="E46" s="247">
        <f ca="1">IFERROR(__xludf.DUMMYFUNCTION("IMPORTRANGE(""https://docs.google.com/spreadsheets/d/1MeEWN-I1oV_STSDYn1IFDPWt_1FKiwhDph83XaGc0o0/edit?usp=sharing"",""งบพรบ!EX46"")"),429600)</f>
        <v>429600</v>
      </c>
      <c r="F46" s="247">
        <f ca="1">IFERROR(__xludf.DUMMYFUNCTION("IMPORTRANGE(""https://docs.google.com/spreadsheets/d/1MeEWN-I1oV_STSDYn1IFDPWt_1FKiwhDph83XaGc0o0/edit?usp=sharing"",""งบพรบ!EY46"")"),1548160)</f>
        <v>1548160</v>
      </c>
      <c r="G46" s="247">
        <f ca="1">IFERROR(__xludf.DUMMYFUNCTION("IMPORTRANGE(""https://docs.google.com/spreadsheets/d/1MeEWN-I1oV_STSDYn1IFDPWt_1FKiwhDph83XaGc0o0/edit?usp=sharing"",""งบพรบ!EZ46"")"),167200)</f>
        <v>167200</v>
      </c>
      <c r="H46" s="247">
        <f ca="1">IFERROR(__xludf.DUMMYFUNCTION("IMPORTRANGE(""https://docs.google.com/spreadsheets/d/1MeEWN-I1oV_STSDYn1IFDPWt_1FKiwhDph83XaGc0o0/edit?usp=sharing"",""งบพรบ!FB46"")"),2148316)</f>
        <v>2148316</v>
      </c>
      <c r="I46" s="247">
        <f ca="1">IFERROR(__xludf.DUMMYFUNCTION("IMPORTRANGE(""https://docs.google.com/spreadsheets/d/1MeEWN-I1oV_STSDYn1IFDPWt_1FKiwhDph83XaGc0o0/edit?usp=sharing"",""งบพรบ!FC46"")"),165020)</f>
        <v>165020</v>
      </c>
      <c r="J46" s="247">
        <f t="shared" ca="1" si="3"/>
        <v>2089694.6</v>
      </c>
      <c r="K46" s="253">
        <f t="shared" ca="1" si="4"/>
        <v>97.423476428464866</v>
      </c>
      <c r="L46" s="247">
        <f ca="1">IFERROR(__xludf.DUMMYFUNCTION("IMPORTRANGE(""https://docs.google.com/spreadsheets/d/1MeEWN-I1oV_STSDYn1IFDPWt_1FKiwhDph83XaGc0o0/edit?usp=sharing"",""งบพรบ!FD46"")"),1924674.6)</f>
        <v>1924674.6</v>
      </c>
      <c r="M46" s="250">
        <f t="shared" ca="1" si="5"/>
        <v>97.315882614675189</v>
      </c>
      <c r="N46" s="250">
        <f t="shared" ca="1" si="6"/>
        <v>89.58992066344058</v>
      </c>
      <c r="O46" s="251">
        <f ca="1">IFERROR(__xludf.DUMMYFUNCTION("IMPORTRANGE(""https://docs.google.com/spreadsheets/d/1MeEWN-I1oV_STSDYn1IFDPWt_1FKiwhDph83XaGc0o0/edit?usp=sharing"",""งบพรบ!FE46"")"),165020)</f>
        <v>165020</v>
      </c>
      <c r="P46" s="250">
        <f t="shared" ca="1" si="53"/>
        <v>98.696172248803833</v>
      </c>
      <c r="Q46" s="250">
        <f t="shared" ca="1" si="8"/>
        <v>100</v>
      </c>
      <c r="R46" s="248">
        <f ca="1">IFERROR(__xludf.DUMMYFUNCTION("IMPORTRANGE(""https://docs.google.com/spreadsheets/d/1wPdvRbu02d33MYVlbsCnyTiZpefEBs9NNktAnT1HZvw/edit?usp=sharing"",""สุรินทร์!I359"")"),10000)</f>
        <v>10000</v>
      </c>
      <c r="S46" s="248">
        <f ca="1">IFERROR(__xludf.DUMMYFUNCTION("IMPORTRANGE(""https://docs.google.com/spreadsheets/d/1wPdvRbu02d33MYVlbsCnyTiZpefEBs9NNktAnT1HZvw/edit?usp=sharing"",""สุรินทร์!J358"")"),1137)</f>
        <v>1137</v>
      </c>
      <c r="T46" s="248">
        <f ca="1">IFERROR(__xludf.DUMMYFUNCTION("IMPORTRANGE(""https://docs.google.com/spreadsheets/d/1wPdvRbu02d33MYVlbsCnyTiZpefEBs9NNktAnT1HZvw/edit?usp=sharing"",""สุรินทร์!J359"")"),7410.13)</f>
        <v>7410.13</v>
      </c>
      <c r="U46" s="252">
        <f t="shared" ca="1" si="43"/>
        <v>74.101299999999995</v>
      </c>
      <c r="V46" s="248">
        <f ca="1">IFERROR(__xludf.DUMMYFUNCTION("IMPORTRANGE(""https://docs.google.com/spreadsheets/d/1wPdvRbu02d33MYVlbsCnyTiZpefEBs9NNktAnT1HZvw/edit?usp=sharing"",""สุรินทร์!I360"")"),1000)</f>
        <v>1000</v>
      </c>
      <c r="W46" s="248">
        <f ca="1">IFERROR(__xludf.DUMMYFUNCTION("IMPORTRANGE(""https://docs.google.com/spreadsheets/d/1wPdvRbu02d33MYVlbsCnyTiZpefEBs9NNktAnT1HZvw/edit?usp=sharing"",""สุรินทร์!J360"")"),1016)</f>
        <v>1016</v>
      </c>
      <c r="X46" s="248">
        <f ca="1">IFERROR(__xludf.DUMMYFUNCTION("IMPORTRANGE(""https://docs.google.com/spreadsheets/d/1wPdvRbu02d33MYVlbsCnyTiZpefEBs9NNktAnT1HZvw/edit?usp=sharing"",""สุรินทร์!J361"")"),6281.65)</f>
        <v>6281.65</v>
      </c>
      <c r="Y46" s="252">
        <f t="shared" ca="1" si="44"/>
        <v>101.6</v>
      </c>
      <c r="Z46" s="248">
        <f ca="1">IFERROR(__xludf.DUMMYFUNCTION("IMPORTRANGE(""https://docs.google.com/spreadsheets/d/1wPdvRbu02d33MYVlbsCnyTiZpefEBs9NNktAnT1HZvw/edit?usp=sharing"",""สุรินทร์!I362"")"),1000)</f>
        <v>1000</v>
      </c>
      <c r="AA46" s="248">
        <f ca="1">IFERROR(__xludf.DUMMYFUNCTION("IMPORTRANGE(""https://docs.google.com/spreadsheets/d/1wPdvRbu02d33MYVlbsCnyTiZpefEBs9NNktAnT1HZvw/edit?usp=sharing"",""สุรินทร์!J362"")"),652)</f>
        <v>652</v>
      </c>
      <c r="AB46" s="248">
        <f ca="1">IFERROR(__xludf.DUMMYFUNCTION("IMPORTRANGE(""https://docs.google.com/spreadsheets/d/1wPdvRbu02d33MYVlbsCnyTiZpefEBs9NNktAnT1HZvw/edit?usp=sharing"",""สุรินทร์!J363"")"),3986.39999999999)</f>
        <v>3986.3999999999901</v>
      </c>
      <c r="AC46" s="252">
        <f t="shared" ca="1" si="45"/>
        <v>65.2</v>
      </c>
      <c r="AD46" s="248">
        <f ca="1">IFERROR(__xludf.DUMMYFUNCTION("IMPORTRANGE(""https://docs.google.com/spreadsheets/d/1wPdvRbu02d33MYVlbsCnyTiZpefEBs9NNktAnT1HZvw/edit?usp=sharing"",""สุรินทร์!I364"")"),2200)</f>
        <v>2200</v>
      </c>
      <c r="AE46" s="248">
        <f ca="1">IFERROR(__xludf.DUMMYFUNCTION("IMPORTRANGE(""https://docs.google.com/spreadsheets/d/1wPdvRbu02d33MYVlbsCnyTiZpefEBs9NNktAnT1HZvw/edit?usp=sharing"",""สุรินทร์!J364"")"),1379)</f>
        <v>1379</v>
      </c>
      <c r="AF46" s="252">
        <f t="shared" ca="1" si="16"/>
        <v>62.68181818181818</v>
      </c>
      <c r="AG46" s="248">
        <f ca="1">IFERROR(__xludf.DUMMYFUNCTION("IMPORTRANGE(""https://docs.google.com/spreadsheets/d/1wPdvRbu02d33MYVlbsCnyTiZpefEBs9NNktAnT1HZvw/edit?usp=sharing"",""สุรินทร์!I369"")"),3000)</f>
        <v>3000</v>
      </c>
      <c r="AH46" s="248">
        <f ca="1">IFERROR(__xludf.DUMMYFUNCTION("IMPORTRANGE(""https://docs.google.com/spreadsheets/d/1wPdvRbu02d33MYVlbsCnyTiZpefEBs9NNktAnT1HZvw/edit?usp=sharing"",""สุรินทร์!J368"")"),395)</f>
        <v>395</v>
      </c>
      <c r="AI46" s="248">
        <f ca="1">IFERROR(__xludf.DUMMYFUNCTION("IMPORTRANGE(""https://docs.google.com/spreadsheets/d/1wPdvRbu02d33MYVlbsCnyTiZpefEBs9NNktAnT1HZvw/edit?usp=sharing"",""สุรินทร์!J369"")"),2290.32)</f>
        <v>2290.3200000000002</v>
      </c>
      <c r="AJ46" s="252">
        <f t="shared" ca="1" si="46"/>
        <v>76.344000000000008</v>
      </c>
      <c r="AK46" s="248">
        <f ca="1">IFERROR(__xludf.DUMMYFUNCTION("IMPORTRANGE(""https://docs.google.com/spreadsheets/d/1wPdvRbu02d33MYVlbsCnyTiZpefEBs9NNktAnT1HZvw/edit?usp=sharing"",""สุรินทร์!I370"")"),300)</f>
        <v>300</v>
      </c>
      <c r="AL46" s="248">
        <f ca="1">IFERROR(__xludf.DUMMYFUNCTION("IMPORTRANGE(""https://docs.google.com/spreadsheets/d/1wPdvRbu02d33MYVlbsCnyTiZpefEBs9NNktAnT1HZvw/edit?usp=sharing"",""สุรินทร์!J370"")"),362)</f>
        <v>362</v>
      </c>
      <c r="AM46" s="248">
        <f ca="1">IFERROR(__xludf.DUMMYFUNCTION("IMPORTRANGE(""https://docs.google.com/spreadsheets/d/1wPdvRbu02d33MYVlbsCnyTiZpefEBs9NNktAnT1HZvw/edit?usp=sharing"",""สุรินทร์!J371"")"),1888.83)</f>
        <v>1888.83</v>
      </c>
      <c r="AN46" s="252">
        <f t="shared" ca="1" si="47"/>
        <v>120.66666666666667</v>
      </c>
      <c r="AO46" s="248">
        <f ca="1">IFERROR(__xludf.DUMMYFUNCTION("IMPORTRANGE(""https://docs.google.com/spreadsheets/d/1wPdvRbu02d33MYVlbsCnyTiZpefEBs9NNktAnT1HZvw/edit?usp=sharing"",""สุรินทร์!I372"")"),300)</f>
        <v>300</v>
      </c>
      <c r="AP46" s="248">
        <f ca="1">IFERROR(__xludf.DUMMYFUNCTION("IMPORTRANGE(""https://docs.google.com/spreadsheets/d/1wPdvRbu02d33MYVlbsCnyTiZpefEBs9NNktAnT1HZvw/edit?usp=sharing"",""สุรินทร์!J372"")"),352)</f>
        <v>352</v>
      </c>
      <c r="AQ46" s="248">
        <f ca="1">IFERROR(__xludf.DUMMYFUNCTION("IMPORTRANGE(""https://docs.google.com/spreadsheets/d/1wPdvRbu02d33MYVlbsCnyTiZpefEBs9NNktAnT1HZvw/edit?usp=sharing"",""สุรินทร์!J373"")"),1835.22)</f>
        <v>1835.22</v>
      </c>
      <c r="AR46" s="252">
        <f t="shared" ca="1" si="48"/>
        <v>117.33333333333333</v>
      </c>
      <c r="AS46" s="248">
        <f ca="1">IFERROR(__xludf.DUMMYFUNCTION("IMPORTRANGE(""https://docs.google.com/spreadsheets/d/1wPdvRbu02d33MYVlbsCnyTiZpefEBs9NNktAnT1HZvw/edit?usp=sharing"",""สุรินทร์!I378"")"),7000)</f>
        <v>7000</v>
      </c>
      <c r="AT46" s="248">
        <f ca="1">IFERROR(__xludf.DUMMYFUNCTION("IMPORTRANGE(""https://docs.google.com/spreadsheets/d/1wPdvRbu02d33MYVlbsCnyTiZpefEBs9NNktAnT1HZvw/edit?usp=sharing"",""สุรินทร์!J377"")"),742)</f>
        <v>742</v>
      </c>
      <c r="AU46" s="248">
        <f ca="1">IFERROR(__xludf.DUMMYFUNCTION("IMPORTRANGE(""https://docs.google.com/spreadsheets/d/1wPdvRbu02d33MYVlbsCnyTiZpefEBs9NNktAnT1HZvw/edit?usp=sharing"",""สุรินทร์!J378"")"),5119.81)</f>
        <v>5119.8100000000004</v>
      </c>
      <c r="AV46" s="252">
        <f t="shared" ca="1" si="49"/>
        <v>73.140142857142862</v>
      </c>
      <c r="AW46" s="248">
        <f ca="1">IFERROR(__xludf.DUMMYFUNCTION("IMPORTRANGE(""https://docs.google.com/spreadsheets/d/1wPdvRbu02d33MYVlbsCnyTiZpefEBs9NNktAnT1HZvw/edit?usp=sharing"",""สุรินทร์!I379"")"),1900)</f>
        <v>1900</v>
      </c>
      <c r="AX46" s="248">
        <f ca="1">IFERROR(__xludf.DUMMYFUNCTION("IMPORTRANGE(""https://docs.google.com/spreadsheets/d/1wPdvRbu02d33MYVlbsCnyTiZpefEBs9NNktAnT1HZvw/edit?usp=sharing"",""สุรินทร์!J379"")"),2018)</f>
        <v>2018</v>
      </c>
      <c r="AY46" s="248">
        <f ca="1">IFERROR(__xludf.DUMMYFUNCTION("IMPORTRANGE(""https://docs.google.com/spreadsheets/d/1wPdvRbu02d33MYVlbsCnyTiZpefEBs9NNktAnT1HZvw/edit?usp=sharing"",""สุรินทร์!J380"")"),18477.1999999999)</f>
        <v>18477.199999999899</v>
      </c>
      <c r="AZ46" s="252">
        <f t="shared" ca="1" si="50"/>
        <v>106.21052631578948</v>
      </c>
      <c r="BA46" s="248">
        <f ca="1">IFERROR(__xludf.DUMMYFUNCTION("IMPORTRANGE(""https://docs.google.com/spreadsheets/d/1wPdvRbu02d33MYVlbsCnyTiZpefEBs9NNktAnT1HZvw/edit?usp=sharing"",""สุรินทร์!I381"")"),1900)</f>
        <v>1900</v>
      </c>
      <c r="BB46" s="248">
        <f ca="1">IFERROR(__xludf.DUMMYFUNCTION("IMPORTRANGE(""https://docs.google.com/spreadsheets/d/1wPdvRbu02d33MYVlbsCnyTiZpefEBs9NNktAnT1HZvw/edit?usp=sharing"",""สุรินทร์!J381"")"),1027)</f>
        <v>1027</v>
      </c>
      <c r="BC46" s="248">
        <f ca="1">IFERROR(__xludf.DUMMYFUNCTION("IMPORTRANGE(""https://docs.google.com/spreadsheets/d/1wPdvRbu02d33MYVlbsCnyTiZpefEBs9NNktAnT1HZvw/edit?usp=sharing"",""สุรินทร์!J382"")"),9241.55)</f>
        <v>9241.5499999999993</v>
      </c>
      <c r="BD46" s="252">
        <f t="shared" ca="1" si="51"/>
        <v>54.05263157894737</v>
      </c>
    </row>
    <row r="47" spans="1:56" ht="21" customHeight="1" x14ac:dyDescent="0.3">
      <c r="A47" s="243">
        <v>16</v>
      </c>
      <c r="B47" s="244" t="s">
        <v>69</v>
      </c>
      <c r="C47" s="245">
        <f t="shared" ca="1" si="0"/>
        <v>1192260</v>
      </c>
      <c r="D47" s="246">
        <f t="shared" ca="1" si="76"/>
        <v>1118160</v>
      </c>
      <c r="E47" s="247">
        <f ca="1">IFERROR(__xludf.DUMMYFUNCTION("IMPORTRANGE(""https://docs.google.com/spreadsheets/d/1MeEWN-I1oV_STSDYn1IFDPWt_1FKiwhDph83XaGc0o0/edit?usp=sharing"",""งบพรบ!EX47"")"),429600)</f>
        <v>429600</v>
      </c>
      <c r="F47" s="247">
        <f ca="1">IFERROR(__xludf.DUMMYFUNCTION("IMPORTRANGE(""https://docs.google.com/spreadsheets/d/1MeEWN-I1oV_STSDYn1IFDPWt_1FKiwhDph83XaGc0o0/edit?usp=sharing"",""งบพรบ!EY47"")"),688560)</f>
        <v>688560</v>
      </c>
      <c r="G47" s="247">
        <f ca="1">IFERROR(__xludf.DUMMYFUNCTION("IMPORTRANGE(""https://docs.google.com/spreadsheets/d/1MeEWN-I1oV_STSDYn1IFDPWt_1FKiwhDph83XaGc0o0/edit?usp=sharing"",""งบพรบ!EZ47"")"),74100)</f>
        <v>74100</v>
      </c>
      <c r="H47" s="247">
        <f ca="1">IFERROR(__xludf.DUMMYFUNCTION("IMPORTRANGE(""https://docs.google.com/spreadsheets/d/1MeEWN-I1oV_STSDYn1IFDPWt_1FKiwhDph83XaGc0o0/edit?usp=sharing"",""งบพรบ!FB47"")"),1188160)</f>
        <v>1188160</v>
      </c>
      <c r="I47" s="247">
        <f ca="1">IFERROR(__xludf.DUMMYFUNCTION("IMPORTRANGE(""https://docs.google.com/spreadsheets/d/1MeEWN-I1oV_STSDYn1IFDPWt_1FKiwhDph83XaGc0o0/edit?usp=sharing"",""งบพรบ!FC47"")"),74100)</f>
        <v>74100</v>
      </c>
      <c r="J47" s="247">
        <f t="shared" ca="1" si="3"/>
        <v>1116783.6000000001</v>
      </c>
      <c r="K47" s="253">
        <f t="shared" ca="1" si="4"/>
        <v>93.669468069045351</v>
      </c>
      <c r="L47" s="247">
        <f ca="1">IFERROR(__xludf.DUMMYFUNCTION("IMPORTRANGE(""https://docs.google.com/spreadsheets/d/1MeEWN-I1oV_STSDYn1IFDPWt_1FKiwhDph83XaGc0o0/edit?usp=sharing"",""งบพรบ!FD47"")"),1042683.6)</f>
        <v>1042683.6</v>
      </c>
      <c r="M47" s="250">
        <f t="shared" ca="1" si="5"/>
        <v>93.2499463404164</v>
      </c>
      <c r="N47" s="250">
        <f t="shared" ca="1" si="6"/>
        <v>87.756160786426065</v>
      </c>
      <c r="O47" s="251">
        <f ca="1">IFERROR(__xludf.DUMMYFUNCTION("IMPORTRANGE(""https://docs.google.com/spreadsheets/d/1MeEWN-I1oV_STSDYn1IFDPWt_1FKiwhDph83XaGc0o0/edit?usp=sharing"",""งบพรบ!FE47"")"),74100)</f>
        <v>74100</v>
      </c>
      <c r="P47" s="250">
        <f t="shared" ca="1" si="53"/>
        <v>100</v>
      </c>
      <c r="Q47" s="250">
        <f t="shared" ca="1" si="8"/>
        <v>100</v>
      </c>
      <c r="R47" s="248">
        <f ca="1">IFERROR(__xludf.DUMMYFUNCTION("IMPORTRANGE(""https://docs.google.com/spreadsheets/d/1GVExpf-Exi_2gmuqTYH28fseTB9MoKPXWcXCbSt_YrM/edit?usp=sharing"",""หนองคาย!I359"")"),4100)</f>
        <v>4100</v>
      </c>
      <c r="S47" s="248">
        <f ca="1">IFERROR(__xludf.DUMMYFUNCTION("IMPORTRANGE(""https://docs.google.com/spreadsheets/d/1GVExpf-Exi_2gmuqTYH28fseTB9MoKPXWcXCbSt_YrM/edit?usp=sharing"",""หนองคาย!J358"")"),275)</f>
        <v>275</v>
      </c>
      <c r="T47" s="248">
        <f ca="1">IFERROR(__xludf.DUMMYFUNCTION("IMPORTRANGE(""https://docs.google.com/spreadsheets/d/1GVExpf-Exi_2gmuqTYH28fseTB9MoKPXWcXCbSt_YrM/edit?usp=sharing"",""หนองคาย!J359"")"),3054.02)</f>
        <v>3054.02</v>
      </c>
      <c r="U47" s="252">
        <f t="shared" ca="1" si="43"/>
        <v>74.488292682926826</v>
      </c>
      <c r="V47" s="248">
        <f ca="1">IFERROR(__xludf.DUMMYFUNCTION("IMPORTRANGE(""https://docs.google.com/spreadsheets/d/1GVExpf-Exi_2gmuqTYH28fseTB9MoKPXWcXCbSt_YrM/edit?usp=sharing"",""หนองคาย!I360"")"),381)</f>
        <v>381</v>
      </c>
      <c r="W47" s="248">
        <f ca="1">IFERROR(__xludf.DUMMYFUNCTION("IMPORTRANGE(""https://docs.google.com/spreadsheets/d/1GVExpf-Exi_2gmuqTYH28fseTB9MoKPXWcXCbSt_YrM/edit?usp=sharing"",""หนองคาย!J360"")"),284)</f>
        <v>284</v>
      </c>
      <c r="X47" s="248">
        <f ca="1">IFERROR(__xludf.DUMMYFUNCTION("IMPORTRANGE(""https://docs.google.com/spreadsheets/d/1GVExpf-Exi_2gmuqTYH28fseTB9MoKPXWcXCbSt_YrM/edit?usp=sharing"",""หนองคาย!J361"")"),3181.65)</f>
        <v>3181.65</v>
      </c>
      <c r="Y47" s="252">
        <f t="shared" ca="1" si="44"/>
        <v>74.540682414698168</v>
      </c>
      <c r="Z47" s="248">
        <f ca="1">IFERROR(__xludf.DUMMYFUNCTION("IMPORTRANGE(""https://docs.google.com/spreadsheets/d/1GVExpf-Exi_2gmuqTYH28fseTB9MoKPXWcXCbSt_YrM/edit?usp=sharing"",""หนองคาย!I362"")"),381)</f>
        <v>381</v>
      </c>
      <c r="AA47" s="248">
        <f ca="1">IFERROR(__xludf.DUMMYFUNCTION("IMPORTRANGE(""https://docs.google.com/spreadsheets/d/1GVExpf-Exi_2gmuqTYH28fseTB9MoKPXWcXCbSt_YrM/edit?usp=sharing"",""หนองคาย!J362"")"),152)</f>
        <v>152</v>
      </c>
      <c r="AB47" s="248">
        <f ca="1">IFERROR(__xludf.DUMMYFUNCTION("IMPORTRANGE(""https://docs.google.com/spreadsheets/d/1GVExpf-Exi_2gmuqTYH28fseTB9MoKPXWcXCbSt_YrM/edit?usp=sharing"",""หนองคาย!J363"")"),1560.96)</f>
        <v>1560.96</v>
      </c>
      <c r="AC47" s="252">
        <f t="shared" ca="1" si="45"/>
        <v>39.895013123359583</v>
      </c>
      <c r="AD47" s="248">
        <f ca="1">IFERROR(__xludf.DUMMYFUNCTION("IMPORTRANGE(""https://docs.google.com/spreadsheets/d/1GVExpf-Exi_2gmuqTYH28fseTB9MoKPXWcXCbSt_YrM/edit?usp=sharing"",""หนองคาย!I364"")"),801)</f>
        <v>801</v>
      </c>
      <c r="AE47" s="248">
        <f ca="1">IFERROR(__xludf.DUMMYFUNCTION("IMPORTRANGE(""https://docs.google.com/spreadsheets/d/1GVExpf-Exi_2gmuqTYH28fseTB9MoKPXWcXCbSt_YrM/edit?usp=sharing"",""หนองคาย!J364"")"),605)</f>
        <v>605</v>
      </c>
      <c r="AF47" s="252">
        <f t="shared" ca="1" si="16"/>
        <v>75.530586766541816</v>
      </c>
      <c r="AG47" s="248">
        <f ca="1">IFERROR(__xludf.DUMMYFUNCTION("IMPORTRANGE(""https://docs.google.com/spreadsheets/d/1GVExpf-Exi_2gmuqTYH28fseTB9MoKPXWcXCbSt_YrM/edit?usp=sharing"",""หนองคาย!I369"")"),100)</f>
        <v>100</v>
      </c>
      <c r="AH47" s="248">
        <f ca="1">IFERROR(__xludf.DUMMYFUNCTION("IMPORTRANGE(""https://docs.google.com/spreadsheets/d/1GVExpf-Exi_2gmuqTYH28fseTB9MoKPXWcXCbSt_YrM/edit?usp=sharing"",""หนองคาย!J368"")"),3)</f>
        <v>3</v>
      </c>
      <c r="AI47" s="248">
        <f ca="1">IFERROR(__xludf.DUMMYFUNCTION("IMPORTRANGE(""https://docs.google.com/spreadsheets/d/1GVExpf-Exi_2gmuqTYH28fseTB9MoKPXWcXCbSt_YrM/edit?usp=sharing"",""หนองคาย!J369"")"),33.52)</f>
        <v>33.520000000000003</v>
      </c>
      <c r="AJ47" s="252">
        <f t="shared" ca="1" si="46"/>
        <v>33.520000000000003</v>
      </c>
      <c r="AK47" s="248">
        <f ca="1">IFERROR(__xludf.DUMMYFUNCTION("IMPORTRANGE(""https://docs.google.com/spreadsheets/d/1GVExpf-Exi_2gmuqTYH28fseTB9MoKPXWcXCbSt_YrM/edit?usp=sharing"",""หนองคาย!I370"")"),10)</f>
        <v>10</v>
      </c>
      <c r="AL47" s="248">
        <f ca="1">IFERROR(__xludf.DUMMYFUNCTION("IMPORTRANGE(""https://docs.google.com/spreadsheets/d/1GVExpf-Exi_2gmuqTYH28fseTB9MoKPXWcXCbSt_YrM/edit?usp=sharing"",""หนองคาย!J370"")"),12)</f>
        <v>12</v>
      </c>
      <c r="AM47" s="248">
        <f ca="1">IFERROR(__xludf.DUMMYFUNCTION("IMPORTRANGE(""https://docs.google.com/spreadsheets/d/1GVExpf-Exi_2gmuqTYH28fseTB9MoKPXWcXCbSt_YrM/edit?usp=sharing"",""หนองคาย!J371"")"),161.15)</f>
        <v>161.15</v>
      </c>
      <c r="AN47" s="252">
        <f t="shared" ca="1" si="47"/>
        <v>120</v>
      </c>
      <c r="AO47" s="248">
        <f ca="1">IFERROR(__xludf.DUMMYFUNCTION("IMPORTRANGE(""https://docs.google.com/spreadsheets/d/1GVExpf-Exi_2gmuqTYH28fseTB9MoKPXWcXCbSt_YrM/edit?usp=sharing"",""หนองคาย!I372"")"),10)</f>
        <v>10</v>
      </c>
      <c r="AP47" s="248">
        <f ca="1">IFERROR(__xludf.DUMMYFUNCTION("IMPORTRANGE(""https://docs.google.com/spreadsheets/d/1GVExpf-Exi_2gmuqTYH28fseTB9MoKPXWcXCbSt_YrM/edit?usp=sharing"",""หนองคาย!J372"")"),12)</f>
        <v>12</v>
      </c>
      <c r="AQ47" s="248">
        <f ca="1">IFERROR(__xludf.DUMMYFUNCTION("IMPORTRANGE(""https://docs.google.com/spreadsheets/d/1GVExpf-Exi_2gmuqTYH28fseTB9MoKPXWcXCbSt_YrM/edit?usp=sharing"",""หนองคาย!J373"")"),161.24)</f>
        <v>161.24</v>
      </c>
      <c r="AR47" s="252">
        <f t="shared" ca="1" si="48"/>
        <v>120</v>
      </c>
      <c r="AS47" s="248">
        <f ca="1">IFERROR(__xludf.DUMMYFUNCTION("IMPORTRANGE(""https://docs.google.com/spreadsheets/d/1GVExpf-Exi_2gmuqTYH28fseTB9MoKPXWcXCbSt_YrM/edit?usp=sharing"",""หนองคาย!I378"")"),4000)</f>
        <v>4000</v>
      </c>
      <c r="AT47" s="248">
        <f ca="1">IFERROR(__xludf.DUMMYFUNCTION("IMPORTRANGE(""https://docs.google.com/spreadsheets/d/1GVExpf-Exi_2gmuqTYH28fseTB9MoKPXWcXCbSt_YrM/edit?usp=sharing"",""หนองคาย!J377"")"),272)</f>
        <v>272</v>
      </c>
      <c r="AU47" s="248">
        <f ca="1">IFERROR(__xludf.DUMMYFUNCTION("IMPORTRANGE(""https://docs.google.com/spreadsheets/d/1GVExpf-Exi_2gmuqTYH28fseTB9MoKPXWcXCbSt_YrM/edit?usp=sharing"",""หนองคาย!J378"")"),3020.5)</f>
        <v>3020.5</v>
      </c>
      <c r="AV47" s="252">
        <f t="shared" ca="1" si="49"/>
        <v>75.512500000000003</v>
      </c>
      <c r="AW47" s="248">
        <f ca="1">IFERROR(__xludf.DUMMYFUNCTION("IMPORTRANGE(""https://docs.google.com/spreadsheets/d/1GVExpf-Exi_2gmuqTYH28fseTB9MoKPXWcXCbSt_YrM/edit?usp=sharing"",""หนองคาย!I379"")"),791)</f>
        <v>791</v>
      </c>
      <c r="AX47" s="248">
        <f ca="1">IFERROR(__xludf.DUMMYFUNCTION("IMPORTRANGE(""https://docs.google.com/spreadsheets/d/1GVExpf-Exi_2gmuqTYH28fseTB9MoKPXWcXCbSt_YrM/edit?usp=sharing"",""หนองคาย!J379"")"),813)</f>
        <v>813</v>
      </c>
      <c r="AY47" s="248">
        <f ca="1">IFERROR(__xludf.DUMMYFUNCTION("IMPORTRANGE(""https://docs.google.com/spreadsheets/d/1GVExpf-Exi_2gmuqTYH28fseTB9MoKPXWcXCbSt_YrM/edit?usp=sharing"",""หนองคาย!J380"")"),11393.43)</f>
        <v>11393.43</v>
      </c>
      <c r="AZ47" s="252">
        <f t="shared" ca="1" si="50"/>
        <v>102.78128950695323</v>
      </c>
      <c r="BA47" s="248">
        <f ca="1">IFERROR(__xludf.DUMMYFUNCTION("IMPORTRANGE(""https://docs.google.com/spreadsheets/d/1GVExpf-Exi_2gmuqTYH28fseTB9MoKPXWcXCbSt_YrM/edit?usp=sharing"",""หนองคาย!I381"")"),791)</f>
        <v>791</v>
      </c>
      <c r="BB47" s="248">
        <f ca="1">IFERROR(__xludf.DUMMYFUNCTION("IMPORTRANGE(""https://docs.google.com/spreadsheets/d/1GVExpf-Exi_2gmuqTYH28fseTB9MoKPXWcXCbSt_YrM/edit?usp=sharing"",""หนองคาย!J381"")"),593)</f>
        <v>593</v>
      </c>
      <c r="BC47" s="248">
        <f ca="1">IFERROR(__xludf.DUMMYFUNCTION("IMPORTRANGE(""https://docs.google.com/spreadsheets/d/1GVExpf-Exi_2gmuqTYH28fseTB9MoKPXWcXCbSt_YrM/edit?usp=sharing"",""หนองคาย!J382"")"),8472.6)</f>
        <v>8472.6</v>
      </c>
      <c r="BD47" s="252">
        <f t="shared" ca="1" si="51"/>
        <v>74.968394437420983</v>
      </c>
    </row>
    <row r="48" spans="1:56" ht="21" customHeight="1" x14ac:dyDescent="0.3">
      <c r="A48" s="243">
        <v>17</v>
      </c>
      <c r="B48" s="244" t="s">
        <v>70</v>
      </c>
      <c r="C48" s="245">
        <f t="shared" ca="1" si="0"/>
        <v>1121060</v>
      </c>
      <c r="D48" s="246">
        <f t="shared" ca="1" si="76"/>
        <v>1061060</v>
      </c>
      <c r="E48" s="247">
        <f ca="1">IFERROR(__xludf.DUMMYFUNCTION("IMPORTRANGE(""https://docs.google.com/spreadsheets/d/1MeEWN-I1oV_STSDYn1IFDPWt_1FKiwhDph83XaGc0o0/edit?usp=sharing"",""งบพรบ!EX48"")"),315600)</f>
        <v>315600</v>
      </c>
      <c r="F48" s="247">
        <f ca="1">IFERROR(__xludf.DUMMYFUNCTION("IMPORTRANGE(""https://docs.google.com/spreadsheets/d/1MeEWN-I1oV_STSDYn1IFDPWt_1FKiwhDph83XaGc0o0/edit?usp=sharing"",""งบพรบ!EY48"")"),745460)</f>
        <v>745460</v>
      </c>
      <c r="G48" s="247">
        <f ca="1">IFERROR(__xludf.DUMMYFUNCTION("IMPORTRANGE(""https://docs.google.com/spreadsheets/d/1MeEWN-I1oV_STSDYn1IFDPWt_1FKiwhDph83XaGc0o0/edit?usp=sharing"",""งบพรบ!EZ48"")"),60000)</f>
        <v>60000</v>
      </c>
      <c r="H48" s="247">
        <f ca="1">IFERROR(__xludf.DUMMYFUNCTION("IMPORTRANGE(""https://docs.google.com/spreadsheets/d/1MeEWN-I1oV_STSDYn1IFDPWt_1FKiwhDph83XaGc0o0/edit?usp=sharing"",""งบพรบ!FB48"")"),1136940)</f>
        <v>1136940</v>
      </c>
      <c r="I48" s="247">
        <f ca="1">IFERROR(__xludf.DUMMYFUNCTION("IMPORTRANGE(""https://docs.google.com/spreadsheets/d/1MeEWN-I1oV_STSDYn1IFDPWt_1FKiwhDph83XaGc0o0/edit?usp=sharing"",""งบพรบ!FC48"")"),60000)</f>
        <v>60000</v>
      </c>
      <c r="J48" s="247">
        <f t="shared" ca="1" si="3"/>
        <v>1028595.59</v>
      </c>
      <c r="K48" s="253">
        <f t="shared" ca="1" si="4"/>
        <v>91.752055197759262</v>
      </c>
      <c r="L48" s="247">
        <f ca="1">IFERROR(__xludf.DUMMYFUNCTION("IMPORTRANGE(""https://docs.google.com/spreadsheets/d/1MeEWN-I1oV_STSDYn1IFDPWt_1FKiwhDph83XaGc0o0/edit?usp=sharing"",""งบพรบ!FD48"")"),968595.59)</f>
        <v>968595.59</v>
      </c>
      <c r="M48" s="250">
        <f t="shared" ca="1" si="5"/>
        <v>91.285656796034161</v>
      </c>
      <c r="N48" s="250">
        <f t="shared" ca="1" si="6"/>
        <v>85.19320192798213</v>
      </c>
      <c r="O48" s="251">
        <f ca="1">IFERROR(__xludf.DUMMYFUNCTION("IMPORTRANGE(""https://docs.google.com/spreadsheets/d/1MeEWN-I1oV_STSDYn1IFDPWt_1FKiwhDph83XaGc0o0/edit?usp=sharing"",""งบพรบ!FE48"")"),60000)</f>
        <v>60000</v>
      </c>
      <c r="P48" s="250">
        <f t="shared" ca="1" si="53"/>
        <v>100</v>
      </c>
      <c r="Q48" s="250">
        <f t="shared" ca="1" si="8"/>
        <v>100</v>
      </c>
      <c r="R48" s="248">
        <f ca="1">IFERROR(__xludf.DUMMYFUNCTION("IMPORTRANGE(""https://docs.google.com/spreadsheets/d/16UeMz0UgOB5BZcoxP75eYGcLFtGYRn9GoesD4OX9m5U/edit?usp=sharing"",""หนองบัวลำภู!I359"")"),4500)</f>
        <v>4500</v>
      </c>
      <c r="S48" s="248">
        <f ca="1">IFERROR(__xludf.DUMMYFUNCTION("IMPORTRANGE(""https://docs.google.com/spreadsheets/d/16UeMz0UgOB5BZcoxP75eYGcLFtGYRn9GoesD4OX9m5U/edit?usp=sharing"",""หนองบัวลำภู!J358"")"),457)</f>
        <v>457</v>
      </c>
      <c r="T48" s="248">
        <f ca="1">IFERROR(__xludf.DUMMYFUNCTION("IMPORTRANGE(""https://docs.google.com/spreadsheets/d/16UeMz0UgOB5BZcoxP75eYGcLFtGYRn9GoesD4OX9m5U/edit?usp=sharing"",""หนองบัวลำภู!J359"")"),4695.76999999999)</f>
        <v>4695.7699999999904</v>
      </c>
      <c r="U48" s="252">
        <f t="shared" ca="1" si="43"/>
        <v>104.35044444444424</v>
      </c>
      <c r="V48" s="248">
        <f ca="1">IFERROR(__xludf.DUMMYFUNCTION("IMPORTRANGE(""https://docs.google.com/spreadsheets/d/16UeMz0UgOB5BZcoxP75eYGcLFtGYRn9GoesD4OX9m5U/edit?usp=sharing"",""หนองบัวลำภู!I360"")"),440)</f>
        <v>440</v>
      </c>
      <c r="W48" s="248">
        <f ca="1">IFERROR(__xludf.DUMMYFUNCTION("IMPORTRANGE(""https://docs.google.com/spreadsheets/d/16UeMz0UgOB5BZcoxP75eYGcLFtGYRn9GoesD4OX9m5U/edit?usp=sharing"",""หนองบัวลำภู!J360"")"),415)</f>
        <v>415</v>
      </c>
      <c r="X48" s="248">
        <f ca="1">IFERROR(__xludf.DUMMYFUNCTION("IMPORTRANGE(""https://docs.google.com/spreadsheets/d/16UeMz0UgOB5BZcoxP75eYGcLFtGYRn9GoesD4OX9m5U/edit?usp=sharing"",""หนองบัวลำภู!J361"")"),4563.32)</f>
        <v>4563.32</v>
      </c>
      <c r="Y48" s="252">
        <f t="shared" ca="1" si="44"/>
        <v>94.318181818181813</v>
      </c>
      <c r="Z48" s="248">
        <f ca="1">IFERROR(__xludf.DUMMYFUNCTION("IMPORTRANGE(""https://docs.google.com/spreadsheets/d/16UeMz0UgOB5BZcoxP75eYGcLFtGYRn9GoesD4OX9m5U/edit?usp=sharing"",""หนองบัวลำภู!I362"")"),440)</f>
        <v>440</v>
      </c>
      <c r="AA48" s="248">
        <f ca="1">IFERROR(__xludf.DUMMYFUNCTION("IMPORTRANGE(""https://docs.google.com/spreadsheets/d/16UeMz0UgOB5BZcoxP75eYGcLFtGYRn9GoesD4OX9m5U/edit?usp=sharing"",""หนองบัวลำภู!J362"")"),414)</f>
        <v>414</v>
      </c>
      <c r="AB48" s="248">
        <f ca="1">IFERROR(__xludf.DUMMYFUNCTION("IMPORTRANGE(""https://docs.google.com/spreadsheets/d/16UeMz0UgOB5BZcoxP75eYGcLFtGYRn9GoesD4OX9m5U/edit?usp=sharing"",""หนองบัวลำภู!J363"")"),4553.85)</f>
        <v>4553.8500000000004</v>
      </c>
      <c r="AC48" s="252">
        <f t="shared" ca="1" si="45"/>
        <v>94.090909090909093</v>
      </c>
      <c r="AD48" s="248">
        <f ca="1">IFERROR(__xludf.DUMMYFUNCTION("IMPORTRANGE(""https://docs.google.com/spreadsheets/d/16UeMz0UgOB5BZcoxP75eYGcLFtGYRn9GoesD4OX9m5U/edit?usp=sharing"",""หนองบัวลำภู!I364"")"),560)</f>
        <v>560</v>
      </c>
      <c r="AE48" s="248">
        <f ca="1">IFERROR(__xludf.DUMMYFUNCTION("IMPORTRANGE(""https://docs.google.com/spreadsheets/d/16UeMz0UgOB5BZcoxP75eYGcLFtGYRn9GoesD4OX9m5U/edit?usp=sharing"",""หนองบัวลำภู!J364"")"),546)</f>
        <v>546</v>
      </c>
      <c r="AF48" s="252">
        <f t="shared" ca="1" si="16"/>
        <v>97.5</v>
      </c>
      <c r="AG48" s="248">
        <f ca="1">IFERROR(__xludf.DUMMYFUNCTION("IMPORTRANGE(""https://docs.google.com/spreadsheets/d/16UeMz0UgOB5BZcoxP75eYGcLFtGYRn9GoesD4OX9m5U/edit?usp=sharing"",""หนองบัวลำภู!I369"")"),500)</f>
        <v>500</v>
      </c>
      <c r="AH48" s="248">
        <f ca="1">IFERROR(__xludf.DUMMYFUNCTION("IMPORTRANGE(""https://docs.google.com/spreadsheets/d/16UeMz0UgOB5BZcoxP75eYGcLFtGYRn9GoesD4OX9m5U/edit?usp=sharing"",""หนองบัวลำภู!J368"")"),76)</f>
        <v>76</v>
      </c>
      <c r="AI48" s="248">
        <f ca="1">IFERROR(__xludf.DUMMYFUNCTION("IMPORTRANGE(""https://docs.google.com/spreadsheets/d/16UeMz0UgOB5BZcoxP75eYGcLFtGYRn9GoesD4OX9m5U/edit?usp=sharing"",""หนองบัวลำภู!J369"")"),564.78)</f>
        <v>564.78</v>
      </c>
      <c r="AJ48" s="252">
        <f t="shared" ca="1" si="46"/>
        <v>112.956</v>
      </c>
      <c r="AK48" s="248">
        <f ca="1">IFERROR(__xludf.DUMMYFUNCTION("IMPORTRANGE(""https://docs.google.com/spreadsheets/d/16UeMz0UgOB5BZcoxP75eYGcLFtGYRn9GoesD4OX9m5U/edit?usp=sharing"",""หนองบัวลำภู!I370"")"),40)</f>
        <v>40</v>
      </c>
      <c r="AL48" s="248">
        <f ca="1">IFERROR(__xludf.DUMMYFUNCTION("IMPORTRANGE(""https://docs.google.com/spreadsheets/d/16UeMz0UgOB5BZcoxP75eYGcLFtGYRn9GoesD4OX9m5U/edit?usp=sharing"",""หนองบัวลำภู!J370"")"),34)</f>
        <v>34</v>
      </c>
      <c r="AM48" s="248">
        <f ca="1">IFERROR(__xludf.DUMMYFUNCTION("IMPORTRANGE(""https://docs.google.com/spreadsheets/d/16UeMz0UgOB5BZcoxP75eYGcLFtGYRn9GoesD4OX9m5U/edit?usp=sharing"",""หนองบัวลำภู!J371"")"),432.33)</f>
        <v>432.33</v>
      </c>
      <c r="AN48" s="252">
        <f t="shared" ca="1" si="47"/>
        <v>85</v>
      </c>
      <c r="AO48" s="248">
        <f ca="1">IFERROR(__xludf.DUMMYFUNCTION("IMPORTRANGE(""https://docs.google.com/spreadsheets/d/16UeMz0UgOB5BZcoxP75eYGcLFtGYRn9GoesD4OX9m5U/edit?usp=sharing"",""หนองบัวลำภู!I372"")"),40)</f>
        <v>40</v>
      </c>
      <c r="AP48" s="248">
        <f ca="1">IFERROR(__xludf.DUMMYFUNCTION("IMPORTRANGE(""https://docs.google.com/spreadsheets/d/16UeMz0UgOB5BZcoxP75eYGcLFtGYRn9GoesD4OX9m5U/edit?usp=sharing"",""หนองบัวลำภู!J372"")"),34)</f>
        <v>34</v>
      </c>
      <c r="AQ48" s="248">
        <f ca="1">IFERROR(__xludf.DUMMYFUNCTION("IMPORTRANGE(""https://docs.google.com/spreadsheets/d/16UeMz0UgOB5BZcoxP75eYGcLFtGYRn9GoesD4OX9m5U/edit?usp=sharing"",""หนองบัวลำภู!J373"")"),432.33)</f>
        <v>432.33</v>
      </c>
      <c r="AR48" s="252">
        <f t="shared" ca="1" si="48"/>
        <v>85</v>
      </c>
      <c r="AS48" s="248">
        <f ca="1">IFERROR(__xludf.DUMMYFUNCTION("IMPORTRANGE(""https://docs.google.com/spreadsheets/d/16UeMz0UgOB5BZcoxP75eYGcLFtGYRn9GoesD4OX9m5U/edit?usp=sharing"",""หนองบัวลำภู!I378"")"),4000)</f>
        <v>4000</v>
      </c>
      <c r="AT48" s="248">
        <f ca="1">IFERROR(__xludf.DUMMYFUNCTION("IMPORTRANGE(""https://docs.google.com/spreadsheets/d/16UeMz0UgOB5BZcoxP75eYGcLFtGYRn9GoesD4OX9m5U/edit?usp=sharing"",""หนองบัวลำภู!J377"")"),381)</f>
        <v>381</v>
      </c>
      <c r="AU48" s="248">
        <f ca="1">IFERROR(__xludf.DUMMYFUNCTION("IMPORTRANGE(""https://docs.google.com/spreadsheets/d/16UeMz0UgOB5BZcoxP75eYGcLFtGYRn9GoesD4OX9m5U/edit?usp=sharing"",""หนองบัวลำภู!J378"")"),4130.99)</f>
        <v>4130.99</v>
      </c>
      <c r="AV48" s="252">
        <f t="shared" ca="1" si="49"/>
        <v>103.27475</v>
      </c>
      <c r="AW48" s="248">
        <f ca="1">IFERROR(__xludf.DUMMYFUNCTION("IMPORTRANGE(""https://docs.google.com/spreadsheets/d/16UeMz0UgOB5BZcoxP75eYGcLFtGYRn9GoesD4OX9m5U/edit?usp=sharing"",""หนองบัวลำภู!I379"")"),520)</f>
        <v>520</v>
      </c>
      <c r="AX48" s="248">
        <f ca="1">IFERROR(__xludf.DUMMYFUNCTION("IMPORTRANGE(""https://docs.google.com/spreadsheets/d/16UeMz0UgOB5BZcoxP75eYGcLFtGYRn9GoesD4OX9m5U/edit?usp=sharing"",""หนองบัวลำภู!J379"")"),513)</f>
        <v>513</v>
      </c>
      <c r="AY48" s="248">
        <f ca="1">IFERROR(__xludf.DUMMYFUNCTION("IMPORTRANGE(""https://docs.google.com/spreadsheets/d/16UeMz0UgOB5BZcoxP75eYGcLFtGYRn9GoesD4OX9m5U/edit?usp=sharing"",""หนองบัวลำภู!J380"")"),6193.51)</f>
        <v>6193.51</v>
      </c>
      <c r="AZ48" s="252">
        <f t="shared" ca="1" si="50"/>
        <v>98.65384615384616</v>
      </c>
      <c r="BA48" s="248">
        <f ca="1">IFERROR(__xludf.DUMMYFUNCTION("IMPORTRANGE(""https://docs.google.com/spreadsheets/d/16UeMz0UgOB5BZcoxP75eYGcLFtGYRn9GoesD4OX9m5U/edit?usp=sharing"",""หนองบัวลำภู!I381"")"),520)</f>
        <v>520</v>
      </c>
      <c r="BB48" s="248">
        <f ca="1">IFERROR(__xludf.DUMMYFUNCTION("IMPORTRANGE(""https://docs.google.com/spreadsheets/d/16UeMz0UgOB5BZcoxP75eYGcLFtGYRn9GoesD4OX9m5U/edit?usp=sharing"",""หนองบัวลำภู!J381"")"),512)</f>
        <v>512</v>
      </c>
      <c r="BC48" s="248">
        <f ca="1">IFERROR(__xludf.DUMMYFUNCTION("IMPORTRANGE(""https://docs.google.com/spreadsheets/d/16UeMz0UgOB5BZcoxP75eYGcLFtGYRn9GoesD4OX9m5U/edit?usp=sharing"",""หนองบัวลำภู!J382"")"),6184.04)</f>
        <v>6184.04</v>
      </c>
      <c r="BD48" s="252">
        <f t="shared" ca="1" si="51"/>
        <v>98.461538461538467</v>
      </c>
    </row>
    <row r="49" spans="1:56" ht="21" customHeight="1" x14ac:dyDescent="0.3">
      <c r="A49" s="243">
        <v>18</v>
      </c>
      <c r="B49" s="244" t="s">
        <v>71</v>
      </c>
      <c r="C49" s="245">
        <f t="shared" ca="1" si="0"/>
        <v>825530</v>
      </c>
      <c r="D49" s="246">
        <f t="shared" ca="1" si="76"/>
        <v>730130</v>
      </c>
      <c r="E49" s="247">
        <f ca="1">IFERROR(__xludf.DUMMYFUNCTION("IMPORTRANGE(""https://docs.google.com/spreadsheets/d/1MeEWN-I1oV_STSDYn1IFDPWt_1FKiwhDph83XaGc0o0/edit?usp=sharing"",""งบพรบ!EX49"")"),315600)</f>
        <v>315600</v>
      </c>
      <c r="F49" s="247">
        <f ca="1">IFERROR(__xludf.DUMMYFUNCTION("IMPORTRANGE(""https://docs.google.com/spreadsheets/d/1MeEWN-I1oV_STSDYn1IFDPWt_1FKiwhDph83XaGc0o0/edit?usp=sharing"",""งบพรบ!EY49"")"),414530)</f>
        <v>414530</v>
      </c>
      <c r="G49" s="247">
        <f ca="1">IFERROR(__xludf.DUMMYFUNCTION("IMPORTRANGE(""https://docs.google.com/spreadsheets/d/1MeEWN-I1oV_STSDYn1IFDPWt_1FKiwhDph83XaGc0o0/edit?usp=sharing"",""งบพรบ!EZ49"")"),95400)</f>
        <v>95400</v>
      </c>
      <c r="H49" s="247">
        <f ca="1">IFERROR(__xludf.DUMMYFUNCTION("IMPORTRANGE(""https://docs.google.com/spreadsheets/d/1MeEWN-I1oV_STSDYn1IFDPWt_1FKiwhDph83XaGc0o0/edit?usp=sharing"",""งบพรบ!FB49"")"),844810)</f>
        <v>844810</v>
      </c>
      <c r="I49" s="247">
        <f ca="1">IFERROR(__xludf.DUMMYFUNCTION("IMPORTRANGE(""https://docs.google.com/spreadsheets/d/1MeEWN-I1oV_STSDYn1IFDPWt_1FKiwhDph83XaGc0o0/edit?usp=sharing"",""งบพรบ!FC49"")"),95400)</f>
        <v>95400</v>
      </c>
      <c r="J49" s="247">
        <f t="shared" ca="1" si="3"/>
        <v>779342</v>
      </c>
      <c r="K49" s="253">
        <f t="shared" ca="1" si="4"/>
        <v>94.405048877690689</v>
      </c>
      <c r="L49" s="247">
        <f ca="1">IFERROR(__xludf.DUMMYFUNCTION("IMPORTRANGE(""https://docs.google.com/spreadsheets/d/1MeEWN-I1oV_STSDYn1IFDPWt_1FKiwhDph83XaGc0o0/edit?usp=sharing"",""งบพรบ!FD49"")"),683942)</f>
        <v>683942</v>
      </c>
      <c r="M49" s="250">
        <f t="shared" ca="1" si="5"/>
        <v>93.674003259693478</v>
      </c>
      <c r="N49" s="250">
        <f t="shared" ca="1" si="6"/>
        <v>80.958085249937852</v>
      </c>
      <c r="O49" s="251">
        <f ca="1">IFERROR(__xludf.DUMMYFUNCTION("IMPORTRANGE(""https://docs.google.com/spreadsheets/d/1MeEWN-I1oV_STSDYn1IFDPWt_1FKiwhDph83XaGc0o0/edit?usp=sharing"",""งบพรบ!FE49"")"),95400)</f>
        <v>95400</v>
      </c>
      <c r="P49" s="250">
        <f t="shared" ca="1" si="53"/>
        <v>100</v>
      </c>
      <c r="Q49" s="250">
        <f t="shared" ca="1" si="8"/>
        <v>100</v>
      </c>
      <c r="R49" s="248">
        <f ca="1">IFERROR(__xludf.DUMMYFUNCTION("IMPORTRANGE(""https://docs.google.com/spreadsheets/d/1uUP8Zo1-qaJLuIkRU0qlwLSE3DHkbdrrj2JGJiWBQZE/edit?usp=sharing"",""อำนาจเจริญ!I359"")"),2000)</f>
        <v>2000</v>
      </c>
      <c r="S49" s="248">
        <f ca="1">IFERROR(__xludf.DUMMYFUNCTION("IMPORTRANGE(""https://docs.google.com/spreadsheets/d/1uUP8Zo1-qaJLuIkRU0qlwLSE3DHkbdrrj2JGJiWBQZE/edit?usp=sharing"",""อำนาจเจริญ!J358"")"),311)</f>
        <v>311</v>
      </c>
      <c r="T49" s="248">
        <f ca="1">IFERROR(__xludf.DUMMYFUNCTION("IMPORTRANGE(""https://docs.google.com/spreadsheets/d/1uUP8Zo1-qaJLuIkRU0qlwLSE3DHkbdrrj2JGJiWBQZE/edit?usp=sharing"",""อำนาจเจริญ!J359"")"),2447.5)</f>
        <v>2447.5</v>
      </c>
      <c r="U49" s="252">
        <f t="shared" ca="1" si="43"/>
        <v>122.375</v>
      </c>
      <c r="V49" s="248">
        <f ca="1">IFERROR(__xludf.DUMMYFUNCTION("IMPORTRANGE(""https://docs.google.com/spreadsheets/d/1uUP8Zo1-qaJLuIkRU0qlwLSE3DHkbdrrj2JGJiWBQZE/edit?usp=sharing"",""อำนาจเจริญ!I360"")"),210)</f>
        <v>210</v>
      </c>
      <c r="W49" s="248">
        <f ca="1">IFERROR(__xludf.DUMMYFUNCTION("IMPORTRANGE(""https://docs.google.com/spreadsheets/d/1uUP8Zo1-qaJLuIkRU0qlwLSE3DHkbdrrj2JGJiWBQZE/edit?usp=sharing"",""อำนาจเจริญ!J360"")"),295)</f>
        <v>295</v>
      </c>
      <c r="X49" s="248">
        <f ca="1">IFERROR(__xludf.DUMMYFUNCTION("IMPORTRANGE(""https://docs.google.com/spreadsheets/d/1uUP8Zo1-qaJLuIkRU0qlwLSE3DHkbdrrj2JGJiWBQZE/edit?usp=sharing"",""อำนาจเจริญ!J361"")"),2201.43)</f>
        <v>2201.4299999999998</v>
      </c>
      <c r="Y49" s="252">
        <f t="shared" ca="1" si="44"/>
        <v>140.47619047619048</v>
      </c>
      <c r="Z49" s="248">
        <f ca="1">IFERROR(__xludf.DUMMYFUNCTION("IMPORTRANGE(""https://docs.google.com/spreadsheets/d/1uUP8Zo1-qaJLuIkRU0qlwLSE3DHkbdrrj2JGJiWBQZE/edit?usp=sharing"",""อำนาจเจริญ!I362"")"),210)</f>
        <v>210</v>
      </c>
      <c r="AA49" s="248">
        <f ca="1">IFERROR(__xludf.DUMMYFUNCTION("IMPORTRANGE(""https://docs.google.com/spreadsheets/d/1uUP8Zo1-qaJLuIkRU0qlwLSE3DHkbdrrj2JGJiWBQZE/edit?usp=sharing"",""อำนาจเจริญ!J362"")"),226)</f>
        <v>226</v>
      </c>
      <c r="AB49" s="248">
        <f ca="1">IFERROR(__xludf.DUMMYFUNCTION("IMPORTRANGE(""https://docs.google.com/spreadsheets/d/1uUP8Zo1-qaJLuIkRU0qlwLSE3DHkbdrrj2JGJiWBQZE/edit?usp=sharing"",""อำนาจเจริญ!J363"")"),1554.96999999999)</f>
        <v>1554.96999999999</v>
      </c>
      <c r="AC49" s="252">
        <f t="shared" ca="1" si="45"/>
        <v>107.61904761904762</v>
      </c>
      <c r="AD49" s="248">
        <f ca="1">IFERROR(__xludf.DUMMYFUNCTION("IMPORTRANGE(""https://docs.google.com/spreadsheets/d/1uUP8Zo1-qaJLuIkRU0qlwLSE3DHkbdrrj2JGJiWBQZE/edit?usp=sharing"",""อำนาจเจริญ!I364"")"),610)</f>
        <v>610</v>
      </c>
      <c r="AE49" s="248">
        <f ca="1">IFERROR(__xludf.DUMMYFUNCTION("IMPORTRANGE(""https://docs.google.com/spreadsheets/d/1uUP8Zo1-qaJLuIkRU0qlwLSE3DHkbdrrj2JGJiWBQZE/edit?usp=sharing"",""อำนาจเจริญ!J364"")"),542)</f>
        <v>542</v>
      </c>
      <c r="AF49" s="252">
        <f t="shared" ca="1" si="16"/>
        <v>88.852459016393439</v>
      </c>
      <c r="AG49" s="248">
        <f ca="1">IFERROR(__xludf.DUMMYFUNCTION("IMPORTRANGE(""https://docs.google.com/spreadsheets/d/1uUP8Zo1-qaJLuIkRU0qlwLSE3DHkbdrrj2JGJiWBQZE/edit?usp=sharing"",""อำนาจเจริญ!I369"")"),500)</f>
        <v>500</v>
      </c>
      <c r="AH49" s="248">
        <f ca="1">IFERROR(__xludf.DUMMYFUNCTION("IMPORTRANGE(""https://docs.google.com/spreadsheets/d/1uUP8Zo1-qaJLuIkRU0qlwLSE3DHkbdrrj2JGJiWBQZE/edit?usp=sharing"",""อำนาจเจริญ!J368"")"),105)</f>
        <v>105</v>
      </c>
      <c r="AI49" s="248">
        <f ca="1">IFERROR(__xludf.DUMMYFUNCTION("IMPORTRANGE(""https://docs.google.com/spreadsheets/d/1uUP8Zo1-qaJLuIkRU0qlwLSE3DHkbdrrj2JGJiWBQZE/edit?usp=sharing"",""อำนาจเจริญ!J369"")"),752.59)</f>
        <v>752.59</v>
      </c>
      <c r="AJ49" s="252">
        <f t="shared" ca="1" si="46"/>
        <v>150.518</v>
      </c>
      <c r="AK49" s="248">
        <f ca="1">IFERROR(__xludf.DUMMYFUNCTION("IMPORTRANGE(""https://docs.google.com/spreadsheets/d/1uUP8Zo1-qaJLuIkRU0qlwLSE3DHkbdrrj2JGJiWBQZE/edit?usp=sharing"",""อำนาจเจริญ!I370"")"),60)</f>
        <v>60</v>
      </c>
      <c r="AL49" s="248">
        <f ca="1">IFERROR(__xludf.DUMMYFUNCTION("IMPORTRANGE(""https://docs.google.com/spreadsheets/d/1uUP8Zo1-qaJLuIkRU0qlwLSE3DHkbdrrj2JGJiWBQZE/edit?usp=sharing"",""อำนาจเจริญ!J370"")"),89)</f>
        <v>89</v>
      </c>
      <c r="AM49" s="248">
        <f ca="1">IFERROR(__xludf.DUMMYFUNCTION("IMPORTRANGE(""https://docs.google.com/spreadsheets/d/1uUP8Zo1-qaJLuIkRU0qlwLSE3DHkbdrrj2JGJiWBQZE/edit?usp=sharing"",""อำนาจเจริญ!J371"")"),506.52)</f>
        <v>506.52</v>
      </c>
      <c r="AN49" s="252">
        <f t="shared" ca="1" si="47"/>
        <v>148.33333333333334</v>
      </c>
      <c r="AO49" s="248">
        <f ca="1">IFERROR(__xludf.DUMMYFUNCTION("IMPORTRANGE(""https://docs.google.com/spreadsheets/d/1uUP8Zo1-qaJLuIkRU0qlwLSE3DHkbdrrj2JGJiWBQZE/edit?usp=sharing"",""อำนาจเจริญ!I372"")"),60)</f>
        <v>60</v>
      </c>
      <c r="AP49" s="248">
        <f ca="1">IFERROR(__xludf.DUMMYFUNCTION("IMPORTRANGE(""https://docs.google.com/spreadsheets/d/1uUP8Zo1-qaJLuIkRU0qlwLSE3DHkbdrrj2JGJiWBQZE/edit?usp=sharing"",""อำนาจเจริญ!J372"")"),68)</f>
        <v>68</v>
      </c>
      <c r="AQ49" s="248">
        <f ca="1">IFERROR(__xludf.DUMMYFUNCTION("IMPORTRANGE(""https://docs.google.com/spreadsheets/d/1uUP8Zo1-qaJLuIkRU0qlwLSE3DHkbdrrj2JGJiWBQZE/edit?usp=sharing"",""อำนาจเจริญ!J373"")"),362.12)</f>
        <v>362.12</v>
      </c>
      <c r="AR49" s="252">
        <f t="shared" ca="1" si="48"/>
        <v>113.33333333333333</v>
      </c>
      <c r="AS49" s="248">
        <f ca="1">IFERROR(__xludf.DUMMYFUNCTION("IMPORTRANGE(""https://docs.google.com/spreadsheets/d/1uUP8Zo1-qaJLuIkRU0qlwLSE3DHkbdrrj2JGJiWBQZE/edit?usp=sharing"",""อำนาจเจริญ!I378"")"),1500)</f>
        <v>1500</v>
      </c>
      <c r="AT49" s="248">
        <f ca="1">IFERROR(__xludf.DUMMYFUNCTION("IMPORTRANGE(""https://docs.google.com/spreadsheets/d/1uUP8Zo1-qaJLuIkRU0qlwLSE3DHkbdrrj2JGJiWBQZE/edit?usp=sharing"",""อำนาจเจริญ!J377"")"),206)</f>
        <v>206</v>
      </c>
      <c r="AU49" s="248">
        <f ca="1">IFERROR(__xludf.DUMMYFUNCTION("IMPORTRANGE(""https://docs.google.com/spreadsheets/d/1uUP8Zo1-qaJLuIkRU0qlwLSE3DHkbdrrj2JGJiWBQZE/edit?usp=sharing"",""อำนาจเจริญ!J378"")"),1694.91)</f>
        <v>1694.91</v>
      </c>
      <c r="AV49" s="252">
        <f t="shared" ca="1" si="49"/>
        <v>112.994</v>
      </c>
      <c r="AW49" s="248">
        <f ca="1">IFERROR(__xludf.DUMMYFUNCTION("IMPORTRANGE(""https://docs.google.com/spreadsheets/d/1uUP8Zo1-qaJLuIkRU0qlwLSE3DHkbdrrj2JGJiWBQZE/edit?usp=sharing"",""อำนาจเจริญ!I379"")"),550)</f>
        <v>550</v>
      </c>
      <c r="AX49" s="248">
        <f ca="1">IFERROR(__xludf.DUMMYFUNCTION("IMPORTRANGE(""https://docs.google.com/spreadsheets/d/1uUP8Zo1-qaJLuIkRU0qlwLSE3DHkbdrrj2JGJiWBQZE/edit?usp=sharing"",""อำนาจเจริญ!J379"")"),522)</f>
        <v>522</v>
      </c>
      <c r="AY49" s="248">
        <f ca="1">IFERROR(__xludf.DUMMYFUNCTION("IMPORTRANGE(""https://docs.google.com/spreadsheets/d/1uUP8Zo1-qaJLuIkRU0qlwLSE3DHkbdrrj2JGJiWBQZE/edit?usp=sharing"",""อำนาจเจริญ!J380"")"),4561.89)</f>
        <v>4561.8900000000003</v>
      </c>
      <c r="AZ49" s="252">
        <f t="shared" ca="1" si="50"/>
        <v>94.909090909090907</v>
      </c>
      <c r="BA49" s="248">
        <f ca="1">IFERROR(__xludf.DUMMYFUNCTION("IMPORTRANGE(""https://docs.google.com/spreadsheets/d/1uUP8Zo1-qaJLuIkRU0qlwLSE3DHkbdrrj2JGJiWBQZE/edit?usp=sharing"",""อำนาจเจริญ!I381"")"),550)</f>
        <v>550</v>
      </c>
      <c r="BB49" s="248">
        <f ca="1">IFERROR(__xludf.DUMMYFUNCTION("IMPORTRANGE(""https://docs.google.com/spreadsheets/d/1uUP8Zo1-qaJLuIkRU0qlwLSE3DHkbdrrj2JGJiWBQZE/edit?usp=sharing"",""อำนาจเจริญ!J381"")"),474)</f>
        <v>474</v>
      </c>
      <c r="BC49" s="248">
        <f ca="1">IFERROR(__xludf.DUMMYFUNCTION("IMPORTRANGE(""https://docs.google.com/spreadsheets/d/1uUP8Zo1-qaJLuIkRU0qlwLSE3DHkbdrrj2JGJiWBQZE/edit?usp=sharing"",""อำนาจเจริญ!J382"")"),4059.83)</f>
        <v>4059.83</v>
      </c>
      <c r="BD49" s="252">
        <f t="shared" ca="1" si="51"/>
        <v>86.181818181818187</v>
      </c>
    </row>
    <row r="50" spans="1:56" ht="21" customHeight="1" x14ac:dyDescent="0.3">
      <c r="A50" s="243">
        <v>19</v>
      </c>
      <c r="B50" s="244" t="s">
        <v>72</v>
      </c>
      <c r="C50" s="245">
        <f t="shared" ca="1" si="0"/>
        <v>2655720</v>
      </c>
      <c r="D50" s="246">
        <f t="shared" ca="1" si="76"/>
        <v>2482320</v>
      </c>
      <c r="E50" s="247">
        <f ca="1">IFERROR(__xludf.DUMMYFUNCTION("IMPORTRANGE(""https://docs.google.com/spreadsheets/d/1MeEWN-I1oV_STSDYn1IFDPWt_1FKiwhDph83XaGc0o0/edit?usp=sharing"",""งบพรบ!EX50"")"),315600)</f>
        <v>315600</v>
      </c>
      <c r="F50" s="247">
        <f ca="1">IFERROR(__xludf.DUMMYFUNCTION("IMPORTRANGE(""https://docs.google.com/spreadsheets/d/1MeEWN-I1oV_STSDYn1IFDPWt_1FKiwhDph83XaGc0o0/edit?usp=sharing"",""งบพรบ!EY50"")"),2166720)</f>
        <v>2166720</v>
      </c>
      <c r="G50" s="247">
        <f ca="1">IFERROR(__xludf.DUMMYFUNCTION("IMPORTRANGE(""https://docs.google.com/spreadsheets/d/1MeEWN-I1oV_STSDYn1IFDPWt_1FKiwhDph83XaGc0o0/edit?usp=sharing"",""งบพรบ!EZ50"")"),173400)</f>
        <v>173400</v>
      </c>
      <c r="H50" s="247">
        <f ca="1">IFERROR(__xludf.DUMMYFUNCTION("IMPORTRANGE(""https://docs.google.com/spreadsheets/d/1MeEWN-I1oV_STSDYn1IFDPWt_1FKiwhDph83XaGc0o0/edit?usp=sharing"",""งบพรบ!FB50"")"),2744332)</f>
        <v>2744332</v>
      </c>
      <c r="I50" s="247">
        <f ca="1">IFERROR(__xludf.DUMMYFUNCTION("IMPORTRANGE(""https://docs.google.com/spreadsheets/d/1MeEWN-I1oV_STSDYn1IFDPWt_1FKiwhDph83XaGc0o0/edit?usp=sharing"",""งบพรบ!FC50"")"),173400)</f>
        <v>173400</v>
      </c>
      <c r="J50" s="247">
        <f t="shared" ca="1" si="3"/>
        <v>2708058.06</v>
      </c>
      <c r="K50" s="253">
        <f t="shared" ca="1" si="4"/>
        <v>101.97076724955944</v>
      </c>
      <c r="L50" s="247">
        <f ca="1">IFERROR(__xludf.DUMMYFUNCTION("IMPORTRANGE(""https://docs.google.com/spreadsheets/d/1MeEWN-I1oV_STSDYn1IFDPWt_1FKiwhDph83XaGc0o0/edit?usp=sharing"",""งบพรบ!FD50"")"),2534658.06)</f>
        <v>2534658.06</v>
      </c>
      <c r="M50" s="250">
        <f t="shared" ca="1" si="5"/>
        <v>102.10843323987238</v>
      </c>
      <c r="N50" s="250">
        <f t="shared" ca="1" si="6"/>
        <v>92.359745832501318</v>
      </c>
      <c r="O50" s="251">
        <f ca="1">IFERROR(__xludf.DUMMYFUNCTION("IMPORTRANGE(""https://docs.google.com/spreadsheets/d/1MeEWN-I1oV_STSDYn1IFDPWt_1FKiwhDph83XaGc0o0/edit?usp=sharing"",""งบพรบ!FE50"")"),173400)</f>
        <v>173400</v>
      </c>
      <c r="P50" s="250">
        <f t="shared" ca="1" si="53"/>
        <v>100</v>
      </c>
      <c r="Q50" s="250">
        <f t="shared" ca="1" si="8"/>
        <v>100</v>
      </c>
      <c r="R50" s="248">
        <f ca="1">IFERROR(__xludf.DUMMYFUNCTION("IMPORTRANGE(""https://docs.google.com/spreadsheets/d/1hb_taSOHanzRjqfzWPiFo8yiT83VV1L7vvUCLhOiHKc/edit?usp=sharing"",""อุดรธานี!I359"")"),21000)</f>
        <v>21000</v>
      </c>
      <c r="S50" s="248">
        <f ca="1">IFERROR(__xludf.DUMMYFUNCTION("IMPORTRANGE(""https://docs.google.com/spreadsheets/d/1hb_taSOHanzRjqfzWPiFo8yiT83VV1L7vvUCLhOiHKc/edit?usp=sharing"",""อุดรธานี!J358"")"),1981)</f>
        <v>1981</v>
      </c>
      <c r="T50" s="248">
        <f ca="1">IFERROR(__xludf.DUMMYFUNCTION("IMPORTRANGE(""https://docs.google.com/spreadsheets/d/1hb_taSOHanzRjqfzWPiFo8yiT83VV1L7vvUCLhOiHKc/edit?usp=sharing"",""อุดรธานี!J359"")"),19694.8)</f>
        <v>19694.8</v>
      </c>
      <c r="U50" s="252">
        <f t="shared" ca="1" si="43"/>
        <v>93.784761904761908</v>
      </c>
      <c r="V50" s="248">
        <f ca="1">IFERROR(__xludf.DUMMYFUNCTION("IMPORTRANGE(""https://docs.google.com/spreadsheets/d/1hb_taSOHanzRjqfzWPiFo8yiT83VV1L7vvUCLhOiHKc/edit?usp=sharing"",""อุดรธานี!I360"")"),1650)</f>
        <v>1650</v>
      </c>
      <c r="W50" s="248">
        <f ca="1">IFERROR(__xludf.DUMMYFUNCTION("IMPORTRANGE(""https://docs.google.com/spreadsheets/d/1hb_taSOHanzRjqfzWPiFo8yiT83VV1L7vvUCLhOiHKc/edit?usp=sharing"",""อุดรธานี!J360"")"),2065)</f>
        <v>2065</v>
      </c>
      <c r="X50" s="248">
        <f ca="1">IFERROR(__xludf.DUMMYFUNCTION("IMPORTRANGE(""https://docs.google.com/spreadsheets/d/1hb_taSOHanzRjqfzWPiFo8yiT83VV1L7vvUCLhOiHKc/edit?usp=sharing"",""อุดรธานี!J361"")"),22458.57)</f>
        <v>22458.57</v>
      </c>
      <c r="Y50" s="252">
        <f t="shared" ca="1" si="44"/>
        <v>125.15151515151516</v>
      </c>
      <c r="Z50" s="248">
        <f ca="1">IFERROR(__xludf.DUMMYFUNCTION("IMPORTRANGE(""https://docs.google.com/spreadsheets/d/1hb_taSOHanzRjqfzWPiFo8yiT83VV1L7vvUCLhOiHKc/edit?usp=sharing"",""อุดรธานี!I362"")"),1650)</f>
        <v>1650</v>
      </c>
      <c r="AA50" s="248">
        <f ca="1">IFERROR(__xludf.DUMMYFUNCTION("IMPORTRANGE(""https://docs.google.com/spreadsheets/d/1hb_taSOHanzRjqfzWPiFo8yiT83VV1L7vvUCLhOiHKc/edit?usp=sharing"",""อุดรธานี!J362"")"),1245)</f>
        <v>1245</v>
      </c>
      <c r="AB50" s="248">
        <f ca="1">IFERROR(__xludf.DUMMYFUNCTION("IMPORTRANGE(""https://docs.google.com/spreadsheets/d/1hb_taSOHanzRjqfzWPiFo8yiT83VV1L7vvUCLhOiHKc/edit?usp=sharing"",""อุดรธานี!J363"")"),12409.82)</f>
        <v>12409.82</v>
      </c>
      <c r="AC50" s="252">
        <f t="shared" ca="1" si="45"/>
        <v>75.454545454545453</v>
      </c>
      <c r="AD50" s="248">
        <f ca="1">IFERROR(__xludf.DUMMYFUNCTION("IMPORTRANGE(""https://docs.google.com/spreadsheets/d/1hb_taSOHanzRjqfzWPiFo8yiT83VV1L7vvUCLhOiHKc/edit?usp=sharing"",""อุดรธานี!I364"")"),2150)</f>
        <v>2150</v>
      </c>
      <c r="AE50" s="248">
        <f ca="1">IFERROR(__xludf.DUMMYFUNCTION("IMPORTRANGE(""https://docs.google.com/spreadsheets/d/1hb_taSOHanzRjqfzWPiFo8yiT83VV1L7vvUCLhOiHKc/edit?usp=sharing"",""อุดรธานี!J364"")"),1755)</f>
        <v>1755</v>
      </c>
      <c r="AF50" s="252">
        <f t="shared" ca="1" si="16"/>
        <v>81.627906976744185</v>
      </c>
      <c r="AG50" s="248">
        <f ca="1">IFERROR(__xludf.DUMMYFUNCTION("IMPORTRANGE(""https://docs.google.com/spreadsheets/d/1hb_taSOHanzRjqfzWPiFo8yiT83VV1L7vvUCLhOiHKc/edit?usp=sharing"",""อุดรธานี!I369"")"),6000)</f>
        <v>6000</v>
      </c>
      <c r="AH50" s="248">
        <f ca="1">IFERROR(__xludf.DUMMYFUNCTION("IMPORTRANGE(""https://docs.google.com/spreadsheets/d/1hb_taSOHanzRjqfzWPiFo8yiT83VV1L7vvUCLhOiHKc/edit?usp=sharing"",""อุดรธานี!J368"")"),465)</f>
        <v>465</v>
      </c>
      <c r="AI50" s="248">
        <f ca="1">IFERROR(__xludf.DUMMYFUNCTION("IMPORTRANGE(""https://docs.google.com/spreadsheets/d/1hb_taSOHanzRjqfzWPiFo8yiT83VV1L7vvUCLhOiHKc/edit?usp=sharing"",""อุดรธานี!J369"")"),5236.99)</f>
        <v>5236.99</v>
      </c>
      <c r="AJ50" s="252">
        <f t="shared" ca="1" si="46"/>
        <v>87.283166666666673</v>
      </c>
      <c r="AK50" s="248">
        <f ca="1">IFERROR(__xludf.DUMMYFUNCTION("IMPORTRANGE(""https://docs.google.com/spreadsheets/d/1hb_taSOHanzRjqfzWPiFo8yiT83VV1L7vvUCLhOiHKc/edit?usp=sharing"",""อุดรธานี!I370"")"),400)</f>
        <v>400</v>
      </c>
      <c r="AL50" s="248">
        <f ca="1">IFERROR(__xludf.DUMMYFUNCTION("IMPORTRANGE(""https://docs.google.com/spreadsheets/d/1hb_taSOHanzRjqfzWPiFo8yiT83VV1L7vvUCLhOiHKc/edit?usp=sharing"",""อุดรธานี!J370"")"),444)</f>
        <v>444</v>
      </c>
      <c r="AM50" s="248">
        <f ca="1">IFERROR(__xludf.DUMMYFUNCTION("IMPORTRANGE(""https://docs.google.com/spreadsheets/d/1hb_taSOHanzRjqfzWPiFo8yiT83VV1L7vvUCLhOiHKc/edit?usp=sharing"",""อุดรธานี!J371"")"),5024.38)</f>
        <v>5024.38</v>
      </c>
      <c r="AN50" s="252">
        <f t="shared" ca="1" si="47"/>
        <v>111</v>
      </c>
      <c r="AO50" s="248">
        <f ca="1">IFERROR(__xludf.DUMMYFUNCTION("IMPORTRANGE(""https://docs.google.com/spreadsheets/d/1hb_taSOHanzRjqfzWPiFo8yiT83VV1L7vvUCLhOiHKc/edit?usp=sharing"",""อุดรธานี!I372"")"),400)</f>
        <v>400</v>
      </c>
      <c r="AP50" s="248">
        <f ca="1">IFERROR(__xludf.DUMMYFUNCTION("IMPORTRANGE(""https://docs.google.com/spreadsheets/d/1hb_taSOHanzRjqfzWPiFo8yiT83VV1L7vvUCLhOiHKc/edit?usp=sharing"",""อุดรธานี!J372"")"),429)</f>
        <v>429</v>
      </c>
      <c r="AQ50" s="248">
        <f ca="1">IFERROR(__xludf.DUMMYFUNCTION("IMPORTRANGE(""https://docs.google.com/spreadsheets/d/1hb_taSOHanzRjqfzWPiFo8yiT83VV1L7vvUCLhOiHKc/edit?usp=sharing"",""อุดรธานี!J373"")"),4784.04)</f>
        <v>4784.04</v>
      </c>
      <c r="AR50" s="252">
        <f t="shared" ca="1" si="48"/>
        <v>107.25</v>
      </c>
      <c r="AS50" s="248">
        <f ca="1">IFERROR(__xludf.DUMMYFUNCTION("IMPORTRANGE(""https://docs.google.com/spreadsheets/d/1hb_taSOHanzRjqfzWPiFo8yiT83VV1L7vvUCLhOiHKc/edit?usp=sharing"",""อุดรธานี!I378"")"),15000)</f>
        <v>15000</v>
      </c>
      <c r="AT50" s="248">
        <f ca="1">IFERROR(__xludf.DUMMYFUNCTION("IMPORTRANGE(""https://docs.google.com/spreadsheets/d/1hb_taSOHanzRjqfzWPiFo8yiT83VV1L7vvUCLhOiHKc/edit?usp=sharing"",""อุดรธานี!J377"")"),1516)</f>
        <v>1516</v>
      </c>
      <c r="AU50" s="248">
        <f ca="1">IFERROR(__xludf.DUMMYFUNCTION("IMPORTRANGE(""https://docs.google.com/spreadsheets/d/1hb_taSOHanzRjqfzWPiFo8yiT83VV1L7vvUCLhOiHKc/edit?usp=sharing"",""อุดรธานี!J378"")"),14457.81)</f>
        <v>14457.81</v>
      </c>
      <c r="AV50" s="252">
        <f t="shared" ca="1" si="49"/>
        <v>96.385400000000004</v>
      </c>
      <c r="AW50" s="248">
        <f ca="1">IFERROR(__xludf.DUMMYFUNCTION("IMPORTRANGE(""https://docs.google.com/spreadsheets/d/1hb_taSOHanzRjqfzWPiFo8yiT83VV1L7vvUCLhOiHKc/edit?usp=sharing"",""อุดรธานี!I379"")"),1750)</f>
        <v>1750</v>
      </c>
      <c r="AX50" s="248">
        <f ca="1">IFERROR(__xludf.DUMMYFUNCTION("IMPORTRANGE(""https://docs.google.com/spreadsheets/d/1hb_taSOHanzRjqfzWPiFo8yiT83VV1L7vvUCLhOiHKc/edit?usp=sharing"",""อุดรธานี!J379"")"),2135)</f>
        <v>2135</v>
      </c>
      <c r="AY50" s="248">
        <f ca="1">IFERROR(__xludf.DUMMYFUNCTION("IMPORTRANGE(""https://docs.google.com/spreadsheets/d/1hb_taSOHanzRjqfzWPiFo8yiT83VV1L7vvUCLhOiHKc/edit?usp=sharing"",""อุดรธานี!J380"")"),25169.5199999999)</f>
        <v>25169.519999999899</v>
      </c>
      <c r="AZ50" s="252">
        <f t="shared" ca="1" si="50"/>
        <v>122</v>
      </c>
      <c r="BA50" s="248">
        <f ca="1">IFERROR(__xludf.DUMMYFUNCTION("IMPORTRANGE(""https://docs.google.com/spreadsheets/d/1hb_taSOHanzRjqfzWPiFo8yiT83VV1L7vvUCLhOiHKc/edit?usp=sharing"",""อุดรธานี!I381"")"),1750)</f>
        <v>1750</v>
      </c>
      <c r="BB50" s="248">
        <f ca="1">IFERROR(__xludf.DUMMYFUNCTION("IMPORTRANGE(""https://docs.google.com/spreadsheets/d/1hb_taSOHanzRjqfzWPiFo8yiT83VV1L7vvUCLhOiHKc/edit?usp=sharing"",""อุดรธานี!J381"")"),1326)</f>
        <v>1326</v>
      </c>
      <c r="BC50" s="248">
        <f ca="1">IFERROR(__xludf.DUMMYFUNCTION("IMPORTRANGE(""https://docs.google.com/spreadsheets/d/1hb_taSOHanzRjqfzWPiFo8yiT83VV1L7vvUCLhOiHKc/edit?usp=sharing"",""อุดรธานี!J382"")"),15291.14)</f>
        <v>15291.14</v>
      </c>
      <c r="BD50" s="252">
        <f t="shared" ca="1" si="51"/>
        <v>75.771428571428572</v>
      </c>
    </row>
    <row r="51" spans="1:56" ht="21" customHeight="1" x14ac:dyDescent="0.3">
      <c r="A51" s="254">
        <v>20</v>
      </c>
      <c r="B51" s="255" t="s">
        <v>73</v>
      </c>
      <c r="C51" s="256">
        <f t="shared" ca="1" si="0"/>
        <v>2256200</v>
      </c>
      <c r="D51" s="257">
        <f t="shared" ca="1" si="76"/>
        <v>2180200</v>
      </c>
      <c r="E51" s="258">
        <f ca="1">IFERROR(__xludf.DUMMYFUNCTION("IMPORTRANGE(""https://docs.google.com/spreadsheets/d/1MeEWN-I1oV_STSDYn1IFDPWt_1FKiwhDph83XaGc0o0/edit?usp=sharing"",""งบพรบ!EX51"")"),517200)</f>
        <v>517200</v>
      </c>
      <c r="F51" s="258">
        <f ca="1">IFERROR(__xludf.DUMMYFUNCTION("IMPORTRANGE(""https://docs.google.com/spreadsheets/d/1MeEWN-I1oV_STSDYn1IFDPWt_1FKiwhDph83XaGc0o0/edit?usp=sharing"",""งบพรบ!EY51"")"),1663000)</f>
        <v>1663000</v>
      </c>
      <c r="G51" s="258">
        <f ca="1">IFERROR(__xludf.DUMMYFUNCTION("IMPORTRANGE(""https://docs.google.com/spreadsheets/d/1MeEWN-I1oV_STSDYn1IFDPWt_1FKiwhDph83XaGc0o0/edit?usp=sharing"",""งบพรบ!EZ51"")"),76000)</f>
        <v>76000</v>
      </c>
      <c r="H51" s="258">
        <f ca="1">IFERROR(__xludf.DUMMYFUNCTION("IMPORTRANGE(""https://docs.google.com/spreadsheets/d/1MeEWN-I1oV_STSDYn1IFDPWt_1FKiwhDph83XaGc0o0/edit?usp=sharing"",""งบพรบ!FB51"")"),2570200)</f>
        <v>2570200</v>
      </c>
      <c r="I51" s="258">
        <f ca="1">IFERROR(__xludf.DUMMYFUNCTION("IMPORTRANGE(""https://docs.google.com/spreadsheets/d/1MeEWN-I1oV_STSDYn1IFDPWt_1FKiwhDph83XaGc0o0/edit?usp=sharing"",""งบพรบ!FC51"")"),160000)</f>
        <v>160000</v>
      </c>
      <c r="J51" s="258">
        <f t="shared" ca="1" si="3"/>
        <v>2411948.9700000002</v>
      </c>
      <c r="K51" s="259">
        <f t="shared" ca="1" si="4"/>
        <v>106.90315441893451</v>
      </c>
      <c r="L51" s="258">
        <f ca="1">IFERROR(__xludf.DUMMYFUNCTION("IMPORTRANGE(""https://docs.google.com/spreadsheets/d/1MeEWN-I1oV_STSDYn1IFDPWt_1FKiwhDph83XaGc0o0/edit?usp=sharing"",""งบพรบ!FD51"")"),2251948.97)</f>
        <v>2251948.9700000002</v>
      </c>
      <c r="M51" s="260">
        <f t="shared" ca="1" si="5"/>
        <v>103.29093523529953</v>
      </c>
      <c r="N51" s="260">
        <f t="shared" ca="1" si="6"/>
        <v>87.617655046299916</v>
      </c>
      <c r="O51" s="261">
        <f ca="1">IFERROR(__xludf.DUMMYFUNCTION("IMPORTRANGE(""https://docs.google.com/spreadsheets/d/1MeEWN-I1oV_STSDYn1IFDPWt_1FKiwhDph83XaGc0o0/edit?usp=sharing"",""งบพรบ!FE51"")"),160000)</f>
        <v>160000</v>
      </c>
      <c r="P51" s="260">
        <f t="shared" ca="1" si="53"/>
        <v>210.52631578947367</v>
      </c>
      <c r="Q51" s="260">
        <f t="shared" ca="1" si="8"/>
        <v>100</v>
      </c>
      <c r="R51" s="287">
        <f ca="1">IFERROR(__xludf.DUMMYFUNCTION("IMPORTRANGE(""https://docs.google.com/spreadsheets/d/17IOkEwkUd63EGNfyNDnM5de9YlZ7rwzTiW6-dokVjKI/edit?usp=sharing"",""อุบลราชธานี!I359"")"),16000)</f>
        <v>16000</v>
      </c>
      <c r="S51" s="287">
        <f ca="1">IFERROR(__xludf.DUMMYFUNCTION("IMPORTRANGE(""https://docs.google.com/spreadsheets/d/17IOkEwkUd63EGNfyNDnM5de9YlZ7rwzTiW6-dokVjKI/edit?usp=sharing"",""อุบลราชธานี!J358"")"),1869)</f>
        <v>1869</v>
      </c>
      <c r="T51" s="287">
        <f ca="1">IFERROR(__xludf.DUMMYFUNCTION("IMPORTRANGE(""https://docs.google.com/spreadsheets/d/17IOkEwkUd63EGNfyNDnM5de9YlZ7rwzTiW6-dokVjKI/edit?usp=sharing"",""อุบลราชธานี!J359"")"),15205.38)</f>
        <v>15205.38</v>
      </c>
      <c r="U51" s="263">
        <f t="shared" ca="1" si="43"/>
        <v>95.033625000000001</v>
      </c>
      <c r="V51" s="287">
        <f ca="1">IFERROR(__xludf.DUMMYFUNCTION("IMPORTRANGE(""https://docs.google.com/spreadsheets/d/17IOkEwkUd63EGNfyNDnM5de9YlZ7rwzTiW6-dokVjKI/edit?usp=sharing"",""อุบลราชธานี!I360"")"),1600)</f>
        <v>1600</v>
      </c>
      <c r="W51" s="287">
        <f ca="1">IFERROR(__xludf.DUMMYFUNCTION("IMPORTRANGE(""https://docs.google.com/spreadsheets/d/17IOkEwkUd63EGNfyNDnM5de9YlZ7rwzTiW6-dokVjKI/edit?usp=sharing"",""อุบลราชธานี!J360"")"),1607)</f>
        <v>1607</v>
      </c>
      <c r="X51" s="287">
        <f ca="1">IFERROR(__xludf.DUMMYFUNCTION("IMPORTRANGE(""https://docs.google.com/spreadsheets/d/17IOkEwkUd63EGNfyNDnM5de9YlZ7rwzTiW6-dokVjKI/edit?usp=sharing"",""อุบลราชธานี!J361"")"),13347.46)</f>
        <v>13347.46</v>
      </c>
      <c r="Y51" s="263">
        <f t="shared" ca="1" si="44"/>
        <v>100.4375</v>
      </c>
      <c r="Z51" s="287">
        <f ca="1">IFERROR(__xludf.DUMMYFUNCTION("IMPORTRANGE(""https://docs.google.com/spreadsheets/d/17IOkEwkUd63EGNfyNDnM5de9YlZ7rwzTiW6-dokVjKI/edit?usp=sharing"",""อุบลราชธานี!I362"")"),1600)</f>
        <v>1600</v>
      </c>
      <c r="AA51" s="287">
        <f ca="1">IFERROR(__xludf.DUMMYFUNCTION("IMPORTRANGE(""https://docs.google.com/spreadsheets/d/17IOkEwkUd63EGNfyNDnM5de9YlZ7rwzTiW6-dokVjKI/edit?usp=sharing"",""อุบลราชธานี!J362"")"),1176)</f>
        <v>1176</v>
      </c>
      <c r="AB51" s="287">
        <f ca="1">IFERROR(__xludf.DUMMYFUNCTION("IMPORTRANGE(""https://docs.google.com/spreadsheets/d/17IOkEwkUd63EGNfyNDnM5de9YlZ7rwzTiW6-dokVjKI/edit?usp=sharing"",""อุบลราชธานี!J363"")"),9680.71)</f>
        <v>9680.7099999999991</v>
      </c>
      <c r="AC51" s="263">
        <f t="shared" ca="1" si="45"/>
        <v>73.5</v>
      </c>
      <c r="AD51" s="287">
        <f ca="1">IFERROR(__xludf.DUMMYFUNCTION("IMPORTRANGE(""https://docs.google.com/spreadsheets/d/17IOkEwkUd63EGNfyNDnM5de9YlZ7rwzTiW6-dokVjKI/edit?usp=sharing"",""อุบลราชธานี!I364"")"),1800)</f>
        <v>1800</v>
      </c>
      <c r="AE51" s="287">
        <f ca="1">IFERROR(__xludf.DUMMYFUNCTION("IMPORTRANGE(""https://docs.google.com/spreadsheets/d/17IOkEwkUd63EGNfyNDnM5de9YlZ7rwzTiW6-dokVjKI/edit?usp=sharing"",""อุบลราชธานี!J364"")"),1577)</f>
        <v>1577</v>
      </c>
      <c r="AF51" s="263">
        <f t="shared" ca="1" si="16"/>
        <v>87.611111111111114</v>
      </c>
      <c r="AG51" s="287">
        <f ca="1">IFERROR(__xludf.DUMMYFUNCTION("IMPORTRANGE(""https://docs.google.com/spreadsheets/d/17IOkEwkUd63EGNfyNDnM5de9YlZ7rwzTiW6-dokVjKI/edit?usp=sharing"",""อุบลราชธานี!I369"")"),3000)</f>
        <v>3000</v>
      </c>
      <c r="AH51" s="287">
        <f ca="1">IFERROR(__xludf.DUMMYFUNCTION("IMPORTRANGE(""https://docs.google.com/spreadsheets/d/17IOkEwkUd63EGNfyNDnM5de9YlZ7rwzTiW6-dokVjKI/edit?usp=sharing"",""อุบลราชธานี!J368"")"),580)</f>
        <v>580</v>
      </c>
      <c r="AI51" s="287">
        <f ca="1">IFERROR(__xludf.DUMMYFUNCTION("IMPORTRANGE(""https://docs.google.com/spreadsheets/d/17IOkEwkUd63EGNfyNDnM5de9YlZ7rwzTiW6-dokVjKI/edit?usp=sharing"",""อุบลราชธานี!J369"")"),3959.62)</f>
        <v>3959.62</v>
      </c>
      <c r="AJ51" s="263">
        <f t="shared" ca="1" si="46"/>
        <v>131.98733333333334</v>
      </c>
      <c r="AK51" s="287">
        <f ca="1">IFERROR(__xludf.DUMMYFUNCTION("IMPORTRANGE(""https://docs.google.com/spreadsheets/d/17IOkEwkUd63EGNfyNDnM5de9YlZ7rwzTiW6-dokVjKI/edit?usp=sharing"",""อุบลราชธานี!I370"")"),300)</f>
        <v>300</v>
      </c>
      <c r="AL51" s="287">
        <f ca="1">IFERROR(__xludf.DUMMYFUNCTION("IMPORTRANGE(""https://docs.google.com/spreadsheets/d/17IOkEwkUd63EGNfyNDnM5de9YlZ7rwzTiW6-dokVjKI/edit?usp=sharing"",""อุบลราชธานี!J370"")"),318)</f>
        <v>318</v>
      </c>
      <c r="AM51" s="287">
        <f ca="1">IFERROR(__xludf.DUMMYFUNCTION("IMPORTRANGE(""https://docs.google.com/spreadsheets/d/17IOkEwkUd63EGNfyNDnM5de9YlZ7rwzTiW6-dokVjKI/edit?usp=sharing"",""อุบลราชธานี!J371"")"),2127.53)</f>
        <v>2127.5300000000002</v>
      </c>
      <c r="AN51" s="263">
        <f t="shared" ca="1" si="47"/>
        <v>106</v>
      </c>
      <c r="AO51" s="287">
        <f ca="1">IFERROR(__xludf.DUMMYFUNCTION("IMPORTRANGE(""https://docs.google.com/spreadsheets/d/17IOkEwkUd63EGNfyNDnM5de9YlZ7rwzTiW6-dokVjKI/edit?usp=sharing"",""อุบลราชธานี!I372"")"),300)</f>
        <v>300</v>
      </c>
      <c r="AP51" s="287">
        <f ca="1">IFERROR(__xludf.DUMMYFUNCTION("IMPORTRANGE(""https://docs.google.com/spreadsheets/d/17IOkEwkUd63EGNfyNDnM5de9YlZ7rwzTiW6-dokVjKI/edit?usp=sharing"",""อุบลราชธานี!J372"")"),297)</f>
        <v>297</v>
      </c>
      <c r="AQ51" s="287">
        <f ca="1">IFERROR(__xludf.DUMMYFUNCTION("IMPORTRANGE(""https://docs.google.com/spreadsheets/d/17IOkEwkUd63EGNfyNDnM5de9YlZ7rwzTiW6-dokVjKI/edit?usp=sharing"",""อุบลราชธานี!J373"")"),1899.51)</f>
        <v>1899.51</v>
      </c>
      <c r="AR51" s="263">
        <f t="shared" ca="1" si="48"/>
        <v>99</v>
      </c>
      <c r="AS51" s="287">
        <f ca="1">IFERROR(__xludf.DUMMYFUNCTION("IMPORTRANGE(""https://docs.google.com/spreadsheets/d/17IOkEwkUd63EGNfyNDnM5de9YlZ7rwzTiW6-dokVjKI/edit?usp=sharing"",""อุบลราชธานี!I378"")"),13000)</f>
        <v>13000</v>
      </c>
      <c r="AT51" s="287">
        <f ca="1">IFERROR(__xludf.DUMMYFUNCTION("IMPORTRANGE(""https://docs.google.com/spreadsheets/d/17IOkEwkUd63EGNfyNDnM5de9YlZ7rwzTiW6-dokVjKI/edit?usp=sharing"",""อุบลราชธานี!J377"")"),1289)</f>
        <v>1289</v>
      </c>
      <c r="AU51" s="287">
        <f ca="1">IFERROR(__xludf.DUMMYFUNCTION("IMPORTRANGE(""https://docs.google.com/spreadsheets/d/17IOkEwkUd63EGNfyNDnM5de9YlZ7rwzTiW6-dokVjKI/edit?usp=sharing"",""อุบลราชธานี!J378"")"),11245.76)</f>
        <v>11245.76</v>
      </c>
      <c r="AV51" s="263">
        <f t="shared" ca="1" si="49"/>
        <v>86.50584615384615</v>
      </c>
      <c r="AW51" s="287">
        <f ca="1">IFERROR(__xludf.DUMMYFUNCTION("IMPORTRANGE(""https://docs.google.com/spreadsheets/d/17IOkEwkUd63EGNfyNDnM5de9YlZ7rwzTiW6-dokVjKI/edit?usp=sharing"",""อุบลราชธานี!I379"")"),1500)</f>
        <v>1500</v>
      </c>
      <c r="AX51" s="287">
        <f ca="1">IFERROR(__xludf.DUMMYFUNCTION("IMPORTRANGE(""https://docs.google.com/spreadsheets/d/17IOkEwkUd63EGNfyNDnM5de9YlZ7rwzTiW6-dokVjKI/edit?usp=sharing"",""อุบลราชธานี!J379"")"),1690)</f>
        <v>1690</v>
      </c>
      <c r="AY51" s="287">
        <f ca="1">IFERROR(__xludf.DUMMYFUNCTION("IMPORTRANGE(""https://docs.google.com/spreadsheets/d/17IOkEwkUd63EGNfyNDnM5de9YlZ7rwzTiW6-dokVjKI/edit?usp=sharing"",""อุบลราชธานี!J380"")"),15998.66)</f>
        <v>15998.66</v>
      </c>
      <c r="AZ51" s="263">
        <f t="shared" ca="1" si="50"/>
        <v>112.66666666666667</v>
      </c>
      <c r="BA51" s="287">
        <f ca="1">IFERROR(__xludf.DUMMYFUNCTION("IMPORTRANGE(""https://docs.google.com/spreadsheets/d/17IOkEwkUd63EGNfyNDnM5de9YlZ7rwzTiW6-dokVjKI/edit?usp=sharing"",""อุบลราชธานี!I381"")"),1500)</f>
        <v>1500</v>
      </c>
      <c r="BB51" s="287">
        <f ca="1">IFERROR(__xludf.DUMMYFUNCTION("IMPORTRANGE(""https://docs.google.com/spreadsheets/d/17IOkEwkUd63EGNfyNDnM5de9YlZ7rwzTiW6-dokVjKI/edit?usp=sharing"",""อุบลราชธานี!J381"")"),1280)</f>
        <v>1280</v>
      </c>
      <c r="BC51" s="287">
        <f ca="1">IFERROR(__xludf.DUMMYFUNCTION("IMPORTRANGE(""https://docs.google.com/spreadsheets/d/17IOkEwkUd63EGNfyNDnM5de9YlZ7rwzTiW6-dokVjKI/edit?usp=sharing"",""อุบลราชธานี!J382"")"),12559.93)</f>
        <v>12559.93</v>
      </c>
      <c r="BD51" s="263">
        <f t="shared" ca="1" si="51"/>
        <v>85.333333333333329</v>
      </c>
    </row>
    <row r="52" spans="1:56" ht="21" customHeight="1" x14ac:dyDescent="0.3">
      <c r="A52" s="443" t="s">
        <v>74</v>
      </c>
      <c r="B52" s="414"/>
      <c r="C52" s="224">
        <f t="shared" ca="1" si="0"/>
        <v>13975670</v>
      </c>
      <c r="D52" s="224">
        <f t="shared" ref="D52:I52" ca="1" si="77">SUM(D53:D73)</f>
        <v>11809970</v>
      </c>
      <c r="E52" s="224">
        <f t="shared" ca="1" si="77"/>
        <v>4479600</v>
      </c>
      <c r="F52" s="224">
        <f t="shared" ca="1" si="77"/>
        <v>7330370</v>
      </c>
      <c r="G52" s="224">
        <f t="shared" ca="1" si="77"/>
        <v>2165700</v>
      </c>
      <c r="H52" s="224">
        <f t="shared" ca="1" si="77"/>
        <v>13383185</v>
      </c>
      <c r="I52" s="224">
        <f t="shared" ca="1" si="77"/>
        <v>2163440</v>
      </c>
      <c r="J52" s="224">
        <f t="shared" ca="1" si="3"/>
        <v>13417516.380000001</v>
      </c>
      <c r="K52" s="225">
        <f t="shared" ca="1" si="4"/>
        <v>96.006247857884446</v>
      </c>
      <c r="L52" s="224">
        <f ca="1">SUM(L53:L73)</f>
        <v>11254076.380000001</v>
      </c>
      <c r="M52" s="226">
        <f t="shared" ca="1" si="5"/>
        <v>95.293014122813176</v>
      </c>
      <c r="N52" s="226">
        <f t="shared" ca="1" si="6"/>
        <v>84.091166489890114</v>
      </c>
      <c r="O52" s="227">
        <f ca="1">SUM(O53:O73)</f>
        <v>2163440</v>
      </c>
      <c r="P52" s="226">
        <f t="shared" ca="1" si="53"/>
        <v>99.895645749642142</v>
      </c>
      <c r="Q52" s="226">
        <f t="shared" ca="1" si="8"/>
        <v>100</v>
      </c>
      <c r="R52" s="224">
        <f t="shared" ref="R52:T52" ca="1" si="78">SUM(R53:R73)</f>
        <v>37611</v>
      </c>
      <c r="S52" s="224">
        <f t="shared" ca="1" si="78"/>
        <v>3609</v>
      </c>
      <c r="T52" s="224">
        <f t="shared" ca="1" si="78"/>
        <v>39561.759999999987</v>
      </c>
      <c r="U52" s="226">
        <f t="shared" ca="1" si="43"/>
        <v>105.18667411129719</v>
      </c>
      <c r="V52" s="224">
        <f t="shared" ref="V52:X52" ca="1" si="79">SUM(V53:V73)</f>
        <v>3288</v>
      </c>
      <c r="W52" s="224">
        <f t="shared" ca="1" si="79"/>
        <v>2808</v>
      </c>
      <c r="X52" s="224">
        <f t="shared" ca="1" si="79"/>
        <v>31007.139999999985</v>
      </c>
      <c r="Y52" s="226">
        <f t="shared" ca="1" si="44"/>
        <v>85.401459854014604</v>
      </c>
      <c r="Z52" s="224">
        <f t="shared" ref="Z52:AB52" ca="1" si="80">SUM(Z53:Z73)</f>
        <v>3288</v>
      </c>
      <c r="AA52" s="224">
        <f t="shared" ca="1" si="80"/>
        <v>2229</v>
      </c>
      <c r="AB52" s="224">
        <f t="shared" ca="1" si="80"/>
        <v>25108.649999999991</v>
      </c>
      <c r="AC52" s="226">
        <f t="shared" ca="1" si="45"/>
        <v>67.791970802919707</v>
      </c>
      <c r="AD52" s="224">
        <f t="shared" ref="AD52:AE52" ca="1" si="81">SUM(AD53:AD73)</f>
        <v>5098</v>
      </c>
      <c r="AE52" s="224">
        <f t="shared" ca="1" si="81"/>
        <v>4920</v>
      </c>
      <c r="AF52" s="226">
        <f t="shared" ca="1" si="16"/>
        <v>96.508434680266774</v>
      </c>
      <c r="AG52" s="224">
        <f t="shared" ref="AG52:AI52" ca="1" si="82">SUM(AG53:AG73)</f>
        <v>14663</v>
      </c>
      <c r="AH52" s="224">
        <f t="shared" ca="1" si="82"/>
        <v>1393</v>
      </c>
      <c r="AI52" s="224">
        <f t="shared" ca="1" si="82"/>
        <v>19117.22</v>
      </c>
      <c r="AJ52" s="226">
        <f t="shared" ca="1" si="46"/>
        <v>130.37727613721611</v>
      </c>
      <c r="AK52" s="224">
        <f t="shared" ref="AK52:AM52" ca="1" si="83">SUM(AK53:AK73)</f>
        <v>1208</v>
      </c>
      <c r="AL52" s="224">
        <f t="shared" ca="1" si="83"/>
        <v>1194</v>
      </c>
      <c r="AM52" s="224">
        <f t="shared" ca="1" si="83"/>
        <v>15996.700000000003</v>
      </c>
      <c r="AN52" s="226">
        <f t="shared" ca="1" si="47"/>
        <v>98.841059602649011</v>
      </c>
      <c r="AO52" s="224">
        <f t="shared" ref="AO52:AQ52" ca="1" si="84">SUM(AO53:AO73)</f>
        <v>1208</v>
      </c>
      <c r="AP52" s="224">
        <f t="shared" ca="1" si="84"/>
        <v>1006</v>
      </c>
      <c r="AQ52" s="224">
        <f t="shared" ca="1" si="84"/>
        <v>13902.53</v>
      </c>
      <c r="AR52" s="226">
        <f t="shared" ca="1" si="48"/>
        <v>83.278145695364245</v>
      </c>
      <c r="AS52" s="224">
        <f t="shared" ref="AS52:AU52" ca="1" si="85">SUM(AS53:AS73)</f>
        <v>22948</v>
      </c>
      <c r="AT52" s="224">
        <f t="shared" ca="1" si="85"/>
        <v>2216</v>
      </c>
      <c r="AU52" s="224">
        <f t="shared" ca="1" si="85"/>
        <v>20444.54</v>
      </c>
      <c r="AV52" s="226">
        <f t="shared" ca="1" si="49"/>
        <v>89.090726860728608</v>
      </c>
      <c r="AW52" s="224">
        <f t="shared" ref="AW52:AY52" ca="1" si="86">SUM(AW53:AW73)</f>
        <v>3890</v>
      </c>
      <c r="AX52" s="224">
        <f t="shared" ca="1" si="86"/>
        <v>4253</v>
      </c>
      <c r="AY52" s="224">
        <f t="shared" ca="1" si="86"/>
        <v>56775.179999999884</v>
      </c>
      <c r="AZ52" s="226">
        <f t="shared" ca="1" si="50"/>
        <v>109.33161953727506</v>
      </c>
      <c r="BA52" s="224">
        <f t="shared" ref="BA52:BC52" ca="1" si="87">SUM(BA53:BA73)</f>
        <v>3890</v>
      </c>
      <c r="BB52" s="224">
        <f t="shared" ca="1" si="87"/>
        <v>3914</v>
      </c>
      <c r="BC52" s="224">
        <f t="shared" ca="1" si="87"/>
        <v>54122.50999999998</v>
      </c>
      <c r="BD52" s="226">
        <f t="shared" ca="1" si="51"/>
        <v>100.61696658097686</v>
      </c>
    </row>
    <row r="53" spans="1:56" ht="21" customHeight="1" x14ac:dyDescent="0.3">
      <c r="A53" s="243">
        <v>1</v>
      </c>
      <c r="B53" s="244" t="s">
        <v>75</v>
      </c>
      <c r="C53" s="245">
        <f t="shared" ca="1" si="0"/>
        <v>1015940</v>
      </c>
      <c r="D53" s="246">
        <f t="shared" ref="D53:D73" ca="1" si="88">+E53+F53</f>
        <v>895340</v>
      </c>
      <c r="E53" s="247">
        <f ca="1">IFERROR(__xludf.DUMMYFUNCTION("IMPORTRANGE(""https://docs.google.com/spreadsheets/d/1MeEWN-I1oV_STSDYn1IFDPWt_1FKiwhDph83XaGc0o0/edit?usp=sharing"",""งบพรบ!EX53"")"),543600)</f>
        <v>543600</v>
      </c>
      <c r="F53" s="247">
        <f ca="1">IFERROR(__xludf.DUMMYFUNCTION("IMPORTRANGE(""https://docs.google.com/spreadsheets/d/1MeEWN-I1oV_STSDYn1IFDPWt_1FKiwhDph83XaGc0o0/edit?usp=sharing"",""งบพรบ!EY53"")"),351740)</f>
        <v>351740</v>
      </c>
      <c r="G53" s="248">
        <f ca="1">IFERROR(__xludf.DUMMYFUNCTION("IMPORTRANGE(""https://docs.google.com/spreadsheets/d/1MeEWN-I1oV_STSDYn1IFDPWt_1FKiwhDph83XaGc0o0/edit?usp=sharing"",""งบพรบ!EZ53"")"),120600)</f>
        <v>120600</v>
      </c>
      <c r="H53" s="248">
        <f ca="1">IFERROR(__xludf.DUMMYFUNCTION("IMPORTRANGE(""https://docs.google.com/spreadsheets/d/1MeEWN-I1oV_STSDYn1IFDPWt_1FKiwhDph83XaGc0o0/edit?usp=sharing"",""งบพรบ!FB53"")"),1140380)</f>
        <v>1140380</v>
      </c>
      <c r="I53" s="248">
        <f ca="1">IFERROR(__xludf.DUMMYFUNCTION("IMPORTRANGE(""https://docs.google.com/spreadsheets/d/1MeEWN-I1oV_STSDYn1IFDPWt_1FKiwhDph83XaGc0o0/edit?usp=sharing"",""งบพรบ!FC53"")"),120600)</f>
        <v>120600</v>
      </c>
      <c r="J53" s="248">
        <f t="shared" ca="1" si="3"/>
        <v>1047237</v>
      </c>
      <c r="K53" s="249">
        <f t="shared" ca="1" si="4"/>
        <v>103.0805953107467</v>
      </c>
      <c r="L53" s="248">
        <f ca="1">IFERROR(__xludf.DUMMYFUNCTION("IMPORTRANGE(""https://docs.google.com/spreadsheets/d/1MeEWN-I1oV_STSDYn1IFDPWt_1FKiwhDph83XaGc0o0/edit?usp=sharing"",""งบพรบ!FD53"")"),926637)</f>
        <v>926637</v>
      </c>
      <c r="M53" s="250">
        <f t="shared" ca="1" si="5"/>
        <v>103.49554359237831</v>
      </c>
      <c r="N53" s="250">
        <f t="shared" ca="1" si="6"/>
        <v>81.256861747838443</v>
      </c>
      <c r="O53" s="251">
        <f ca="1">IFERROR(__xludf.DUMMYFUNCTION("IMPORTRANGE(""https://docs.google.com/spreadsheets/d/1MeEWN-I1oV_STSDYn1IFDPWt_1FKiwhDph83XaGc0o0/edit?usp=sharing"",""งบพรบ!FE53"")"),120600)</f>
        <v>120600</v>
      </c>
      <c r="P53" s="250">
        <f t="shared" ca="1" si="53"/>
        <v>100</v>
      </c>
      <c r="Q53" s="250">
        <f t="shared" ca="1" si="8"/>
        <v>100</v>
      </c>
      <c r="R53" s="248">
        <f ca="1">IFERROR(__xludf.DUMMYFUNCTION("IMPORTRANGE(""https://docs.google.com/spreadsheets/d/1hKO5uv94SSRZWOvrh72HRcpyoEQF9TsE_Cvxl77XNU4/edit?usp=sharing"",""กาญจนบุรี!I359"")"),3000)</f>
        <v>3000</v>
      </c>
      <c r="S53" s="248">
        <f ca="1">IFERROR(__xludf.DUMMYFUNCTION("IMPORTRANGE(""https://docs.google.com/spreadsheets/d/1hKO5uv94SSRZWOvrh72HRcpyoEQF9TsE_Cvxl77XNU4/edit?usp=sharing"",""กาญจนบุรี!J358"")"),288)</f>
        <v>288</v>
      </c>
      <c r="T53" s="248">
        <f ca="1">IFERROR(__xludf.DUMMYFUNCTION("IMPORTRANGE(""https://docs.google.com/spreadsheets/d/1hKO5uv94SSRZWOvrh72HRcpyoEQF9TsE_Cvxl77XNU4/edit?usp=sharing"",""กาญจนบุรี!J359"")"),3252.21)</f>
        <v>3252.21</v>
      </c>
      <c r="U53" s="252">
        <f t="shared" ca="1" si="43"/>
        <v>108.407</v>
      </c>
      <c r="V53" s="248">
        <f ca="1">IFERROR(__xludf.DUMMYFUNCTION("IMPORTRANGE(""https://docs.google.com/spreadsheets/d/1hKO5uv94SSRZWOvrh72HRcpyoEQF9TsE_Cvxl77XNU4/edit?usp=sharing"",""กาญจนบุรี!I360"")"),300)</f>
        <v>300</v>
      </c>
      <c r="W53" s="248">
        <f ca="1">IFERROR(__xludf.DUMMYFUNCTION("IMPORTRANGE(""https://docs.google.com/spreadsheets/d/1hKO5uv94SSRZWOvrh72HRcpyoEQF9TsE_Cvxl77XNU4/edit?usp=sharing"",""กาญจนบุรี!J360"")"),49)</f>
        <v>49</v>
      </c>
      <c r="X53" s="248">
        <f ca="1">IFERROR(__xludf.DUMMYFUNCTION("IMPORTRANGE(""https://docs.google.com/spreadsheets/d/1hKO5uv94SSRZWOvrh72HRcpyoEQF9TsE_Cvxl77XNU4/edit?usp=sharing"",""กาญจนบุรี!J361"")"),605.449999999999)</f>
        <v>605.44999999999902</v>
      </c>
      <c r="Y53" s="252">
        <f t="shared" ca="1" si="44"/>
        <v>16.333333333333332</v>
      </c>
      <c r="Z53" s="248">
        <f ca="1">IFERROR(__xludf.DUMMYFUNCTION("IMPORTRANGE(""https://docs.google.com/spreadsheets/d/1hKO5uv94SSRZWOvrh72HRcpyoEQF9TsE_Cvxl77XNU4/edit?usp=sharing"",""กาญจนบุรี!I362"")"),300)</f>
        <v>300</v>
      </c>
      <c r="AA53" s="248">
        <f ca="1">IFERROR(__xludf.DUMMYFUNCTION("IMPORTRANGE(""https://docs.google.com/spreadsheets/d/1hKO5uv94SSRZWOvrh72HRcpyoEQF9TsE_Cvxl77XNU4/edit?usp=sharing"",""กาญจนบุรี!J362"")"),34)</f>
        <v>34</v>
      </c>
      <c r="AB53" s="248">
        <f ca="1">IFERROR(__xludf.DUMMYFUNCTION("IMPORTRANGE(""https://docs.google.com/spreadsheets/d/1hKO5uv94SSRZWOvrh72HRcpyoEQF9TsE_Cvxl77XNU4/edit?usp=sharing"",""กาญจนบุรี!J363"")"),482.6)</f>
        <v>482.6</v>
      </c>
      <c r="AC53" s="252">
        <f t="shared" ca="1" si="45"/>
        <v>11.333333333333334</v>
      </c>
      <c r="AD53" s="248">
        <f ca="1">IFERROR(__xludf.DUMMYFUNCTION("IMPORTRANGE(""https://docs.google.com/spreadsheets/d/1hKO5uv94SSRZWOvrh72HRcpyoEQF9TsE_Cvxl77XNU4/edit?usp=sharing"",""กาญจนบุรี!I364"")"),340)</f>
        <v>340</v>
      </c>
      <c r="AE53" s="248">
        <f ca="1">IFERROR(__xludf.DUMMYFUNCTION("IMPORTRANGE(""https://docs.google.com/spreadsheets/d/1hKO5uv94SSRZWOvrh72HRcpyoEQF9TsE_Cvxl77XNU4/edit?usp=sharing"",""กาญจนบุรี!J364"")"),138)</f>
        <v>138</v>
      </c>
      <c r="AF53" s="252">
        <f t="shared" ca="1" si="16"/>
        <v>40.588235294117645</v>
      </c>
      <c r="AG53" s="248">
        <f ca="1">IFERROR(__xludf.DUMMYFUNCTION("IMPORTRANGE(""https://docs.google.com/spreadsheets/d/1hKO5uv94SSRZWOvrh72HRcpyoEQF9TsE_Cvxl77XNU4/edit?usp=sharing"",""กาญจนบุรี!I369"")"),1000)</f>
        <v>1000</v>
      </c>
      <c r="AH53" s="248">
        <f ca="1">IFERROR(__xludf.DUMMYFUNCTION("IMPORTRANGE(""https://docs.google.com/spreadsheets/d/1hKO5uv94SSRZWOvrh72HRcpyoEQF9TsE_Cvxl77XNU4/edit?usp=sharing"",""กาญจนบุรี!J368"")"),81)</f>
        <v>81</v>
      </c>
      <c r="AI53" s="248">
        <f ca="1">IFERROR(__xludf.DUMMYFUNCTION("IMPORTRANGE(""https://docs.google.com/spreadsheets/d/1hKO5uv94SSRZWOvrh72HRcpyoEQF9TsE_Cvxl77XNU4/edit?usp=sharing"",""กาญจนบุรี!J369"")"),1543.84)</f>
        <v>1543.84</v>
      </c>
      <c r="AJ53" s="252">
        <f t="shared" ca="1" si="46"/>
        <v>154.38399999999999</v>
      </c>
      <c r="AK53" s="248">
        <f ca="1">IFERROR(__xludf.DUMMYFUNCTION("IMPORTRANGE(""https://docs.google.com/spreadsheets/d/1hKO5uv94SSRZWOvrh72HRcpyoEQF9TsE_Cvxl77XNU4/edit?usp=sharing"",""กาญจนบุรี!I370"")"),100)</f>
        <v>100</v>
      </c>
      <c r="AL53" s="248">
        <f ca="1">IFERROR(__xludf.DUMMYFUNCTION("IMPORTRANGE(""https://docs.google.com/spreadsheets/d/1hKO5uv94SSRZWOvrh72HRcpyoEQF9TsE_Cvxl77XNU4/edit?usp=sharing"",""กาญจนบุรี!J370"")"),43)</f>
        <v>43</v>
      </c>
      <c r="AM53" s="248">
        <f ca="1">IFERROR(__xludf.DUMMYFUNCTION("IMPORTRANGE(""https://docs.google.com/spreadsheets/d/1hKO5uv94SSRZWOvrh72HRcpyoEQF9TsE_Cvxl77XNU4/edit?usp=sharing"",""กาญจนบุรี!J371"")"),545.15)</f>
        <v>545.15</v>
      </c>
      <c r="AN53" s="252">
        <f t="shared" ca="1" si="47"/>
        <v>43</v>
      </c>
      <c r="AO53" s="248">
        <f ca="1">IFERROR(__xludf.DUMMYFUNCTION("IMPORTRANGE(""https://docs.google.com/spreadsheets/d/1hKO5uv94SSRZWOvrh72HRcpyoEQF9TsE_Cvxl77XNU4/edit?usp=sharing"",""กาญจนบุรี!I372"")"),100)</f>
        <v>100</v>
      </c>
      <c r="AP53" s="248">
        <f ca="1">IFERROR(__xludf.DUMMYFUNCTION("IMPORTRANGE(""https://docs.google.com/spreadsheets/d/1hKO5uv94SSRZWOvrh72HRcpyoEQF9TsE_Cvxl77XNU4/edit?usp=sharing"",""กาญจนบุรี!J372"")"),34)</f>
        <v>34</v>
      </c>
      <c r="AQ53" s="248">
        <f ca="1">IFERROR(__xludf.DUMMYFUNCTION("IMPORTRANGE(""https://docs.google.com/spreadsheets/d/1hKO5uv94SSRZWOvrh72HRcpyoEQF9TsE_Cvxl77XNU4/edit?usp=sharing"",""กาญจนบุรี!J373"")"),482.6)</f>
        <v>482.6</v>
      </c>
      <c r="AR53" s="252">
        <f t="shared" ca="1" si="48"/>
        <v>34</v>
      </c>
      <c r="AS53" s="248">
        <f ca="1">IFERROR(__xludf.DUMMYFUNCTION("IMPORTRANGE(""https://docs.google.com/spreadsheets/d/1hKO5uv94SSRZWOvrh72HRcpyoEQF9TsE_Cvxl77XNU4/edit?usp=sharing"",""กาญจนบุรี!I378"")"),2000)</f>
        <v>2000</v>
      </c>
      <c r="AT53" s="248">
        <f ca="1">IFERROR(__xludf.DUMMYFUNCTION("IMPORTRANGE(""https://docs.google.com/spreadsheets/d/1hKO5uv94SSRZWOvrh72HRcpyoEQF9TsE_Cvxl77XNU4/edit?usp=sharing"",""กาญจนบุรี!J377"")"),207)</f>
        <v>207</v>
      </c>
      <c r="AU53" s="248">
        <f ca="1">IFERROR(__xludf.DUMMYFUNCTION("IMPORTRANGE(""https://docs.google.com/spreadsheets/d/1hKO5uv94SSRZWOvrh72HRcpyoEQF9TsE_Cvxl77XNU4/edit?usp=sharing"",""กาญจนบุรี!J378"")"),1708.37)</f>
        <v>1708.37</v>
      </c>
      <c r="AV53" s="252">
        <f t="shared" ca="1" si="49"/>
        <v>85.418499999999995</v>
      </c>
      <c r="AW53" s="248">
        <f ca="1">IFERROR(__xludf.DUMMYFUNCTION("IMPORTRANGE(""https://docs.google.com/spreadsheets/d/1hKO5uv94SSRZWOvrh72HRcpyoEQF9TsE_Cvxl77XNU4/edit?usp=sharing"",""กาญจนบุรี!I379"")"),240)</f>
        <v>240</v>
      </c>
      <c r="AX53" s="248">
        <f ca="1">IFERROR(__xludf.DUMMYFUNCTION("IMPORTRANGE(""https://docs.google.com/spreadsheets/d/1hKO5uv94SSRZWOvrh72HRcpyoEQF9TsE_Cvxl77XNU4/edit?usp=sharing"",""กาญจนบุรี!J379"")"),110)</f>
        <v>110</v>
      </c>
      <c r="AY53" s="248">
        <f ca="1">IFERROR(__xludf.DUMMYFUNCTION("IMPORTRANGE(""https://docs.google.com/spreadsheets/d/1hKO5uv94SSRZWOvrh72HRcpyoEQF9TsE_Cvxl77XNU4/edit?usp=sharing"",""กาญจนบุรี!J380"")"),1604.8)</f>
        <v>1604.8</v>
      </c>
      <c r="AZ53" s="252">
        <f t="shared" ca="1" si="50"/>
        <v>45.833333333333336</v>
      </c>
      <c r="BA53" s="248">
        <f ca="1">IFERROR(__xludf.DUMMYFUNCTION("IMPORTRANGE(""https://docs.google.com/spreadsheets/d/1hKO5uv94SSRZWOvrh72HRcpyoEQF9TsE_Cvxl77XNU4/edit?usp=sharing"",""กาญจนบุรี!I381"")"),240)</f>
        <v>240</v>
      </c>
      <c r="BB53" s="248">
        <f ca="1">IFERROR(__xludf.DUMMYFUNCTION("IMPORTRANGE(""https://docs.google.com/spreadsheets/d/1hKO5uv94SSRZWOvrh72HRcpyoEQF9TsE_Cvxl77XNU4/edit?usp=sharing"",""กาญจนบุรี!J381"")"),104)</f>
        <v>104</v>
      </c>
      <c r="BC53" s="248">
        <f ca="1">IFERROR(__xludf.DUMMYFUNCTION("IMPORTRANGE(""https://docs.google.com/spreadsheets/d/1hKO5uv94SSRZWOvrh72HRcpyoEQF9TsE_Cvxl77XNU4/edit?usp=sharing"",""กาญจนบุรี!J382"")"),1544.5)</f>
        <v>1544.5</v>
      </c>
      <c r="BD53" s="252">
        <f t="shared" ca="1" si="51"/>
        <v>43.333333333333336</v>
      </c>
    </row>
    <row r="54" spans="1:56" ht="21" customHeight="1" x14ac:dyDescent="0.3">
      <c r="A54" s="243">
        <v>2</v>
      </c>
      <c r="B54" s="244" t="s">
        <v>76</v>
      </c>
      <c r="C54" s="245">
        <f t="shared" ca="1" si="0"/>
        <v>979550</v>
      </c>
      <c r="D54" s="246">
        <f t="shared" ca="1" si="88"/>
        <v>815350</v>
      </c>
      <c r="E54" s="247">
        <f ca="1">IFERROR(__xludf.DUMMYFUNCTION("IMPORTRANGE(""https://docs.google.com/spreadsheets/d/1MeEWN-I1oV_STSDYn1IFDPWt_1FKiwhDph83XaGc0o0/edit?usp=sharing"",""งบพรบ!EX54"")"),315600)</f>
        <v>315600</v>
      </c>
      <c r="F54" s="247">
        <f ca="1">IFERROR(__xludf.DUMMYFUNCTION("IMPORTRANGE(""https://docs.google.com/spreadsheets/d/1MeEWN-I1oV_STSDYn1IFDPWt_1FKiwhDph83XaGc0o0/edit?usp=sharing"",""งบพรบ!EY54"")"),499750)</f>
        <v>499750</v>
      </c>
      <c r="G54" s="247">
        <f ca="1">IFERROR(__xludf.DUMMYFUNCTION("IMPORTRANGE(""https://docs.google.com/spreadsheets/d/1MeEWN-I1oV_STSDYn1IFDPWt_1FKiwhDph83XaGc0o0/edit?usp=sharing"",""งบพรบ!EZ54"")"),164200)</f>
        <v>164200</v>
      </c>
      <c r="H54" s="247">
        <f ca="1">IFERROR(__xludf.DUMMYFUNCTION("IMPORTRANGE(""https://docs.google.com/spreadsheets/d/1MeEWN-I1oV_STSDYn1IFDPWt_1FKiwhDph83XaGc0o0/edit?usp=sharing"",""งบพรบ!FB54"")"),823350)</f>
        <v>823350</v>
      </c>
      <c r="I54" s="247">
        <f ca="1">IFERROR(__xludf.DUMMYFUNCTION("IMPORTRANGE(""https://docs.google.com/spreadsheets/d/1MeEWN-I1oV_STSDYn1IFDPWt_1FKiwhDph83XaGc0o0/edit?usp=sharing"",""งบพรบ!FC54"")"),164200)</f>
        <v>164200</v>
      </c>
      <c r="J54" s="247">
        <f t="shared" ca="1" si="3"/>
        <v>891743</v>
      </c>
      <c r="K54" s="253">
        <f t="shared" ca="1" si="4"/>
        <v>91.035985911898322</v>
      </c>
      <c r="L54" s="247">
        <f ca="1">IFERROR(__xludf.DUMMYFUNCTION("IMPORTRANGE(""https://docs.google.com/spreadsheets/d/1MeEWN-I1oV_STSDYn1IFDPWt_1FKiwhDph83XaGc0o0/edit?usp=sharing"",""งบพรบ!FD54"")"),727543)</f>
        <v>727543</v>
      </c>
      <c r="M54" s="250">
        <f t="shared" ca="1" si="5"/>
        <v>89.230759796406446</v>
      </c>
      <c r="N54" s="250">
        <f t="shared" ca="1" si="6"/>
        <v>88.363757818667636</v>
      </c>
      <c r="O54" s="251">
        <f ca="1">IFERROR(__xludf.DUMMYFUNCTION("IMPORTRANGE(""https://docs.google.com/spreadsheets/d/1MeEWN-I1oV_STSDYn1IFDPWt_1FKiwhDph83XaGc0o0/edit?usp=sharing"",""งบพรบ!FE54"")"),164200)</f>
        <v>164200</v>
      </c>
      <c r="P54" s="250">
        <f t="shared" ca="1" si="53"/>
        <v>100</v>
      </c>
      <c r="Q54" s="250">
        <f t="shared" ca="1" si="8"/>
        <v>100</v>
      </c>
      <c r="R54" s="248">
        <f ca="1">IFERROR(__xludf.DUMMYFUNCTION("IMPORTRANGE(""https://docs.google.com/spreadsheets/d/1njBaP_xXd-Uotvo2D9zb01TTCFkLJLDK97Tk1l9Qux0/edit?usp=sharing"",""จันทบุรี!I359"")"),3700)</f>
        <v>3700</v>
      </c>
      <c r="S54" s="248">
        <f ca="1">IFERROR(__xludf.DUMMYFUNCTION("IMPORTRANGE(""https://docs.google.com/spreadsheets/d/1njBaP_xXd-Uotvo2D9zb01TTCFkLJLDK97Tk1l9Qux0/edit?usp=sharing"",""จันทบุรี!J358"")"),264)</f>
        <v>264</v>
      </c>
      <c r="T54" s="248">
        <f ca="1">IFERROR(__xludf.DUMMYFUNCTION("IMPORTRANGE(""https://docs.google.com/spreadsheets/d/1njBaP_xXd-Uotvo2D9zb01TTCFkLJLDK97Tk1l9Qux0/edit?usp=sharing"",""จันทบุรี!J359"")"),2267.84)</f>
        <v>2267.84</v>
      </c>
      <c r="U54" s="252">
        <f t="shared" ca="1" si="43"/>
        <v>61.292972972972976</v>
      </c>
      <c r="V54" s="248">
        <f ca="1">IFERROR(__xludf.DUMMYFUNCTION("IMPORTRANGE(""https://docs.google.com/spreadsheets/d/1njBaP_xXd-Uotvo2D9zb01TTCFkLJLDK97Tk1l9Qux0/edit?usp=sharing"",""จันทบุรี!I360"")"),255)</f>
        <v>255</v>
      </c>
      <c r="W54" s="248">
        <f ca="1">IFERROR(__xludf.DUMMYFUNCTION("IMPORTRANGE(""https://docs.google.com/spreadsheets/d/1njBaP_xXd-Uotvo2D9zb01TTCFkLJLDK97Tk1l9Qux0/edit?usp=sharing"",""จันทบุรี!J360"")"),128)</f>
        <v>128</v>
      </c>
      <c r="X54" s="248">
        <f ca="1">IFERROR(__xludf.DUMMYFUNCTION("IMPORTRANGE(""https://docs.google.com/spreadsheets/d/1njBaP_xXd-Uotvo2D9zb01TTCFkLJLDK97Tk1l9Qux0/edit?usp=sharing"",""จันทบุรี!J361"")"),1155.26)</f>
        <v>1155.26</v>
      </c>
      <c r="Y54" s="252">
        <f t="shared" ca="1" si="44"/>
        <v>50.196078431372548</v>
      </c>
      <c r="Z54" s="248">
        <f ca="1">IFERROR(__xludf.DUMMYFUNCTION("IMPORTRANGE(""https://docs.google.com/spreadsheets/d/1njBaP_xXd-Uotvo2D9zb01TTCFkLJLDK97Tk1l9Qux0/edit?usp=sharing"",""จันทบุรี!I362"")"),255)</f>
        <v>255</v>
      </c>
      <c r="AA54" s="248">
        <f ca="1">IFERROR(__xludf.DUMMYFUNCTION("IMPORTRANGE(""https://docs.google.com/spreadsheets/d/1njBaP_xXd-Uotvo2D9zb01TTCFkLJLDK97Tk1l9Qux0/edit?usp=sharing"",""จันทบุรี!J362"")"),125)</f>
        <v>125</v>
      </c>
      <c r="AB54" s="248">
        <f ca="1">IFERROR(__xludf.DUMMYFUNCTION("IMPORTRANGE(""https://docs.google.com/spreadsheets/d/1njBaP_xXd-Uotvo2D9zb01TTCFkLJLDK97Tk1l9Qux0/edit?usp=sharing"",""จันทบุรี!J363"")"),1065.15)</f>
        <v>1065.1500000000001</v>
      </c>
      <c r="AC54" s="252">
        <f t="shared" ca="1" si="45"/>
        <v>49.019607843137258</v>
      </c>
      <c r="AD54" s="248">
        <f ca="1">IFERROR(__xludf.DUMMYFUNCTION("IMPORTRANGE(""https://docs.google.com/spreadsheets/d/1njBaP_xXd-Uotvo2D9zb01TTCFkLJLDK97Tk1l9Qux0/edit?usp=sharing"",""จันทบุรี!I364"")"),355)</f>
        <v>355</v>
      </c>
      <c r="AE54" s="248">
        <f ca="1">IFERROR(__xludf.DUMMYFUNCTION("IMPORTRANGE(""https://docs.google.com/spreadsheets/d/1njBaP_xXd-Uotvo2D9zb01TTCFkLJLDK97Tk1l9Qux0/edit?usp=sharing"",""จันทบุรี!J364"")"),236)</f>
        <v>236</v>
      </c>
      <c r="AF54" s="252">
        <f t="shared" ca="1" si="16"/>
        <v>66.478873239436624</v>
      </c>
      <c r="AG54" s="248">
        <f ca="1">IFERROR(__xludf.DUMMYFUNCTION("IMPORTRANGE(""https://docs.google.com/spreadsheets/d/1njBaP_xXd-Uotvo2D9zb01TTCFkLJLDK97Tk1l9Qux0/edit?usp=sharing"",""จันทบุรี!I369"")"),2700)</f>
        <v>2700</v>
      </c>
      <c r="AH54" s="248">
        <f ca="1">IFERROR(__xludf.DUMMYFUNCTION("IMPORTRANGE(""https://docs.google.com/spreadsheets/d/1njBaP_xXd-Uotvo2D9zb01TTCFkLJLDK97Tk1l9Qux0/edit?usp=sharing"",""จันทบุรี!J368"")"),85)</f>
        <v>85</v>
      </c>
      <c r="AI54" s="248">
        <f ca="1">IFERROR(__xludf.DUMMYFUNCTION("IMPORTRANGE(""https://docs.google.com/spreadsheets/d/1njBaP_xXd-Uotvo2D9zb01TTCFkLJLDK97Tk1l9Qux0/edit?usp=sharing"",""จันทบุรี!J369"")"),885.16)</f>
        <v>885.16</v>
      </c>
      <c r="AJ54" s="252">
        <f t="shared" ca="1" si="46"/>
        <v>32.783703703703701</v>
      </c>
      <c r="AK54" s="248">
        <f ca="1">IFERROR(__xludf.DUMMYFUNCTION("IMPORTRANGE(""https://docs.google.com/spreadsheets/d/1njBaP_xXd-Uotvo2D9zb01TTCFkLJLDK97Tk1l9Qux0/edit?usp=sharing"",""จันทบุรี!I370"")"),205)</f>
        <v>205</v>
      </c>
      <c r="AL54" s="248">
        <f ca="1">IFERROR(__xludf.DUMMYFUNCTION("IMPORTRANGE(""https://docs.google.com/spreadsheets/d/1njBaP_xXd-Uotvo2D9zb01TTCFkLJLDK97Tk1l9Qux0/edit?usp=sharing"",""จันทบุรี!J370"")"),71)</f>
        <v>71</v>
      </c>
      <c r="AM54" s="248">
        <f ca="1">IFERROR(__xludf.DUMMYFUNCTION("IMPORTRANGE(""https://docs.google.com/spreadsheets/d/1njBaP_xXd-Uotvo2D9zb01TTCFkLJLDK97Tk1l9Qux0/edit?usp=sharing"",""จันทบุรี!J371"")"),733.82)</f>
        <v>733.82</v>
      </c>
      <c r="AN54" s="252">
        <f t="shared" ca="1" si="47"/>
        <v>34.634146341463413</v>
      </c>
      <c r="AO54" s="248">
        <f ca="1">IFERROR(__xludf.DUMMYFUNCTION("IMPORTRANGE(""https://docs.google.com/spreadsheets/d/1njBaP_xXd-Uotvo2D9zb01TTCFkLJLDK97Tk1l9Qux0/edit?usp=sharing"",""จันทบุรี!I372"")"),205)</f>
        <v>205</v>
      </c>
      <c r="AP54" s="248">
        <f ca="1">IFERROR(__xludf.DUMMYFUNCTION("IMPORTRANGE(""https://docs.google.com/spreadsheets/d/1njBaP_xXd-Uotvo2D9zb01TTCFkLJLDK97Tk1l9Qux0/edit?usp=sharing"",""จันทบุรี!J372"")"),68)</f>
        <v>68</v>
      </c>
      <c r="AQ54" s="248">
        <f ca="1">IFERROR(__xludf.DUMMYFUNCTION("IMPORTRANGE(""https://docs.google.com/spreadsheets/d/1njBaP_xXd-Uotvo2D9zb01TTCFkLJLDK97Tk1l9Qux0/edit?usp=sharing"",""จันทบุรี!J373"")"),643.71)</f>
        <v>643.71</v>
      </c>
      <c r="AR54" s="252">
        <f t="shared" ca="1" si="48"/>
        <v>33.170731707317074</v>
      </c>
      <c r="AS54" s="248">
        <f ca="1">IFERROR(__xludf.DUMMYFUNCTION("IMPORTRANGE(""https://docs.google.com/spreadsheets/d/1njBaP_xXd-Uotvo2D9zb01TTCFkLJLDK97Tk1l9Qux0/edit?usp=sharing"",""จันทบุรี!I378"")"),1000)</f>
        <v>1000</v>
      </c>
      <c r="AT54" s="248">
        <f ca="1">IFERROR(__xludf.DUMMYFUNCTION("IMPORTRANGE(""https://docs.google.com/spreadsheets/d/1njBaP_xXd-Uotvo2D9zb01TTCFkLJLDK97Tk1l9Qux0/edit?usp=sharing"",""จันทบุรี!J377"")"),179)</f>
        <v>179</v>
      </c>
      <c r="AU54" s="248">
        <f ca="1">IFERROR(__xludf.DUMMYFUNCTION("IMPORTRANGE(""https://docs.google.com/spreadsheets/d/1njBaP_xXd-Uotvo2D9zb01TTCFkLJLDK97Tk1l9Qux0/edit?usp=sharing"",""จันทบุรี!J378"")"),1382.68)</f>
        <v>1382.68</v>
      </c>
      <c r="AV54" s="252">
        <f t="shared" ca="1" si="49"/>
        <v>138.268</v>
      </c>
      <c r="AW54" s="248">
        <f ca="1">IFERROR(__xludf.DUMMYFUNCTION("IMPORTRANGE(""https://docs.google.com/spreadsheets/d/1njBaP_xXd-Uotvo2D9zb01TTCFkLJLDK97Tk1l9Qux0/edit?usp=sharing"",""จันทบุรี!I379"")"),150)</f>
        <v>150</v>
      </c>
      <c r="AX54" s="248">
        <f ca="1">IFERROR(__xludf.DUMMYFUNCTION("IMPORTRANGE(""https://docs.google.com/spreadsheets/d/1njBaP_xXd-Uotvo2D9zb01TTCFkLJLDK97Tk1l9Qux0/edit?usp=sharing"",""จันทบุรี!J379"")"),168)</f>
        <v>168</v>
      </c>
      <c r="AY54" s="248">
        <f ca="1">IFERROR(__xludf.DUMMYFUNCTION("IMPORTRANGE(""https://docs.google.com/spreadsheets/d/1njBaP_xXd-Uotvo2D9zb01TTCFkLJLDK97Tk1l9Qux0/edit?usp=sharing"",""จันทบุรี!J380"")"),1893.91)</f>
        <v>1893.91</v>
      </c>
      <c r="AZ54" s="252">
        <f t="shared" ca="1" si="50"/>
        <v>112</v>
      </c>
      <c r="BA54" s="248">
        <f ca="1">IFERROR(__xludf.DUMMYFUNCTION("IMPORTRANGE(""https://docs.google.com/spreadsheets/d/1njBaP_xXd-Uotvo2D9zb01TTCFkLJLDK97Tk1l9Qux0/edit?usp=sharing"",""จันทบุรี!I381"")"),150)</f>
        <v>150</v>
      </c>
      <c r="BB54" s="248">
        <f ca="1">IFERROR(__xludf.DUMMYFUNCTION("IMPORTRANGE(""https://docs.google.com/spreadsheets/d/1njBaP_xXd-Uotvo2D9zb01TTCFkLJLDK97Tk1l9Qux0/edit?usp=sharing"",""จันทบุรี!J381"")"),168)</f>
        <v>168</v>
      </c>
      <c r="BC54" s="248">
        <f ca="1">IFERROR(__xludf.DUMMYFUNCTION("IMPORTRANGE(""https://docs.google.com/spreadsheets/d/1njBaP_xXd-Uotvo2D9zb01TTCFkLJLDK97Tk1l9Qux0/edit?usp=sharing"",""จันทบุรี!J382"")"),1893.91)</f>
        <v>1893.91</v>
      </c>
      <c r="BD54" s="252">
        <f t="shared" ca="1" si="51"/>
        <v>112</v>
      </c>
    </row>
    <row r="55" spans="1:56" ht="21" customHeight="1" x14ac:dyDescent="0.3">
      <c r="A55" s="243">
        <v>3</v>
      </c>
      <c r="B55" s="244" t="s">
        <v>77</v>
      </c>
      <c r="C55" s="245">
        <f t="shared" ca="1" si="0"/>
        <v>1441070</v>
      </c>
      <c r="D55" s="246">
        <f t="shared" ca="1" si="88"/>
        <v>1201270</v>
      </c>
      <c r="E55" s="247">
        <f ca="1">IFERROR(__xludf.DUMMYFUNCTION("IMPORTRANGE(""https://docs.google.com/spreadsheets/d/1MeEWN-I1oV_STSDYn1IFDPWt_1FKiwhDph83XaGc0o0/edit?usp=sharing"",""งบพรบ!EX55"")"),543600)</f>
        <v>543600</v>
      </c>
      <c r="F55" s="247">
        <f ca="1">IFERROR(__xludf.DUMMYFUNCTION("IMPORTRANGE(""https://docs.google.com/spreadsheets/d/1MeEWN-I1oV_STSDYn1IFDPWt_1FKiwhDph83XaGc0o0/edit?usp=sharing"",""งบพรบ!EY55"")"),657670)</f>
        <v>657670</v>
      </c>
      <c r="G55" s="247">
        <f ca="1">IFERROR(__xludf.DUMMYFUNCTION("IMPORTRANGE(""https://docs.google.com/spreadsheets/d/1MeEWN-I1oV_STSDYn1IFDPWt_1FKiwhDph83XaGc0o0/edit?usp=sharing"",""งบพรบ!EZ55"")"),239800)</f>
        <v>239800</v>
      </c>
      <c r="H55" s="247">
        <f ca="1">IFERROR(__xludf.DUMMYFUNCTION("IMPORTRANGE(""https://docs.google.com/spreadsheets/d/1MeEWN-I1oV_STSDYn1IFDPWt_1FKiwhDph83XaGc0o0/edit?usp=sharing"",""งบพรบ!FB55"")"),1374350)</f>
        <v>1374350</v>
      </c>
      <c r="I55" s="247">
        <f ca="1">IFERROR(__xludf.DUMMYFUNCTION("IMPORTRANGE(""https://docs.google.com/spreadsheets/d/1MeEWN-I1oV_STSDYn1IFDPWt_1FKiwhDph83XaGc0o0/edit?usp=sharing"",""งบพรบ!FC55"")"),239800)</f>
        <v>239800</v>
      </c>
      <c r="J55" s="247">
        <f t="shared" ca="1" si="3"/>
        <v>1490387.28</v>
      </c>
      <c r="K55" s="253">
        <f t="shared" ca="1" si="4"/>
        <v>103.42226817573054</v>
      </c>
      <c r="L55" s="247">
        <f ca="1">IFERROR(__xludf.DUMMYFUNCTION("IMPORTRANGE(""https://docs.google.com/spreadsheets/d/1MeEWN-I1oV_STSDYn1IFDPWt_1FKiwhDph83XaGc0o0/edit?usp=sharing"",""งบพรบ!FD55"")"),1250587.28)</f>
        <v>1250587.28</v>
      </c>
      <c r="M55" s="250">
        <f t="shared" ca="1" si="5"/>
        <v>104.10542842158715</v>
      </c>
      <c r="N55" s="250">
        <f t="shared" ca="1" si="6"/>
        <v>90.994817913922944</v>
      </c>
      <c r="O55" s="251">
        <f ca="1">IFERROR(__xludf.DUMMYFUNCTION("IMPORTRANGE(""https://docs.google.com/spreadsheets/d/1MeEWN-I1oV_STSDYn1IFDPWt_1FKiwhDph83XaGc0o0/edit?usp=sharing"",""งบพรบ!FE55"")"),239800)</f>
        <v>239800</v>
      </c>
      <c r="P55" s="250">
        <f t="shared" ca="1" si="53"/>
        <v>100</v>
      </c>
      <c r="Q55" s="250">
        <f t="shared" ca="1" si="8"/>
        <v>100</v>
      </c>
      <c r="R55" s="248">
        <f ca="1">IFERROR(__xludf.DUMMYFUNCTION("IMPORTRANGE(""https://docs.google.com/spreadsheets/d/14xp6qUzrGFnUk_qnc1eEmfiaNRd4_grkhpfQH_46fa8/edit?usp=sharing"",""ฉะเชิงเทรา!I359"")"),5500)</f>
        <v>5500</v>
      </c>
      <c r="S55" s="248">
        <f ca="1">IFERROR(__xludf.DUMMYFUNCTION("IMPORTRANGE(""https://docs.google.com/spreadsheets/d/14xp6qUzrGFnUk_qnc1eEmfiaNRd4_grkhpfQH_46fa8/edit?usp=sharing"",""ฉะเชิงเทรา!J358"")"),563)</f>
        <v>563</v>
      </c>
      <c r="T55" s="248">
        <f ca="1">IFERROR(__xludf.DUMMYFUNCTION("IMPORTRANGE(""https://docs.google.com/spreadsheets/d/14xp6qUzrGFnUk_qnc1eEmfiaNRd4_grkhpfQH_46fa8/edit?usp=sharing"",""ฉะเชิงเทรา!J359"")"),7557.97)</f>
        <v>7557.97</v>
      </c>
      <c r="U55" s="252">
        <f t="shared" ca="1" si="43"/>
        <v>137.41763636363638</v>
      </c>
      <c r="V55" s="248">
        <f ca="1">IFERROR(__xludf.DUMMYFUNCTION("IMPORTRANGE(""https://docs.google.com/spreadsheets/d/14xp6qUzrGFnUk_qnc1eEmfiaNRd4_grkhpfQH_46fa8/edit?usp=sharing"",""ฉะเชิงเทรา!I360"")"),550)</f>
        <v>550</v>
      </c>
      <c r="W55" s="248">
        <f ca="1">IFERROR(__xludf.DUMMYFUNCTION("IMPORTRANGE(""https://docs.google.com/spreadsheets/d/14xp6qUzrGFnUk_qnc1eEmfiaNRd4_grkhpfQH_46fa8/edit?usp=sharing"",""ฉะเชิงเทรา!J360"")"),429)</f>
        <v>429</v>
      </c>
      <c r="X55" s="248">
        <f ca="1">IFERROR(__xludf.DUMMYFUNCTION("IMPORTRANGE(""https://docs.google.com/spreadsheets/d/14xp6qUzrGFnUk_qnc1eEmfiaNRd4_grkhpfQH_46fa8/edit?usp=sharing"",""ฉะเชิงเทรา!J361"")"),5726.99)</f>
        <v>5726.99</v>
      </c>
      <c r="Y55" s="252">
        <f t="shared" ca="1" si="44"/>
        <v>78</v>
      </c>
      <c r="Z55" s="248">
        <f ca="1">IFERROR(__xludf.DUMMYFUNCTION("IMPORTRANGE(""https://docs.google.com/spreadsheets/d/14xp6qUzrGFnUk_qnc1eEmfiaNRd4_grkhpfQH_46fa8/edit?usp=sharing"",""ฉะเชิงเทรา!I362"")"),550)</f>
        <v>550</v>
      </c>
      <c r="AA55" s="248">
        <f ca="1">IFERROR(__xludf.DUMMYFUNCTION("IMPORTRANGE(""https://docs.google.com/spreadsheets/d/14xp6qUzrGFnUk_qnc1eEmfiaNRd4_grkhpfQH_46fa8/edit?usp=sharing"",""ฉะเชิงเทรา!J362"")"),312)</f>
        <v>312</v>
      </c>
      <c r="AB55" s="248">
        <f ca="1">IFERROR(__xludf.DUMMYFUNCTION("IMPORTRANGE(""https://docs.google.com/spreadsheets/d/14xp6qUzrGFnUk_qnc1eEmfiaNRd4_grkhpfQH_46fa8/edit?usp=sharing"",""ฉะเชิงเทรา!J363"")"),4023.09)</f>
        <v>4023.09</v>
      </c>
      <c r="AC55" s="252">
        <f t="shared" ca="1" si="45"/>
        <v>56.727272727272727</v>
      </c>
      <c r="AD55" s="248">
        <f ca="1">IFERROR(__xludf.DUMMYFUNCTION("IMPORTRANGE(""https://docs.google.com/spreadsheets/d/14xp6qUzrGFnUk_qnc1eEmfiaNRd4_grkhpfQH_46fa8/edit?usp=sharing"",""ฉะเชิงเทรา!I364"")"),950)</f>
        <v>950</v>
      </c>
      <c r="AE55" s="248">
        <f ca="1">IFERROR(__xludf.DUMMYFUNCTION("IMPORTRANGE(""https://docs.google.com/spreadsheets/d/14xp6qUzrGFnUk_qnc1eEmfiaNRd4_grkhpfQH_46fa8/edit?usp=sharing"",""ฉะเชิงเทรา!J364"")"),618)</f>
        <v>618</v>
      </c>
      <c r="AF55" s="252">
        <f t="shared" ca="1" si="16"/>
        <v>65.05263157894737</v>
      </c>
      <c r="AG55" s="248">
        <f ca="1">IFERROR(__xludf.DUMMYFUNCTION("IMPORTRANGE(""https://docs.google.com/spreadsheets/d/14xp6qUzrGFnUk_qnc1eEmfiaNRd4_grkhpfQH_46fa8/edit?usp=sharing"",""ฉะเชิงเทรา!I369"")"),2000)</f>
        <v>2000</v>
      </c>
      <c r="AH55" s="248">
        <f ca="1">IFERROR(__xludf.DUMMYFUNCTION("IMPORTRANGE(""https://docs.google.com/spreadsheets/d/14xp6qUzrGFnUk_qnc1eEmfiaNRd4_grkhpfQH_46fa8/edit?usp=sharing"",""ฉะเชิงเทรา!J368"")"),298)</f>
        <v>298</v>
      </c>
      <c r="AI55" s="248">
        <f ca="1">IFERROR(__xludf.DUMMYFUNCTION("IMPORTRANGE(""https://docs.google.com/spreadsheets/d/14xp6qUzrGFnUk_qnc1eEmfiaNRd4_grkhpfQH_46fa8/edit?usp=sharing"",""ฉะเชิงเทรา!J369"")"),4775.72)</f>
        <v>4775.72</v>
      </c>
      <c r="AJ55" s="252">
        <f t="shared" ca="1" si="46"/>
        <v>238.786</v>
      </c>
      <c r="AK55" s="248">
        <f ca="1">IFERROR(__xludf.DUMMYFUNCTION("IMPORTRANGE(""https://docs.google.com/spreadsheets/d/14xp6qUzrGFnUk_qnc1eEmfiaNRd4_grkhpfQH_46fa8/edit?usp=sharing"",""ฉะเชิงเทรา!I370"")"),200)</f>
        <v>200</v>
      </c>
      <c r="AL55" s="248">
        <f ca="1">IFERROR(__xludf.DUMMYFUNCTION("IMPORTRANGE(""https://docs.google.com/spreadsheets/d/14xp6qUzrGFnUk_qnc1eEmfiaNRd4_grkhpfQH_46fa8/edit?usp=sharing"",""ฉะเชิงเทรา!J370"")"),210)</f>
        <v>210</v>
      </c>
      <c r="AM55" s="248">
        <f ca="1">IFERROR(__xludf.DUMMYFUNCTION("IMPORTRANGE(""https://docs.google.com/spreadsheets/d/14xp6qUzrGFnUk_qnc1eEmfiaNRd4_grkhpfQH_46fa8/edit?usp=sharing"",""ฉะเชิงเทรา!J371"")"),3453.46)</f>
        <v>3453.46</v>
      </c>
      <c r="AN55" s="252">
        <f t="shared" ca="1" si="47"/>
        <v>105</v>
      </c>
      <c r="AO55" s="248">
        <f ca="1">IFERROR(__xludf.DUMMYFUNCTION("IMPORTRANGE(""https://docs.google.com/spreadsheets/d/14xp6qUzrGFnUk_qnc1eEmfiaNRd4_grkhpfQH_46fa8/edit?usp=sharing"",""ฉะเชิงเทรา!I372"")"),200)</f>
        <v>200</v>
      </c>
      <c r="AP55" s="248">
        <f ca="1">IFERROR(__xludf.DUMMYFUNCTION("IMPORTRANGE(""https://docs.google.com/spreadsheets/d/14xp6qUzrGFnUk_qnc1eEmfiaNRd4_grkhpfQH_46fa8/edit?usp=sharing"",""ฉะเชิงเทรา!J372"")"),151)</f>
        <v>151</v>
      </c>
      <c r="AQ55" s="248">
        <f ca="1">IFERROR(__xludf.DUMMYFUNCTION("IMPORTRANGE(""https://docs.google.com/spreadsheets/d/14xp6qUzrGFnUk_qnc1eEmfiaNRd4_grkhpfQH_46fa8/edit?usp=sharing"",""ฉะเชิงเทรา!J373"")"),2287.94)</f>
        <v>2287.94</v>
      </c>
      <c r="AR55" s="252">
        <f t="shared" ca="1" si="48"/>
        <v>75.5</v>
      </c>
      <c r="AS55" s="248">
        <f ca="1">IFERROR(__xludf.DUMMYFUNCTION("IMPORTRANGE(""https://docs.google.com/spreadsheets/d/14xp6qUzrGFnUk_qnc1eEmfiaNRd4_grkhpfQH_46fa8/edit?usp=sharing"",""ฉะเชิงเทรา!I378"")"),3500)</f>
        <v>3500</v>
      </c>
      <c r="AT55" s="248">
        <f ca="1">IFERROR(__xludf.DUMMYFUNCTION("IMPORTRANGE(""https://docs.google.com/spreadsheets/d/14xp6qUzrGFnUk_qnc1eEmfiaNRd4_grkhpfQH_46fa8/edit?usp=sharing"",""ฉะเชิงเทรา!J377"")"),265)</f>
        <v>265</v>
      </c>
      <c r="AU55" s="248">
        <f ca="1">IFERROR(__xludf.DUMMYFUNCTION("IMPORTRANGE(""https://docs.google.com/spreadsheets/d/14xp6qUzrGFnUk_qnc1eEmfiaNRd4_grkhpfQH_46fa8/edit?usp=sharing"",""ฉะเชิงเทรา!J378"")"),2782.25)</f>
        <v>2782.25</v>
      </c>
      <c r="AV55" s="252">
        <f t="shared" ca="1" si="49"/>
        <v>79.492857142857147</v>
      </c>
      <c r="AW55" s="248">
        <f ca="1">IFERROR(__xludf.DUMMYFUNCTION("IMPORTRANGE(""https://docs.google.com/spreadsheets/d/14xp6qUzrGFnUk_qnc1eEmfiaNRd4_grkhpfQH_46fa8/edit?usp=sharing"",""ฉะเชิงเทรา!I379"")"),750)</f>
        <v>750</v>
      </c>
      <c r="AX55" s="248">
        <f ca="1">IFERROR(__xludf.DUMMYFUNCTION("IMPORTRANGE(""https://docs.google.com/spreadsheets/d/14xp6qUzrGFnUk_qnc1eEmfiaNRd4_grkhpfQH_46fa8/edit?usp=sharing"",""ฉะเชิงเทรา!J379"")"),525)</f>
        <v>525</v>
      </c>
      <c r="AY55" s="248">
        <f ca="1">IFERROR(__xludf.DUMMYFUNCTION("IMPORTRANGE(""https://docs.google.com/spreadsheets/d/14xp6qUzrGFnUk_qnc1eEmfiaNRd4_grkhpfQH_46fa8/edit?usp=sharing"",""ฉะเชิงเทรา!J380"")"),7577.05999999999)</f>
        <v>7577.0599999999904</v>
      </c>
      <c r="AZ55" s="252">
        <f t="shared" ca="1" si="50"/>
        <v>70</v>
      </c>
      <c r="BA55" s="248">
        <f ca="1">IFERROR(__xludf.DUMMYFUNCTION("IMPORTRANGE(""https://docs.google.com/spreadsheets/d/14xp6qUzrGFnUk_qnc1eEmfiaNRd4_grkhpfQH_46fa8/edit?usp=sharing"",""ฉะเชิงเทรา!I381"")"),750)</f>
        <v>750</v>
      </c>
      <c r="BB55" s="248">
        <f ca="1">IFERROR(__xludf.DUMMYFUNCTION("IMPORTRANGE(""https://docs.google.com/spreadsheets/d/14xp6qUzrGFnUk_qnc1eEmfiaNRd4_grkhpfQH_46fa8/edit?usp=sharing"",""ฉะเชิงเทรา!J381"")"),467)</f>
        <v>467</v>
      </c>
      <c r="BC55" s="248">
        <f ca="1">IFERROR(__xludf.DUMMYFUNCTION("IMPORTRANGE(""https://docs.google.com/spreadsheets/d/14xp6qUzrGFnUk_qnc1eEmfiaNRd4_grkhpfQH_46fa8/edit?usp=sharing"",""ฉะเชิงเทรา!J382"")"),7038.68)</f>
        <v>7038.68</v>
      </c>
      <c r="BD55" s="252">
        <f t="shared" ca="1" si="51"/>
        <v>62.266666666666666</v>
      </c>
    </row>
    <row r="56" spans="1:56" ht="21" customHeight="1" x14ac:dyDescent="0.3">
      <c r="A56" s="243">
        <v>4</v>
      </c>
      <c r="B56" s="244" t="s">
        <v>78</v>
      </c>
      <c r="C56" s="245">
        <f t="shared" ca="1" si="0"/>
        <v>867850</v>
      </c>
      <c r="D56" s="246">
        <f t="shared" ca="1" si="88"/>
        <v>822850</v>
      </c>
      <c r="E56" s="247">
        <f ca="1">IFERROR(__xludf.DUMMYFUNCTION("IMPORTRANGE(""https://docs.google.com/spreadsheets/d/1MeEWN-I1oV_STSDYn1IFDPWt_1FKiwhDph83XaGc0o0/edit?usp=sharing"",""งบพรบ!EX56"")"),315600)</f>
        <v>315600</v>
      </c>
      <c r="F56" s="247">
        <f ca="1">IFERROR(__xludf.DUMMYFUNCTION("IMPORTRANGE(""https://docs.google.com/spreadsheets/d/1MeEWN-I1oV_STSDYn1IFDPWt_1FKiwhDph83XaGc0o0/edit?usp=sharing"",""งบพรบ!EY56"")"),507250)</f>
        <v>507250</v>
      </c>
      <c r="G56" s="247">
        <f ca="1">IFERROR(__xludf.DUMMYFUNCTION("IMPORTRANGE(""https://docs.google.com/spreadsheets/d/1MeEWN-I1oV_STSDYn1IFDPWt_1FKiwhDph83XaGc0o0/edit?usp=sharing"",""งบพรบ!EZ56"")"),45000)</f>
        <v>45000</v>
      </c>
      <c r="H56" s="247">
        <f ca="1">IFERROR(__xludf.DUMMYFUNCTION("IMPORTRANGE(""https://docs.google.com/spreadsheets/d/1MeEWN-I1oV_STSDYn1IFDPWt_1FKiwhDph83XaGc0o0/edit?usp=sharing"",""งบพรบ!FB56"")"),859850)</f>
        <v>859850</v>
      </c>
      <c r="I56" s="247">
        <f ca="1">IFERROR(__xludf.DUMMYFUNCTION("IMPORTRANGE(""https://docs.google.com/spreadsheets/d/1MeEWN-I1oV_STSDYn1IFDPWt_1FKiwhDph83XaGc0o0/edit?usp=sharing"",""งบพรบ!FC56"")"),45000)</f>
        <v>45000</v>
      </c>
      <c r="J56" s="247">
        <f t="shared" ca="1" si="3"/>
        <v>836941.1</v>
      </c>
      <c r="K56" s="253">
        <f t="shared" ca="1" si="4"/>
        <v>96.438451345278565</v>
      </c>
      <c r="L56" s="247">
        <f ca="1">IFERROR(__xludf.DUMMYFUNCTION("IMPORTRANGE(""https://docs.google.com/spreadsheets/d/1MeEWN-I1oV_STSDYn1IFDPWt_1FKiwhDph83XaGc0o0/edit?usp=sharing"",""งบพรบ!FD56"")"),791941.1)</f>
        <v>791941.1</v>
      </c>
      <c r="M56" s="250">
        <f t="shared" ca="1" si="5"/>
        <v>96.243677462477976</v>
      </c>
      <c r="N56" s="250">
        <f t="shared" ca="1" si="6"/>
        <v>92.102238762574871</v>
      </c>
      <c r="O56" s="251">
        <f ca="1">IFERROR(__xludf.DUMMYFUNCTION("IMPORTRANGE(""https://docs.google.com/spreadsheets/d/1MeEWN-I1oV_STSDYn1IFDPWt_1FKiwhDph83XaGc0o0/edit?usp=sharing"",""งบพรบ!FE56"")"),45000)</f>
        <v>45000</v>
      </c>
      <c r="P56" s="250">
        <f t="shared" ca="1" si="53"/>
        <v>100</v>
      </c>
      <c r="Q56" s="250">
        <f t="shared" ca="1" si="8"/>
        <v>100</v>
      </c>
      <c r="R56" s="248">
        <f ca="1">IFERROR(__xludf.DUMMYFUNCTION("IMPORTRANGE(""https://docs.google.com/spreadsheets/d/1_Zwps30dlVa-pZFsorjVf1Pil6WXwzCsJU0U2whO3NI/edit?usp=sharing"",""ชลบุรี!I359"")"),3000)</f>
        <v>3000</v>
      </c>
      <c r="S56" s="248">
        <f ca="1">IFERROR(__xludf.DUMMYFUNCTION("IMPORTRANGE(""https://docs.google.com/spreadsheets/d/1_Zwps30dlVa-pZFsorjVf1Pil6WXwzCsJU0U2whO3NI/edit?usp=sharing"",""ชลบุรี!J358"")"),391)</f>
        <v>391</v>
      </c>
      <c r="T56" s="248">
        <f ca="1">IFERROR(__xludf.DUMMYFUNCTION("IMPORTRANGE(""https://docs.google.com/spreadsheets/d/1_Zwps30dlVa-pZFsorjVf1Pil6WXwzCsJU0U2whO3NI/edit?usp=sharing"",""ชลบุรี!J359"")"),3844.54999999999)</f>
        <v>3844.5499999999902</v>
      </c>
      <c r="U56" s="252">
        <f t="shared" ca="1" si="43"/>
        <v>128.15166666666633</v>
      </c>
      <c r="V56" s="248">
        <f ca="1">IFERROR(__xludf.DUMMYFUNCTION("IMPORTRANGE(""https://docs.google.com/spreadsheets/d/1_Zwps30dlVa-pZFsorjVf1Pil6WXwzCsJU0U2whO3NI/edit?usp=sharing"",""ชลบุรี!I360"")"),270)</f>
        <v>270</v>
      </c>
      <c r="W56" s="248">
        <f ca="1">IFERROR(__xludf.DUMMYFUNCTION("IMPORTRANGE(""https://docs.google.com/spreadsheets/d/1_Zwps30dlVa-pZFsorjVf1Pil6WXwzCsJU0U2whO3NI/edit?usp=sharing"",""ชลบุรี!J360"")"),309)</f>
        <v>309</v>
      </c>
      <c r="X56" s="248">
        <f ca="1">IFERROR(__xludf.DUMMYFUNCTION("IMPORTRANGE(""https://docs.google.com/spreadsheets/d/1_Zwps30dlVa-pZFsorjVf1Pil6WXwzCsJU0U2whO3NI/edit?usp=sharing"",""ชลบุรี!J361"")"),2250.31999999999)</f>
        <v>2250.3199999999902</v>
      </c>
      <c r="Y56" s="252">
        <f t="shared" ca="1" si="44"/>
        <v>114.44444444444444</v>
      </c>
      <c r="Z56" s="248">
        <f ca="1">IFERROR(__xludf.DUMMYFUNCTION("IMPORTRANGE(""https://docs.google.com/spreadsheets/d/1_Zwps30dlVa-pZFsorjVf1Pil6WXwzCsJU0U2whO3NI/edit?usp=sharing"",""ชลบุรี!I362"")"),270)</f>
        <v>270</v>
      </c>
      <c r="AA56" s="248">
        <f ca="1">IFERROR(__xludf.DUMMYFUNCTION("IMPORTRANGE(""https://docs.google.com/spreadsheets/d/1_Zwps30dlVa-pZFsorjVf1Pil6WXwzCsJU0U2whO3NI/edit?usp=sharing"",""ชลบุรี!J362"")"),334)</f>
        <v>334</v>
      </c>
      <c r="AB56" s="248">
        <f ca="1">IFERROR(__xludf.DUMMYFUNCTION("IMPORTRANGE(""https://docs.google.com/spreadsheets/d/1_Zwps30dlVa-pZFsorjVf1Pil6WXwzCsJU0U2whO3NI/edit?usp=sharing"",""ชลบุรี!J363"")"),3402.72999999999)</f>
        <v>3402.72999999999</v>
      </c>
      <c r="AC56" s="252">
        <f t="shared" ca="1" si="45"/>
        <v>123.70370370370371</v>
      </c>
      <c r="AD56" s="248">
        <f ca="1">IFERROR(__xludf.DUMMYFUNCTION("IMPORTRANGE(""https://docs.google.com/spreadsheets/d/1_Zwps30dlVa-pZFsorjVf1Pil6WXwzCsJU0U2whO3NI/edit?usp=sharing"",""ชลบุรี!I364"")"),420)</f>
        <v>420</v>
      </c>
      <c r="AE56" s="248">
        <f ca="1">IFERROR(__xludf.DUMMYFUNCTION("IMPORTRANGE(""https://docs.google.com/spreadsheets/d/1_Zwps30dlVa-pZFsorjVf1Pil6WXwzCsJU0U2whO3NI/edit?usp=sharing"",""ชลบุรี!J364"")"),518)</f>
        <v>518</v>
      </c>
      <c r="AF56" s="252">
        <f t="shared" ca="1" si="16"/>
        <v>123.33333333333333</v>
      </c>
      <c r="AG56" s="248">
        <f ca="1">IFERROR(__xludf.DUMMYFUNCTION("IMPORTRANGE(""https://docs.google.com/spreadsheets/d/1_Zwps30dlVa-pZFsorjVf1Pil6WXwzCsJU0U2whO3NI/edit?usp=sharing"",""ชลบุรี!I369"")"),2000)</f>
        <v>2000</v>
      </c>
      <c r="AH56" s="248">
        <f ca="1">IFERROR(__xludf.DUMMYFUNCTION("IMPORTRANGE(""https://docs.google.com/spreadsheets/d/1_Zwps30dlVa-pZFsorjVf1Pil6WXwzCsJU0U2whO3NI/edit?usp=sharing"",""ชลบุรี!J368"")"),257)</f>
        <v>257</v>
      </c>
      <c r="AI56" s="248">
        <f ca="1">IFERROR(__xludf.DUMMYFUNCTION("IMPORTRANGE(""https://docs.google.com/spreadsheets/d/1_Zwps30dlVa-pZFsorjVf1Pil6WXwzCsJU0U2whO3NI/edit?usp=sharing"",""ชลบุรี!J369"")"),2782.72)</f>
        <v>2782.72</v>
      </c>
      <c r="AJ56" s="252">
        <f t="shared" ca="1" si="46"/>
        <v>139.136</v>
      </c>
      <c r="AK56" s="248">
        <f ca="1">IFERROR(__xludf.DUMMYFUNCTION("IMPORTRANGE(""https://docs.google.com/spreadsheets/d/1_Zwps30dlVa-pZFsorjVf1Pil6WXwzCsJU0U2whO3NI/edit?usp=sharing"",""ชลบุรี!I370"")"),200)</f>
        <v>200</v>
      </c>
      <c r="AL56" s="248">
        <f ca="1">IFERROR(__xludf.DUMMYFUNCTION("IMPORTRANGE(""https://docs.google.com/spreadsheets/d/1_Zwps30dlVa-pZFsorjVf1Pil6WXwzCsJU0U2whO3NI/edit?usp=sharing"",""ชลบุรี!J370"")"),183)</f>
        <v>183</v>
      </c>
      <c r="AM56" s="248">
        <f ca="1">IFERROR(__xludf.DUMMYFUNCTION("IMPORTRANGE(""https://docs.google.com/spreadsheets/d/1_Zwps30dlVa-pZFsorjVf1Pil6WXwzCsJU0U2whO3NI/edit?usp=sharing"",""ชลบุรี!J371"")"),1279.01)</f>
        <v>1279.01</v>
      </c>
      <c r="AN56" s="252">
        <f t="shared" ca="1" si="47"/>
        <v>91.5</v>
      </c>
      <c r="AO56" s="248">
        <f ca="1">IFERROR(__xludf.DUMMYFUNCTION("IMPORTRANGE(""https://docs.google.com/spreadsheets/d/1_Zwps30dlVa-pZFsorjVf1Pil6WXwzCsJU0U2whO3NI/edit?usp=sharing"",""ชลบุรี!I372"")"),200)</f>
        <v>200</v>
      </c>
      <c r="AP56" s="248">
        <f ca="1">IFERROR(__xludf.DUMMYFUNCTION("IMPORTRANGE(""https://docs.google.com/spreadsheets/d/1_Zwps30dlVa-pZFsorjVf1Pil6WXwzCsJU0U2whO3NI/edit?usp=sharing"",""ชลบุรี!J372"")"),202)</f>
        <v>202</v>
      </c>
      <c r="AQ56" s="248">
        <f ca="1">IFERROR(__xludf.DUMMYFUNCTION("IMPORTRANGE(""https://docs.google.com/spreadsheets/d/1_Zwps30dlVa-pZFsorjVf1Pil6WXwzCsJU0U2whO3NI/edit?usp=sharing"",""ชลบุรี!J373"")"),2350.95)</f>
        <v>2350.9499999999998</v>
      </c>
      <c r="AR56" s="252">
        <f t="shared" ca="1" si="48"/>
        <v>101</v>
      </c>
      <c r="AS56" s="248">
        <f ca="1">IFERROR(__xludf.DUMMYFUNCTION("IMPORTRANGE(""https://docs.google.com/spreadsheets/d/1_Zwps30dlVa-pZFsorjVf1Pil6WXwzCsJU0U2whO3NI/edit?usp=sharing"",""ชลบุรี!I378"")"),1000)</f>
        <v>1000</v>
      </c>
      <c r="AT56" s="248">
        <f ca="1">IFERROR(__xludf.DUMMYFUNCTION("IMPORTRANGE(""https://docs.google.com/spreadsheets/d/1_Zwps30dlVa-pZFsorjVf1Pil6WXwzCsJU0U2whO3NI/edit?usp=sharing"",""ชลบุรี!J377"")"),134)</f>
        <v>134</v>
      </c>
      <c r="AU56" s="248">
        <f ca="1">IFERROR(__xludf.DUMMYFUNCTION("IMPORTRANGE(""https://docs.google.com/spreadsheets/d/1_Zwps30dlVa-pZFsorjVf1Pil6WXwzCsJU0U2whO3NI/edit?usp=sharing"",""ชลบุรี!J378"")"),1061.83)</f>
        <v>1061.83</v>
      </c>
      <c r="AV56" s="252">
        <f t="shared" ca="1" si="49"/>
        <v>106.18300000000001</v>
      </c>
      <c r="AW56" s="248">
        <f ca="1">IFERROR(__xludf.DUMMYFUNCTION("IMPORTRANGE(""https://docs.google.com/spreadsheets/d/1_Zwps30dlVa-pZFsorjVf1Pil6WXwzCsJU0U2whO3NI/edit?usp=sharing"",""ชลบุรี!I379"")"),220)</f>
        <v>220</v>
      </c>
      <c r="AX56" s="248">
        <f ca="1">IFERROR(__xludf.DUMMYFUNCTION("IMPORTRANGE(""https://docs.google.com/spreadsheets/d/1_Zwps30dlVa-pZFsorjVf1Pil6WXwzCsJU0U2whO3NI/edit?usp=sharing"",""ชลบุรี!J379"")"),311)</f>
        <v>311</v>
      </c>
      <c r="AY56" s="248">
        <f ca="1">IFERROR(__xludf.DUMMYFUNCTION("IMPORTRANGE(""https://docs.google.com/spreadsheets/d/1_Zwps30dlVa-pZFsorjVf1Pil6WXwzCsJU0U2whO3NI/edit?usp=sharing"",""ชลบุรี!J380"")"),4086.39)</f>
        <v>4086.39</v>
      </c>
      <c r="AZ56" s="252">
        <f t="shared" ca="1" si="50"/>
        <v>141.36363636363637</v>
      </c>
      <c r="BA56" s="248">
        <f ca="1">IFERROR(__xludf.DUMMYFUNCTION("IMPORTRANGE(""https://docs.google.com/spreadsheets/d/1_Zwps30dlVa-pZFsorjVf1Pil6WXwzCsJU0U2whO3NI/edit?usp=sharing"",""ชลบุรี!I381"")"),220)</f>
        <v>220</v>
      </c>
      <c r="BB56" s="248">
        <f ca="1">IFERROR(__xludf.DUMMYFUNCTION("IMPORTRANGE(""https://docs.google.com/spreadsheets/d/1_Zwps30dlVa-pZFsorjVf1Pil6WXwzCsJU0U2whO3NI/edit?usp=sharing"",""ชลบุรี!J381"")"),316)</f>
        <v>316</v>
      </c>
      <c r="BC56" s="248">
        <f ca="1">IFERROR(__xludf.DUMMYFUNCTION("IMPORTRANGE(""https://docs.google.com/spreadsheets/d/1_Zwps30dlVa-pZFsorjVf1Pil6WXwzCsJU0U2whO3NI/edit?usp=sharing"",""ชลบุรี!J382"")"),4148.09)</f>
        <v>4148.09</v>
      </c>
      <c r="BD56" s="252">
        <f t="shared" ca="1" si="51"/>
        <v>143.63636363636363</v>
      </c>
    </row>
    <row r="57" spans="1:56" ht="21" customHeight="1" x14ac:dyDescent="0.3">
      <c r="A57" s="243">
        <v>5</v>
      </c>
      <c r="B57" s="244" t="s">
        <v>79</v>
      </c>
      <c r="C57" s="245">
        <f t="shared" ca="1" si="0"/>
        <v>400550</v>
      </c>
      <c r="D57" s="246">
        <f t="shared" ca="1" si="88"/>
        <v>326450</v>
      </c>
      <c r="E57" s="247">
        <f ca="1">IFERROR(__xludf.DUMMYFUNCTION("IMPORTRANGE(""https://docs.google.com/spreadsheets/d/1MeEWN-I1oV_STSDYn1IFDPWt_1FKiwhDph83XaGc0o0/edit?usp=sharing"",""งบพรบ!EX57"")"),87600)</f>
        <v>87600</v>
      </c>
      <c r="F57" s="247">
        <f ca="1">IFERROR(__xludf.DUMMYFUNCTION("IMPORTRANGE(""https://docs.google.com/spreadsheets/d/1MeEWN-I1oV_STSDYn1IFDPWt_1FKiwhDph83XaGc0o0/edit?usp=sharing"",""งบพรบ!EY57"")"),238850)</f>
        <v>238850</v>
      </c>
      <c r="G57" s="247">
        <f ca="1">IFERROR(__xludf.DUMMYFUNCTION("IMPORTRANGE(""https://docs.google.com/spreadsheets/d/1MeEWN-I1oV_STSDYn1IFDPWt_1FKiwhDph83XaGc0o0/edit?usp=sharing"",""งบพรบ!EZ57"")"),74100)</f>
        <v>74100</v>
      </c>
      <c r="H57" s="247">
        <f ca="1">IFERROR(__xludf.DUMMYFUNCTION("IMPORTRANGE(""https://docs.google.com/spreadsheets/d/1MeEWN-I1oV_STSDYn1IFDPWt_1FKiwhDph83XaGc0o0/edit?usp=sharing"",""งบพรบ!FB57"")"),356585)</f>
        <v>356585</v>
      </c>
      <c r="I57" s="247">
        <f ca="1">IFERROR(__xludf.DUMMYFUNCTION("IMPORTRANGE(""https://docs.google.com/spreadsheets/d/1MeEWN-I1oV_STSDYn1IFDPWt_1FKiwhDph83XaGc0o0/edit?usp=sharing"",""งบพรบ!FC57"")"),74100)</f>
        <v>74100</v>
      </c>
      <c r="J57" s="247">
        <f t="shared" ca="1" si="3"/>
        <v>367056</v>
      </c>
      <c r="K57" s="253">
        <f t="shared" ca="1" si="4"/>
        <v>91.637997753089508</v>
      </c>
      <c r="L57" s="247">
        <f ca="1">IFERROR(__xludf.DUMMYFUNCTION("IMPORTRANGE(""https://docs.google.com/spreadsheets/d/1MeEWN-I1oV_STSDYn1IFDPWt_1FKiwhDph83XaGc0o0/edit?usp=sharing"",""งบพรบ!FD57"")"),292956)</f>
        <v>292956</v>
      </c>
      <c r="M57" s="250">
        <f t="shared" ca="1" si="5"/>
        <v>89.739929545106449</v>
      </c>
      <c r="N57" s="250">
        <f t="shared" ca="1" si="6"/>
        <v>82.156007684002418</v>
      </c>
      <c r="O57" s="251">
        <f ca="1">IFERROR(__xludf.DUMMYFUNCTION("IMPORTRANGE(""https://docs.google.com/spreadsheets/d/1MeEWN-I1oV_STSDYn1IFDPWt_1FKiwhDph83XaGc0o0/edit?usp=sharing"",""งบพรบ!FE57"")"),74100)</f>
        <v>74100</v>
      </c>
      <c r="P57" s="250">
        <f t="shared" ca="1" si="53"/>
        <v>100</v>
      </c>
      <c r="Q57" s="250">
        <f t="shared" ca="1" si="8"/>
        <v>100</v>
      </c>
      <c r="R57" s="248">
        <f ca="1">IFERROR(__xludf.DUMMYFUNCTION("IMPORTRANGE(""https://docs.google.com/spreadsheets/d/1xAsT4sUbBlom7l0acStESh_15nvjZcXjZM7fK5uZSq8/edit?usp=sharing"",""ชัยนาท!I359"")"),163)</f>
        <v>163</v>
      </c>
      <c r="S57" s="248">
        <f ca="1">IFERROR(__xludf.DUMMYFUNCTION("IMPORTRANGE(""https://docs.google.com/spreadsheets/d/1xAsT4sUbBlom7l0acStESh_15nvjZcXjZM7fK5uZSq8/edit?usp=sharing"",""ชัยนาท!J358"")"),30)</f>
        <v>30</v>
      </c>
      <c r="T57" s="248">
        <f ca="1">IFERROR(__xludf.DUMMYFUNCTION("IMPORTRANGE(""https://docs.google.com/spreadsheets/d/1xAsT4sUbBlom7l0acStESh_15nvjZcXjZM7fK5uZSq8/edit?usp=sharing"",""ชัยนาท!J359"")"),292.159999999999)</f>
        <v>292.159999999999</v>
      </c>
      <c r="U57" s="252">
        <f t="shared" ca="1" si="43"/>
        <v>179.23926380368039</v>
      </c>
      <c r="V57" s="248">
        <f ca="1">IFERROR(__xludf.DUMMYFUNCTION("IMPORTRANGE(""https://docs.google.com/spreadsheets/d/1xAsT4sUbBlom7l0acStESh_15nvjZcXjZM7fK5uZSq8/edit?usp=sharing"",""ชัยนาท!I360"")"),18)</f>
        <v>18</v>
      </c>
      <c r="W57" s="248">
        <f ca="1">IFERROR(__xludf.DUMMYFUNCTION("IMPORTRANGE(""https://docs.google.com/spreadsheets/d/1xAsT4sUbBlom7l0acStESh_15nvjZcXjZM7fK5uZSq8/edit?usp=sharing"",""ชัยนาท!J360"")"),38)</f>
        <v>38</v>
      </c>
      <c r="X57" s="248">
        <f ca="1">IFERROR(__xludf.DUMMYFUNCTION("IMPORTRANGE(""https://docs.google.com/spreadsheets/d/1xAsT4sUbBlom7l0acStESh_15nvjZcXjZM7fK5uZSq8/edit?usp=sharing"",""ชัยนาท!J361"")"),335.75)</f>
        <v>335.75</v>
      </c>
      <c r="Y57" s="252">
        <f t="shared" ca="1" si="44"/>
        <v>211.11111111111111</v>
      </c>
      <c r="Z57" s="248">
        <f ca="1">IFERROR(__xludf.DUMMYFUNCTION("IMPORTRANGE(""https://docs.google.com/spreadsheets/d/1xAsT4sUbBlom7l0acStESh_15nvjZcXjZM7fK5uZSq8/edit?usp=sharing"",""ชัยนาท!I362"")"),18)</f>
        <v>18</v>
      </c>
      <c r="AA57" s="248">
        <f ca="1">IFERROR(__xludf.DUMMYFUNCTION("IMPORTRANGE(""https://docs.google.com/spreadsheets/d/1xAsT4sUbBlom7l0acStESh_15nvjZcXjZM7fK5uZSq8/edit?usp=sharing"",""ชัยนาท!J362"")"),37)</f>
        <v>37</v>
      </c>
      <c r="AB57" s="248">
        <f ca="1">IFERROR(__xludf.DUMMYFUNCTION("IMPORTRANGE(""https://docs.google.com/spreadsheets/d/1xAsT4sUbBlom7l0acStESh_15nvjZcXjZM7fK5uZSq8/edit?usp=sharing"",""ชัยนาท!J363"")"),476.45)</f>
        <v>476.45</v>
      </c>
      <c r="AC57" s="252">
        <f t="shared" ca="1" si="45"/>
        <v>205.55555555555554</v>
      </c>
      <c r="AD57" s="248">
        <f ca="1">IFERROR(__xludf.DUMMYFUNCTION("IMPORTRANGE(""https://docs.google.com/spreadsheets/d/1xAsT4sUbBlom7l0acStESh_15nvjZcXjZM7fK5uZSq8/edit?usp=sharing"",""ชัยนาท!I364"")"),88)</f>
        <v>88</v>
      </c>
      <c r="AE57" s="248">
        <f ca="1">IFERROR(__xludf.DUMMYFUNCTION("IMPORTRANGE(""https://docs.google.com/spreadsheets/d/1xAsT4sUbBlom7l0acStESh_15nvjZcXjZM7fK5uZSq8/edit?usp=sharing"",""ชัยนาท!J364"")"),97)</f>
        <v>97</v>
      </c>
      <c r="AF57" s="252">
        <f t="shared" ca="1" si="16"/>
        <v>110.22727272727273</v>
      </c>
      <c r="AG57" s="248">
        <f ca="1">IFERROR(__xludf.DUMMYFUNCTION("IMPORTRANGE(""https://docs.google.com/spreadsheets/d/1xAsT4sUbBlom7l0acStESh_15nvjZcXjZM7fK5uZSq8/edit?usp=sharing"",""ชัยนาท!I369"")"),13)</f>
        <v>13</v>
      </c>
      <c r="AH57" s="248">
        <f ca="1">IFERROR(__xludf.DUMMYFUNCTION("IMPORTRANGE(""https://docs.google.com/spreadsheets/d/1xAsT4sUbBlom7l0acStESh_15nvjZcXjZM7fK5uZSq8/edit?usp=sharing"",""ชัยนาท!J368"")"),20)</f>
        <v>20</v>
      </c>
      <c r="AI57" s="248">
        <f ca="1">IFERROR(__xludf.DUMMYFUNCTION("IMPORTRANGE(""https://docs.google.com/spreadsheets/d/1xAsT4sUbBlom7l0acStESh_15nvjZcXjZM7fK5uZSq8/edit?usp=sharing"",""ชัยนาท!J369"")"),180.79)</f>
        <v>180.79</v>
      </c>
      <c r="AJ57" s="252">
        <f t="shared" ca="1" si="46"/>
        <v>1390.6923076923076</v>
      </c>
      <c r="AK57" s="248">
        <f ca="1">IFERROR(__xludf.DUMMYFUNCTION("IMPORTRANGE(""https://docs.google.com/spreadsheets/d/1xAsT4sUbBlom7l0acStESh_15nvjZcXjZM7fK5uZSq8/edit?usp=sharing"",""ชัยนาท!I370"")"),3)</f>
        <v>3</v>
      </c>
      <c r="AL57" s="248">
        <f ca="1">IFERROR(__xludf.DUMMYFUNCTION("IMPORTRANGE(""https://docs.google.com/spreadsheets/d/1xAsT4sUbBlom7l0acStESh_15nvjZcXjZM7fK5uZSq8/edit?usp=sharing"",""ชัยนาท!J370"")"),26)</f>
        <v>26</v>
      </c>
      <c r="AM57" s="248">
        <f ca="1">IFERROR(__xludf.DUMMYFUNCTION("IMPORTRANGE(""https://docs.google.com/spreadsheets/d/1xAsT4sUbBlom7l0acStESh_15nvjZcXjZM7fK5uZSq8/edit?usp=sharing"",""ชัยนาท!J371"")"),206.4)</f>
        <v>206.4</v>
      </c>
      <c r="AN57" s="252">
        <f t="shared" ca="1" si="47"/>
        <v>866.66666666666663</v>
      </c>
      <c r="AO57" s="248">
        <f ca="1">IFERROR(__xludf.DUMMYFUNCTION("IMPORTRANGE(""https://docs.google.com/spreadsheets/d/1xAsT4sUbBlom7l0acStESh_15nvjZcXjZM7fK5uZSq8/edit?usp=sharing"",""ชัยนาท!I372"")"),3)</f>
        <v>3</v>
      </c>
      <c r="AP57" s="248">
        <f ca="1">IFERROR(__xludf.DUMMYFUNCTION("IMPORTRANGE(""https://docs.google.com/spreadsheets/d/1xAsT4sUbBlom7l0acStESh_15nvjZcXjZM7fK5uZSq8/edit?usp=sharing"",""ชัยนาท!J372"")"),27)</f>
        <v>27</v>
      </c>
      <c r="AQ57" s="248">
        <f ca="1">IFERROR(__xludf.DUMMYFUNCTION("IMPORTRANGE(""https://docs.google.com/spreadsheets/d/1xAsT4sUbBlom7l0acStESh_15nvjZcXjZM7fK5uZSq8/edit?usp=sharing"",""ชัยนาท!J373"")"),365.08)</f>
        <v>365.08</v>
      </c>
      <c r="AR57" s="252">
        <f t="shared" ca="1" si="48"/>
        <v>900</v>
      </c>
      <c r="AS57" s="248">
        <f ca="1">IFERROR(__xludf.DUMMYFUNCTION("IMPORTRANGE(""https://docs.google.com/spreadsheets/d/1xAsT4sUbBlom7l0acStESh_15nvjZcXjZM7fK5uZSq8/edit?usp=sharing"",""ชัยนาท!I378"")"),150)</f>
        <v>150</v>
      </c>
      <c r="AT57" s="248">
        <f ca="1">IFERROR(__xludf.DUMMYFUNCTION("IMPORTRANGE(""https://docs.google.com/spreadsheets/d/1xAsT4sUbBlom7l0acStESh_15nvjZcXjZM7fK5uZSq8/edit?usp=sharing"",""ชัยนาท!J377"")"),10)</f>
        <v>10</v>
      </c>
      <c r="AU57" s="248">
        <f ca="1">IFERROR(__xludf.DUMMYFUNCTION("IMPORTRANGE(""https://docs.google.com/spreadsheets/d/1xAsT4sUbBlom7l0acStESh_15nvjZcXjZM7fK5uZSq8/edit?usp=sharing"",""ชัยนาท!J378"")"),111.37)</f>
        <v>111.37</v>
      </c>
      <c r="AV57" s="252">
        <f t="shared" ca="1" si="49"/>
        <v>74.24666666666667</v>
      </c>
      <c r="AW57" s="248">
        <f ca="1">IFERROR(__xludf.DUMMYFUNCTION("IMPORTRANGE(""https://docs.google.com/spreadsheets/d/1xAsT4sUbBlom7l0acStESh_15nvjZcXjZM7fK5uZSq8/edit?usp=sharing"",""ชัยนาท!I379"")"),85)</f>
        <v>85</v>
      </c>
      <c r="AX57" s="248">
        <f ca="1">IFERROR(__xludf.DUMMYFUNCTION("IMPORTRANGE(""https://docs.google.com/spreadsheets/d/1xAsT4sUbBlom7l0acStESh_15nvjZcXjZM7fK5uZSq8/edit?usp=sharing"",""ชัยนาท!J379"")"),92)</f>
        <v>92</v>
      </c>
      <c r="AY57" s="248">
        <f ca="1">IFERROR(__xludf.DUMMYFUNCTION("IMPORTRANGE(""https://docs.google.com/spreadsheets/d/1xAsT4sUbBlom7l0acStESh_15nvjZcXjZM7fK5uZSq8/edit?usp=sharing"",""ชัยนาท!J380"")"),1589.27)</f>
        <v>1589.27</v>
      </c>
      <c r="AZ57" s="252">
        <f t="shared" ca="1" si="50"/>
        <v>108.23529411764706</v>
      </c>
      <c r="BA57" s="248">
        <f ca="1">IFERROR(__xludf.DUMMYFUNCTION("IMPORTRANGE(""https://docs.google.com/spreadsheets/d/1xAsT4sUbBlom7l0acStESh_15nvjZcXjZM7fK5uZSq8/edit?usp=sharing"",""ชัยนาท!I381"")"),85)</f>
        <v>85</v>
      </c>
      <c r="BB57" s="248">
        <f ca="1">IFERROR(__xludf.DUMMYFUNCTION("IMPORTRANGE(""https://docs.google.com/spreadsheets/d/1xAsT4sUbBlom7l0acStESh_15nvjZcXjZM7fK5uZSq8/edit?usp=sharing"",""ชัยนาท!J381"")"),70)</f>
        <v>70</v>
      </c>
      <c r="BC57" s="248">
        <f ca="1">IFERROR(__xludf.DUMMYFUNCTION("IMPORTRANGE(""https://docs.google.com/spreadsheets/d/1xAsT4sUbBlom7l0acStESh_15nvjZcXjZM7fK5uZSq8/edit?usp=sharing"",""ชัยนาท!J382"")"),1403.15)</f>
        <v>1403.15</v>
      </c>
      <c r="BD57" s="252">
        <f t="shared" ca="1" si="51"/>
        <v>82.352941176470594</v>
      </c>
    </row>
    <row r="58" spans="1:56" ht="21" customHeight="1" x14ac:dyDescent="0.3">
      <c r="A58" s="243">
        <v>6</v>
      </c>
      <c r="B58" s="244" t="s">
        <v>80</v>
      </c>
      <c r="C58" s="245">
        <f t="shared" ca="1" si="0"/>
        <v>578780</v>
      </c>
      <c r="D58" s="246">
        <f t="shared" ca="1" si="88"/>
        <v>562780</v>
      </c>
      <c r="E58" s="247">
        <f ca="1">IFERROR(__xludf.DUMMYFUNCTION("IMPORTRANGE(""https://docs.google.com/spreadsheets/d/1MeEWN-I1oV_STSDYn1IFDPWt_1FKiwhDph83XaGc0o0/edit?usp=sharing"",""งบพรบ!EX58"")"),201600)</f>
        <v>201600</v>
      </c>
      <c r="F58" s="247">
        <f ca="1">IFERROR(__xludf.DUMMYFUNCTION("IMPORTRANGE(""https://docs.google.com/spreadsheets/d/1MeEWN-I1oV_STSDYn1IFDPWt_1FKiwhDph83XaGc0o0/edit?usp=sharing"",""งบพรบ!EY58"")"),361180)</f>
        <v>361180</v>
      </c>
      <c r="G58" s="247">
        <f ca="1">IFERROR(__xludf.DUMMYFUNCTION("IMPORTRANGE(""https://docs.google.com/spreadsheets/d/1MeEWN-I1oV_STSDYn1IFDPWt_1FKiwhDph83XaGc0o0/edit?usp=sharing"",""งบพรบ!EZ58"")"),16000)</f>
        <v>16000</v>
      </c>
      <c r="H58" s="247">
        <f ca="1">IFERROR(__xludf.DUMMYFUNCTION("IMPORTRANGE(""https://docs.google.com/spreadsheets/d/1MeEWN-I1oV_STSDYn1IFDPWt_1FKiwhDph83XaGc0o0/edit?usp=sharing"",""งบพรบ!FB58"")"),765370)</f>
        <v>765370</v>
      </c>
      <c r="I58" s="247">
        <f ca="1">IFERROR(__xludf.DUMMYFUNCTION("IMPORTRANGE(""https://docs.google.com/spreadsheets/d/1MeEWN-I1oV_STSDYn1IFDPWt_1FKiwhDph83XaGc0o0/edit?usp=sharing"",""งบพรบ!FC58"")"),14500)</f>
        <v>14500</v>
      </c>
      <c r="J58" s="247">
        <f t="shared" ca="1" si="3"/>
        <v>686239</v>
      </c>
      <c r="K58" s="253">
        <f t="shared" ca="1" si="4"/>
        <v>118.56646739693839</v>
      </c>
      <c r="L58" s="247">
        <f ca="1">IFERROR(__xludf.DUMMYFUNCTION("IMPORTRANGE(""https://docs.google.com/spreadsheets/d/1MeEWN-I1oV_STSDYn1IFDPWt_1FKiwhDph83XaGc0o0/edit?usp=sharing"",""งบพรบ!FD58"")"),671739)</f>
        <v>671739</v>
      </c>
      <c r="M58" s="250">
        <f t="shared" ca="1" si="5"/>
        <v>119.36085148725968</v>
      </c>
      <c r="N58" s="250">
        <f t="shared" ca="1" si="6"/>
        <v>87.766570416922534</v>
      </c>
      <c r="O58" s="251">
        <f ca="1">IFERROR(__xludf.DUMMYFUNCTION("IMPORTRANGE(""https://docs.google.com/spreadsheets/d/1MeEWN-I1oV_STSDYn1IFDPWt_1FKiwhDph83XaGc0o0/edit?usp=sharing"",""งบพรบ!FE58"")"),14500)</f>
        <v>14500</v>
      </c>
      <c r="P58" s="250">
        <f t="shared" ca="1" si="53"/>
        <v>90.625</v>
      </c>
      <c r="Q58" s="250">
        <f t="shared" ca="1" si="8"/>
        <v>100</v>
      </c>
      <c r="R58" s="248">
        <f ca="1">IFERROR(__xludf.DUMMYFUNCTION("IMPORTRANGE(""https://docs.google.com/spreadsheets/d/1vWPVBOAaZ6mHSI8yf95DNqHwTJ1cpeFsvqt6cxV34QA/edit?usp=sharing"",""ตราด!I359"")"),2000)</f>
        <v>2000</v>
      </c>
      <c r="S58" s="248">
        <f ca="1">IFERROR(__xludf.DUMMYFUNCTION("IMPORTRANGE(""https://docs.google.com/spreadsheets/d/1vWPVBOAaZ6mHSI8yf95DNqHwTJ1cpeFsvqt6cxV34QA/edit?usp=sharing"",""ตราด!J358"")"),147)</f>
        <v>147</v>
      </c>
      <c r="T58" s="248">
        <f ca="1">IFERROR(__xludf.DUMMYFUNCTION("IMPORTRANGE(""https://docs.google.com/spreadsheets/d/1vWPVBOAaZ6mHSI8yf95DNqHwTJ1cpeFsvqt6cxV34QA/edit?usp=sharing"",""ตราด!J359"")"),2079.29)</f>
        <v>2079.29</v>
      </c>
      <c r="U58" s="252">
        <f t="shared" ca="1" si="43"/>
        <v>103.9645</v>
      </c>
      <c r="V58" s="248">
        <f ca="1">IFERROR(__xludf.DUMMYFUNCTION("IMPORTRANGE(""https://docs.google.com/spreadsheets/d/1vWPVBOAaZ6mHSI8yf95DNqHwTJ1cpeFsvqt6cxV34QA/edit?usp=sharing"",""ตราด!I360"")"),130)</f>
        <v>130</v>
      </c>
      <c r="W58" s="248">
        <f ca="1">IFERROR(__xludf.DUMMYFUNCTION("IMPORTRANGE(""https://docs.google.com/spreadsheets/d/1vWPVBOAaZ6mHSI8yf95DNqHwTJ1cpeFsvqt6cxV34QA/edit?usp=sharing"",""ตราด!J360"")"),139)</f>
        <v>139</v>
      </c>
      <c r="X58" s="248">
        <f ca="1">IFERROR(__xludf.DUMMYFUNCTION("IMPORTRANGE(""https://docs.google.com/spreadsheets/d/1vWPVBOAaZ6mHSI8yf95DNqHwTJ1cpeFsvqt6cxV34QA/edit?usp=sharing"",""ตราด!J361"")"),1711.61)</f>
        <v>1711.61</v>
      </c>
      <c r="Y58" s="252">
        <f t="shared" ca="1" si="44"/>
        <v>106.92307692307692</v>
      </c>
      <c r="Z58" s="248">
        <f ca="1">IFERROR(__xludf.DUMMYFUNCTION("IMPORTRANGE(""https://docs.google.com/spreadsheets/d/1vWPVBOAaZ6mHSI8yf95DNqHwTJ1cpeFsvqt6cxV34QA/edit?usp=sharing"",""ตราด!I362"")"),130)</f>
        <v>130</v>
      </c>
      <c r="AA58" s="248">
        <f ca="1">IFERROR(__xludf.DUMMYFUNCTION("IMPORTRANGE(""https://docs.google.com/spreadsheets/d/1vWPVBOAaZ6mHSI8yf95DNqHwTJ1cpeFsvqt6cxV34QA/edit?usp=sharing"",""ตราด!J362"")"),120)</f>
        <v>120</v>
      </c>
      <c r="AB58" s="248">
        <f ca="1">IFERROR(__xludf.DUMMYFUNCTION("IMPORTRANGE(""https://docs.google.com/spreadsheets/d/1vWPVBOAaZ6mHSI8yf95DNqHwTJ1cpeFsvqt6cxV34QA/edit?usp=sharing"",""ตราด!J363"")"),1346.59)</f>
        <v>1346.59</v>
      </c>
      <c r="AC58" s="252">
        <f t="shared" ca="1" si="45"/>
        <v>92.307692307692307</v>
      </c>
      <c r="AD58" s="248">
        <f ca="1">IFERROR(__xludf.DUMMYFUNCTION("IMPORTRANGE(""https://docs.google.com/spreadsheets/d/1vWPVBOAaZ6mHSI8yf95DNqHwTJ1cpeFsvqt6cxV34QA/edit?usp=sharing"",""ตราด!I364"")"),230)</f>
        <v>230</v>
      </c>
      <c r="AE58" s="248">
        <f ca="1">IFERROR(__xludf.DUMMYFUNCTION("IMPORTRANGE(""https://docs.google.com/spreadsheets/d/1vWPVBOAaZ6mHSI8yf95DNqHwTJ1cpeFsvqt6cxV34QA/edit?usp=sharing"",""ตราด!J364"")"),397)</f>
        <v>397</v>
      </c>
      <c r="AF58" s="252">
        <f t="shared" ca="1" si="16"/>
        <v>172.60869565217391</v>
      </c>
      <c r="AG58" s="248">
        <f ca="1">IFERROR(__xludf.DUMMYFUNCTION("IMPORTRANGE(""https://docs.google.com/spreadsheets/d/1vWPVBOAaZ6mHSI8yf95DNqHwTJ1cpeFsvqt6cxV34QA/edit?usp=sharing"",""ตราด!I369"")"),1000)</f>
        <v>1000</v>
      </c>
      <c r="AH58" s="248">
        <f ca="1">IFERROR(__xludf.DUMMYFUNCTION("IMPORTRANGE(""https://docs.google.com/spreadsheets/d/1vWPVBOAaZ6mHSI8yf95DNqHwTJ1cpeFsvqt6cxV34QA/edit?usp=sharing"",""ตราด!J368"")"),61)</f>
        <v>61</v>
      </c>
      <c r="AI58" s="248">
        <f ca="1">IFERROR(__xludf.DUMMYFUNCTION("IMPORTRANGE(""https://docs.google.com/spreadsheets/d/1vWPVBOAaZ6mHSI8yf95DNqHwTJ1cpeFsvqt6cxV34QA/edit?usp=sharing"",""ตราด!J369"")"),1288.95)</f>
        <v>1288.95</v>
      </c>
      <c r="AJ58" s="252">
        <f t="shared" ca="1" si="46"/>
        <v>128.89500000000001</v>
      </c>
      <c r="AK58" s="248">
        <f ca="1">IFERROR(__xludf.DUMMYFUNCTION("IMPORTRANGE(""https://docs.google.com/spreadsheets/d/1vWPVBOAaZ6mHSI8yf95DNqHwTJ1cpeFsvqt6cxV34QA/edit?usp=sharing"",""ตราด!I370"")"),30)</f>
        <v>30</v>
      </c>
      <c r="AL58" s="248">
        <f ca="1">IFERROR(__xludf.DUMMYFUNCTION("IMPORTRANGE(""https://docs.google.com/spreadsheets/d/1vWPVBOAaZ6mHSI8yf95DNqHwTJ1cpeFsvqt6cxV34QA/edit?usp=sharing"",""ตราด!J370"")"),54)</f>
        <v>54</v>
      </c>
      <c r="AM58" s="248">
        <f ca="1">IFERROR(__xludf.DUMMYFUNCTION("IMPORTRANGE(""https://docs.google.com/spreadsheets/d/1vWPVBOAaZ6mHSI8yf95DNqHwTJ1cpeFsvqt6cxV34QA/edit?usp=sharing"",""ตราด!J371"")"),921.64)</f>
        <v>921.64</v>
      </c>
      <c r="AN58" s="252">
        <f t="shared" ca="1" si="47"/>
        <v>180</v>
      </c>
      <c r="AO58" s="248">
        <f ca="1">IFERROR(__xludf.DUMMYFUNCTION("IMPORTRANGE(""https://docs.google.com/spreadsheets/d/1vWPVBOAaZ6mHSI8yf95DNqHwTJ1cpeFsvqt6cxV34QA/edit?usp=sharing"",""ตราด!I372"")"),30)</f>
        <v>30</v>
      </c>
      <c r="AP58" s="248">
        <f ca="1">IFERROR(__xludf.DUMMYFUNCTION("IMPORTRANGE(""https://docs.google.com/spreadsheets/d/1vWPVBOAaZ6mHSI8yf95DNqHwTJ1cpeFsvqt6cxV34QA/edit?usp=sharing"",""ตราด!J372"")"),35)</f>
        <v>35</v>
      </c>
      <c r="AQ58" s="248">
        <f ca="1">IFERROR(__xludf.DUMMYFUNCTION("IMPORTRANGE(""https://docs.google.com/spreadsheets/d/1vWPVBOAaZ6mHSI8yf95DNqHwTJ1cpeFsvqt6cxV34QA/edit?usp=sharing"",""ตราด!J373"")"),556.62)</f>
        <v>556.62</v>
      </c>
      <c r="AR58" s="252">
        <f t="shared" ca="1" si="48"/>
        <v>116.66666666666667</v>
      </c>
      <c r="AS58" s="248">
        <f ca="1">IFERROR(__xludf.DUMMYFUNCTION("IMPORTRANGE(""https://docs.google.com/spreadsheets/d/1vWPVBOAaZ6mHSI8yf95DNqHwTJ1cpeFsvqt6cxV34QA/edit?usp=sharing"",""ตราด!I378"")"),1000)</f>
        <v>1000</v>
      </c>
      <c r="AT58" s="248">
        <f ca="1">IFERROR(__xludf.DUMMYFUNCTION("IMPORTRANGE(""https://docs.google.com/spreadsheets/d/1vWPVBOAaZ6mHSI8yf95DNqHwTJ1cpeFsvqt6cxV34QA/edit?usp=sharing"",""ตราด!J377"")"),86)</f>
        <v>86</v>
      </c>
      <c r="AU58" s="248">
        <f ca="1">IFERROR(__xludf.DUMMYFUNCTION("IMPORTRANGE(""https://docs.google.com/spreadsheets/d/1vWPVBOAaZ6mHSI8yf95DNqHwTJ1cpeFsvqt6cxV34QA/edit?usp=sharing"",""ตราด!J378"")"),790.34)</f>
        <v>790.34</v>
      </c>
      <c r="AV58" s="252">
        <f t="shared" ca="1" si="49"/>
        <v>79.034000000000006</v>
      </c>
      <c r="AW58" s="248">
        <f ca="1">IFERROR(__xludf.DUMMYFUNCTION("IMPORTRANGE(""https://docs.google.com/spreadsheets/d/1vWPVBOAaZ6mHSI8yf95DNqHwTJ1cpeFsvqt6cxV34QA/edit?usp=sharing"",""ตราด!I379"")"),200)</f>
        <v>200</v>
      </c>
      <c r="AX58" s="248">
        <f ca="1">IFERROR(__xludf.DUMMYFUNCTION("IMPORTRANGE(""https://docs.google.com/spreadsheets/d/1vWPVBOAaZ6mHSI8yf95DNqHwTJ1cpeFsvqt6cxV34QA/edit?usp=sharing"",""ตราด!J379"")"),361)</f>
        <v>361</v>
      </c>
      <c r="AY58" s="248">
        <f ca="1">IFERROR(__xludf.DUMMYFUNCTION("IMPORTRANGE(""https://docs.google.com/spreadsheets/d/1vWPVBOAaZ6mHSI8yf95DNqHwTJ1cpeFsvqt6cxV34QA/edit?usp=sharing"",""ตราด!J380"")"),5209.66)</f>
        <v>5209.66</v>
      </c>
      <c r="AZ58" s="252">
        <f t="shared" ca="1" si="50"/>
        <v>180.5</v>
      </c>
      <c r="BA58" s="248">
        <f ca="1">IFERROR(__xludf.DUMMYFUNCTION("IMPORTRANGE(""https://docs.google.com/spreadsheets/d/1vWPVBOAaZ6mHSI8yf95DNqHwTJ1cpeFsvqt6cxV34QA/edit?usp=sharing"",""ตราด!I381"")"),200)</f>
        <v>200</v>
      </c>
      <c r="BB58" s="248">
        <f ca="1">IFERROR(__xludf.DUMMYFUNCTION("IMPORTRANGE(""https://docs.google.com/spreadsheets/d/1vWPVBOAaZ6mHSI8yf95DNqHwTJ1cpeFsvqt6cxV34QA/edit?usp=sharing"",""ตราด!J381"")"),362)</f>
        <v>362</v>
      </c>
      <c r="BC58" s="248">
        <f ca="1">IFERROR(__xludf.DUMMYFUNCTION("IMPORTRANGE(""https://docs.google.com/spreadsheets/d/1vWPVBOAaZ6mHSI8yf95DNqHwTJ1cpeFsvqt6cxV34QA/edit?usp=sharing"",""ตราด!J382"")"),5217.53)</f>
        <v>5217.53</v>
      </c>
      <c r="BD58" s="252">
        <f t="shared" ca="1" si="51"/>
        <v>181</v>
      </c>
    </row>
    <row r="59" spans="1:56" ht="21" customHeight="1" x14ac:dyDescent="0.3">
      <c r="A59" s="243">
        <v>7</v>
      </c>
      <c r="B59" s="244" t="s">
        <v>81</v>
      </c>
      <c r="C59" s="245">
        <f t="shared" ca="1" si="0"/>
        <v>374080</v>
      </c>
      <c r="D59" s="246">
        <f t="shared" ca="1" si="88"/>
        <v>200680</v>
      </c>
      <c r="E59" s="247">
        <f ca="1">IFERROR(__xludf.DUMMYFUNCTION("IMPORTRANGE(""https://docs.google.com/spreadsheets/d/1MeEWN-I1oV_STSDYn1IFDPWt_1FKiwhDph83XaGc0o0/edit?usp=sharing"",""งบพรบ!EX59"")"),0)</f>
        <v>0</v>
      </c>
      <c r="F59" s="247">
        <f ca="1">IFERROR(__xludf.DUMMYFUNCTION("IMPORTRANGE(""https://docs.google.com/spreadsheets/d/1MeEWN-I1oV_STSDYn1IFDPWt_1FKiwhDph83XaGc0o0/edit?usp=sharing"",""งบพรบ!EY59"")"),200680)</f>
        <v>200680</v>
      </c>
      <c r="G59" s="247">
        <f ca="1">IFERROR(__xludf.DUMMYFUNCTION("IMPORTRANGE(""https://docs.google.com/spreadsheets/d/1MeEWN-I1oV_STSDYn1IFDPWt_1FKiwhDph83XaGc0o0/edit?usp=sharing"",""งบพรบ!EZ59"")"),173400)</f>
        <v>173400</v>
      </c>
      <c r="H59" s="247">
        <f ca="1">IFERROR(__xludf.DUMMYFUNCTION("IMPORTRANGE(""https://docs.google.com/spreadsheets/d/1MeEWN-I1oV_STSDYn1IFDPWt_1FKiwhDph83XaGc0o0/edit?usp=sharing"",""งบพรบ!FB59"")"),231180)</f>
        <v>231180</v>
      </c>
      <c r="I59" s="247">
        <f ca="1">IFERROR(__xludf.DUMMYFUNCTION("IMPORTRANGE(""https://docs.google.com/spreadsheets/d/1MeEWN-I1oV_STSDYn1IFDPWt_1FKiwhDph83XaGc0o0/edit?usp=sharing"",""งบพรบ!FC59"")"),173400)</f>
        <v>173400</v>
      </c>
      <c r="J59" s="247">
        <f t="shared" ca="1" si="3"/>
        <v>325705</v>
      </c>
      <c r="K59" s="253">
        <f t="shared" ca="1" si="4"/>
        <v>87.06827416595381</v>
      </c>
      <c r="L59" s="247">
        <f ca="1">IFERROR(__xludf.DUMMYFUNCTION("IMPORTRANGE(""https://docs.google.com/spreadsheets/d/1MeEWN-I1oV_STSDYn1IFDPWt_1FKiwhDph83XaGc0o0/edit?usp=sharing"",""งบพรบ!FD59"")"),152305)</f>
        <v>152305</v>
      </c>
      <c r="M59" s="250">
        <f t="shared" ca="1" si="5"/>
        <v>75.894458839944193</v>
      </c>
      <c r="N59" s="250">
        <f t="shared" ca="1" si="6"/>
        <v>65.881564149147849</v>
      </c>
      <c r="O59" s="251">
        <f ca="1">IFERROR(__xludf.DUMMYFUNCTION("IMPORTRANGE(""https://docs.google.com/spreadsheets/d/1MeEWN-I1oV_STSDYn1IFDPWt_1FKiwhDph83XaGc0o0/edit?usp=sharing"",""งบพรบ!FE59"")"),173400)</f>
        <v>173400</v>
      </c>
      <c r="P59" s="250">
        <f t="shared" ca="1" si="53"/>
        <v>100</v>
      </c>
      <c r="Q59" s="250">
        <f t="shared" ca="1" si="8"/>
        <v>100</v>
      </c>
      <c r="R59" s="248">
        <f ca="1">IFERROR(__xludf.DUMMYFUNCTION("IMPORTRANGE(""https://docs.google.com/spreadsheets/d/1phaeSb9lTGgzDpbvVqI9hfmOQQzUom07-HEvpbARzEg/edit?usp=sharing"",""นครนายก!I359"")"),0)</f>
        <v>0</v>
      </c>
      <c r="S59" s="248">
        <f ca="1">IFERROR(__xludf.DUMMYFUNCTION("IMPORTRANGE(""https://docs.google.com/spreadsheets/d/1phaeSb9lTGgzDpbvVqI9hfmOQQzUom07-HEvpbARzEg/edit?usp=sharing"",""นครนายก!J358"")"),0)</f>
        <v>0</v>
      </c>
      <c r="T59" s="248">
        <f ca="1">IFERROR(__xludf.DUMMYFUNCTION("IMPORTRANGE(""https://docs.google.com/spreadsheets/d/1phaeSb9lTGgzDpbvVqI9hfmOQQzUom07-HEvpbARzEg/edit?usp=sharing"",""นครนายก!J359"")"),0)</f>
        <v>0</v>
      </c>
      <c r="U59" s="252">
        <f t="shared" ca="1" si="43"/>
        <v>0</v>
      </c>
      <c r="V59" s="248">
        <f ca="1">IFERROR(__xludf.DUMMYFUNCTION("IMPORTRANGE(""https://docs.google.com/spreadsheets/d/1phaeSb9lTGgzDpbvVqI9hfmOQQzUom07-HEvpbARzEg/edit?usp=sharing"",""นครนายก!I360"")"),0)</f>
        <v>0</v>
      </c>
      <c r="W59" s="248">
        <f ca="1">IFERROR(__xludf.DUMMYFUNCTION("IMPORTRANGE(""https://docs.google.com/spreadsheets/d/1phaeSb9lTGgzDpbvVqI9hfmOQQzUom07-HEvpbARzEg/edit?usp=sharing"",""นครนายก!J360"")"),0)</f>
        <v>0</v>
      </c>
      <c r="X59" s="248">
        <f ca="1">IFERROR(__xludf.DUMMYFUNCTION("IMPORTRANGE(""https://docs.google.com/spreadsheets/d/1phaeSb9lTGgzDpbvVqI9hfmOQQzUom07-HEvpbARzEg/edit?usp=sharing"",""นครนายก!J361"")"),0)</f>
        <v>0</v>
      </c>
      <c r="Y59" s="252">
        <f t="shared" ca="1" si="44"/>
        <v>0</v>
      </c>
      <c r="Z59" s="248">
        <f ca="1">IFERROR(__xludf.DUMMYFUNCTION("IMPORTRANGE(""https://docs.google.com/spreadsheets/d/1phaeSb9lTGgzDpbvVqI9hfmOQQzUom07-HEvpbARzEg/edit?usp=sharing"",""นครนายก!I362"")"),0)</f>
        <v>0</v>
      </c>
      <c r="AA59" s="248">
        <f ca="1">IFERROR(__xludf.DUMMYFUNCTION("IMPORTRANGE(""https://docs.google.com/spreadsheets/d/1phaeSb9lTGgzDpbvVqI9hfmOQQzUom07-HEvpbARzEg/edit?usp=sharing"",""นครนายก!J362"")"),0)</f>
        <v>0</v>
      </c>
      <c r="AB59" s="248">
        <f ca="1">IFERROR(__xludf.DUMMYFUNCTION("IMPORTRANGE(""https://docs.google.com/spreadsheets/d/1phaeSb9lTGgzDpbvVqI9hfmOQQzUom07-HEvpbARzEg/edit?usp=sharing"",""นครนายก!J363"")"),0)</f>
        <v>0</v>
      </c>
      <c r="AC59" s="252">
        <f t="shared" ca="1" si="45"/>
        <v>0</v>
      </c>
      <c r="AD59" s="248">
        <f ca="1">IFERROR(__xludf.DUMMYFUNCTION("IMPORTRANGE(""https://docs.google.com/spreadsheets/d/1phaeSb9lTGgzDpbvVqI9hfmOQQzUom07-HEvpbARzEg/edit?usp=sharing"",""นครนายก!I364"")"),5)</f>
        <v>5</v>
      </c>
      <c r="AE59" s="248">
        <f ca="1">IFERROR(__xludf.DUMMYFUNCTION("IMPORTRANGE(""https://docs.google.com/spreadsheets/d/1phaeSb9lTGgzDpbvVqI9hfmOQQzUom07-HEvpbARzEg/edit?usp=sharing"",""นครนายก!J364"")"),2)</f>
        <v>2</v>
      </c>
      <c r="AF59" s="252">
        <f t="shared" ca="1" si="16"/>
        <v>40</v>
      </c>
      <c r="AG59" s="248">
        <f ca="1">IFERROR(__xludf.DUMMYFUNCTION("IMPORTRANGE(""https://docs.google.com/spreadsheets/d/1phaeSb9lTGgzDpbvVqI9hfmOQQzUom07-HEvpbARzEg/edit?usp=sharing"",""นครนายก!I369"")"),0)</f>
        <v>0</v>
      </c>
      <c r="AH59" s="248">
        <f ca="1">IFERROR(__xludf.DUMMYFUNCTION("IMPORTRANGE(""https://docs.google.com/spreadsheets/d/1phaeSb9lTGgzDpbvVqI9hfmOQQzUom07-HEvpbARzEg/edit?usp=sharing"",""นครนายก!J368"")"),0)</f>
        <v>0</v>
      </c>
      <c r="AI59" s="248">
        <f ca="1">IFERROR(__xludf.DUMMYFUNCTION("IMPORTRANGE(""https://docs.google.com/spreadsheets/d/1phaeSb9lTGgzDpbvVqI9hfmOQQzUom07-HEvpbARzEg/edit?usp=sharing"",""นครนายก!J369"")"),0)</f>
        <v>0</v>
      </c>
      <c r="AJ59" s="252">
        <f t="shared" ca="1" si="46"/>
        <v>0</v>
      </c>
      <c r="AK59" s="248">
        <f ca="1">IFERROR(__xludf.DUMMYFUNCTION("IMPORTRANGE(""https://docs.google.com/spreadsheets/d/1phaeSb9lTGgzDpbvVqI9hfmOQQzUom07-HEvpbARzEg/edit?usp=sharing"",""นครนายก!I370"")"),0)</f>
        <v>0</v>
      </c>
      <c r="AL59" s="248">
        <f ca="1">IFERROR(__xludf.DUMMYFUNCTION("IMPORTRANGE(""https://docs.google.com/spreadsheets/d/1phaeSb9lTGgzDpbvVqI9hfmOQQzUom07-HEvpbARzEg/edit?usp=sharing"",""นครนายก!J370"")"),0)</f>
        <v>0</v>
      </c>
      <c r="AM59" s="248">
        <f ca="1">IFERROR(__xludf.DUMMYFUNCTION("IMPORTRANGE(""https://docs.google.com/spreadsheets/d/1phaeSb9lTGgzDpbvVqI9hfmOQQzUom07-HEvpbARzEg/edit?usp=sharing"",""นครนายก!J371"")"),0)</f>
        <v>0</v>
      </c>
      <c r="AN59" s="252">
        <f t="shared" ca="1" si="47"/>
        <v>0</v>
      </c>
      <c r="AO59" s="248">
        <f ca="1">IFERROR(__xludf.DUMMYFUNCTION("IMPORTRANGE(""https://docs.google.com/spreadsheets/d/1phaeSb9lTGgzDpbvVqI9hfmOQQzUom07-HEvpbARzEg/edit?usp=sharing"",""นครนายก!I372"")"),0)</f>
        <v>0</v>
      </c>
      <c r="AP59" s="248">
        <f ca="1">IFERROR(__xludf.DUMMYFUNCTION("IMPORTRANGE(""https://docs.google.com/spreadsheets/d/1phaeSb9lTGgzDpbvVqI9hfmOQQzUom07-HEvpbARzEg/edit?usp=sharing"",""นครนายก!J372"")"),0)</f>
        <v>0</v>
      </c>
      <c r="AQ59" s="248">
        <f ca="1">IFERROR(__xludf.DUMMYFUNCTION("IMPORTRANGE(""https://docs.google.com/spreadsheets/d/1phaeSb9lTGgzDpbvVqI9hfmOQQzUom07-HEvpbARzEg/edit?usp=sharing"",""นครนายก!J373"")"),0)</f>
        <v>0</v>
      </c>
      <c r="AR59" s="252">
        <f t="shared" ca="1" si="48"/>
        <v>0</v>
      </c>
      <c r="AS59" s="248">
        <f ca="1">IFERROR(__xludf.DUMMYFUNCTION("IMPORTRANGE(""https://docs.google.com/spreadsheets/d/1phaeSb9lTGgzDpbvVqI9hfmOQQzUom07-HEvpbARzEg/edit?usp=sharing"",""นครนายก!I378"")"),0)</f>
        <v>0</v>
      </c>
      <c r="AT59" s="248">
        <f ca="1">IFERROR(__xludf.DUMMYFUNCTION("IMPORTRANGE(""https://docs.google.com/spreadsheets/d/1phaeSb9lTGgzDpbvVqI9hfmOQQzUom07-HEvpbARzEg/edit?usp=sharing"",""นครนายก!J377"")"),0)</f>
        <v>0</v>
      </c>
      <c r="AU59" s="248">
        <f ca="1">IFERROR(__xludf.DUMMYFUNCTION("IMPORTRANGE(""https://docs.google.com/spreadsheets/d/1phaeSb9lTGgzDpbvVqI9hfmOQQzUom07-HEvpbARzEg/edit?usp=sharing"",""นครนายก!J378"")"),0)</f>
        <v>0</v>
      </c>
      <c r="AV59" s="252">
        <f t="shared" ca="1" si="49"/>
        <v>0</v>
      </c>
      <c r="AW59" s="248">
        <f ca="1">IFERROR(__xludf.DUMMYFUNCTION("IMPORTRANGE(""https://docs.google.com/spreadsheets/d/1phaeSb9lTGgzDpbvVqI9hfmOQQzUom07-HEvpbARzEg/edit?usp=sharing"",""นครนายก!I379"")"),5)</f>
        <v>5</v>
      </c>
      <c r="AX59" s="248">
        <f ca="1">IFERROR(__xludf.DUMMYFUNCTION("IMPORTRANGE(""https://docs.google.com/spreadsheets/d/1phaeSb9lTGgzDpbvVqI9hfmOQQzUom07-HEvpbARzEg/edit?usp=sharing"",""นครนายก!J379"")"),7)</f>
        <v>7</v>
      </c>
      <c r="AY59" s="248">
        <f ca="1">IFERROR(__xludf.DUMMYFUNCTION("IMPORTRANGE(""https://docs.google.com/spreadsheets/d/1phaeSb9lTGgzDpbvVqI9hfmOQQzUom07-HEvpbARzEg/edit?usp=sharing"",""นครนายก!J380"")"),81.83)</f>
        <v>81.83</v>
      </c>
      <c r="AZ59" s="252">
        <f t="shared" ca="1" si="50"/>
        <v>140</v>
      </c>
      <c r="BA59" s="248">
        <f ca="1">IFERROR(__xludf.DUMMYFUNCTION("IMPORTRANGE(""https://docs.google.com/spreadsheets/d/1phaeSb9lTGgzDpbvVqI9hfmOQQzUom07-HEvpbARzEg/edit?usp=sharing"",""นครนายก!I381"")"),5)</f>
        <v>5</v>
      </c>
      <c r="BB59" s="248">
        <f ca="1">IFERROR(__xludf.DUMMYFUNCTION("IMPORTRANGE(""https://docs.google.com/spreadsheets/d/1phaeSb9lTGgzDpbvVqI9hfmOQQzUom07-HEvpbARzEg/edit?usp=sharing"",""นครนายก!J381"")"),2)</f>
        <v>2</v>
      </c>
      <c r="BC59" s="248">
        <f ca="1">IFERROR(__xludf.DUMMYFUNCTION("IMPORTRANGE(""https://docs.google.com/spreadsheets/d/1phaeSb9lTGgzDpbvVqI9hfmOQQzUom07-HEvpbARzEg/edit?usp=sharing"",""นครนายก!J382"")"),7.5)</f>
        <v>7.5</v>
      </c>
      <c r="BD59" s="252">
        <f t="shared" ca="1" si="51"/>
        <v>40</v>
      </c>
    </row>
    <row r="60" spans="1:56" ht="21" customHeight="1" x14ac:dyDescent="0.3">
      <c r="A60" s="243">
        <v>8</v>
      </c>
      <c r="B60" s="244" t="s">
        <v>82</v>
      </c>
      <c r="C60" s="245">
        <f t="shared" ca="1" si="0"/>
        <v>228910</v>
      </c>
      <c r="D60" s="246">
        <f t="shared" ca="1" si="88"/>
        <v>191110</v>
      </c>
      <c r="E60" s="247">
        <f ca="1">IFERROR(__xludf.DUMMYFUNCTION("IMPORTRANGE(""https://docs.google.com/spreadsheets/d/1MeEWN-I1oV_STSDYn1IFDPWt_1FKiwhDph83XaGc0o0/edit?usp=sharing"",""งบพรบ!EX60"")"),0)</f>
        <v>0</v>
      </c>
      <c r="F60" s="247">
        <f ca="1">IFERROR(__xludf.DUMMYFUNCTION("IMPORTRANGE(""https://docs.google.com/spreadsheets/d/1MeEWN-I1oV_STSDYn1IFDPWt_1FKiwhDph83XaGc0o0/edit?usp=sharing"",""งบพรบ!EY60"")"),191110)</f>
        <v>191110</v>
      </c>
      <c r="G60" s="247">
        <f ca="1">IFERROR(__xludf.DUMMYFUNCTION("IMPORTRANGE(""https://docs.google.com/spreadsheets/d/1MeEWN-I1oV_STSDYn1IFDPWt_1FKiwhDph83XaGc0o0/edit?usp=sharing"",""งบพรบ!EZ60"")"),37800)</f>
        <v>37800</v>
      </c>
      <c r="H60" s="247">
        <f ca="1">IFERROR(__xludf.DUMMYFUNCTION("IMPORTRANGE(""https://docs.google.com/spreadsheets/d/1MeEWN-I1oV_STSDYn1IFDPWt_1FKiwhDph83XaGc0o0/edit?usp=sharing"",""งบพรบ!FB60"")"),227310)</f>
        <v>227310</v>
      </c>
      <c r="I60" s="247">
        <f ca="1">IFERROR(__xludf.DUMMYFUNCTION("IMPORTRANGE(""https://docs.google.com/spreadsheets/d/1MeEWN-I1oV_STSDYn1IFDPWt_1FKiwhDph83XaGc0o0/edit?usp=sharing"",""งบพรบ!FC60"")"),37800)</f>
        <v>37800</v>
      </c>
      <c r="J60" s="247">
        <f t="shared" ca="1" si="3"/>
        <v>200670</v>
      </c>
      <c r="K60" s="253">
        <f t="shared" ca="1" si="4"/>
        <v>87.663273775719716</v>
      </c>
      <c r="L60" s="247">
        <f ca="1">IFERROR(__xludf.DUMMYFUNCTION("IMPORTRANGE(""https://docs.google.com/spreadsheets/d/1MeEWN-I1oV_STSDYn1IFDPWt_1FKiwhDph83XaGc0o0/edit?usp=sharing"",""งบพรบ!FD60"")"),162870)</f>
        <v>162870</v>
      </c>
      <c r="M60" s="250">
        <f t="shared" ca="1" si="5"/>
        <v>85.223169902150588</v>
      </c>
      <c r="N60" s="250">
        <f t="shared" ca="1" si="6"/>
        <v>71.65104922792662</v>
      </c>
      <c r="O60" s="251">
        <f ca="1">IFERROR(__xludf.DUMMYFUNCTION("IMPORTRANGE(""https://docs.google.com/spreadsheets/d/1MeEWN-I1oV_STSDYn1IFDPWt_1FKiwhDph83XaGc0o0/edit?usp=sharing"",""งบพรบ!FE60"")"),37800)</f>
        <v>37800</v>
      </c>
      <c r="P60" s="250">
        <f t="shared" ca="1" si="53"/>
        <v>100</v>
      </c>
      <c r="Q60" s="250">
        <f t="shared" ca="1" si="8"/>
        <v>100</v>
      </c>
      <c r="R60" s="248">
        <f ca="1">IFERROR(__xludf.DUMMYFUNCTION("IMPORTRANGE(""https://docs.google.com/spreadsheets/d/1tpwhWwkqkBeiSWCcfB5f2fbwPRbM9hHOEDSDHpl2MIc/edit?usp=sharing"",""นครปฐม!I359"")"),0)</f>
        <v>0</v>
      </c>
      <c r="S60" s="248">
        <f ca="1">IFERROR(__xludf.DUMMYFUNCTION("IMPORTRANGE(""https://docs.google.com/spreadsheets/d/1tpwhWwkqkBeiSWCcfB5f2fbwPRbM9hHOEDSDHpl2MIc/edit?usp=sharing"",""นครปฐม!J358"")"),0)</f>
        <v>0</v>
      </c>
      <c r="T60" s="248">
        <f ca="1">IFERROR(__xludf.DUMMYFUNCTION("IMPORTRANGE(""https://docs.google.com/spreadsheets/d/1tpwhWwkqkBeiSWCcfB5f2fbwPRbM9hHOEDSDHpl2MIc/edit?usp=sharing"",""นครปฐม!J359"")"),0)</f>
        <v>0</v>
      </c>
      <c r="U60" s="252">
        <f t="shared" ca="1" si="43"/>
        <v>0</v>
      </c>
      <c r="V60" s="248">
        <f ca="1">IFERROR(__xludf.DUMMYFUNCTION("IMPORTRANGE(""https://docs.google.com/spreadsheets/d/1tpwhWwkqkBeiSWCcfB5f2fbwPRbM9hHOEDSDHpl2MIc/edit?usp=sharing"",""นครปฐม!I360"")"),0)</f>
        <v>0</v>
      </c>
      <c r="W60" s="248">
        <f ca="1">IFERROR(__xludf.DUMMYFUNCTION("IMPORTRANGE(""https://docs.google.com/spreadsheets/d/1tpwhWwkqkBeiSWCcfB5f2fbwPRbM9hHOEDSDHpl2MIc/edit?usp=sharing"",""นครปฐม!J360"")"),0)</f>
        <v>0</v>
      </c>
      <c r="X60" s="248">
        <f ca="1">IFERROR(__xludf.DUMMYFUNCTION("IMPORTRANGE(""https://docs.google.com/spreadsheets/d/1tpwhWwkqkBeiSWCcfB5f2fbwPRbM9hHOEDSDHpl2MIc/edit?usp=sharing"",""นครปฐม!J361"")"),0)</f>
        <v>0</v>
      </c>
      <c r="Y60" s="252">
        <f t="shared" ca="1" si="44"/>
        <v>0</v>
      </c>
      <c r="Z60" s="248">
        <f ca="1">IFERROR(__xludf.DUMMYFUNCTION("IMPORTRANGE(""https://docs.google.com/spreadsheets/d/1tpwhWwkqkBeiSWCcfB5f2fbwPRbM9hHOEDSDHpl2MIc/edit?usp=sharing"",""นครปฐม!I362"")"),0)</f>
        <v>0</v>
      </c>
      <c r="AA60" s="248">
        <f ca="1">IFERROR(__xludf.DUMMYFUNCTION("IMPORTRANGE(""https://docs.google.com/spreadsheets/d/1tpwhWwkqkBeiSWCcfB5f2fbwPRbM9hHOEDSDHpl2MIc/edit?usp=sharing"",""นครปฐม!J362"")"),0)</f>
        <v>0</v>
      </c>
      <c r="AB60" s="248">
        <f ca="1">IFERROR(__xludf.DUMMYFUNCTION("IMPORTRANGE(""https://docs.google.com/spreadsheets/d/1tpwhWwkqkBeiSWCcfB5f2fbwPRbM9hHOEDSDHpl2MIc/edit?usp=sharing"",""นครปฐม!J363"")"),0)</f>
        <v>0</v>
      </c>
      <c r="AC60" s="252">
        <f t="shared" ca="1" si="45"/>
        <v>0</v>
      </c>
      <c r="AD60" s="248">
        <f ca="1">IFERROR(__xludf.DUMMYFUNCTION("IMPORTRANGE(""https://docs.google.com/spreadsheets/d/1tpwhWwkqkBeiSWCcfB5f2fbwPRbM9hHOEDSDHpl2MIc/edit?usp=sharing"",""นครปฐม!I364"")"),0)</f>
        <v>0</v>
      </c>
      <c r="AE60" s="248">
        <f ca="1">IFERROR(__xludf.DUMMYFUNCTION("IMPORTRANGE(""https://docs.google.com/spreadsheets/d/1tpwhWwkqkBeiSWCcfB5f2fbwPRbM9hHOEDSDHpl2MIc/edit?usp=sharing"",""นครปฐม!J364"")"),0)</f>
        <v>0</v>
      </c>
      <c r="AF60" s="252">
        <f t="shared" ca="1" si="16"/>
        <v>0</v>
      </c>
      <c r="AG60" s="248">
        <f ca="1">IFERROR(__xludf.DUMMYFUNCTION("IMPORTRANGE(""https://docs.google.com/spreadsheets/d/1tpwhWwkqkBeiSWCcfB5f2fbwPRbM9hHOEDSDHpl2MIc/edit?usp=sharing"",""นครปฐม!I369"")"),0)</f>
        <v>0</v>
      </c>
      <c r="AH60" s="248">
        <f ca="1">IFERROR(__xludf.DUMMYFUNCTION("IMPORTRANGE(""https://docs.google.com/spreadsheets/d/1tpwhWwkqkBeiSWCcfB5f2fbwPRbM9hHOEDSDHpl2MIc/edit?usp=sharing"",""นครปฐม!J368"")"),0)</f>
        <v>0</v>
      </c>
      <c r="AI60" s="248">
        <f ca="1">IFERROR(__xludf.DUMMYFUNCTION("IMPORTRANGE(""https://docs.google.com/spreadsheets/d/1tpwhWwkqkBeiSWCcfB5f2fbwPRbM9hHOEDSDHpl2MIc/edit?usp=sharing"",""นครปฐม!J369"")"),0)</f>
        <v>0</v>
      </c>
      <c r="AJ60" s="252">
        <f t="shared" ca="1" si="46"/>
        <v>0</v>
      </c>
      <c r="AK60" s="248">
        <f ca="1">IFERROR(__xludf.DUMMYFUNCTION("IMPORTRANGE(""https://docs.google.com/spreadsheets/d/1tpwhWwkqkBeiSWCcfB5f2fbwPRbM9hHOEDSDHpl2MIc/edit?usp=sharing"",""นครปฐม!I370"")"),0)</f>
        <v>0</v>
      </c>
      <c r="AL60" s="248">
        <f ca="1">IFERROR(__xludf.DUMMYFUNCTION("IMPORTRANGE(""https://docs.google.com/spreadsheets/d/1tpwhWwkqkBeiSWCcfB5f2fbwPRbM9hHOEDSDHpl2MIc/edit?usp=sharing"",""นครปฐม!J370"")"),0)</f>
        <v>0</v>
      </c>
      <c r="AM60" s="248">
        <f ca="1">IFERROR(__xludf.DUMMYFUNCTION("IMPORTRANGE(""https://docs.google.com/spreadsheets/d/1tpwhWwkqkBeiSWCcfB5f2fbwPRbM9hHOEDSDHpl2MIc/edit?usp=sharing"",""นครปฐม!J371"")"),0)</f>
        <v>0</v>
      </c>
      <c r="AN60" s="252">
        <f t="shared" ca="1" si="47"/>
        <v>0</v>
      </c>
      <c r="AO60" s="248">
        <f ca="1">IFERROR(__xludf.DUMMYFUNCTION("IMPORTRANGE(""https://docs.google.com/spreadsheets/d/1tpwhWwkqkBeiSWCcfB5f2fbwPRbM9hHOEDSDHpl2MIc/edit?usp=sharing"",""นครปฐม!I372"")"),0)</f>
        <v>0</v>
      </c>
      <c r="AP60" s="248">
        <f ca="1">IFERROR(__xludf.DUMMYFUNCTION("IMPORTRANGE(""https://docs.google.com/spreadsheets/d/1tpwhWwkqkBeiSWCcfB5f2fbwPRbM9hHOEDSDHpl2MIc/edit?usp=sharing"",""นครปฐม!J372"")"),0)</f>
        <v>0</v>
      </c>
      <c r="AQ60" s="248">
        <f ca="1">IFERROR(__xludf.DUMMYFUNCTION("IMPORTRANGE(""https://docs.google.com/spreadsheets/d/1tpwhWwkqkBeiSWCcfB5f2fbwPRbM9hHOEDSDHpl2MIc/edit?usp=sharing"",""นครปฐม!J373"")"),0)</f>
        <v>0</v>
      </c>
      <c r="AR60" s="252">
        <f t="shared" ca="1" si="48"/>
        <v>0</v>
      </c>
      <c r="AS60" s="248">
        <f ca="1">IFERROR(__xludf.DUMMYFUNCTION("IMPORTRANGE(""https://docs.google.com/spreadsheets/d/1tpwhWwkqkBeiSWCcfB5f2fbwPRbM9hHOEDSDHpl2MIc/edit?usp=sharing"",""นครปฐม!I378"")"),0)</f>
        <v>0</v>
      </c>
      <c r="AT60" s="248">
        <f ca="1">IFERROR(__xludf.DUMMYFUNCTION("IMPORTRANGE(""https://docs.google.com/spreadsheets/d/1tpwhWwkqkBeiSWCcfB5f2fbwPRbM9hHOEDSDHpl2MIc/edit?usp=sharing"",""นครปฐม!J377"")"),0)</f>
        <v>0</v>
      </c>
      <c r="AU60" s="248">
        <f ca="1">IFERROR(__xludf.DUMMYFUNCTION("IMPORTRANGE(""https://docs.google.com/spreadsheets/d/1tpwhWwkqkBeiSWCcfB5f2fbwPRbM9hHOEDSDHpl2MIc/edit?usp=sharing"",""นครปฐม!J378"")"),0)</f>
        <v>0</v>
      </c>
      <c r="AV60" s="252">
        <f t="shared" ca="1" si="49"/>
        <v>0</v>
      </c>
      <c r="AW60" s="248">
        <f ca="1">IFERROR(__xludf.DUMMYFUNCTION("IMPORTRANGE(""https://docs.google.com/spreadsheets/d/1tpwhWwkqkBeiSWCcfB5f2fbwPRbM9hHOEDSDHpl2MIc/edit?usp=sharing"",""นครปฐม!I379"")"),0)</f>
        <v>0</v>
      </c>
      <c r="AX60" s="248">
        <f ca="1">IFERROR(__xludf.DUMMYFUNCTION("IMPORTRANGE(""https://docs.google.com/spreadsheets/d/1tpwhWwkqkBeiSWCcfB5f2fbwPRbM9hHOEDSDHpl2MIc/edit?usp=sharing"",""นครปฐม!J379"")"),0)</f>
        <v>0</v>
      </c>
      <c r="AY60" s="248">
        <f ca="1">IFERROR(__xludf.DUMMYFUNCTION("IMPORTRANGE(""https://docs.google.com/spreadsheets/d/1tpwhWwkqkBeiSWCcfB5f2fbwPRbM9hHOEDSDHpl2MIc/edit?usp=sharing"",""นครปฐม!J380"")"),0)</f>
        <v>0</v>
      </c>
      <c r="AZ60" s="252">
        <f t="shared" ca="1" si="50"/>
        <v>0</v>
      </c>
      <c r="BA60" s="248">
        <f ca="1">IFERROR(__xludf.DUMMYFUNCTION("IMPORTRANGE(""https://docs.google.com/spreadsheets/d/1tpwhWwkqkBeiSWCcfB5f2fbwPRbM9hHOEDSDHpl2MIc/edit?usp=sharing"",""นครปฐม!I381"")"),0)</f>
        <v>0</v>
      </c>
      <c r="BB60" s="248">
        <f ca="1">IFERROR(__xludf.DUMMYFUNCTION("IMPORTRANGE(""https://docs.google.com/spreadsheets/d/1tpwhWwkqkBeiSWCcfB5f2fbwPRbM9hHOEDSDHpl2MIc/edit?usp=sharing"",""นครปฐม!J381"")"),0)</f>
        <v>0</v>
      </c>
      <c r="BC60" s="248">
        <f ca="1">IFERROR(__xludf.DUMMYFUNCTION("IMPORTRANGE(""https://docs.google.com/spreadsheets/d/1tpwhWwkqkBeiSWCcfB5f2fbwPRbM9hHOEDSDHpl2MIc/edit?usp=sharing"",""นครปฐม!J382"")"),0)</f>
        <v>0</v>
      </c>
      <c r="BD60" s="252">
        <f t="shared" ca="1" si="51"/>
        <v>0</v>
      </c>
    </row>
    <row r="61" spans="1:56" ht="21" customHeight="1" x14ac:dyDescent="0.3">
      <c r="A61" s="243">
        <v>9</v>
      </c>
      <c r="B61" s="244" t="s">
        <v>83</v>
      </c>
      <c r="C61" s="245">
        <f t="shared" ca="1" si="0"/>
        <v>306980</v>
      </c>
      <c r="D61" s="246">
        <f t="shared" ca="1" si="88"/>
        <v>193180</v>
      </c>
      <c r="E61" s="247">
        <f ca="1">IFERROR(__xludf.DUMMYFUNCTION("IMPORTRANGE(""https://docs.google.com/spreadsheets/d/1MeEWN-I1oV_STSDYn1IFDPWt_1FKiwhDph83XaGc0o0/edit?usp=sharing"",""งบพรบ!EX61"")"),0)</f>
        <v>0</v>
      </c>
      <c r="F61" s="247">
        <f ca="1">IFERROR(__xludf.DUMMYFUNCTION("IMPORTRANGE(""https://docs.google.com/spreadsheets/d/1MeEWN-I1oV_STSDYn1IFDPWt_1FKiwhDph83XaGc0o0/edit?usp=sharing"",""งบพรบ!EY61"")"),193180)</f>
        <v>193180</v>
      </c>
      <c r="G61" s="247">
        <f ca="1">IFERROR(__xludf.DUMMYFUNCTION("IMPORTRANGE(""https://docs.google.com/spreadsheets/d/1MeEWN-I1oV_STSDYn1IFDPWt_1FKiwhDph83XaGc0o0/edit?usp=sharing"",""งบพรบ!EZ61"")"),113800)</f>
        <v>113800</v>
      </c>
      <c r="H61" s="247">
        <f ca="1">IFERROR(__xludf.DUMMYFUNCTION("IMPORTRANGE(""https://docs.google.com/spreadsheets/d/1MeEWN-I1oV_STSDYn1IFDPWt_1FKiwhDph83XaGc0o0/edit?usp=sharing"",""งบพรบ!FB61"")"),233900)</f>
        <v>233900</v>
      </c>
      <c r="I61" s="247">
        <f ca="1">IFERROR(__xludf.DUMMYFUNCTION("IMPORTRANGE(""https://docs.google.com/spreadsheets/d/1MeEWN-I1oV_STSDYn1IFDPWt_1FKiwhDph83XaGc0o0/edit?usp=sharing"",""งบพรบ!FC61"")"),113800)</f>
        <v>113800</v>
      </c>
      <c r="J61" s="247">
        <f t="shared" ca="1" si="3"/>
        <v>265526</v>
      </c>
      <c r="K61" s="253">
        <f t="shared" ca="1" si="4"/>
        <v>86.496188676786758</v>
      </c>
      <c r="L61" s="247">
        <f ca="1">IFERROR(__xludf.DUMMYFUNCTION("IMPORTRANGE(""https://docs.google.com/spreadsheets/d/1MeEWN-I1oV_STSDYn1IFDPWt_1FKiwhDph83XaGc0o0/edit?usp=sharing"",""งบพรบ!FD61"")"),151726)</f>
        <v>151726</v>
      </c>
      <c r="M61" s="250">
        <f t="shared" ca="1" si="5"/>
        <v>78.54125685888809</v>
      </c>
      <c r="N61" s="250">
        <f t="shared" ca="1" si="6"/>
        <v>64.867892261650283</v>
      </c>
      <c r="O61" s="251">
        <f ca="1">IFERROR(__xludf.DUMMYFUNCTION("IMPORTRANGE(""https://docs.google.com/spreadsheets/d/1MeEWN-I1oV_STSDYn1IFDPWt_1FKiwhDph83XaGc0o0/edit?usp=sharing"",""งบพรบ!FE61"")"),113800)</f>
        <v>113800</v>
      </c>
      <c r="P61" s="250">
        <f t="shared" ca="1" si="53"/>
        <v>100</v>
      </c>
      <c r="Q61" s="250">
        <f t="shared" ca="1" si="8"/>
        <v>100</v>
      </c>
      <c r="R61" s="248">
        <f ca="1">IFERROR(__xludf.DUMMYFUNCTION("IMPORTRANGE(""https://docs.google.com/spreadsheets/d/1fJJCVBkBnhriyv0Cp5ZFMr0I_yrfdEITNpb4zILJgUQ/edit?usp=sharing"",""ปทุมธานี!I359"")"),0)</f>
        <v>0</v>
      </c>
      <c r="S61" s="248">
        <f ca="1">IFERROR(__xludf.DUMMYFUNCTION("IMPORTRANGE(""https://docs.google.com/spreadsheets/d/1fJJCVBkBnhriyv0Cp5ZFMr0I_yrfdEITNpb4zILJgUQ/edit?usp=sharing"",""ปทุมธานี!J358"")"),0)</f>
        <v>0</v>
      </c>
      <c r="T61" s="248">
        <f ca="1">IFERROR(__xludf.DUMMYFUNCTION("IMPORTRANGE(""https://docs.google.com/spreadsheets/d/1fJJCVBkBnhriyv0Cp5ZFMr0I_yrfdEITNpb4zILJgUQ/edit?usp=sharing"",""ปทุมธานี!J359"")"),0)</f>
        <v>0</v>
      </c>
      <c r="U61" s="252">
        <f t="shared" ca="1" si="43"/>
        <v>0</v>
      </c>
      <c r="V61" s="248">
        <f ca="1">IFERROR(__xludf.DUMMYFUNCTION("IMPORTRANGE(""https://docs.google.com/spreadsheets/d/1fJJCVBkBnhriyv0Cp5ZFMr0I_yrfdEITNpb4zILJgUQ/edit?usp=sharing"",""ปทุมธานี!I360"")"),0)</f>
        <v>0</v>
      </c>
      <c r="W61" s="248">
        <f ca="1">IFERROR(__xludf.DUMMYFUNCTION("IMPORTRANGE(""https://docs.google.com/spreadsheets/d/1fJJCVBkBnhriyv0Cp5ZFMr0I_yrfdEITNpb4zILJgUQ/edit?usp=sharing"",""ปทุมธานี!J360"")"),0)</f>
        <v>0</v>
      </c>
      <c r="X61" s="248">
        <f ca="1">IFERROR(__xludf.DUMMYFUNCTION("IMPORTRANGE(""https://docs.google.com/spreadsheets/d/1fJJCVBkBnhriyv0Cp5ZFMr0I_yrfdEITNpb4zILJgUQ/edit?usp=sharing"",""ปทุมธานี!J361"")"),0)</f>
        <v>0</v>
      </c>
      <c r="Y61" s="252">
        <f t="shared" ca="1" si="44"/>
        <v>0</v>
      </c>
      <c r="Z61" s="248">
        <f ca="1">IFERROR(__xludf.DUMMYFUNCTION("IMPORTRANGE(""https://docs.google.com/spreadsheets/d/1fJJCVBkBnhriyv0Cp5ZFMr0I_yrfdEITNpb4zILJgUQ/edit?usp=sharing"",""ปทุมธานี!I362"")"),0)</f>
        <v>0</v>
      </c>
      <c r="AA61" s="248">
        <f ca="1">IFERROR(__xludf.DUMMYFUNCTION("IMPORTRANGE(""https://docs.google.com/spreadsheets/d/1fJJCVBkBnhriyv0Cp5ZFMr0I_yrfdEITNpb4zILJgUQ/edit?usp=sharing"",""ปทุมธานี!J362"")"),0)</f>
        <v>0</v>
      </c>
      <c r="AB61" s="248">
        <f ca="1">IFERROR(__xludf.DUMMYFUNCTION("IMPORTRANGE(""https://docs.google.com/spreadsheets/d/1fJJCVBkBnhriyv0Cp5ZFMr0I_yrfdEITNpb4zILJgUQ/edit?usp=sharing"",""ปทุมธานี!J363"")"),0)</f>
        <v>0</v>
      </c>
      <c r="AC61" s="252">
        <f t="shared" ca="1" si="45"/>
        <v>0</v>
      </c>
      <c r="AD61" s="248">
        <f ca="1">IFERROR(__xludf.DUMMYFUNCTION("IMPORTRANGE(""https://docs.google.com/spreadsheets/d/1fJJCVBkBnhriyv0Cp5ZFMr0I_yrfdEITNpb4zILJgUQ/edit?usp=sharing"",""ปทุมธานี!I364"")"),0)</f>
        <v>0</v>
      </c>
      <c r="AE61" s="248">
        <f ca="1">IFERROR(__xludf.DUMMYFUNCTION("IMPORTRANGE(""https://docs.google.com/spreadsheets/d/1fJJCVBkBnhriyv0Cp5ZFMr0I_yrfdEITNpb4zILJgUQ/edit?usp=sharing"",""ปทุมธานี!J364"")"),0)</f>
        <v>0</v>
      </c>
      <c r="AF61" s="252">
        <f t="shared" ca="1" si="16"/>
        <v>0</v>
      </c>
      <c r="AG61" s="248">
        <f ca="1">IFERROR(__xludf.DUMMYFUNCTION("IMPORTRANGE(""https://docs.google.com/spreadsheets/d/1fJJCVBkBnhriyv0Cp5ZFMr0I_yrfdEITNpb4zILJgUQ/edit?usp=sharing"",""ปทุมธานี!I369"")"),0)</f>
        <v>0</v>
      </c>
      <c r="AH61" s="248">
        <f ca="1">IFERROR(__xludf.DUMMYFUNCTION("IMPORTRANGE(""https://docs.google.com/spreadsheets/d/1fJJCVBkBnhriyv0Cp5ZFMr0I_yrfdEITNpb4zILJgUQ/edit?usp=sharing"",""ปทุมธานี!J368"")"),0)</f>
        <v>0</v>
      </c>
      <c r="AI61" s="248">
        <f ca="1">IFERROR(__xludf.DUMMYFUNCTION("IMPORTRANGE(""https://docs.google.com/spreadsheets/d/1fJJCVBkBnhriyv0Cp5ZFMr0I_yrfdEITNpb4zILJgUQ/edit?usp=sharing"",""ปทุมธานี!J369"")"),0)</f>
        <v>0</v>
      </c>
      <c r="AJ61" s="252">
        <f t="shared" ca="1" si="46"/>
        <v>0</v>
      </c>
      <c r="AK61" s="248">
        <f ca="1">IFERROR(__xludf.DUMMYFUNCTION("IMPORTRANGE(""https://docs.google.com/spreadsheets/d/1fJJCVBkBnhriyv0Cp5ZFMr0I_yrfdEITNpb4zILJgUQ/edit?usp=sharing"",""ปทุมธานี!I370"")"),0)</f>
        <v>0</v>
      </c>
      <c r="AL61" s="248">
        <f ca="1">IFERROR(__xludf.DUMMYFUNCTION("IMPORTRANGE(""https://docs.google.com/spreadsheets/d/1fJJCVBkBnhriyv0Cp5ZFMr0I_yrfdEITNpb4zILJgUQ/edit?usp=sharing"",""ปทุมธานี!J370"")"),0)</f>
        <v>0</v>
      </c>
      <c r="AM61" s="248">
        <f ca="1">IFERROR(__xludf.DUMMYFUNCTION("IMPORTRANGE(""https://docs.google.com/spreadsheets/d/1fJJCVBkBnhriyv0Cp5ZFMr0I_yrfdEITNpb4zILJgUQ/edit?usp=sharing"",""ปทุมธานี!J371"")"),0)</f>
        <v>0</v>
      </c>
      <c r="AN61" s="252">
        <f t="shared" ca="1" si="47"/>
        <v>0</v>
      </c>
      <c r="AO61" s="248">
        <f ca="1">IFERROR(__xludf.DUMMYFUNCTION("IMPORTRANGE(""https://docs.google.com/spreadsheets/d/1fJJCVBkBnhriyv0Cp5ZFMr0I_yrfdEITNpb4zILJgUQ/edit?usp=sharing"",""ปทุมธานี!I372"")"),0)</f>
        <v>0</v>
      </c>
      <c r="AP61" s="248">
        <f ca="1">IFERROR(__xludf.DUMMYFUNCTION("IMPORTRANGE(""https://docs.google.com/spreadsheets/d/1fJJCVBkBnhriyv0Cp5ZFMr0I_yrfdEITNpb4zILJgUQ/edit?usp=sharing"",""ปทุมธานี!J372"")"),0)</f>
        <v>0</v>
      </c>
      <c r="AQ61" s="248">
        <f ca="1">IFERROR(__xludf.DUMMYFUNCTION("IMPORTRANGE(""https://docs.google.com/spreadsheets/d/1fJJCVBkBnhriyv0Cp5ZFMr0I_yrfdEITNpb4zILJgUQ/edit?usp=sharing"",""ปทุมธานี!J373"")"),0)</f>
        <v>0</v>
      </c>
      <c r="AR61" s="252">
        <f t="shared" ca="1" si="48"/>
        <v>0</v>
      </c>
      <c r="AS61" s="248">
        <f ca="1">IFERROR(__xludf.DUMMYFUNCTION("IMPORTRANGE(""https://docs.google.com/spreadsheets/d/1fJJCVBkBnhriyv0Cp5ZFMr0I_yrfdEITNpb4zILJgUQ/edit?usp=sharing"",""ปทุมธานี!I378"")"),0)</f>
        <v>0</v>
      </c>
      <c r="AT61" s="248">
        <f ca="1">IFERROR(__xludf.DUMMYFUNCTION("IMPORTRANGE(""https://docs.google.com/spreadsheets/d/1fJJCVBkBnhriyv0Cp5ZFMr0I_yrfdEITNpb4zILJgUQ/edit?usp=sharing"",""ปทุมธานี!J377"")"),0)</f>
        <v>0</v>
      </c>
      <c r="AU61" s="248">
        <f ca="1">IFERROR(__xludf.DUMMYFUNCTION("IMPORTRANGE(""https://docs.google.com/spreadsheets/d/1fJJCVBkBnhriyv0Cp5ZFMr0I_yrfdEITNpb4zILJgUQ/edit?usp=sharing"",""ปทุมธานี!J378"")"),0)</f>
        <v>0</v>
      </c>
      <c r="AV61" s="252">
        <f t="shared" ca="1" si="49"/>
        <v>0</v>
      </c>
      <c r="AW61" s="248">
        <f ca="1">IFERROR(__xludf.DUMMYFUNCTION("IMPORTRANGE(""https://docs.google.com/spreadsheets/d/1fJJCVBkBnhriyv0Cp5ZFMr0I_yrfdEITNpb4zILJgUQ/edit?usp=sharing"",""ปทุมธานี!I379"")"),0)</f>
        <v>0</v>
      </c>
      <c r="AX61" s="248">
        <f ca="1">IFERROR(__xludf.DUMMYFUNCTION("IMPORTRANGE(""https://docs.google.com/spreadsheets/d/1fJJCVBkBnhriyv0Cp5ZFMr0I_yrfdEITNpb4zILJgUQ/edit?usp=sharing"",""ปทุมธานี!J379"")"),0)</f>
        <v>0</v>
      </c>
      <c r="AY61" s="248">
        <f ca="1">IFERROR(__xludf.DUMMYFUNCTION("IMPORTRANGE(""https://docs.google.com/spreadsheets/d/1fJJCVBkBnhriyv0Cp5ZFMr0I_yrfdEITNpb4zILJgUQ/edit?usp=sharing"",""ปทุมธานี!J380"")"),0)</f>
        <v>0</v>
      </c>
      <c r="AZ61" s="252">
        <f t="shared" ca="1" si="50"/>
        <v>0</v>
      </c>
      <c r="BA61" s="248">
        <f ca="1">IFERROR(__xludf.DUMMYFUNCTION("IMPORTRANGE(""https://docs.google.com/spreadsheets/d/1fJJCVBkBnhriyv0Cp5ZFMr0I_yrfdEITNpb4zILJgUQ/edit?usp=sharing"",""ปทุมธานี!I381"")"),0)</f>
        <v>0</v>
      </c>
      <c r="BB61" s="248">
        <f ca="1">IFERROR(__xludf.DUMMYFUNCTION("IMPORTRANGE(""https://docs.google.com/spreadsheets/d/1fJJCVBkBnhriyv0Cp5ZFMr0I_yrfdEITNpb4zILJgUQ/edit?usp=sharing"",""ปทุมธานี!J381"")"),0)</f>
        <v>0</v>
      </c>
      <c r="BC61" s="248">
        <f ca="1">IFERROR(__xludf.DUMMYFUNCTION("IMPORTRANGE(""https://docs.google.com/spreadsheets/d/1fJJCVBkBnhriyv0Cp5ZFMr0I_yrfdEITNpb4zILJgUQ/edit?usp=sharing"",""ปทุมธานี!J382"")"),0)</f>
        <v>0</v>
      </c>
      <c r="BD61" s="252">
        <f t="shared" ca="1" si="51"/>
        <v>0</v>
      </c>
    </row>
    <row r="62" spans="1:56" ht="21" customHeight="1" x14ac:dyDescent="0.3">
      <c r="A62" s="243">
        <v>10</v>
      </c>
      <c r="B62" s="244" t="s">
        <v>84</v>
      </c>
      <c r="C62" s="245">
        <f t="shared" ca="1" si="0"/>
        <v>636860</v>
      </c>
      <c r="D62" s="246">
        <f t="shared" ca="1" si="88"/>
        <v>485260</v>
      </c>
      <c r="E62" s="247">
        <f ca="1">IFERROR(__xludf.DUMMYFUNCTION("IMPORTRANGE(""https://docs.google.com/spreadsheets/d/1MeEWN-I1oV_STSDYn1IFDPWt_1FKiwhDph83XaGc0o0/edit?usp=sharing"",""งบพรบ!EX62"")"),201600)</f>
        <v>201600</v>
      </c>
      <c r="F62" s="247">
        <f ca="1">IFERROR(__xludf.DUMMYFUNCTION("IMPORTRANGE(""https://docs.google.com/spreadsheets/d/1MeEWN-I1oV_STSDYn1IFDPWt_1FKiwhDph83XaGc0o0/edit?usp=sharing"",""งบพรบ!EY62"")"),283660)</f>
        <v>283660</v>
      </c>
      <c r="G62" s="247">
        <f ca="1">IFERROR(__xludf.DUMMYFUNCTION("IMPORTRANGE(""https://docs.google.com/spreadsheets/d/1MeEWN-I1oV_STSDYn1IFDPWt_1FKiwhDph83XaGc0o0/edit?usp=sharing"",""งบพรบ!EZ62"")"),151600)</f>
        <v>151600</v>
      </c>
      <c r="H62" s="247">
        <f ca="1">IFERROR(__xludf.DUMMYFUNCTION("IMPORTRANGE(""https://docs.google.com/spreadsheets/d/1MeEWN-I1oV_STSDYn1IFDPWt_1FKiwhDph83XaGc0o0/edit?usp=sharing"",""งบพรบ!FB62"")"),532760)</f>
        <v>532760</v>
      </c>
      <c r="I62" s="247">
        <f ca="1">IFERROR(__xludf.DUMMYFUNCTION("IMPORTRANGE(""https://docs.google.com/spreadsheets/d/1MeEWN-I1oV_STSDYn1IFDPWt_1FKiwhDph83XaGc0o0/edit?usp=sharing"",""งบพรบ!FC62"")"),151600)</f>
        <v>151600</v>
      </c>
      <c r="J62" s="247">
        <f t="shared" ca="1" si="3"/>
        <v>532362.89</v>
      </c>
      <c r="K62" s="253">
        <f t="shared" ca="1" si="4"/>
        <v>83.591823948748541</v>
      </c>
      <c r="L62" s="247">
        <f ca="1">IFERROR(__xludf.DUMMYFUNCTION("IMPORTRANGE(""https://docs.google.com/spreadsheets/d/1MeEWN-I1oV_STSDYn1IFDPWt_1FKiwhDph83XaGc0o0/edit?usp=sharing"",""งบพรบ!FD62"")"),380762.89)</f>
        <v>380762.89</v>
      </c>
      <c r="M62" s="250">
        <f t="shared" ca="1" si="5"/>
        <v>78.465748258665457</v>
      </c>
      <c r="N62" s="250">
        <f t="shared" ca="1" si="6"/>
        <v>71.469871987386441</v>
      </c>
      <c r="O62" s="251">
        <f ca="1">IFERROR(__xludf.DUMMYFUNCTION("IMPORTRANGE(""https://docs.google.com/spreadsheets/d/1MeEWN-I1oV_STSDYn1IFDPWt_1FKiwhDph83XaGc0o0/edit?usp=sharing"",""งบพรบ!FE62"")"),151600)</f>
        <v>151600</v>
      </c>
      <c r="P62" s="250">
        <f t="shared" ca="1" si="53"/>
        <v>100</v>
      </c>
      <c r="Q62" s="250">
        <f t="shared" ca="1" si="8"/>
        <v>100</v>
      </c>
      <c r="R62" s="248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248">
        <f ca="1">IFERROR(__xludf.DUMMYFUNCTION("IMPORTRANGE(""https://docs.google.com/spreadsheets/d/1W5Jj_S0gYw6wSO7QcMI02YgyOBDKYgmm0NSUk-AQEac/edit?usp=sharing"",""ประจวบคีรีขันธ์!J358"")"),111)</f>
        <v>111</v>
      </c>
      <c r="T62" s="248">
        <f ca="1">IFERROR(__xludf.DUMMYFUNCTION("IMPORTRANGE(""https://docs.google.com/spreadsheets/d/1W5Jj_S0gYw6wSO7QcMI02YgyOBDKYgmm0NSUk-AQEac/edit?usp=sharing"",""ประจวบคีรีขันธ์!J359"")"),960.92)</f>
        <v>960.92</v>
      </c>
      <c r="U62" s="252">
        <f t="shared" ca="1" si="43"/>
        <v>126.43684210526315</v>
      </c>
      <c r="V62" s="248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248">
        <f ca="1">IFERROR(__xludf.DUMMYFUNCTION("IMPORTRANGE(""https://docs.google.com/spreadsheets/d/1W5Jj_S0gYw6wSO7QcMI02YgyOBDKYgmm0NSUk-AQEac/edit?usp=sharing"",""ประจวบคีรีขันธ์!J360"")"),58)</f>
        <v>58</v>
      </c>
      <c r="X62" s="248">
        <f ca="1">IFERROR(__xludf.DUMMYFUNCTION("IMPORTRANGE(""https://docs.google.com/spreadsheets/d/1W5Jj_S0gYw6wSO7QcMI02YgyOBDKYgmm0NSUk-AQEac/edit?usp=sharing"",""ประจวบคีรีขันธ์!J361"")"),379.13)</f>
        <v>379.13</v>
      </c>
      <c r="Y62" s="252">
        <f t="shared" ca="1" si="44"/>
        <v>64.444444444444443</v>
      </c>
      <c r="Z62" s="248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248">
        <f ca="1">IFERROR(__xludf.DUMMYFUNCTION("IMPORTRANGE(""https://docs.google.com/spreadsheets/d/1W5Jj_S0gYw6wSO7QcMI02YgyOBDKYgmm0NSUk-AQEac/edit?usp=sharing"",""ประจวบคีรีขันธ์!J362"")"),55)</f>
        <v>55</v>
      </c>
      <c r="AB62" s="248">
        <f ca="1">IFERROR(__xludf.DUMMYFUNCTION("IMPORTRANGE(""https://docs.google.com/spreadsheets/d/1W5Jj_S0gYw6wSO7QcMI02YgyOBDKYgmm0NSUk-AQEac/edit?usp=sharing"",""ประจวบคีรีขันธ์!J363"")"),377.39)</f>
        <v>377.39</v>
      </c>
      <c r="AC62" s="252">
        <f t="shared" ca="1" si="45"/>
        <v>61.111111111111114</v>
      </c>
      <c r="AD62" s="248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248">
        <f ca="1">IFERROR(__xludf.DUMMYFUNCTION("IMPORTRANGE(""https://docs.google.com/spreadsheets/d/1W5Jj_S0gYw6wSO7QcMI02YgyOBDKYgmm0NSUk-AQEac/edit?usp=sharing"",""ประจวบคีรีขันธ์!J364"")"),188)</f>
        <v>188</v>
      </c>
      <c r="AF62" s="252">
        <f t="shared" ca="1" si="16"/>
        <v>134.28571428571428</v>
      </c>
      <c r="AG62" s="248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248">
        <f ca="1">IFERROR(__xludf.DUMMYFUNCTION("IMPORTRANGE(""https://docs.google.com/spreadsheets/d/1W5Jj_S0gYw6wSO7QcMI02YgyOBDKYgmm0NSUk-AQEac/edit?usp=sharing"",""ประจวบคีรีขันธ์!J368"")"),93)</f>
        <v>93</v>
      </c>
      <c r="AI62" s="248">
        <f ca="1">IFERROR(__xludf.DUMMYFUNCTION("IMPORTRANGE(""https://docs.google.com/spreadsheets/d/1W5Jj_S0gYw6wSO7QcMI02YgyOBDKYgmm0NSUk-AQEac/edit?usp=sharing"",""ประจวบคีรีขันธ์!J369"")"),821.37)</f>
        <v>821.37</v>
      </c>
      <c r="AJ62" s="252">
        <f t="shared" ca="1" si="46"/>
        <v>164.274</v>
      </c>
      <c r="AK62" s="248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248">
        <f ca="1">IFERROR(__xludf.DUMMYFUNCTION("IMPORTRANGE(""https://docs.google.com/spreadsheets/d/1W5Jj_S0gYw6wSO7QcMI02YgyOBDKYgmm0NSUk-AQEac/edit?usp=sharing"",""ประจวบคีรีขันธ์!J370"")"),40)</f>
        <v>40</v>
      </c>
      <c r="AM62" s="248">
        <f ca="1">IFERROR(__xludf.DUMMYFUNCTION("IMPORTRANGE(""https://docs.google.com/spreadsheets/d/1W5Jj_S0gYw6wSO7QcMI02YgyOBDKYgmm0NSUk-AQEac/edit?usp=sharing"",""ประจวบคีรีขันธ์!J371"")"),239.58)</f>
        <v>239.58</v>
      </c>
      <c r="AN62" s="252">
        <f t="shared" ca="1" si="47"/>
        <v>66.666666666666671</v>
      </c>
      <c r="AO62" s="248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248">
        <f ca="1">IFERROR(__xludf.DUMMYFUNCTION("IMPORTRANGE(""https://docs.google.com/spreadsheets/d/1W5Jj_S0gYw6wSO7QcMI02YgyOBDKYgmm0NSUk-AQEac/edit?usp=sharing"",""ประจวบคีรีขันธ์!J372"")"),37)</f>
        <v>37</v>
      </c>
      <c r="AQ62" s="248">
        <f ca="1">IFERROR(__xludf.DUMMYFUNCTION("IMPORTRANGE(""https://docs.google.com/spreadsheets/d/1W5Jj_S0gYw6wSO7QcMI02YgyOBDKYgmm0NSUk-AQEac/edit?usp=sharing"",""ประจวบคีรีขันธ์!J373"")"),237.84)</f>
        <v>237.84</v>
      </c>
      <c r="AR62" s="252">
        <f t="shared" ca="1" si="48"/>
        <v>61.666666666666664</v>
      </c>
      <c r="AS62" s="248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248">
        <f ca="1">IFERROR(__xludf.DUMMYFUNCTION("IMPORTRANGE(""https://docs.google.com/spreadsheets/d/1W5Jj_S0gYw6wSO7QcMI02YgyOBDKYgmm0NSUk-AQEac/edit?usp=sharing"",""ประจวบคีรีขันธ์!J377"")"),18)</f>
        <v>18</v>
      </c>
      <c r="AU62" s="248">
        <f ca="1">IFERROR(__xludf.DUMMYFUNCTION("IMPORTRANGE(""https://docs.google.com/spreadsheets/d/1W5Jj_S0gYw6wSO7QcMI02YgyOBDKYgmm0NSUk-AQEac/edit?usp=sharing"",""ประจวบคีรีขันธ์!J378"")"),139.55)</f>
        <v>139.55000000000001</v>
      </c>
      <c r="AV62" s="252">
        <f t="shared" ca="1" si="49"/>
        <v>53.673076923076927</v>
      </c>
      <c r="AW62" s="248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248">
        <f ca="1">IFERROR(__xludf.DUMMYFUNCTION("IMPORTRANGE(""https://docs.google.com/spreadsheets/d/1W5Jj_S0gYw6wSO7QcMI02YgyOBDKYgmm0NSUk-AQEac/edit?usp=sharing"",""ประจวบคีรีขันธ์!J379"")"),151)</f>
        <v>151</v>
      </c>
      <c r="AY62" s="248">
        <f ca="1">IFERROR(__xludf.DUMMYFUNCTION("IMPORTRANGE(""https://docs.google.com/spreadsheets/d/1W5Jj_S0gYw6wSO7QcMI02YgyOBDKYgmm0NSUk-AQEac/edit?usp=sharing"",""ประจวบคีรีขันธ์!J380"")"),1886.12)</f>
        <v>1886.12</v>
      </c>
      <c r="AZ62" s="252">
        <f t="shared" ca="1" si="50"/>
        <v>188.75</v>
      </c>
      <c r="BA62" s="248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248">
        <f ca="1">IFERROR(__xludf.DUMMYFUNCTION("IMPORTRANGE(""https://docs.google.com/spreadsheets/d/1W5Jj_S0gYw6wSO7QcMI02YgyOBDKYgmm0NSUk-AQEac/edit?usp=sharing"",""ประจวบคีรีขันธ์!J381"")"),151)</f>
        <v>151</v>
      </c>
      <c r="BC62" s="248">
        <f ca="1">IFERROR(__xludf.DUMMYFUNCTION("IMPORTRANGE(""https://docs.google.com/spreadsheets/d/1W5Jj_S0gYw6wSO7QcMI02YgyOBDKYgmm0NSUk-AQEac/edit?usp=sharing"",""ประจวบคีรีขันธ์!J382"")"),1894.58)</f>
        <v>1894.58</v>
      </c>
      <c r="BD62" s="252">
        <f t="shared" ca="1" si="51"/>
        <v>188.75</v>
      </c>
    </row>
    <row r="63" spans="1:56" ht="21" customHeight="1" x14ac:dyDescent="0.3">
      <c r="A63" s="243">
        <v>11</v>
      </c>
      <c r="B63" s="244" t="s">
        <v>85</v>
      </c>
      <c r="C63" s="245">
        <f t="shared" ca="1" si="0"/>
        <v>774650</v>
      </c>
      <c r="D63" s="246">
        <f t="shared" ca="1" si="88"/>
        <v>585250</v>
      </c>
      <c r="E63" s="247">
        <f ca="1">IFERROR(__xludf.DUMMYFUNCTION("IMPORTRANGE(""https://docs.google.com/spreadsheets/d/1MeEWN-I1oV_STSDYn1IFDPWt_1FKiwhDph83XaGc0o0/edit?usp=sharing"",""งบพรบ!EX63"")"),342000)</f>
        <v>342000</v>
      </c>
      <c r="F63" s="247">
        <f ca="1">IFERROR(__xludf.DUMMYFUNCTION("IMPORTRANGE(""https://docs.google.com/spreadsheets/d/1MeEWN-I1oV_STSDYn1IFDPWt_1FKiwhDph83XaGc0o0/edit?usp=sharing"",""งบพรบ!EY63"")"),243250)</f>
        <v>243250</v>
      </c>
      <c r="G63" s="247">
        <f ca="1">IFERROR(__xludf.DUMMYFUNCTION("IMPORTRANGE(""https://docs.google.com/spreadsheets/d/1MeEWN-I1oV_STSDYn1IFDPWt_1FKiwhDph83XaGc0o0/edit?usp=sharing"",""งบพรบ!EZ63"")"),189400)</f>
        <v>189400</v>
      </c>
      <c r="H63" s="247">
        <f ca="1">IFERROR(__xludf.DUMMYFUNCTION("IMPORTRANGE(""https://docs.google.com/spreadsheets/d/1MeEWN-I1oV_STSDYn1IFDPWt_1FKiwhDph83XaGc0o0/edit?usp=sharing"",""งบพรบ!FB63"")"),645250)</f>
        <v>645250</v>
      </c>
      <c r="I63" s="247">
        <f ca="1">IFERROR(__xludf.DUMMYFUNCTION("IMPORTRANGE(""https://docs.google.com/spreadsheets/d/1MeEWN-I1oV_STSDYn1IFDPWt_1FKiwhDph83XaGc0o0/edit?usp=sharing"",""งบพรบ!FC63"")"),189400)</f>
        <v>189400</v>
      </c>
      <c r="J63" s="247">
        <f t="shared" ca="1" si="3"/>
        <v>679680.45</v>
      </c>
      <c r="K63" s="253">
        <f t="shared" ca="1" si="4"/>
        <v>87.740327890014839</v>
      </c>
      <c r="L63" s="247">
        <f ca="1">IFERROR(__xludf.DUMMYFUNCTION("IMPORTRANGE(""https://docs.google.com/spreadsheets/d/1MeEWN-I1oV_STSDYn1IFDPWt_1FKiwhDph83XaGc0o0/edit?usp=sharing"",""งบพรบ!FD63"")"),490280.45)</f>
        <v>490280.45</v>
      </c>
      <c r="M63" s="250">
        <f t="shared" ca="1" si="5"/>
        <v>83.772823579666806</v>
      </c>
      <c r="N63" s="250">
        <f t="shared" ca="1" si="6"/>
        <v>75.983022084463386</v>
      </c>
      <c r="O63" s="251">
        <f ca="1">IFERROR(__xludf.DUMMYFUNCTION("IMPORTRANGE(""https://docs.google.com/spreadsheets/d/1MeEWN-I1oV_STSDYn1IFDPWt_1FKiwhDph83XaGc0o0/edit?usp=sharing"",""งบพรบ!FE63"")"),189400)</f>
        <v>189400</v>
      </c>
      <c r="P63" s="250">
        <f t="shared" ca="1" si="53"/>
        <v>100</v>
      </c>
      <c r="Q63" s="250">
        <f t="shared" ca="1" si="8"/>
        <v>100</v>
      </c>
      <c r="R63" s="248">
        <f ca="1">IFERROR(__xludf.DUMMYFUNCTION("IMPORTRANGE(""https://docs.google.com/spreadsheets/d/1nYxRXgnCfTXtqUY1otYuTlnrzE0Tn-Y0YRsW5pkRVqo/edit?usp=sharing"",""ปราจีนบุรี!I359"")"),500)</f>
        <v>500</v>
      </c>
      <c r="S63" s="248">
        <f ca="1">IFERROR(__xludf.DUMMYFUNCTION("IMPORTRANGE(""https://docs.google.com/spreadsheets/d/1nYxRXgnCfTXtqUY1otYuTlnrzE0Tn-Y0YRsW5pkRVqo/edit?usp=sharing"",""ปราจีนบุรี!J358"")"),40)</f>
        <v>40</v>
      </c>
      <c r="T63" s="248">
        <f ca="1">IFERROR(__xludf.DUMMYFUNCTION("IMPORTRANGE(""https://docs.google.com/spreadsheets/d/1nYxRXgnCfTXtqUY1otYuTlnrzE0Tn-Y0YRsW5pkRVqo/edit?usp=sharing"",""ปราจีนบุรี!J359"")"),747.18)</f>
        <v>747.18</v>
      </c>
      <c r="U63" s="252">
        <f t="shared" ca="1" si="43"/>
        <v>149.43600000000001</v>
      </c>
      <c r="V63" s="248">
        <f ca="1">IFERROR(__xludf.DUMMYFUNCTION("IMPORTRANGE(""https://docs.google.com/spreadsheets/d/1nYxRXgnCfTXtqUY1otYuTlnrzE0Tn-Y0YRsW5pkRVqo/edit?usp=sharing"",""ปราจีนบุรี!I360"")"),40)</f>
        <v>40</v>
      </c>
      <c r="W63" s="248">
        <f ca="1">IFERROR(__xludf.DUMMYFUNCTION("IMPORTRANGE(""https://docs.google.com/spreadsheets/d/1nYxRXgnCfTXtqUY1otYuTlnrzE0Tn-Y0YRsW5pkRVqo/edit?usp=sharing"",""ปราจีนบุรี!J360"")"),32)</f>
        <v>32</v>
      </c>
      <c r="X63" s="248">
        <f ca="1">IFERROR(__xludf.DUMMYFUNCTION("IMPORTRANGE(""https://docs.google.com/spreadsheets/d/1nYxRXgnCfTXtqUY1otYuTlnrzE0Tn-Y0YRsW5pkRVqo/edit?usp=sharing"",""ปราจีนบุรี!J361"")"),552.64)</f>
        <v>552.64</v>
      </c>
      <c r="Y63" s="252">
        <f t="shared" ca="1" si="44"/>
        <v>80</v>
      </c>
      <c r="Z63" s="248">
        <f ca="1">IFERROR(__xludf.DUMMYFUNCTION("IMPORTRANGE(""https://docs.google.com/spreadsheets/d/1nYxRXgnCfTXtqUY1otYuTlnrzE0Tn-Y0YRsW5pkRVqo/edit?usp=sharing"",""ปราจีนบุรี!I362"")"),40)</f>
        <v>40</v>
      </c>
      <c r="AA63" s="248">
        <f ca="1">IFERROR(__xludf.DUMMYFUNCTION("IMPORTRANGE(""https://docs.google.com/spreadsheets/d/1nYxRXgnCfTXtqUY1otYuTlnrzE0Tn-Y0YRsW5pkRVqo/edit?usp=sharing"",""ปราจีนบุรี!J362"")"),25)</f>
        <v>25</v>
      </c>
      <c r="AB63" s="248">
        <f ca="1">IFERROR(__xludf.DUMMYFUNCTION("IMPORTRANGE(""https://docs.google.com/spreadsheets/d/1nYxRXgnCfTXtqUY1otYuTlnrzE0Tn-Y0YRsW5pkRVqo/edit?usp=sharing"",""ปราจีนบุรี!J363"")"),504.28)</f>
        <v>504.28</v>
      </c>
      <c r="AC63" s="252">
        <f t="shared" ca="1" si="45"/>
        <v>62.5</v>
      </c>
      <c r="AD63" s="248">
        <f ca="1">IFERROR(__xludf.DUMMYFUNCTION("IMPORTRANGE(""https://docs.google.com/spreadsheets/d/1nYxRXgnCfTXtqUY1otYuTlnrzE0Tn-Y0YRsW5pkRVqo/edit?usp=sharing"",""ปราจีนบุรี!I364"")"),80)</f>
        <v>80</v>
      </c>
      <c r="AE63" s="248">
        <f ca="1">IFERROR(__xludf.DUMMYFUNCTION("IMPORTRANGE(""https://docs.google.com/spreadsheets/d/1nYxRXgnCfTXtqUY1otYuTlnrzE0Tn-Y0YRsW5pkRVqo/edit?usp=sharing"",""ปราจีนบุรี!J364"")"),121)</f>
        <v>121</v>
      </c>
      <c r="AF63" s="252">
        <f t="shared" ca="1" si="16"/>
        <v>151.25</v>
      </c>
      <c r="AG63" s="248">
        <f ca="1">IFERROR(__xludf.DUMMYFUNCTION("IMPORTRANGE(""https://docs.google.com/spreadsheets/d/1nYxRXgnCfTXtqUY1otYuTlnrzE0Tn-Y0YRsW5pkRVqo/edit?usp=sharing"",""ปราจีนบุรี!I369"")"),200)</f>
        <v>200</v>
      </c>
      <c r="AH63" s="248">
        <f ca="1">IFERROR(__xludf.DUMMYFUNCTION("IMPORTRANGE(""https://docs.google.com/spreadsheets/d/1nYxRXgnCfTXtqUY1otYuTlnrzE0Tn-Y0YRsW5pkRVqo/edit?usp=sharing"",""ปราจีนบุรี!J368"")"),13)</f>
        <v>13</v>
      </c>
      <c r="AI63" s="248">
        <f ca="1">IFERROR(__xludf.DUMMYFUNCTION("IMPORTRANGE(""https://docs.google.com/spreadsheets/d/1nYxRXgnCfTXtqUY1otYuTlnrzE0Tn-Y0YRsW5pkRVqo/edit?usp=sharing"",""ปราจีนบุรี!J369"")"),456.27)</f>
        <v>456.27</v>
      </c>
      <c r="AJ63" s="252">
        <f t="shared" ca="1" si="46"/>
        <v>228.13499999999999</v>
      </c>
      <c r="AK63" s="248">
        <f ca="1">IFERROR(__xludf.DUMMYFUNCTION("IMPORTRANGE(""https://docs.google.com/spreadsheets/d/1nYxRXgnCfTXtqUY1otYuTlnrzE0Tn-Y0YRsW5pkRVqo/edit?usp=sharing"",""ปราจีนบุรี!I370"")"),16)</f>
        <v>16</v>
      </c>
      <c r="AL63" s="248">
        <f ca="1">IFERROR(__xludf.DUMMYFUNCTION("IMPORTRANGE(""https://docs.google.com/spreadsheets/d/1nYxRXgnCfTXtqUY1otYuTlnrzE0Tn-Y0YRsW5pkRVqo/edit?usp=sharing"",""ปราจีนบุรี!J370"")"),13)</f>
        <v>13</v>
      </c>
      <c r="AM63" s="248">
        <f ca="1">IFERROR(__xludf.DUMMYFUNCTION("IMPORTRANGE(""https://docs.google.com/spreadsheets/d/1nYxRXgnCfTXtqUY1otYuTlnrzE0Tn-Y0YRsW5pkRVqo/edit?usp=sharing"",""ปราจีนบุรี!J371"")"),380.25)</f>
        <v>380.25</v>
      </c>
      <c r="AN63" s="252">
        <f t="shared" ca="1" si="47"/>
        <v>81.25</v>
      </c>
      <c r="AO63" s="248">
        <f ca="1">IFERROR(__xludf.DUMMYFUNCTION("IMPORTRANGE(""https://docs.google.com/spreadsheets/d/1nYxRXgnCfTXtqUY1otYuTlnrzE0Tn-Y0YRsW5pkRVqo/edit?usp=sharing"",""ปราจีนบุรี!I372"")"),16)</f>
        <v>16</v>
      </c>
      <c r="AP63" s="248">
        <f ca="1">IFERROR(__xludf.DUMMYFUNCTION("IMPORTRANGE(""https://docs.google.com/spreadsheets/d/1nYxRXgnCfTXtqUY1otYuTlnrzE0Tn-Y0YRsW5pkRVqo/edit?usp=sharing"",""ปราจีนบุรี!J372"")"),16)</f>
        <v>16</v>
      </c>
      <c r="AQ63" s="248">
        <f ca="1">IFERROR(__xludf.DUMMYFUNCTION("IMPORTRANGE(""https://docs.google.com/spreadsheets/d/1nYxRXgnCfTXtqUY1otYuTlnrzE0Tn-Y0YRsW5pkRVqo/edit?usp=sharing"",""ปราจีนบุรี!J373"")"),405.25)</f>
        <v>405.25</v>
      </c>
      <c r="AR63" s="252">
        <f t="shared" ca="1" si="48"/>
        <v>100</v>
      </c>
      <c r="AS63" s="248">
        <f ca="1">IFERROR(__xludf.DUMMYFUNCTION("IMPORTRANGE(""https://docs.google.com/spreadsheets/d/1nYxRXgnCfTXtqUY1otYuTlnrzE0Tn-Y0YRsW5pkRVqo/edit?usp=sharing"",""ปราจีนบุรี!I378"")"),300)</f>
        <v>300</v>
      </c>
      <c r="AT63" s="248">
        <f ca="1">IFERROR(__xludf.DUMMYFUNCTION("IMPORTRANGE(""https://docs.google.com/spreadsheets/d/1nYxRXgnCfTXtqUY1otYuTlnrzE0Tn-Y0YRsW5pkRVqo/edit?usp=sharing"",""ปราจีนบุรี!J377"")"),27)</f>
        <v>27</v>
      </c>
      <c r="AU63" s="248">
        <f ca="1">IFERROR(__xludf.DUMMYFUNCTION("IMPORTRANGE(""https://docs.google.com/spreadsheets/d/1nYxRXgnCfTXtqUY1otYuTlnrzE0Tn-Y0YRsW5pkRVqo/edit?usp=sharing"",""ปราจีนบุรี!J378"")"),290.91)</f>
        <v>290.91000000000003</v>
      </c>
      <c r="AV63" s="252">
        <f t="shared" ca="1" si="49"/>
        <v>96.970000000000013</v>
      </c>
      <c r="AW63" s="248">
        <f ca="1">IFERROR(__xludf.DUMMYFUNCTION("IMPORTRANGE(""https://docs.google.com/spreadsheets/d/1nYxRXgnCfTXtqUY1otYuTlnrzE0Tn-Y0YRsW5pkRVqo/edit?usp=sharing"",""ปราจีนบุรี!I379"")"),64)</f>
        <v>64</v>
      </c>
      <c r="AX63" s="248">
        <f ca="1">IFERROR(__xludf.DUMMYFUNCTION("IMPORTRANGE(""https://docs.google.com/spreadsheets/d/1nYxRXgnCfTXtqUY1otYuTlnrzE0Tn-Y0YRsW5pkRVqo/edit?usp=sharing"",""ปราจีนบุรี!J379"")"),21)</f>
        <v>21</v>
      </c>
      <c r="AY63" s="248">
        <f ca="1">IFERROR(__xludf.DUMMYFUNCTION("IMPORTRANGE(""https://docs.google.com/spreadsheets/d/1nYxRXgnCfTXtqUY1otYuTlnrzE0Tn-Y0YRsW5pkRVqo/edit?usp=sharing"",""ปราจีนบุรี!J380"")"),182.97)</f>
        <v>182.97</v>
      </c>
      <c r="AZ63" s="252">
        <f t="shared" ca="1" si="50"/>
        <v>32.8125</v>
      </c>
      <c r="BA63" s="248">
        <f ca="1">IFERROR(__xludf.DUMMYFUNCTION("IMPORTRANGE(""https://docs.google.com/spreadsheets/d/1nYxRXgnCfTXtqUY1otYuTlnrzE0Tn-Y0YRsW5pkRVqo/edit?usp=sharing"",""ปราจีนบุรี!I381"")"),64)</f>
        <v>64</v>
      </c>
      <c r="BB63" s="248">
        <f ca="1">IFERROR(__xludf.DUMMYFUNCTION("IMPORTRANGE(""https://docs.google.com/spreadsheets/d/1nYxRXgnCfTXtqUY1otYuTlnrzE0Tn-Y0YRsW5pkRVqo/edit?usp=sharing"",""ปราจีนบุรี!J381"")"),105)</f>
        <v>105</v>
      </c>
      <c r="BC63" s="248">
        <f ca="1">IFERROR(__xludf.DUMMYFUNCTION("IMPORTRANGE(""https://docs.google.com/spreadsheets/d/1nYxRXgnCfTXtqUY1otYuTlnrzE0Tn-Y0YRsW5pkRVqo/edit?usp=sharing"",""ปราจีนบุรี!J382"")"),1813.62999999999)</f>
        <v>1813.6299999999901</v>
      </c>
      <c r="BD63" s="252">
        <f t="shared" ca="1" si="51"/>
        <v>164.0625</v>
      </c>
    </row>
    <row r="64" spans="1:56" ht="21" customHeight="1" x14ac:dyDescent="0.3">
      <c r="A64" s="243">
        <v>12</v>
      </c>
      <c r="B64" s="244" t="s">
        <v>86</v>
      </c>
      <c r="C64" s="245">
        <f t="shared" ca="1" si="0"/>
        <v>292110</v>
      </c>
      <c r="D64" s="246">
        <f t="shared" ca="1" si="88"/>
        <v>216110</v>
      </c>
      <c r="E64" s="247">
        <f ca="1">IFERROR(__xludf.DUMMYFUNCTION("IMPORTRANGE(""https://docs.google.com/spreadsheets/d/1MeEWN-I1oV_STSDYn1IFDPWt_1FKiwhDph83XaGc0o0/edit?usp=sharing"",""งบพรบ!EX64"")"),0)</f>
        <v>0</v>
      </c>
      <c r="F64" s="247">
        <f ca="1">IFERROR(__xludf.DUMMYFUNCTION("IMPORTRANGE(""https://docs.google.com/spreadsheets/d/1MeEWN-I1oV_STSDYn1IFDPWt_1FKiwhDph83XaGc0o0/edit?usp=sharing"",""งบพรบ!EY64"")"),216110)</f>
        <v>216110</v>
      </c>
      <c r="G64" s="247">
        <f ca="1">IFERROR(__xludf.DUMMYFUNCTION("IMPORTRANGE(""https://docs.google.com/spreadsheets/d/1MeEWN-I1oV_STSDYn1IFDPWt_1FKiwhDph83XaGc0o0/edit?usp=sharing"",""งบพรบ!EZ64"")"),76000)</f>
        <v>76000</v>
      </c>
      <c r="H64" s="247">
        <f ca="1">IFERROR(__xludf.DUMMYFUNCTION("IMPORTRANGE(""https://docs.google.com/spreadsheets/d/1MeEWN-I1oV_STSDYn1IFDPWt_1FKiwhDph83XaGc0o0/edit?usp=sharing"",""งบพรบ!FB64"")"),278110)</f>
        <v>278110</v>
      </c>
      <c r="I64" s="247">
        <f ca="1">IFERROR(__xludf.DUMMYFUNCTION("IMPORTRANGE(""https://docs.google.com/spreadsheets/d/1MeEWN-I1oV_STSDYn1IFDPWt_1FKiwhDph83XaGc0o0/edit?usp=sharing"",""งบพรบ!FC64"")"),76000)</f>
        <v>76000</v>
      </c>
      <c r="J64" s="247">
        <f t="shared" ca="1" si="3"/>
        <v>285590.82999999996</v>
      </c>
      <c r="K64" s="253">
        <f t="shared" ca="1" si="4"/>
        <v>97.768248262640768</v>
      </c>
      <c r="L64" s="247">
        <f ca="1">IFERROR(__xludf.DUMMYFUNCTION("IMPORTRANGE(""https://docs.google.com/spreadsheets/d/1MeEWN-I1oV_STSDYn1IFDPWt_1FKiwhDph83XaGc0o0/edit?usp=sharing"",""งบพรบ!FD64"")"),209590.83)</f>
        <v>209590.83</v>
      </c>
      <c r="M64" s="250">
        <f t="shared" ca="1" si="5"/>
        <v>96.983401971218356</v>
      </c>
      <c r="N64" s="250">
        <f t="shared" ca="1" si="6"/>
        <v>75.362565172054218</v>
      </c>
      <c r="O64" s="251">
        <f ca="1">IFERROR(__xludf.DUMMYFUNCTION("IMPORTRANGE(""https://docs.google.com/spreadsheets/d/1MeEWN-I1oV_STSDYn1IFDPWt_1FKiwhDph83XaGc0o0/edit?usp=sharing"",""งบพรบ!FE64"")"),76000)</f>
        <v>76000</v>
      </c>
      <c r="P64" s="250">
        <f t="shared" ca="1" si="53"/>
        <v>100</v>
      </c>
      <c r="Q64" s="250">
        <f t="shared" ca="1" si="8"/>
        <v>100</v>
      </c>
      <c r="R64" s="248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248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248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252">
        <f t="shared" ca="1" si="43"/>
        <v>0</v>
      </c>
      <c r="V64" s="248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248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248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252">
        <f t="shared" ca="1" si="44"/>
        <v>0</v>
      </c>
      <c r="Z64" s="248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248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248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252">
        <f t="shared" ca="1" si="45"/>
        <v>0</v>
      </c>
      <c r="AD64" s="248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248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252">
        <f t="shared" ca="1" si="16"/>
        <v>0</v>
      </c>
      <c r="AG64" s="248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248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248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252">
        <f t="shared" ca="1" si="46"/>
        <v>0</v>
      </c>
      <c r="AK64" s="248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248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248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252">
        <f t="shared" ca="1" si="47"/>
        <v>0</v>
      </c>
      <c r="AO64" s="248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248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248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252">
        <f t="shared" ca="1" si="48"/>
        <v>0</v>
      </c>
      <c r="AS64" s="248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248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248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252">
        <f t="shared" ca="1" si="49"/>
        <v>0</v>
      </c>
      <c r="AW64" s="248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248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248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252">
        <f t="shared" ca="1" si="50"/>
        <v>0</v>
      </c>
      <c r="BA64" s="248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248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248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252">
        <f t="shared" ca="1" si="51"/>
        <v>0</v>
      </c>
    </row>
    <row r="65" spans="1:56" ht="21" customHeight="1" x14ac:dyDescent="0.3">
      <c r="A65" s="243">
        <v>13</v>
      </c>
      <c r="B65" s="244" t="s">
        <v>87</v>
      </c>
      <c r="C65" s="245">
        <f t="shared" ca="1" si="0"/>
        <v>466680</v>
      </c>
      <c r="D65" s="246">
        <f t="shared" ca="1" si="88"/>
        <v>420680</v>
      </c>
      <c r="E65" s="247">
        <f ca="1">IFERROR(__xludf.DUMMYFUNCTION("IMPORTRANGE(""https://docs.google.com/spreadsheets/d/1MeEWN-I1oV_STSDYn1IFDPWt_1FKiwhDph83XaGc0o0/edit?usp=sharing"",""งบพรบ!EX65"")"),201600)</f>
        <v>201600</v>
      </c>
      <c r="F65" s="247">
        <f ca="1">IFERROR(__xludf.DUMMYFUNCTION("IMPORTRANGE(""https://docs.google.com/spreadsheets/d/1MeEWN-I1oV_STSDYn1IFDPWt_1FKiwhDph83XaGc0o0/edit?usp=sharing"",""งบพรบ!EY65"")"),219080)</f>
        <v>219080</v>
      </c>
      <c r="G65" s="247">
        <f ca="1">IFERROR(__xludf.DUMMYFUNCTION("IMPORTRANGE(""https://docs.google.com/spreadsheets/d/1MeEWN-I1oV_STSDYn1IFDPWt_1FKiwhDph83XaGc0o0/edit?usp=sharing"",""งบพรบ!EZ65"")"),46000)</f>
        <v>46000</v>
      </c>
      <c r="H65" s="247">
        <f ca="1">IFERROR(__xludf.DUMMYFUNCTION("IMPORTRANGE(""https://docs.google.com/spreadsheets/d/1MeEWN-I1oV_STSDYn1IFDPWt_1FKiwhDph83XaGc0o0/edit?usp=sharing"",""งบพรบ!FB65"")"),475060)</f>
        <v>475060</v>
      </c>
      <c r="I65" s="247">
        <f ca="1">IFERROR(__xludf.DUMMYFUNCTION("IMPORTRANGE(""https://docs.google.com/spreadsheets/d/1MeEWN-I1oV_STSDYn1IFDPWt_1FKiwhDph83XaGc0o0/edit?usp=sharing"",""งบพรบ!FC65"")"),46000)</f>
        <v>46000</v>
      </c>
      <c r="J65" s="247">
        <f t="shared" ca="1" si="3"/>
        <v>436106.61</v>
      </c>
      <c r="K65" s="253">
        <f t="shared" ca="1" si="4"/>
        <v>93.44874646438673</v>
      </c>
      <c r="L65" s="247">
        <f ca="1">IFERROR(__xludf.DUMMYFUNCTION("IMPORTRANGE(""https://docs.google.com/spreadsheets/d/1MeEWN-I1oV_STSDYn1IFDPWt_1FKiwhDph83XaGc0o0/edit?usp=sharing"",""งบพรบ!FD65"")"),390106.61)</f>
        <v>390106.61</v>
      </c>
      <c r="M65" s="250">
        <f t="shared" ca="1" si="5"/>
        <v>92.732388038414001</v>
      </c>
      <c r="N65" s="250">
        <f t="shared" ca="1" si="6"/>
        <v>82.117334652464947</v>
      </c>
      <c r="O65" s="251">
        <f ca="1">IFERROR(__xludf.DUMMYFUNCTION("IMPORTRANGE(""https://docs.google.com/spreadsheets/d/1MeEWN-I1oV_STSDYn1IFDPWt_1FKiwhDph83XaGc0o0/edit?usp=sharing"",""งบพรบ!FE65"")"),46000)</f>
        <v>46000</v>
      </c>
      <c r="P65" s="250">
        <f t="shared" ca="1" si="53"/>
        <v>100</v>
      </c>
      <c r="Q65" s="250">
        <f t="shared" ca="1" si="8"/>
        <v>100</v>
      </c>
      <c r="R65" s="248">
        <f ca="1">IFERROR(__xludf.DUMMYFUNCTION("IMPORTRANGE(""https://docs.google.com/spreadsheets/d/1CdNicvf3i6yt4tJlCePe3V1Va76wYqW0QzMzTsaGRrA/edit?usp=sharing"",""เพชรบุรี!I359"")"),150)</f>
        <v>150</v>
      </c>
      <c r="S65" s="248">
        <f ca="1">IFERROR(__xludf.DUMMYFUNCTION("IMPORTRANGE(""https://docs.google.com/spreadsheets/d/1CdNicvf3i6yt4tJlCePe3V1Va76wYqW0QzMzTsaGRrA/edit?usp=sharing"",""เพชรบุรี!J358"")"),4)</f>
        <v>4</v>
      </c>
      <c r="T65" s="248">
        <f ca="1">IFERROR(__xludf.DUMMYFUNCTION("IMPORTRANGE(""https://docs.google.com/spreadsheets/d/1CdNicvf3i6yt4tJlCePe3V1Va76wYqW0QzMzTsaGRrA/edit?usp=sharing"",""เพชรบุรี!J359"")"),33.39)</f>
        <v>33.39</v>
      </c>
      <c r="U65" s="252">
        <f t="shared" ca="1" si="43"/>
        <v>22.26</v>
      </c>
      <c r="V65" s="248">
        <f ca="1">IFERROR(__xludf.DUMMYFUNCTION("IMPORTRANGE(""https://docs.google.com/spreadsheets/d/1CdNicvf3i6yt4tJlCePe3V1Va76wYqW0QzMzTsaGRrA/edit?usp=sharing"",""เพชรบุรี!I360"")"),14)</f>
        <v>14</v>
      </c>
      <c r="W65" s="248">
        <f ca="1">IFERROR(__xludf.DUMMYFUNCTION("IMPORTRANGE(""https://docs.google.com/spreadsheets/d/1CdNicvf3i6yt4tJlCePe3V1Va76wYqW0QzMzTsaGRrA/edit?usp=sharing"",""เพชรบุรี!J360"")"),4)</f>
        <v>4</v>
      </c>
      <c r="X65" s="248">
        <f ca="1">IFERROR(__xludf.DUMMYFUNCTION("IMPORTRANGE(""https://docs.google.com/spreadsheets/d/1CdNicvf3i6yt4tJlCePe3V1Va76wYqW0QzMzTsaGRrA/edit?usp=sharing"",""เพชรบุรี!J361"")"),33.39)</f>
        <v>33.39</v>
      </c>
      <c r="Y65" s="252">
        <f t="shared" ca="1" si="44"/>
        <v>28.571428571428573</v>
      </c>
      <c r="Z65" s="248">
        <f ca="1">IFERROR(__xludf.DUMMYFUNCTION("IMPORTRANGE(""https://docs.google.com/spreadsheets/d/1CdNicvf3i6yt4tJlCePe3V1Va76wYqW0QzMzTsaGRrA/edit?usp=sharing"",""เพชรบุรี!I362"")"),14)</f>
        <v>14</v>
      </c>
      <c r="AA65" s="248">
        <f ca="1">IFERROR(__xludf.DUMMYFUNCTION("IMPORTRANGE(""https://docs.google.com/spreadsheets/d/1CdNicvf3i6yt4tJlCePe3V1Va76wYqW0QzMzTsaGRrA/edit?usp=sharing"",""เพชรบุรี!J362"")"),1)</f>
        <v>1</v>
      </c>
      <c r="AB65" s="248">
        <f ca="1">IFERROR(__xludf.DUMMYFUNCTION("IMPORTRANGE(""https://docs.google.com/spreadsheets/d/1CdNicvf3i6yt4tJlCePe3V1Va76wYqW0QzMzTsaGRrA/edit?usp=sharing"",""เพชรบุรี!J363"")"),1.81)</f>
        <v>1.81</v>
      </c>
      <c r="AC65" s="252">
        <f t="shared" ca="1" si="45"/>
        <v>7.1428571428571432</v>
      </c>
      <c r="AD65" s="248">
        <f ca="1">IFERROR(__xludf.DUMMYFUNCTION("IMPORTRANGE(""https://docs.google.com/spreadsheets/d/1CdNicvf3i6yt4tJlCePe3V1Va76wYqW0QzMzTsaGRrA/edit?usp=sharing"",""เพชรบุรี!I364"")"),69)</f>
        <v>69</v>
      </c>
      <c r="AE65" s="248">
        <f ca="1">IFERROR(__xludf.DUMMYFUNCTION("IMPORTRANGE(""https://docs.google.com/spreadsheets/d/1CdNicvf3i6yt4tJlCePe3V1Va76wYqW0QzMzTsaGRrA/edit?usp=sharing"",""เพชรบุรี!J364"")"),74)</f>
        <v>74</v>
      </c>
      <c r="AF65" s="252">
        <f t="shared" ca="1" si="16"/>
        <v>107.2463768115942</v>
      </c>
      <c r="AG65" s="248">
        <f ca="1">IFERROR(__xludf.DUMMYFUNCTION("IMPORTRANGE(""https://docs.google.com/spreadsheets/d/1CdNicvf3i6yt4tJlCePe3V1Va76wYqW0QzMzTsaGRrA/edit?usp=sharing"",""เพชรบุรี!I369"")"),50)</f>
        <v>50</v>
      </c>
      <c r="AH65" s="248">
        <f ca="1">IFERROR(__xludf.DUMMYFUNCTION("IMPORTRANGE(""https://docs.google.com/spreadsheets/d/1CdNicvf3i6yt4tJlCePe3V1Va76wYqW0QzMzTsaGRrA/edit?usp=sharing"",""เพชรบุรี!J368"")"),1)</f>
        <v>1</v>
      </c>
      <c r="AI65" s="248">
        <f ca="1">IFERROR(__xludf.DUMMYFUNCTION("IMPORTRANGE(""https://docs.google.com/spreadsheets/d/1CdNicvf3i6yt4tJlCePe3V1Va76wYqW0QzMzTsaGRrA/edit?usp=sharing"",""เพชรบุรี!J369"")"),5.16)</f>
        <v>5.16</v>
      </c>
      <c r="AJ65" s="252">
        <f t="shared" ca="1" si="46"/>
        <v>10.32</v>
      </c>
      <c r="AK65" s="248">
        <f ca="1">IFERROR(__xludf.DUMMYFUNCTION("IMPORTRANGE(""https://docs.google.com/spreadsheets/d/1CdNicvf3i6yt4tJlCePe3V1Va76wYqW0QzMzTsaGRrA/edit?usp=sharing"",""เพชรบุรี!I370"")"),4)</f>
        <v>4</v>
      </c>
      <c r="AL65" s="248">
        <f ca="1">IFERROR(__xludf.DUMMYFUNCTION("IMPORTRANGE(""https://docs.google.com/spreadsheets/d/1CdNicvf3i6yt4tJlCePe3V1Va76wYqW0QzMzTsaGRrA/edit?usp=sharing"",""เพชรบุรี!J370"")"),1)</f>
        <v>1</v>
      </c>
      <c r="AM65" s="248">
        <f ca="1">IFERROR(__xludf.DUMMYFUNCTION("IMPORTRANGE(""https://docs.google.com/spreadsheets/d/1CdNicvf3i6yt4tJlCePe3V1Va76wYqW0QzMzTsaGRrA/edit?usp=sharing"",""เพชรบุรี!J371"")"),5.16)</f>
        <v>5.16</v>
      </c>
      <c r="AN65" s="252">
        <f t="shared" ca="1" si="47"/>
        <v>25</v>
      </c>
      <c r="AO65" s="248">
        <f ca="1">IFERROR(__xludf.DUMMYFUNCTION("IMPORTRANGE(""https://docs.google.com/spreadsheets/d/1CdNicvf3i6yt4tJlCePe3V1Va76wYqW0QzMzTsaGRrA/edit?usp=sharing"",""เพชรบุรี!I372"")"),4)</f>
        <v>4</v>
      </c>
      <c r="AP65" s="248">
        <f ca="1">IFERROR(__xludf.DUMMYFUNCTION("IMPORTRANGE(""https://docs.google.com/spreadsheets/d/1CdNicvf3i6yt4tJlCePe3V1Va76wYqW0QzMzTsaGRrA/edit?usp=sharing"",""เพชรบุรี!J372"")"),0)</f>
        <v>0</v>
      </c>
      <c r="AQ65" s="248">
        <f ca="1">IFERROR(__xludf.DUMMYFUNCTION("IMPORTRANGE(""https://docs.google.com/spreadsheets/d/1CdNicvf3i6yt4tJlCePe3V1Va76wYqW0QzMzTsaGRrA/edit?usp=sharing"",""เพชรบุรี!J373"")"),0)</f>
        <v>0</v>
      </c>
      <c r="AR65" s="252">
        <f t="shared" ca="1" si="48"/>
        <v>0</v>
      </c>
      <c r="AS65" s="248">
        <f ca="1">IFERROR(__xludf.DUMMYFUNCTION("IMPORTRANGE(""https://docs.google.com/spreadsheets/d/1CdNicvf3i6yt4tJlCePe3V1Va76wYqW0QzMzTsaGRrA/edit?usp=sharing"",""เพชรบุรี!I378"")"),100)</f>
        <v>100</v>
      </c>
      <c r="AT65" s="248">
        <f ca="1">IFERROR(__xludf.DUMMYFUNCTION("IMPORTRANGE(""https://docs.google.com/spreadsheets/d/1CdNicvf3i6yt4tJlCePe3V1Va76wYqW0QzMzTsaGRrA/edit?usp=sharing"",""เพชรบุรี!J377"")"),3)</f>
        <v>3</v>
      </c>
      <c r="AU65" s="248">
        <f ca="1">IFERROR(__xludf.DUMMYFUNCTION("IMPORTRANGE(""https://docs.google.com/spreadsheets/d/1CdNicvf3i6yt4tJlCePe3V1Va76wYqW0QzMzTsaGRrA/edit?usp=sharing"",""เพชรบุรี!J378"")"),28.23)</f>
        <v>28.23</v>
      </c>
      <c r="AV65" s="252">
        <f t="shared" ca="1" si="49"/>
        <v>28.23</v>
      </c>
      <c r="AW65" s="248">
        <f ca="1">IFERROR(__xludf.DUMMYFUNCTION("IMPORTRANGE(""https://docs.google.com/spreadsheets/d/1CdNicvf3i6yt4tJlCePe3V1Va76wYqW0QzMzTsaGRrA/edit?usp=sharing"",""เพชรบุรี!I379"")"),65)</f>
        <v>65</v>
      </c>
      <c r="AX65" s="248">
        <f ca="1">IFERROR(__xludf.DUMMYFUNCTION("IMPORTRANGE(""https://docs.google.com/spreadsheets/d/1CdNicvf3i6yt4tJlCePe3V1Va76wYqW0QzMzTsaGRrA/edit?usp=sharing"",""เพชรบุรี!J379"")"),86)</f>
        <v>86</v>
      </c>
      <c r="AY65" s="248">
        <f ca="1">IFERROR(__xludf.DUMMYFUNCTION("IMPORTRANGE(""https://docs.google.com/spreadsheets/d/1CdNicvf3i6yt4tJlCePe3V1Va76wYqW0QzMzTsaGRrA/edit?usp=sharing"",""เพชรบุรี!J380"")"),1351.43)</f>
        <v>1351.43</v>
      </c>
      <c r="AZ65" s="252">
        <f t="shared" ca="1" si="50"/>
        <v>132.30769230769232</v>
      </c>
      <c r="BA65" s="248">
        <f ca="1">IFERROR(__xludf.DUMMYFUNCTION("IMPORTRANGE(""https://docs.google.com/spreadsheets/d/1CdNicvf3i6yt4tJlCePe3V1Va76wYqW0QzMzTsaGRrA/edit?usp=sharing"",""เพชรบุรี!I381"")"),65)</f>
        <v>65</v>
      </c>
      <c r="BB65" s="248">
        <f ca="1">IFERROR(__xludf.DUMMYFUNCTION("IMPORTRANGE(""https://docs.google.com/spreadsheets/d/1CdNicvf3i6yt4tJlCePe3V1Va76wYqW0QzMzTsaGRrA/edit?usp=sharing"",""เพชรบุรี!J381"")"),74)</f>
        <v>74</v>
      </c>
      <c r="BC65" s="248">
        <f ca="1">IFERROR(__xludf.DUMMYFUNCTION("IMPORTRANGE(""https://docs.google.com/spreadsheets/d/1CdNicvf3i6yt4tJlCePe3V1Va76wYqW0QzMzTsaGRrA/edit?usp=sharing"",""เพชรบุรี!J382"")"),1137.53)</f>
        <v>1137.53</v>
      </c>
      <c r="BD65" s="252">
        <f t="shared" ca="1" si="51"/>
        <v>113.84615384615384</v>
      </c>
    </row>
    <row r="66" spans="1:56" ht="21" customHeight="1" x14ac:dyDescent="0.3">
      <c r="A66" s="243">
        <v>14</v>
      </c>
      <c r="B66" s="244" t="s">
        <v>88</v>
      </c>
      <c r="C66" s="245">
        <f t="shared" ca="1" si="0"/>
        <v>824120</v>
      </c>
      <c r="D66" s="246">
        <f t="shared" ca="1" si="88"/>
        <v>611920</v>
      </c>
      <c r="E66" s="247">
        <f ca="1">IFERROR(__xludf.DUMMYFUNCTION("IMPORTRANGE(""https://docs.google.com/spreadsheets/d/1MeEWN-I1oV_STSDYn1IFDPWt_1FKiwhDph83XaGc0o0/edit?usp=sharing"",""งบพรบ!EX66"")"),315600)</f>
        <v>315600</v>
      </c>
      <c r="F66" s="247">
        <f ca="1">IFERROR(__xludf.DUMMYFUNCTION("IMPORTRANGE(""https://docs.google.com/spreadsheets/d/1MeEWN-I1oV_STSDYn1IFDPWt_1FKiwhDph83XaGc0o0/edit?usp=sharing"",""งบพรบ!EY66"")"),296320)</f>
        <v>296320</v>
      </c>
      <c r="G66" s="247">
        <f ca="1">IFERROR(__xludf.DUMMYFUNCTION("IMPORTRANGE(""https://docs.google.com/spreadsheets/d/1MeEWN-I1oV_STSDYn1IFDPWt_1FKiwhDph83XaGc0o0/edit?usp=sharing"",""งบพรบ!EZ66"")"),212200)</f>
        <v>212200</v>
      </c>
      <c r="H66" s="247">
        <f ca="1">IFERROR(__xludf.DUMMYFUNCTION("IMPORTRANGE(""https://docs.google.com/spreadsheets/d/1MeEWN-I1oV_STSDYn1IFDPWt_1FKiwhDph83XaGc0o0/edit?usp=sharing"",""งบพรบ!FB66"")"),734000)</f>
        <v>734000</v>
      </c>
      <c r="I66" s="247">
        <f ca="1">IFERROR(__xludf.DUMMYFUNCTION("IMPORTRANGE(""https://docs.google.com/spreadsheets/d/1MeEWN-I1oV_STSDYn1IFDPWt_1FKiwhDph83XaGc0o0/edit?usp=sharing"",""งบพรบ!FC66"")"),212200)</f>
        <v>212200</v>
      </c>
      <c r="J66" s="247">
        <f t="shared" ca="1" si="3"/>
        <v>842498.81</v>
      </c>
      <c r="K66" s="253">
        <f t="shared" ca="1" si="4"/>
        <v>102.23011333300975</v>
      </c>
      <c r="L66" s="247">
        <f ca="1">IFERROR(__xludf.DUMMYFUNCTION("IMPORTRANGE(""https://docs.google.com/spreadsheets/d/1MeEWN-I1oV_STSDYn1IFDPWt_1FKiwhDph83XaGc0o0/edit?usp=sharing"",""งบพรบ!FD66"")"),630298.81)</f>
        <v>630298.81000000006</v>
      </c>
      <c r="M66" s="250">
        <f t="shared" ca="1" si="5"/>
        <v>103.00346613936463</v>
      </c>
      <c r="N66" s="250">
        <f t="shared" ca="1" si="6"/>
        <v>85.871772479564044</v>
      </c>
      <c r="O66" s="251">
        <f ca="1">IFERROR(__xludf.DUMMYFUNCTION("IMPORTRANGE(""https://docs.google.com/spreadsheets/d/1MeEWN-I1oV_STSDYn1IFDPWt_1FKiwhDph83XaGc0o0/edit?usp=sharing"",""งบพรบ!FE66"")"),212200)</f>
        <v>212200</v>
      </c>
      <c r="P66" s="250">
        <f t="shared" ca="1" si="53"/>
        <v>100</v>
      </c>
      <c r="Q66" s="250">
        <f t="shared" ca="1" si="8"/>
        <v>100</v>
      </c>
      <c r="R66" s="248">
        <f ca="1">IFERROR(__xludf.DUMMYFUNCTION("IMPORTRANGE(""https://docs.google.com/spreadsheets/d/1XiF77UIVHV0Kjc6xbXuOuJ10WgJYxd4p_22ngKVV5oM/edit?usp=sharing"",""ระยอง!I359"")"),900)</f>
        <v>900</v>
      </c>
      <c r="S66" s="248">
        <f ca="1">IFERROR(__xludf.DUMMYFUNCTION("IMPORTRANGE(""https://docs.google.com/spreadsheets/d/1XiF77UIVHV0Kjc6xbXuOuJ10WgJYxd4p_22ngKVV5oM/edit?usp=sharing"",""ระยอง!J358"")"),141)</f>
        <v>141</v>
      </c>
      <c r="T66" s="248">
        <f ca="1">IFERROR(__xludf.DUMMYFUNCTION("IMPORTRANGE(""https://docs.google.com/spreadsheets/d/1XiF77UIVHV0Kjc6xbXuOuJ10WgJYxd4p_22ngKVV5oM/edit?usp=sharing"",""ระยอง!J359"")"),1437.86)</f>
        <v>1437.86</v>
      </c>
      <c r="U66" s="252">
        <f t="shared" ca="1" si="43"/>
        <v>159.76222222222222</v>
      </c>
      <c r="V66" s="248">
        <f ca="1">IFERROR(__xludf.DUMMYFUNCTION("IMPORTRANGE(""https://docs.google.com/spreadsheets/d/1XiF77UIVHV0Kjc6xbXuOuJ10WgJYxd4p_22ngKVV5oM/edit?usp=sharing"",""ระยอง!I360"")"),110)</f>
        <v>110</v>
      </c>
      <c r="W66" s="248">
        <f ca="1">IFERROR(__xludf.DUMMYFUNCTION("IMPORTRANGE(""https://docs.google.com/spreadsheets/d/1XiF77UIVHV0Kjc6xbXuOuJ10WgJYxd4p_22ngKVV5oM/edit?usp=sharing"",""ระยอง!J360"")"),106)</f>
        <v>106</v>
      </c>
      <c r="X66" s="248">
        <f ca="1">IFERROR(__xludf.DUMMYFUNCTION("IMPORTRANGE(""https://docs.google.com/spreadsheets/d/1XiF77UIVHV0Kjc6xbXuOuJ10WgJYxd4p_22ngKVV5oM/edit?usp=sharing"",""ระยอง!J361"")"),1006.18)</f>
        <v>1006.18</v>
      </c>
      <c r="Y66" s="252">
        <f t="shared" ca="1" si="44"/>
        <v>96.36363636363636</v>
      </c>
      <c r="Z66" s="248">
        <f ca="1">IFERROR(__xludf.DUMMYFUNCTION("IMPORTRANGE(""https://docs.google.com/spreadsheets/d/1XiF77UIVHV0Kjc6xbXuOuJ10WgJYxd4p_22ngKVV5oM/edit?usp=sharing"",""ระยอง!I362"")"),110)</f>
        <v>110</v>
      </c>
      <c r="AA66" s="248">
        <f ca="1">IFERROR(__xludf.DUMMYFUNCTION("IMPORTRANGE(""https://docs.google.com/spreadsheets/d/1XiF77UIVHV0Kjc6xbXuOuJ10WgJYxd4p_22ngKVV5oM/edit?usp=sharing"",""ระยอง!J362"")"),51)</f>
        <v>51</v>
      </c>
      <c r="AB66" s="248">
        <f ca="1">IFERROR(__xludf.DUMMYFUNCTION("IMPORTRANGE(""https://docs.google.com/spreadsheets/d/1XiF77UIVHV0Kjc6xbXuOuJ10WgJYxd4p_22ngKVV5oM/edit?usp=sharing"",""ระยอง!J363"")"),589.069999999999)</f>
        <v>589.06999999999903</v>
      </c>
      <c r="AC66" s="252">
        <f t="shared" ca="1" si="45"/>
        <v>46.363636363636367</v>
      </c>
      <c r="AD66" s="248">
        <f ca="1">IFERROR(__xludf.DUMMYFUNCTION("IMPORTRANGE(""https://docs.google.com/spreadsheets/d/1XiF77UIVHV0Kjc6xbXuOuJ10WgJYxd4p_22ngKVV5oM/edit?usp=sharing"",""ระยอง!I364"")"),160)</f>
        <v>160</v>
      </c>
      <c r="AE66" s="248">
        <f ca="1">IFERROR(__xludf.DUMMYFUNCTION("IMPORTRANGE(""https://docs.google.com/spreadsheets/d/1XiF77UIVHV0Kjc6xbXuOuJ10WgJYxd4p_22ngKVV5oM/edit?usp=sharing"",""ระยอง!J364"")"),119)</f>
        <v>119</v>
      </c>
      <c r="AF66" s="252">
        <f t="shared" ca="1" si="16"/>
        <v>74.375</v>
      </c>
      <c r="AG66" s="248">
        <f ca="1">IFERROR(__xludf.DUMMYFUNCTION("IMPORTRANGE(""https://docs.google.com/spreadsheets/d/1XiF77UIVHV0Kjc6xbXuOuJ10WgJYxd4p_22ngKVV5oM/edit?usp=sharing"",""ระยอง!I369"")"),100)</f>
        <v>100</v>
      </c>
      <c r="AH66" s="248">
        <f ca="1">IFERROR(__xludf.DUMMYFUNCTION("IMPORTRANGE(""https://docs.google.com/spreadsheets/d/1XiF77UIVHV0Kjc6xbXuOuJ10WgJYxd4p_22ngKVV5oM/edit?usp=sharing"",""ระยอง!J368"")"),27)</f>
        <v>27</v>
      </c>
      <c r="AI66" s="248">
        <f ca="1">IFERROR(__xludf.DUMMYFUNCTION("IMPORTRANGE(""https://docs.google.com/spreadsheets/d/1XiF77UIVHV0Kjc6xbXuOuJ10WgJYxd4p_22ngKVV5oM/edit?usp=sharing"",""ระยอง!J369"")"),346.22)</f>
        <v>346.22</v>
      </c>
      <c r="AJ66" s="252">
        <f t="shared" ca="1" si="46"/>
        <v>346.22</v>
      </c>
      <c r="AK66" s="248">
        <f ca="1">IFERROR(__xludf.DUMMYFUNCTION("IMPORTRANGE(""https://docs.google.com/spreadsheets/d/1XiF77UIVHV0Kjc6xbXuOuJ10WgJYxd4p_22ngKVV5oM/edit?usp=sharing"",""ระยอง!I370"")"),10)</f>
        <v>10</v>
      </c>
      <c r="AL66" s="248">
        <f ca="1">IFERROR(__xludf.DUMMYFUNCTION("IMPORTRANGE(""https://docs.google.com/spreadsheets/d/1XiF77UIVHV0Kjc6xbXuOuJ10WgJYxd4p_22ngKVV5oM/edit?usp=sharing"",""ระยอง!J370"")"),17)</f>
        <v>17</v>
      </c>
      <c r="AM66" s="248">
        <f ca="1">IFERROR(__xludf.DUMMYFUNCTION("IMPORTRANGE(""https://docs.google.com/spreadsheets/d/1XiF77UIVHV0Kjc6xbXuOuJ10WgJYxd4p_22ngKVV5oM/edit?usp=sharing"",""ระยอง!J371"")"),166.47)</f>
        <v>166.47</v>
      </c>
      <c r="AN66" s="252">
        <f t="shared" ca="1" si="47"/>
        <v>170</v>
      </c>
      <c r="AO66" s="248">
        <f ca="1">IFERROR(__xludf.DUMMYFUNCTION("IMPORTRANGE(""https://docs.google.com/spreadsheets/d/1XiF77UIVHV0Kjc6xbXuOuJ10WgJYxd4p_22ngKVV5oM/edit?usp=sharing"",""ระยอง!I372"")"),10)</f>
        <v>10</v>
      </c>
      <c r="AP66" s="248">
        <f ca="1">IFERROR(__xludf.DUMMYFUNCTION("IMPORTRANGE(""https://docs.google.com/spreadsheets/d/1XiF77UIVHV0Kjc6xbXuOuJ10WgJYxd4p_22ngKVV5oM/edit?usp=sharing"",""ระยอง!J372"")"),2)</f>
        <v>2</v>
      </c>
      <c r="AQ66" s="248">
        <f ca="1">IFERROR(__xludf.DUMMYFUNCTION("IMPORTRANGE(""https://docs.google.com/spreadsheets/d/1XiF77UIVHV0Kjc6xbXuOuJ10WgJYxd4p_22ngKVV5oM/edit?usp=sharing"",""ระยอง!J373"")"),43.94)</f>
        <v>43.94</v>
      </c>
      <c r="AR66" s="252">
        <f t="shared" ca="1" si="48"/>
        <v>20</v>
      </c>
      <c r="AS66" s="248">
        <f ca="1">IFERROR(__xludf.DUMMYFUNCTION("IMPORTRANGE(""https://docs.google.com/spreadsheets/d/1XiF77UIVHV0Kjc6xbXuOuJ10WgJYxd4p_22ngKVV5oM/edit?usp=sharing"",""ระยอง!I378"")"),800)</f>
        <v>800</v>
      </c>
      <c r="AT66" s="248">
        <f ca="1">IFERROR(__xludf.DUMMYFUNCTION("IMPORTRANGE(""https://docs.google.com/spreadsheets/d/1XiF77UIVHV0Kjc6xbXuOuJ10WgJYxd4p_22ngKVV5oM/edit?usp=sharing"",""ระยอง!J377"")"),114)</f>
        <v>114</v>
      </c>
      <c r="AU66" s="248">
        <f ca="1">IFERROR(__xludf.DUMMYFUNCTION("IMPORTRANGE(""https://docs.google.com/spreadsheets/d/1XiF77UIVHV0Kjc6xbXuOuJ10WgJYxd4p_22ngKVV5oM/edit?usp=sharing"",""ระยอง!J378"")"),1091.64)</f>
        <v>1091.6400000000001</v>
      </c>
      <c r="AV66" s="252">
        <f t="shared" ca="1" si="49"/>
        <v>136.45500000000001</v>
      </c>
      <c r="AW66" s="248">
        <f ca="1">IFERROR(__xludf.DUMMYFUNCTION("IMPORTRANGE(""https://docs.google.com/spreadsheets/d/1XiF77UIVHV0Kjc6xbXuOuJ10WgJYxd4p_22ngKVV5oM/edit?usp=sharing"",""ระยอง!I379"")"),150)</f>
        <v>150</v>
      </c>
      <c r="AX66" s="248">
        <f ca="1">IFERROR(__xludf.DUMMYFUNCTION("IMPORTRANGE(""https://docs.google.com/spreadsheets/d/1XiF77UIVHV0Kjc6xbXuOuJ10WgJYxd4p_22ngKVV5oM/edit?usp=sharing"",""ระยอง!J379"")"),161)</f>
        <v>161</v>
      </c>
      <c r="AY66" s="248">
        <f ca="1">IFERROR(__xludf.DUMMYFUNCTION("IMPORTRANGE(""https://docs.google.com/spreadsheets/d/1XiF77UIVHV0Kjc6xbXuOuJ10WgJYxd4p_22ngKVV5oM/edit?usp=sharing"",""ระยอง!J380"")"),1746.18)</f>
        <v>1746.18</v>
      </c>
      <c r="AZ66" s="252">
        <f t="shared" ca="1" si="50"/>
        <v>107.33333333333333</v>
      </c>
      <c r="BA66" s="248">
        <f ca="1">IFERROR(__xludf.DUMMYFUNCTION("IMPORTRANGE(""https://docs.google.com/spreadsheets/d/1XiF77UIVHV0Kjc6xbXuOuJ10WgJYxd4p_22ngKVV5oM/edit?usp=sharing"",""ระยอง!I381"")"),150)</f>
        <v>150</v>
      </c>
      <c r="BB66" s="248">
        <f ca="1">IFERROR(__xludf.DUMMYFUNCTION("IMPORTRANGE(""https://docs.google.com/spreadsheets/d/1XiF77UIVHV0Kjc6xbXuOuJ10WgJYxd4p_22ngKVV5oM/edit?usp=sharing"",""ระยอง!J381"")"),117)</f>
        <v>117</v>
      </c>
      <c r="BC66" s="248">
        <f ca="1">IFERROR(__xludf.DUMMYFUNCTION("IMPORTRANGE(""https://docs.google.com/spreadsheets/d/1XiF77UIVHV0Kjc6xbXuOuJ10WgJYxd4p_22ngKVV5oM/edit?usp=sharing"",""ระยอง!J382"")"),1370.05)</f>
        <v>1370.05</v>
      </c>
      <c r="BD66" s="252">
        <f t="shared" ca="1" si="51"/>
        <v>78</v>
      </c>
    </row>
    <row r="67" spans="1:56" ht="21" customHeight="1" x14ac:dyDescent="0.3">
      <c r="A67" s="243">
        <v>15</v>
      </c>
      <c r="B67" s="244" t="s">
        <v>89</v>
      </c>
      <c r="C67" s="245">
        <f t="shared" ca="1" si="0"/>
        <v>372250</v>
      </c>
      <c r="D67" s="246">
        <f t="shared" ca="1" si="88"/>
        <v>357250</v>
      </c>
      <c r="E67" s="247">
        <f ca="1">IFERROR(__xludf.DUMMYFUNCTION("IMPORTRANGE(""https://docs.google.com/spreadsheets/d/1MeEWN-I1oV_STSDYn1IFDPWt_1FKiwhDph83XaGc0o0/edit?usp=sharing"",""งบพรบ!EX67"")"),0)</f>
        <v>0</v>
      </c>
      <c r="F67" s="247">
        <f ca="1">IFERROR(__xludf.DUMMYFUNCTION("IMPORTRANGE(""https://docs.google.com/spreadsheets/d/1MeEWN-I1oV_STSDYn1IFDPWt_1FKiwhDph83XaGc0o0/edit?usp=sharing"",""งบพรบ!EY67"")"),357250)</f>
        <v>357250</v>
      </c>
      <c r="G67" s="247">
        <f ca="1">IFERROR(__xludf.DUMMYFUNCTION("IMPORTRANGE(""https://docs.google.com/spreadsheets/d/1MeEWN-I1oV_STSDYn1IFDPWt_1FKiwhDph83XaGc0o0/edit?usp=sharing"",""งบพรบ!EZ67"")"),15000)</f>
        <v>15000</v>
      </c>
      <c r="H67" s="247">
        <f ca="1">IFERROR(__xludf.DUMMYFUNCTION("IMPORTRANGE(""https://docs.google.com/spreadsheets/d/1MeEWN-I1oV_STSDYn1IFDPWt_1FKiwhDph83XaGc0o0/edit?usp=sharing"",""งบพรบ!FB67"")"),501450)</f>
        <v>501450</v>
      </c>
      <c r="I67" s="247">
        <f ca="1">IFERROR(__xludf.DUMMYFUNCTION("IMPORTRANGE(""https://docs.google.com/spreadsheets/d/1MeEWN-I1oV_STSDYn1IFDPWt_1FKiwhDph83XaGc0o0/edit?usp=sharing"",""งบพรบ!FC67"")"),15000)</f>
        <v>15000</v>
      </c>
      <c r="J67" s="247">
        <f t="shared" ca="1" si="3"/>
        <v>448612.85</v>
      </c>
      <c r="K67" s="253">
        <f t="shared" ca="1" si="4"/>
        <v>120.51386165211551</v>
      </c>
      <c r="L67" s="247">
        <f ca="1">IFERROR(__xludf.DUMMYFUNCTION("IMPORTRANGE(""https://docs.google.com/spreadsheets/d/1MeEWN-I1oV_STSDYn1IFDPWt_1FKiwhDph83XaGc0o0/edit?usp=sharing"",""งบพรบ!FD67"")"),433612.85)</f>
        <v>433612.85</v>
      </c>
      <c r="M67" s="250">
        <f t="shared" ca="1" si="5"/>
        <v>121.37518544436669</v>
      </c>
      <c r="N67" s="250">
        <f t="shared" ca="1" si="6"/>
        <v>86.471801774852921</v>
      </c>
      <c r="O67" s="251">
        <f ca="1">IFERROR(__xludf.DUMMYFUNCTION("IMPORTRANGE(""https://docs.google.com/spreadsheets/d/1MeEWN-I1oV_STSDYn1IFDPWt_1FKiwhDph83XaGc0o0/edit?usp=sharing"",""งบพรบ!FE67"")"),15000)</f>
        <v>15000</v>
      </c>
      <c r="P67" s="250">
        <f t="shared" ca="1" si="53"/>
        <v>100</v>
      </c>
      <c r="Q67" s="250">
        <f t="shared" ca="1" si="8"/>
        <v>100</v>
      </c>
      <c r="R67" s="248">
        <f ca="1">IFERROR(__xludf.DUMMYFUNCTION("IMPORTRANGE(""https://docs.google.com/spreadsheets/d/1qU-W_9MCQD1pgIVXGEOjCFo9QqlmJywuebyGgaN92r8/edit?usp=sharing"",""ราชบุรี!I359"")"),2500)</f>
        <v>2500</v>
      </c>
      <c r="S67" s="248">
        <f ca="1">IFERROR(__xludf.DUMMYFUNCTION("IMPORTRANGE(""https://docs.google.com/spreadsheets/d/1qU-W_9MCQD1pgIVXGEOjCFo9QqlmJywuebyGgaN92r8/edit?usp=sharing"",""ราชบุรี!J358"")"),238)</f>
        <v>238</v>
      </c>
      <c r="T67" s="248">
        <f ca="1">IFERROR(__xludf.DUMMYFUNCTION("IMPORTRANGE(""https://docs.google.com/spreadsheets/d/1qU-W_9MCQD1pgIVXGEOjCFo9QqlmJywuebyGgaN92r8/edit?usp=sharing"",""ราชบุรี!J359"")"),1923.33)</f>
        <v>1923.33</v>
      </c>
      <c r="U67" s="252">
        <f t="shared" ca="1" si="43"/>
        <v>76.933199999999999</v>
      </c>
      <c r="V67" s="248">
        <f ca="1">IFERROR(__xludf.DUMMYFUNCTION("IMPORTRANGE(""https://docs.google.com/spreadsheets/d/1qU-W_9MCQD1pgIVXGEOjCFo9QqlmJywuebyGgaN92r8/edit?usp=sharing"",""ราชบุรี!I360"")"),215)</f>
        <v>215</v>
      </c>
      <c r="W67" s="248">
        <f ca="1">IFERROR(__xludf.DUMMYFUNCTION("IMPORTRANGE(""https://docs.google.com/spreadsheets/d/1qU-W_9MCQD1pgIVXGEOjCFo9QqlmJywuebyGgaN92r8/edit?usp=sharing"",""ราชบุรี!J360"")"),315)</f>
        <v>315</v>
      </c>
      <c r="X67" s="248">
        <f ca="1">IFERROR(__xludf.DUMMYFUNCTION("IMPORTRANGE(""https://docs.google.com/spreadsheets/d/1qU-W_9MCQD1pgIVXGEOjCFo9QqlmJywuebyGgaN92r8/edit?usp=sharing"",""ราชบุรี!J361"")"),3026.54)</f>
        <v>3026.54</v>
      </c>
      <c r="Y67" s="252">
        <f t="shared" ca="1" si="44"/>
        <v>146.51162790697674</v>
      </c>
      <c r="Z67" s="248">
        <f ca="1">IFERROR(__xludf.DUMMYFUNCTION("IMPORTRANGE(""https://docs.google.com/spreadsheets/d/1qU-W_9MCQD1pgIVXGEOjCFo9QqlmJywuebyGgaN92r8/edit?usp=sharing"",""ราชบุรี!I362"")"),215)</f>
        <v>215</v>
      </c>
      <c r="AA67" s="248">
        <f ca="1">IFERROR(__xludf.DUMMYFUNCTION("IMPORTRANGE(""https://docs.google.com/spreadsheets/d/1qU-W_9MCQD1pgIVXGEOjCFo9QqlmJywuebyGgaN92r8/edit?usp=sharing"",""ราชบุรี!J362"")"),238)</f>
        <v>238</v>
      </c>
      <c r="AB67" s="248">
        <f ca="1">IFERROR(__xludf.DUMMYFUNCTION("IMPORTRANGE(""https://docs.google.com/spreadsheets/d/1qU-W_9MCQD1pgIVXGEOjCFo9QqlmJywuebyGgaN92r8/edit?usp=sharing"",""ราชบุรี!J363"")"),2230.81)</f>
        <v>2230.81</v>
      </c>
      <c r="AC67" s="252">
        <f t="shared" ca="1" si="45"/>
        <v>110.69767441860465</v>
      </c>
      <c r="AD67" s="248">
        <f ca="1">IFERROR(__xludf.DUMMYFUNCTION("IMPORTRANGE(""https://docs.google.com/spreadsheets/d/1qU-W_9MCQD1pgIVXGEOjCFo9QqlmJywuebyGgaN92r8/edit?usp=sharing"",""ราชบุรี!I364"")"),365)</f>
        <v>365</v>
      </c>
      <c r="AE67" s="248">
        <f ca="1">IFERROR(__xludf.DUMMYFUNCTION("IMPORTRANGE(""https://docs.google.com/spreadsheets/d/1qU-W_9MCQD1pgIVXGEOjCFo9QqlmJywuebyGgaN92r8/edit?usp=sharing"",""ราชบุรี!J364"")"),354)</f>
        <v>354</v>
      </c>
      <c r="AF67" s="252">
        <f t="shared" ca="1" si="16"/>
        <v>96.986301369863014</v>
      </c>
      <c r="AG67" s="248">
        <f ca="1">IFERROR(__xludf.DUMMYFUNCTION("IMPORTRANGE(""https://docs.google.com/spreadsheets/d/1qU-W_9MCQD1pgIVXGEOjCFo9QqlmJywuebyGgaN92r8/edit?usp=sharing"",""ราชบุรี!I369"")"),1500)</f>
        <v>1500</v>
      </c>
      <c r="AH67" s="248">
        <f ca="1">IFERROR(__xludf.DUMMYFUNCTION("IMPORTRANGE(""https://docs.google.com/spreadsheets/d/1qU-W_9MCQD1pgIVXGEOjCFo9QqlmJywuebyGgaN92r8/edit?usp=sharing"",""ราชบุรี!J368"")"),121)</f>
        <v>121</v>
      </c>
      <c r="AI67" s="248">
        <f ca="1">IFERROR(__xludf.DUMMYFUNCTION("IMPORTRANGE(""https://docs.google.com/spreadsheets/d/1qU-W_9MCQD1pgIVXGEOjCFo9QqlmJywuebyGgaN92r8/edit?usp=sharing"",""ราชบุรี!J369"")"),1245.93)</f>
        <v>1245.93</v>
      </c>
      <c r="AJ67" s="252">
        <f t="shared" ca="1" si="46"/>
        <v>83.061999999999998</v>
      </c>
      <c r="AK67" s="248">
        <f ca="1">IFERROR(__xludf.DUMMYFUNCTION("IMPORTRANGE(""https://docs.google.com/spreadsheets/d/1qU-W_9MCQD1pgIVXGEOjCFo9QqlmJywuebyGgaN92r8/edit?usp=sharing"",""ราชบุรี!I370"")"),120)</f>
        <v>120</v>
      </c>
      <c r="AL67" s="248">
        <f ca="1">IFERROR(__xludf.DUMMYFUNCTION("IMPORTRANGE(""https://docs.google.com/spreadsheets/d/1qU-W_9MCQD1pgIVXGEOjCFo9QqlmJywuebyGgaN92r8/edit?usp=sharing"",""ราชบุรี!J370"")"),196)</f>
        <v>196</v>
      </c>
      <c r="AM67" s="248">
        <f ca="1">IFERROR(__xludf.DUMMYFUNCTION("IMPORTRANGE(""https://docs.google.com/spreadsheets/d/1qU-W_9MCQD1pgIVXGEOjCFo9QqlmJywuebyGgaN92r8/edit?usp=sharing"",""ราชบุรี!J371"")"),2329.14)</f>
        <v>2329.14</v>
      </c>
      <c r="AN67" s="252">
        <f t="shared" ca="1" si="47"/>
        <v>163.33333333333334</v>
      </c>
      <c r="AO67" s="248">
        <f ca="1">IFERROR(__xludf.DUMMYFUNCTION("IMPORTRANGE(""https://docs.google.com/spreadsheets/d/1qU-W_9MCQD1pgIVXGEOjCFo9QqlmJywuebyGgaN92r8/edit?usp=sharing"",""ราชบุรี!I372"")"),120)</f>
        <v>120</v>
      </c>
      <c r="AP67" s="248">
        <f ca="1">IFERROR(__xludf.DUMMYFUNCTION("IMPORTRANGE(""https://docs.google.com/spreadsheets/d/1qU-W_9MCQD1pgIVXGEOjCFo9QqlmJywuebyGgaN92r8/edit?usp=sharing"",""ราชบุรี!J372"")"),120)</f>
        <v>120</v>
      </c>
      <c r="AQ67" s="248">
        <f ca="1">IFERROR(__xludf.DUMMYFUNCTION("IMPORTRANGE(""https://docs.google.com/spreadsheets/d/1qU-W_9MCQD1pgIVXGEOjCFo9QqlmJywuebyGgaN92r8/edit?usp=sharing"",""ราชบุรี!J373"")"),1533.54)</f>
        <v>1533.54</v>
      </c>
      <c r="AR67" s="252">
        <f t="shared" ca="1" si="48"/>
        <v>100</v>
      </c>
      <c r="AS67" s="248">
        <f ca="1">IFERROR(__xludf.DUMMYFUNCTION("IMPORTRANGE(""https://docs.google.com/spreadsheets/d/1qU-W_9MCQD1pgIVXGEOjCFo9QqlmJywuebyGgaN92r8/edit?usp=sharing"",""ราชบุรี!I378"")"),1000)</f>
        <v>1000</v>
      </c>
      <c r="AT67" s="248">
        <f ca="1">IFERROR(__xludf.DUMMYFUNCTION("IMPORTRANGE(""https://docs.google.com/spreadsheets/d/1qU-W_9MCQD1pgIVXGEOjCFo9QqlmJywuebyGgaN92r8/edit?usp=sharing"",""ราชบุรี!J377"")"),117)</f>
        <v>117</v>
      </c>
      <c r="AU67" s="248">
        <f ca="1">IFERROR(__xludf.DUMMYFUNCTION("IMPORTRANGE(""https://docs.google.com/spreadsheets/d/1qU-W_9MCQD1pgIVXGEOjCFo9QqlmJywuebyGgaN92r8/edit?usp=sharing"",""ราชบุรี!J378"")"),677.4)</f>
        <v>677.4</v>
      </c>
      <c r="AV67" s="252">
        <f t="shared" ca="1" si="49"/>
        <v>67.739999999999995</v>
      </c>
      <c r="AW67" s="248">
        <f ca="1">IFERROR(__xludf.DUMMYFUNCTION("IMPORTRANGE(""https://docs.google.com/spreadsheets/d/1qU-W_9MCQD1pgIVXGEOjCFo9QqlmJywuebyGgaN92r8/edit?usp=sharing"",""ราชบุรี!I379"")"),245)</f>
        <v>245</v>
      </c>
      <c r="AX67" s="248">
        <f ca="1">IFERROR(__xludf.DUMMYFUNCTION("IMPORTRANGE(""https://docs.google.com/spreadsheets/d/1qU-W_9MCQD1pgIVXGEOjCFo9QqlmJywuebyGgaN92r8/edit?usp=sharing"",""ราชบุรี!J379"")"),235)</f>
        <v>235</v>
      </c>
      <c r="AY67" s="248">
        <f ca="1">IFERROR(__xludf.DUMMYFUNCTION("IMPORTRANGE(""https://docs.google.com/spreadsheets/d/1qU-W_9MCQD1pgIVXGEOjCFo9QqlmJywuebyGgaN92r8/edit?usp=sharing"",""ราชบุรี!J380"")"),2088.62)</f>
        <v>2088.62</v>
      </c>
      <c r="AZ67" s="252">
        <f t="shared" ca="1" si="50"/>
        <v>95.91836734693878</v>
      </c>
      <c r="BA67" s="248">
        <f ca="1">IFERROR(__xludf.DUMMYFUNCTION("IMPORTRANGE(""https://docs.google.com/spreadsheets/d/1qU-W_9MCQD1pgIVXGEOjCFo9QqlmJywuebyGgaN92r8/edit?usp=sharing"",""ราชบุรี!I381"")"),245)</f>
        <v>245</v>
      </c>
      <c r="BB67" s="248">
        <f ca="1">IFERROR(__xludf.DUMMYFUNCTION("IMPORTRANGE(""https://docs.google.com/spreadsheets/d/1qU-W_9MCQD1pgIVXGEOjCFo9QqlmJywuebyGgaN92r8/edit?usp=sharing"",""ราชบุรี!J381"")"),234)</f>
        <v>234</v>
      </c>
      <c r="BC67" s="248">
        <f ca="1">IFERROR(__xludf.DUMMYFUNCTION("IMPORTRANGE(""https://docs.google.com/spreadsheets/d/1qU-W_9MCQD1pgIVXGEOjCFo9QqlmJywuebyGgaN92r8/edit?usp=sharing"",""ราชบุรี!J382"")"),2082.55)</f>
        <v>2082.5500000000002</v>
      </c>
      <c r="BD67" s="252">
        <f t="shared" ca="1" si="51"/>
        <v>95.510204081632651</v>
      </c>
    </row>
    <row r="68" spans="1:56" ht="24" customHeight="1" x14ac:dyDescent="0.3">
      <c r="A68" s="243">
        <v>16</v>
      </c>
      <c r="B68" s="244" t="s">
        <v>90</v>
      </c>
      <c r="C68" s="245">
        <f t="shared" ca="1" si="0"/>
        <v>773600</v>
      </c>
      <c r="D68" s="246">
        <f t="shared" ca="1" si="88"/>
        <v>720800</v>
      </c>
      <c r="E68" s="247">
        <f ca="1">IFERROR(__xludf.DUMMYFUNCTION("IMPORTRANGE(""https://docs.google.com/spreadsheets/d/1MeEWN-I1oV_STSDYn1IFDPWt_1FKiwhDph83XaGc0o0/edit?usp=sharing"",""งบพรบ!EX68"")"),175200)</f>
        <v>175200</v>
      </c>
      <c r="F68" s="247">
        <f ca="1">IFERROR(__xludf.DUMMYFUNCTION("IMPORTRANGE(""https://docs.google.com/spreadsheets/d/1MeEWN-I1oV_STSDYn1IFDPWt_1FKiwhDph83XaGc0o0/edit?usp=sharing"",""งบพรบ!EY68"")"),545600)</f>
        <v>545600</v>
      </c>
      <c r="G68" s="247">
        <f ca="1">IFERROR(__xludf.DUMMYFUNCTION("IMPORTRANGE(""https://docs.google.com/spreadsheets/d/1MeEWN-I1oV_STSDYn1IFDPWt_1FKiwhDph83XaGc0o0/edit?usp=sharing"",""งบพรบ!EZ68"")"),52800)</f>
        <v>52800</v>
      </c>
      <c r="H68" s="247">
        <f ca="1">IFERROR(__xludf.DUMMYFUNCTION("IMPORTRANGE(""https://docs.google.com/spreadsheets/d/1MeEWN-I1oV_STSDYn1IFDPWt_1FKiwhDph83XaGc0o0/edit?usp=sharing"",""งบพรบ!FB68"")"),805800)</f>
        <v>805800</v>
      </c>
      <c r="I68" s="247">
        <f ca="1">IFERROR(__xludf.DUMMYFUNCTION("IMPORTRANGE(""https://docs.google.com/spreadsheets/d/1MeEWN-I1oV_STSDYn1IFDPWt_1FKiwhDph83XaGc0o0/edit?usp=sharing"",""งบพรบ!FC68"")"),52800)</f>
        <v>52800</v>
      </c>
      <c r="J68" s="247">
        <f t="shared" ca="1" si="3"/>
        <v>655385</v>
      </c>
      <c r="K68" s="253">
        <f t="shared" ca="1" si="4"/>
        <v>84.718846949327812</v>
      </c>
      <c r="L68" s="247">
        <f ca="1">IFERROR(__xludf.DUMMYFUNCTION("IMPORTRANGE(""https://docs.google.com/spreadsheets/d/1MeEWN-I1oV_STSDYn1IFDPWt_1FKiwhDph83XaGc0o0/edit?usp=sharing"",""งบพรบ!FD68"")"),602585)</f>
        <v>602585</v>
      </c>
      <c r="M68" s="250">
        <f t="shared" ca="1" si="5"/>
        <v>83.59947280799112</v>
      </c>
      <c r="N68" s="250">
        <f t="shared" ca="1" si="6"/>
        <v>74.780963018118641</v>
      </c>
      <c r="O68" s="251">
        <f ca="1">IFERROR(__xludf.DUMMYFUNCTION("IMPORTRANGE(""https://docs.google.com/spreadsheets/d/1MeEWN-I1oV_STSDYn1IFDPWt_1FKiwhDph83XaGc0o0/edit?usp=sharing"",""งบพรบ!FE68"")"),52800)</f>
        <v>52800</v>
      </c>
      <c r="P68" s="250">
        <f t="shared" ca="1" si="53"/>
        <v>100</v>
      </c>
      <c r="Q68" s="250">
        <f t="shared" ca="1" si="8"/>
        <v>100</v>
      </c>
      <c r="R68" s="248">
        <f ca="1">IFERROR(__xludf.DUMMYFUNCTION("IMPORTRANGE(""https://docs.google.com/spreadsheets/d/1xYFIxIM_CspAP5Q-5Zx_V0T_Ut3cjryrjd2hss28vGk/edit?usp=sharing"",""ลพบุรี!I359"")"),4000)</f>
        <v>4000</v>
      </c>
      <c r="S68" s="248">
        <f ca="1">IFERROR(__xludf.DUMMYFUNCTION("IMPORTRANGE(""https://docs.google.com/spreadsheets/d/1xYFIxIM_CspAP5Q-5Zx_V0T_Ut3cjryrjd2hss28vGk/edit?usp=sharing"",""ลพบุรี!J358"")"),375)</f>
        <v>375</v>
      </c>
      <c r="T68" s="248">
        <f ca="1">IFERROR(__xludf.DUMMYFUNCTION("IMPORTRANGE(""https://docs.google.com/spreadsheets/d/1xYFIxIM_CspAP5Q-5Zx_V0T_Ut3cjryrjd2hss28vGk/edit?usp=sharing"",""ลพบุรี!J359"")"),4178.30999999999)</f>
        <v>4178.3099999999904</v>
      </c>
      <c r="U68" s="252">
        <f t="shared" ca="1" si="43"/>
        <v>104.45774999999976</v>
      </c>
      <c r="V68" s="248">
        <f ca="1">IFERROR(__xludf.DUMMYFUNCTION("IMPORTRANGE(""https://docs.google.com/spreadsheets/d/1xYFIxIM_CspAP5Q-5Zx_V0T_Ut3cjryrjd2hss28vGk/edit?usp=sharing"",""ลพบุรี!I360"")"),370)</f>
        <v>370</v>
      </c>
      <c r="W68" s="248">
        <f ca="1">IFERROR(__xludf.DUMMYFUNCTION("IMPORTRANGE(""https://docs.google.com/spreadsheets/d/1xYFIxIM_CspAP5Q-5Zx_V0T_Ut3cjryrjd2hss28vGk/edit?usp=sharing"",""ลพบุรี!J360"")"),322)</f>
        <v>322</v>
      </c>
      <c r="X68" s="248">
        <f ca="1">IFERROR(__xludf.DUMMYFUNCTION("IMPORTRANGE(""https://docs.google.com/spreadsheets/d/1xYFIxIM_CspAP5Q-5Zx_V0T_Ut3cjryrjd2hss28vGk/edit?usp=sharing"",""ลพบุรี!J361"")"),3672.28)</f>
        <v>3672.28</v>
      </c>
      <c r="Y68" s="252">
        <f t="shared" ca="1" si="44"/>
        <v>87.027027027027032</v>
      </c>
      <c r="Z68" s="248">
        <f ca="1">IFERROR(__xludf.DUMMYFUNCTION("IMPORTRANGE(""https://docs.google.com/spreadsheets/d/1xYFIxIM_CspAP5Q-5Zx_V0T_Ut3cjryrjd2hss28vGk/edit?usp=sharing"",""ลพบุรี!I362"")"),370)</f>
        <v>370</v>
      </c>
      <c r="AA68" s="248">
        <f ca="1">IFERROR(__xludf.DUMMYFUNCTION("IMPORTRANGE(""https://docs.google.com/spreadsheets/d/1xYFIxIM_CspAP5Q-5Zx_V0T_Ut3cjryrjd2hss28vGk/edit?usp=sharing"",""ลพบุรี!J362"")"),234)</f>
        <v>234</v>
      </c>
      <c r="AB68" s="248">
        <f ca="1">IFERROR(__xludf.DUMMYFUNCTION("IMPORTRANGE(""https://docs.google.com/spreadsheets/d/1xYFIxIM_CspAP5Q-5Zx_V0T_Ut3cjryrjd2hss28vGk/edit?usp=sharing"",""ลพบุรี!J363"")"),2813.15)</f>
        <v>2813.15</v>
      </c>
      <c r="AC68" s="252">
        <f t="shared" ca="1" si="45"/>
        <v>63.243243243243242</v>
      </c>
      <c r="AD68" s="248">
        <f ca="1">IFERROR(__xludf.DUMMYFUNCTION("IMPORTRANGE(""https://docs.google.com/spreadsheets/d/1xYFIxIM_CspAP5Q-5Zx_V0T_Ut3cjryrjd2hss28vGk/edit?usp=sharing"",""ลพบุรี!I364"")"),500)</f>
        <v>500</v>
      </c>
      <c r="AE68" s="248">
        <f ca="1">IFERROR(__xludf.DUMMYFUNCTION("IMPORTRANGE(""https://docs.google.com/spreadsheets/d/1xYFIxIM_CspAP5Q-5Zx_V0T_Ut3cjryrjd2hss28vGk/edit?usp=sharing"",""ลพบุรี!J364"")"),539)</f>
        <v>539</v>
      </c>
      <c r="AF68" s="252">
        <f t="shared" ca="1" si="16"/>
        <v>107.8</v>
      </c>
      <c r="AG68" s="248">
        <f ca="1">IFERROR(__xludf.DUMMYFUNCTION("IMPORTRANGE(""https://docs.google.com/spreadsheets/d/1xYFIxIM_CspAP5Q-5Zx_V0T_Ut3cjryrjd2hss28vGk/edit?usp=sharing"",""ลพบุรี!I369"")"),500)</f>
        <v>500</v>
      </c>
      <c r="AH68" s="248">
        <f ca="1">IFERROR(__xludf.DUMMYFUNCTION("IMPORTRANGE(""https://docs.google.com/spreadsheets/d/1xYFIxIM_CspAP5Q-5Zx_V0T_Ut3cjryrjd2hss28vGk/edit?usp=sharing"",""ลพบุรี!J368"")"),60)</f>
        <v>60</v>
      </c>
      <c r="AI68" s="248">
        <f ca="1">IFERROR(__xludf.DUMMYFUNCTION("IMPORTRANGE(""https://docs.google.com/spreadsheets/d/1xYFIxIM_CspAP5Q-5Zx_V0T_Ut3cjryrjd2hss28vGk/edit?usp=sharing"",""ลพบุรี!J369"")"),774.38)</f>
        <v>774.38</v>
      </c>
      <c r="AJ68" s="252">
        <f t="shared" ca="1" si="46"/>
        <v>154.876</v>
      </c>
      <c r="AK68" s="248">
        <f ca="1">IFERROR(__xludf.DUMMYFUNCTION("IMPORTRANGE(""https://docs.google.com/spreadsheets/d/1xYFIxIM_CspAP5Q-5Zx_V0T_Ut3cjryrjd2hss28vGk/edit?usp=sharing"",""ลพบุรี!I370"")"),20)</f>
        <v>20</v>
      </c>
      <c r="AL68" s="248">
        <f ca="1">IFERROR(__xludf.DUMMYFUNCTION("IMPORTRANGE(""https://docs.google.com/spreadsheets/d/1xYFIxIM_CspAP5Q-5Zx_V0T_Ut3cjryrjd2hss28vGk/edit?usp=sharing"",""ลพบุรี!J370"")"),43)</f>
        <v>43</v>
      </c>
      <c r="AM68" s="248">
        <f ca="1">IFERROR(__xludf.DUMMYFUNCTION("IMPORTRANGE(""https://docs.google.com/spreadsheets/d/1xYFIxIM_CspAP5Q-5Zx_V0T_Ut3cjryrjd2hss28vGk/edit?usp=sharing"",""ลพบุรี!J371"")"),764.44)</f>
        <v>764.44</v>
      </c>
      <c r="AN68" s="252">
        <f t="shared" ca="1" si="47"/>
        <v>215</v>
      </c>
      <c r="AO68" s="248">
        <f ca="1">IFERROR(__xludf.DUMMYFUNCTION("IMPORTRANGE(""https://docs.google.com/spreadsheets/d/1xYFIxIM_CspAP5Q-5Zx_V0T_Ut3cjryrjd2hss28vGk/edit?usp=sharing"",""ลพบุรี!I372"")"),20)</f>
        <v>20</v>
      </c>
      <c r="AP68" s="248">
        <f ca="1">IFERROR(__xludf.DUMMYFUNCTION("IMPORTRANGE(""https://docs.google.com/spreadsheets/d/1xYFIxIM_CspAP5Q-5Zx_V0T_Ut3cjryrjd2hss28vGk/edit?usp=sharing"",""ลพบุรี!J372"")"),39)</f>
        <v>39</v>
      </c>
      <c r="AQ68" s="248">
        <f ca="1">IFERROR(__xludf.DUMMYFUNCTION("IMPORTRANGE(""https://docs.google.com/spreadsheets/d/1xYFIxIM_CspAP5Q-5Zx_V0T_Ut3cjryrjd2hss28vGk/edit?usp=sharing"",""ลพบุรี!J373"")"),622.33)</f>
        <v>622.33000000000004</v>
      </c>
      <c r="AR68" s="252">
        <f t="shared" ca="1" si="48"/>
        <v>195</v>
      </c>
      <c r="AS68" s="248">
        <f ca="1">IFERROR(__xludf.DUMMYFUNCTION("IMPORTRANGE(""https://docs.google.com/spreadsheets/d/1xYFIxIM_CspAP5Q-5Zx_V0T_Ut3cjryrjd2hss28vGk/edit?usp=sharing"",""ลพบุรี!I378"")"),3500)</f>
        <v>3500</v>
      </c>
      <c r="AT68" s="248">
        <f ca="1">IFERROR(__xludf.DUMMYFUNCTION("IMPORTRANGE(""https://docs.google.com/spreadsheets/d/1xYFIxIM_CspAP5Q-5Zx_V0T_Ut3cjryrjd2hss28vGk/edit?usp=sharing"",""ลพบุรี!J377"")"),315)</f>
        <v>315</v>
      </c>
      <c r="AU68" s="248">
        <f ca="1">IFERROR(__xludf.DUMMYFUNCTION("IMPORTRANGE(""https://docs.google.com/spreadsheets/d/1xYFIxIM_CspAP5Q-5Zx_V0T_Ut3cjryrjd2hss28vGk/edit?usp=sharing"",""ลพบุรี!J378"")"),3403.93)</f>
        <v>3403.93</v>
      </c>
      <c r="AV68" s="252">
        <f t="shared" ca="1" si="49"/>
        <v>97.255142857142857</v>
      </c>
      <c r="AW68" s="248">
        <f ca="1">IFERROR(__xludf.DUMMYFUNCTION("IMPORTRANGE(""https://docs.google.com/spreadsheets/d/1xYFIxIM_CspAP5Q-5Zx_V0T_Ut3cjryrjd2hss28vGk/edit?usp=sharing"",""ลพบุรี!I379"")"),480)</f>
        <v>480</v>
      </c>
      <c r="AX68" s="248">
        <f ca="1">IFERROR(__xludf.DUMMYFUNCTION("IMPORTRANGE(""https://docs.google.com/spreadsheets/d/1xYFIxIM_CspAP5Q-5Zx_V0T_Ut3cjryrjd2hss28vGk/edit?usp=sharing"",""ลพบุรี!J379"")"),585)</f>
        <v>585</v>
      </c>
      <c r="AY68" s="248">
        <f ca="1">IFERROR(__xludf.DUMMYFUNCTION("IMPORTRANGE(""https://docs.google.com/spreadsheets/d/1xYFIxIM_CspAP5Q-5Zx_V0T_Ut3cjryrjd2hss28vGk/edit?usp=sharing"",""ลพบุรี!J380"")"),7968.14)</f>
        <v>7968.14</v>
      </c>
      <c r="AZ68" s="252">
        <f t="shared" ca="1" si="50"/>
        <v>121.875</v>
      </c>
      <c r="BA68" s="248">
        <f ca="1">IFERROR(__xludf.DUMMYFUNCTION("IMPORTRANGE(""https://docs.google.com/spreadsheets/d/1xYFIxIM_CspAP5Q-5Zx_V0T_Ut3cjryrjd2hss28vGk/edit?usp=sharing"",""ลพบุรี!I381"")"),480)</f>
        <v>480</v>
      </c>
      <c r="BB68" s="248">
        <f ca="1">IFERROR(__xludf.DUMMYFUNCTION("IMPORTRANGE(""https://docs.google.com/spreadsheets/d/1xYFIxIM_CspAP5Q-5Zx_V0T_Ut3cjryrjd2hss28vGk/edit?usp=sharing"",""ลพบุรี!J381"")"),500)</f>
        <v>500</v>
      </c>
      <c r="BC68" s="248">
        <f ca="1">IFERROR(__xludf.DUMMYFUNCTION("IMPORTRANGE(""https://docs.google.com/spreadsheets/d/1xYFIxIM_CspAP5Q-5Zx_V0T_Ut3cjryrjd2hss28vGk/edit?usp=sharing"",""ลพบุรี!J382"")"),7241.35)</f>
        <v>7241.35</v>
      </c>
      <c r="BD68" s="252">
        <f t="shared" ca="1" si="51"/>
        <v>104.16666666666667</v>
      </c>
    </row>
    <row r="69" spans="1:56" ht="21" customHeight="1" x14ac:dyDescent="0.3">
      <c r="A69" s="243">
        <v>17</v>
      </c>
      <c r="B69" s="244" t="s">
        <v>91</v>
      </c>
      <c r="C69" s="245">
        <f t="shared" ca="1" si="0"/>
        <v>1533320</v>
      </c>
      <c r="D69" s="246">
        <f t="shared" ca="1" si="88"/>
        <v>1435520</v>
      </c>
      <c r="E69" s="247">
        <f ca="1">IFERROR(__xludf.DUMMYFUNCTION("IMPORTRANGE(""https://docs.google.com/spreadsheets/d/1MeEWN-I1oV_STSDYn1IFDPWt_1FKiwhDph83XaGc0o0/edit?usp=sharing"",""งบพรบ!EX69"")"),403200)</f>
        <v>403200</v>
      </c>
      <c r="F69" s="247">
        <f ca="1">IFERROR(__xludf.DUMMYFUNCTION("IMPORTRANGE(""https://docs.google.com/spreadsheets/d/1MeEWN-I1oV_STSDYn1IFDPWt_1FKiwhDph83XaGc0o0/edit?usp=sharing"",""งบพรบ!EY69"")"),1032320)</f>
        <v>1032320</v>
      </c>
      <c r="G69" s="247">
        <f ca="1">IFERROR(__xludf.DUMMYFUNCTION("IMPORTRANGE(""https://docs.google.com/spreadsheets/d/1MeEWN-I1oV_STSDYn1IFDPWt_1FKiwhDph83XaGc0o0/edit?usp=sharing"",""งบพรบ!EZ69"")"),97800)</f>
        <v>97800</v>
      </c>
      <c r="H69" s="247">
        <f ca="1">IFERROR(__xludf.DUMMYFUNCTION("IMPORTRANGE(""https://docs.google.com/spreadsheets/d/1MeEWN-I1oV_STSDYn1IFDPWt_1FKiwhDph83XaGc0o0/edit?usp=sharing"",""งบพรบ!FB69"")"),1372620)</f>
        <v>1372620</v>
      </c>
      <c r="I69" s="247">
        <f ca="1">IFERROR(__xludf.DUMMYFUNCTION("IMPORTRANGE(""https://docs.google.com/spreadsheets/d/1MeEWN-I1oV_STSDYn1IFDPWt_1FKiwhDph83XaGc0o0/edit?usp=sharing"",""งบพรบ!FC69"")"),97800)</f>
        <v>97800</v>
      </c>
      <c r="J69" s="247">
        <f t="shared" ca="1" si="3"/>
        <v>1334655.1200000001</v>
      </c>
      <c r="K69" s="253">
        <f t="shared" ca="1" si="4"/>
        <v>87.043482117235811</v>
      </c>
      <c r="L69" s="247">
        <f ca="1">IFERROR(__xludf.DUMMYFUNCTION("IMPORTRANGE(""https://docs.google.com/spreadsheets/d/1MeEWN-I1oV_STSDYn1IFDPWt_1FKiwhDph83XaGc0o0/edit?usp=sharing"",""งบพรบ!FD69"")"),1236855.12)</f>
        <v>1236855.1200000001</v>
      </c>
      <c r="M69" s="250">
        <f t="shared" ca="1" si="5"/>
        <v>86.160772403031658</v>
      </c>
      <c r="N69" s="250">
        <f t="shared" ca="1" si="6"/>
        <v>90.109070245224473</v>
      </c>
      <c r="O69" s="251">
        <f ca="1">IFERROR(__xludf.DUMMYFUNCTION("IMPORTRANGE(""https://docs.google.com/spreadsheets/d/1MeEWN-I1oV_STSDYn1IFDPWt_1FKiwhDph83XaGc0o0/edit?usp=sharing"",""งบพรบ!FE69"")"),97800)</f>
        <v>97800</v>
      </c>
      <c r="P69" s="250">
        <f t="shared" ca="1" si="53"/>
        <v>100</v>
      </c>
      <c r="Q69" s="250">
        <f t="shared" ca="1" si="8"/>
        <v>100</v>
      </c>
      <c r="R69" s="248">
        <f ca="1">IFERROR(__xludf.DUMMYFUNCTION("IMPORTRANGE(""https://docs.google.com/spreadsheets/d/11s9m3tKsCBdPWq6syhZm27eBGbKneDLZc75co106bio/edit?usp=sharing"",""สระแก้ว!I359"")"),6500)</f>
        <v>6500</v>
      </c>
      <c r="S69" s="248">
        <f ca="1">IFERROR(__xludf.DUMMYFUNCTION("IMPORTRANGE(""https://docs.google.com/spreadsheets/d/11s9m3tKsCBdPWq6syhZm27eBGbKneDLZc75co106bio/edit?usp=sharing"",""สระแก้ว!J358"")"),455)</f>
        <v>455</v>
      </c>
      <c r="T69" s="248">
        <f ca="1">IFERROR(__xludf.DUMMYFUNCTION("IMPORTRANGE(""https://docs.google.com/spreadsheets/d/11s9m3tKsCBdPWq6syhZm27eBGbKneDLZc75co106bio/edit?usp=sharing"",""สระแก้ว!J359"")"),6940.52)</f>
        <v>6940.52</v>
      </c>
      <c r="U69" s="252">
        <f t="shared" ca="1" si="43"/>
        <v>106.77723076923077</v>
      </c>
      <c r="V69" s="248">
        <f ca="1">IFERROR(__xludf.DUMMYFUNCTION("IMPORTRANGE(""https://docs.google.com/spreadsheets/d/11s9m3tKsCBdPWq6syhZm27eBGbKneDLZc75co106bio/edit?usp=sharing"",""สระแก้ว!I360"")"),438)</f>
        <v>438</v>
      </c>
      <c r="W69" s="248">
        <f ca="1">IFERROR(__xludf.DUMMYFUNCTION("IMPORTRANGE(""https://docs.google.com/spreadsheets/d/11s9m3tKsCBdPWq6syhZm27eBGbKneDLZc75co106bio/edit?usp=sharing"",""สระแก้ว!J360"")"),543)</f>
        <v>543</v>
      </c>
      <c r="X69" s="248">
        <f ca="1">IFERROR(__xludf.DUMMYFUNCTION("IMPORTRANGE(""https://docs.google.com/spreadsheets/d/11s9m3tKsCBdPWq6syhZm27eBGbKneDLZc75co106bio/edit?usp=sharing"",""สระแก้ว!J361"")"),8222.3)</f>
        <v>8222.2999999999993</v>
      </c>
      <c r="Y69" s="252">
        <f t="shared" ca="1" si="44"/>
        <v>123.97260273972603</v>
      </c>
      <c r="Z69" s="248">
        <f ca="1">IFERROR(__xludf.DUMMYFUNCTION("IMPORTRANGE(""https://docs.google.com/spreadsheets/d/11s9m3tKsCBdPWq6syhZm27eBGbKneDLZc75co106bio/edit?usp=sharing"",""สระแก้ว!I362"")"),438)</f>
        <v>438</v>
      </c>
      <c r="AA69" s="248">
        <f ca="1">IFERROR(__xludf.DUMMYFUNCTION("IMPORTRANGE(""https://docs.google.com/spreadsheets/d/11s9m3tKsCBdPWq6syhZm27eBGbKneDLZc75co106bio/edit?usp=sharing"",""สระแก้ว!J362"")"),326)</f>
        <v>326</v>
      </c>
      <c r="AB69" s="248">
        <f ca="1">IFERROR(__xludf.DUMMYFUNCTION("IMPORTRANGE(""https://docs.google.com/spreadsheets/d/11s9m3tKsCBdPWq6syhZm27eBGbKneDLZc75co106bio/edit?usp=sharing"",""สระแก้ว!J363"")"),5457.5)</f>
        <v>5457.5</v>
      </c>
      <c r="AC69" s="252">
        <f t="shared" ca="1" si="45"/>
        <v>74.429223744292244</v>
      </c>
      <c r="AD69" s="248">
        <f ca="1">IFERROR(__xludf.DUMMYFUNCTION("IMPORTRANGE(""https://docs.google.com/spreadsheets/d/11s9m3tKsCBdPWq6syhZm27eBGbKneDLZc75co106bio/edit?usp=sharing"",""สระแก้ว!I364"")"),638)</f>
        <v>638</v>
      </c>
      <c r="AE69" s="248">
        <f ca="1">IFERROR(__xludf.DUMMYFUNCTION("IMPORTRANGE(""https://docs.google.com/spreadsheets/d/11s9m3tKsCBdPWq6syhZm27eBGbKneDLZc75co106bio/edit?usp=sharing"",""สระแก้ว!J364"")"),834)</f>
        <v>834</v>
      </c>
      <c r="AF69" s="252">
        <f t="shared" ca="1" si="16"/>
        <v>130.72100313479623</v>
      </c>
      <c r="AG69" s="248">
        <f ca="1">IFERROR(__xludf.DUMMYFUNCTION("IMPORTRANGE(""https://docs.google.com/spreadsheets/d/11s9m3tKsCBdPWq6syhZm27eBGbKneDLZc75co106bio/edit?usp=sharing"",""สระแก้ว!I369"")"),2300)</f>
        <v>2300</v>
      </c>
      <c r="AH69" s="248">
        <f ca="1">IFERROR(__xludf.DUMMYFUNCTION("IMPORTRANGE(""https://docs.google.com/spreadsheets/d/11s9m3tKsCBdPWq6syhZm27eBGbKneDLZc75co106bio/edit?usp=sharing"",""สระแก้ว!J368"")"),92)</f>
        <v>92</v>
      </c>
      <c r="AI69" s="248">
        <f ca="1">IFERROR(__xludf.DUMMYFUNCTION("IMPORTRANGE(""https://docs.google.com/spreadsheets/d/11s9m3tKsCBdPWq6syhZm27eBGbKneDLZc75co106bio/edit?usp=sharing"",""สระแก้ว!J369"")"),2857.91)</f>
        <v>2857.91</v>
      </c>
      <c r="AJ69" s="252">
        <f t="shared" ca="1" si="46"/>
        <v>124.25695652173913</v>
      </c>
      <c r="AK69" s="248">
        <f ca="1">IFERROR(__xludf.DUMMYFUNCTION("IMPORTRANGE(""https://docs.google.com/spreadsheets/d/11s9m3tKsCBdPWq6syhZm27eBGbKneDLZc75co106bio/edit?usp=sharing"",""สระแก้ว!I370"")"),170)</f>
        <v>170</v>
      </c>
      <c r="AL69" s="248">
        <f ca="1">IFERROR(__xludf.DUMMYFUNCTION("IMPORTRANGE(""https://docs.google.com/spreadsheets/d/11s9m3tKsCBdPWq6syhZm27eBGbKneDLZc75co106bio/edit?usp=sharing"",""สระแก้ว!J370"")"),179)</f>
        <v>179</v>
      </c>
      <c r="AM69" s="248">
        <f ca="1">IFERROR(__xludf.DUMMYFUNCTION("IMPORTRANGE(""https://docs.google.com/spreadsheets/d/11s9m3tKsCBdPWq6syhZm27eBGbKneDLZc75co106bio/edit?usp=sharing"",""สระแก้ว!J371"")"),4111.36)</f>
        <v>4111.3599999999997</v>
      </c>
      <c r="AN69" s="252">
        <f t="shared" ca="1" si="47"/>
        <v>105.29411764705883</v>
      </c>
      <c r="AO69" s="248">
        <f ca="1">IFERROR(__xludf.DUMMYFUNCTION("IMPORTRANGE(""https://docs.google.com/spreadsheets/d/11s9m3tKsCBdPWq6syhZm27eBGbKneDLZc75co106bio/edit?usp=sharing"",""สระแก้ว!I372"")"),170)</f>
        <v>170</v>
      </c>
      <c r="AP69" s="248">
        <f ca="1">IFERROR(__xludf.DUMMYFUNCTION("IMPORTRANGE(""https://docs.google.com/spreadsheets/d/11s9m3tKsCBdPWq6syhZm27eBGbKneDLZc75co106bio/edit?usp=sharing"",""สระแก้ว!J372"")"),157)</f>
        <v>157</v>
      </c>
      <c r="AQ69" s="248">
        <f ca="1">IFERROR(__xludf.DUMMYFUNCTION("IMPORTRANGE(""https://docs.google.com/spreadsheets/d/11s9m3tKsCBdPWq6syhZm27eBGbKneDLZc75co106bio/edit?usp=sharing"",""สระแก้ว!J373"")"),3511.91)</f>
        <v>3511.91</v>
      </c>
      <c r="AR69" s="252">
        <f t="shared" ca="1" si="48"/>
        <v>92.352941176470594</v>
      </c>
      <c r="AS69" s="248">
        <f ca="1">IFERROR(__xludf.DUMMYFUNCTION("IMPORTRANGE(""https://docs.google.com/spreadsheets/d/11s9m3tKsCBdPWq6syhZm27eBGbKneDLZc75co106bio/edit?usp=sharing"",""สระแก้ว!I378"")"),4200)</f>
        <v>4200</v>
      </c>
      <c r="AT69" s="248">
        <f ca="1">IFERROR(__xludf.DUMMYFUNCTION("IMPORTRANGE(""https://docs.google.com/spreadsheets/d/11s9m3tKsCBdPWq6syhZm27eBGbKneDLZc75co106bio/edit?usp=sharing"",""สระแก้ว!J377"")"),363)</f>
        <v>363</v>
      </c>
      <c r="AU69" s="248">
        <f ca="1">IFERROR(__xludf.DUMMYFUNCTION("IMPORTRANGE(""https://docs.google.com/spreadsheets/d/11s9m3tKsCBdPWq6syhZm27eBGbKneDLZc75co106bio/edit?usp=sharing"",""สระแก้ว!J378"")"),4082.61)</f>
        <v>4082.61</v>
      </c>
      <c r="AV69" s="252">
        <f t="shared" ca="1" si="49"/>
        <v>97.204999999999998</v>
      </c>
      <c r="AW69" s="248">
        <f ca="1">IFERROR(__xludf.DUMMYFUNCTION("IMPORTRANGE(""https://docs.google.com/spreadsheets/d/11s9m3tKsCBdPWq6syhZm27eBGbKneDLZc75co106bio/edit?usp=sharing"",""สระแก้ว!I379"")"),468)</f>
        <v>468</v>
      </c>
      <c r="AX69" s="248">
        <f ca="1">IFERROR(__xludf.DUMMYFUNCTION("IMPORTRANGE(""https://docs.google.com/spreadsheets/d/11s9m3tKsCBdPWq6syhZm27eBGbKneDLZc75co106bio/edit?usp=sharing"",""สระแก้ว!J379"")"),874)</f>
        <v>874</v>
      </c>
      <c r="AY69" s="248">
        <f ca="1">IFERROR(__xludf.DUMMYFUNCTION("IMPORTRANGE(""https://docs.google.com/spreadsheets/d/11s9m3tKsCBdPWq6syhZm27eBGbKneDLZc75co106bio/edit?usp=sharing"",""สระแก้ว!J380"")"),13176.5799999999)</f>
        <v>13176.5799999999</v>
      </c>
      <c r="AZ69" s="252">
        <f t="shared" ca="1" si="50"/>
        <v>186.75213675213675</v>
      </c>
      <c r="BA69" s="248">
        <f ca="1">IFERROR(__xludf.DUMMYFUNCTION("IMPORTRANGE(""https://docs.google.com/spreadsheets/d/11s9m3tKsCBdPWq6syhZm27eBGbKneDLZc75co106bio/edit?usp=sharing"",""สระแก้ว!I381"")"),468)</f>
        <v>468</v>
      </c>
      <c r="BB69" s="248">
        <f ca="1">IFERROR(__xludf.DUMMYFUNCTION("IMPORTRANGE(""https://docs.google.com/spreadsheets/d/11s9m3tKsCBdPWq6syhZm27eBGbKneDLZc75co106bio/edit?usp=sharing"",""สระแก้ว!J381"")"),677)</f>
        <v>677</v>
      </c>
      <c r="BC69" s="248">
        <f ca="1">IFERROR(__xludf.DUMMYFUNCTION("IMPORTRANGE(""https://docs.google.com/spreadsheets/d/11s9m3tKsCBdPWq6syhZm27eBGbKneDLZc75co106bio/edit?usp=sharing"",""สระแก้ว!J382"")"),10988.51)</f>
        <v>10988.51</v>
      </c>
      <c r="BD69" s="252">
        <f t="shared" ca="1" si="51"/>
        <v>144.65811965811966</v>
      </c>
    </row>
    <row r="70" spans="1:56" ht="21" customHeight="1" x14ac:dyDescent="0.3">
      <c r="A70" s="243">
        <v>18</v>
      </c>
      <c r="B70" s="244" t="s">
        <v>92</v>
      </c>
      <c r="C70" s="245">
        <f t="shared" ca="1" si="0"/>
        <v>790000</v>
      </c>
      <c r="D70" s="246">
        <f t="shared" ca="1" si="88"/>
        <v>676200</v>
      </c>
      <c r="E70" s="247">
        <f ca="1">IFERROR(__xludf.DUMMYFUNCTION("IMPORTRANGE(""https://docs.google.com/spreadsheets/d/1MeEWN-I1oV_STSDYn1IFDPWt_1FKiwhDph83XaGc0o0/edit?usp=sharing"",""งบพรบ!EX70"")"),228000)</f>
        <v>228000</v>
      </c>
      <c r="F70" s="247">
        <f ca="1">IFERROR(__xludf.DUMMYFUNCTION("IMPORTRANGE(""https://docs.google.com/spreadsheets/d/1MeEWN-I1oV_STSDYn1IFDPWt_1FKiwhDph83XaGc0o0/edit?usp=sharing"",""งบพรบ!EY70"")"),448200)</f>
        <v>448200</v>
      </c>
      <c r="G70" s="247">
        <f ca="1">IFERROR(__xludf.DUMMYFUNCTION("IMPORTRANGE(""https://docs.google.com/spreadsheets/d/1MeEWN-I1oV_STSDYn1IFDPWt_1FKiwhDph83XaGc0o0/edit?usp=sharing"",""งบพรบ!EZ70"")"),113800)</f>
        <v>113800</v>
      </c>
      <c r="H70" s="247">
        <f ca="1">IFERROR(__xludf.DUMMYFUNCTION("IMPORTRANGE(""https://docs.google.com/spreadsheets/d/1MeEWN-I1oV_STSDYn1IFDPWt_1FKiwhDph83XaGc0o0/edit?usp=sharing"",""งบพรบ!FB70"")"),729280)</f>
        <v>729280</v>
      </c>
      <c r="I70" s="247">
        <f ca="1">IFERROR(__xludf.DUMMYFUNCTION("IMPORTRANGE(""https://docs.google.com/spreadsheets/d/1MeEWN-I1oV_STSDYn1IFDPWt_1FKiwhDph83XaGc0o0/edit?usp=sharing"",""งบพรบ!FC70"")"),113800)</f>
        <v>113800</v>
      </c>
      <c r="J70" s="247">
        <f t="shared" ca="1" si="3"/>
        <v>722250.87</v>
      </c>
      <c r="K70" s="253">
        <f t="shared" ca="1" si="4"/>
        <v>91.424160759493674</v>
      </c>
      <c r="L70" s="247">
        <f ca="1">IFERROR(__xludf.DUMMYFUNCTION("IMPORTRANGE(""https://docs.google.com/spreadsheets/d/1MeEWN-I1oV_STSDYn1IFDPWt_1FKiwhDph83XaGc0o0/edit?usp=sharing"",""งบพรบ!FD70"")"),608450.87)</f>
        <v>608450.87</v>
      </c>
      <c r="M70" s="250">
        <f t="shared" ca="1" si="5"/>
        <v>89.980903578822833</v>
      </c>
      <c r="N70" s="250">
        <f t="shared" ca="1" si="6"/>
        <v>83.431723069328655</v>
      </c>
      <c r="O70" s="251">
        <f ca="1">IFERROR(__xludf.DUMMYFUNCTION("IMPORTRANGE(""https://docs.google.com/spreadsheets/d/1MeEWN-I1oV_STSDYn1IFDPWt_1FKiwhDph83XaGc0o0/edit?usp=sharing"",""งบพรบ!FE70"")"),113800)</f>
        <v>113800</v>
      </c>
      <c r="P70" s="250">
        <f t="shared" ca="1" si="53"/>
        <v>100</v>
      </c>
      <c r="Q70" s="250">
        <f t="shared" ca="1" si="8"/>
        <v>100</v>
      </c>
      <c r="R70" s="248">
        <f ca="1">IFERROR(__xludf.DUMMYFUNCTION("IMPORTRANGE(""https://docs.google.com/spreadsheets/d/1Nn1EvsFPtXldgpgVb3Rcng2K2cls68LFQsBh2FyW0Bg/edit?usp=sharing"",""สระบุรี!I359"")"),2838)</f>
        <v>2838</v>
      </c>
      <c r="S70" s="248">
        <f ca="1">IFERROR(__xludf.DUMMYFUNCTION("IMPORTRANGE(""https://docs.google.com/spreadsheets/d/1Nn1EvsFPtXldgpgVb3Rcng2K2cls68LFQsBh2FyW0Bg/edit?usp=sharing"",""สระบุรี!J358"")"),172)</f>
        <v>172</v>
      </c>
      <c r="T70" s="248">
        <f ca="1">IFERROR(__xludf.DUMMYFUNCTION("IMPORTRANGE(""https://docs.google.com/spreadsheets/d/1Nn1EvsFPtXldgpgVb3Rcng2K2cls68LFQsBh2FyW0Bg/edit?usp=sharing"",""สระบุรี!J359"")"),1608)</f>
        <v>1608</v>
      </c>
      <c r="U70" s="252">
        <f t="shared" ca="1" si="43"/>
        <v>56.659619450317123</v>
      </c>
      <c r="V70" s="248">
        <f ca="1">IFERROR(__xludf.DUMMYFUNCTION("IMPORTRANGE(""https://docs.google.com/spreadsheets/d/1Nn1EvsFPtXldgpgVb3Rcng2K2cls68LFQsBh2FyW0Bg/edit?usp=sharing"",""สระบุรี!I360"")"),268)</f>
        <v>268</v>
      </c>
      <c r="W70" s="248">
        <f ca="1">IFERROR(__xludf.DUMMYFUNCTION("IMPORTRANGE(""https://docs.google.com/spreadsheets/d/1Nn1EvsFPtXldgpgVb3Rcng2K2cls68LFQsBh2FyW0Bg/edit?usp=sharing"",""สระบุรี!J360"")"),60)</f>
        <v>60</v>
      </c>
      <c r="X70" s="248">
        <f ca="1">IFERROR(__xludf.DUMMYFUNCTION("IMPORTRANGE(""https://docs.google.com/spreadsheets/d/1Nn1EvsFPtXldgpgVb3Rcng2K2cls68LFQsBh2FyW0Bg/edit?usp=sharing"",""สระบุรี!J361"")"),543.05)</f>
        <v>543.04999999999995</v>
      </c>
      <c r="Y70" s="252">
        <f t="shared" ca="1" si="44"/>
        <v>22.388059701492537</v>
      </c>
      <c r="Z70" s="248">
        <f ca="1">IFERROR(__xludf.DUMMYFUNCTION("IMPORTRANGE(""https://docs.google.com/spreadsheets/d/1Nn1EvsFPtXldgpgVb3Rcng2K2cls68LFQsBh2FyW0Bg/edit?usp=sharing"",""สระบุรี!I362"")"),268)</f>
        <v>268</v>
      </c>
      <c r="AA70" s="248">
        <f ca="1">IFERROR(__xludf.DUMMYFUNCTION("IMPORTRANGE(""https://docs.google.com/spreadsheets/d/1Nn1EvsFPtXldgpgVb3Rcng2K2cls68LFQsBh2FyW0Bg/edit?usp=sharing"",""สระบุรี!J362"")"),61)</f>
        <v>61</v>
      </c>
      <c r="AB70" s="248">
        <f ca="1">IFERROR(__xludf.DUMMYFUNCTION("IMPORTRANGE(""https://docs.google.com/spreadsheets/d/1Nn1EvsFPtXldgpgVb3Rcng2K2cls68LFQsBh2FyW0Bg/edit?usp=sharing"",""สระบุรี!J363"")"),551.78)</f>
        <v>551.78</v>
      </c>
      <c r="AC70" s="252">
        <f t="shared" ca="1" si="45"/>
        <v>22.761194029850746</v>
      </c>
      <c r="AD70" s="248">
        <f ca="1">IFERROR(__xludf.DUMMYFUNCTION("IMPORTRANGE(""https://docs.google.com/spreadsheets/d/1Nn1EvsFPtXldgpgVb3Rcng2K2cls68LFQsBh2FyW0Bg/edit?usp=sharing"",""สระบุรี!I364"")"),398)</f>
        <v>398</v>
      </c>
      <c r="AE70" s="248">
        <f ca="1">IFERROR(__xludf.DUMMYFUNCTION("IMPORTRANGE(""https://docs.google.com/spreadsheets/d/1Nn1EvsFPtXldgpgVb3Rcng2K2cls68LFQsBh2FyW0Bg/edit?usp=sharing"",""สระบุรี!J364"")"),244)</f>
        <v>244</v>
      </c>
      <c r="AF70" s="252">
        <f t="shared" ca="1" si="16"/>
        <v>61.306532663316581</v>
      </c>
      <c r="AG70" s="248">
        <f ca="1">IFERROR(__xludf.DUMMYFUNCTION("IMPORTRANGE(""https://docs.google.com/spreadsheets/d/1Nn1EvsFPtXldgpgVb3Rcng2K2cls68LFQsBh2FyW0Bg/edit?usp=sharing"",""สระบุรี!I369"")"),500)</f>
        <v>500</v>
      </c>
      <c r="AH70" s="248">
        <f ca="1">IFERROR(__xludf.DUMMYFUNCTION("IMPORTRANGE(""https://docs.google.com/spreadsheets/d/1Nn1EvsFPtXldgpgVb3Rcng2K2cls68LFQsBh2FyW0Bg/edit?usp=sharing"",""สระบุรี!J368"")"),95)</f>
        <v>95</v>
      </c>
      <c r="AI70" s="248">
        <f ca="1">IFERROR(__xludf.DUMMYFUNCTION("IMPORTRANGE(""https://docs.google.com/spreadsheets/d/1Nn1EvsFPtXldgpgVb3Rcng2K2cls68LFQsBh2FyW0Bg/edit?usp=sharing"",""สระบุรี!J369"")"),697)</f>
        <v>697</v>
      </c>
      <c r="AJ70" s="252">
        <f t="shared" ca="1" si="46"/>
        <v>139.4</v>
      </c>
      <c r="AK70" s="248">
        <f ca="1">IFERROR(__xludf.DUMMYFUNCTION("IMPORTRANGE(""https://docs.google.com/spreadsheets/d/1Nn1EvsFPtXldgpgVb3Rcng2K2cls68LFQsBh2FyW0Bg/edit?usp=sharing"",""สระบุรี!I370"")"),30)</f>
        <v>30</v>
      </c>
      <c r="AL70" s="248">
        <f ca="1">IFERROR(__xludf.DUMMYFUNCTION("IMPORTRANGE(""https://docs.google.com/spreadsheets/d/1Nn1EvsFPtXldgpgVb3Rcng2K2cls68LFQsBh2FyW0Bg/edit?usp=sharing"",""สระบุรี!J370"")"),59)</f>
        <v>59</v>
      </c>
      <c r="AM70" s="248">
        <f ca="1">IFERROR(__xludf.DUMMYFUNCTION("IMPORTRANGE(""https://docs.google.com/spreadsheets/d/1Nn1EvsFPtXldgpgVb3Rcng2K2cls68LFQsBh2FyW0Bg/edit?usp=sharing"",""สระบุรี!J371"")"),533.03)</f>
        <v>533.03</v>
      </c>
      <c r="AN70" s="252">
        <f t="shared" ca="1" si="47"/>
        <v>196.66666666666666</v>
      </c>
      <c r="AO70" s="248">
        <f ca="1">IFERROR(__xludf.DUMMYFUNCTION("IMPORTRANGE(""https://docs.google.com/spreadsheets/d/1Nn1EvsFPtXldgpgVb3Rcng2K2cls68LFQsBh2FyW0Bg/edit?usp=sharing"",""สระบุรี!I372"")"),30)</f>
        <v>30</v>
      </c>
      <c r="AP70" s="248">
        <f ca="1">IFERROR(__xludf.DUMMYFUNCTION("IMPORTRANGE(""https://docs.google.com/spreadsheets/d/1Nn1EvsFPtXldgpgVb3Rcng2K2cls68LFQsBh2FyW0Bg/edit?usp=sharing"",""สระบุรี!J372"")"),59)</f>
        <v>59</v>
      </c>
      <c r="AQ70" s="248">
        <f ca="1">IFERROR(__xludf.DUMMYFUNCTION("IMPORTRANGE(""https://docs.google.com/spreadsheets/d/1Nn1EvsFPtXldgpgVb3Rcng2K2cls68LFQsBh2FyW0Bg/edit?usp=sharing"",""สระบุรี!J373"")"),533.03)</f>
        <v>533.03</v>
      </c>
      <c r="AR70" s="252">
        <f t="shared" ca="1" si="48"/>
        <v>196.66666666666666</v>
      </c>
      <c r="AS70" s="248">
        <f ca="1">IFERROR(__xludf.DUMMYFUNCTION("IMPORTRANGE(""https://docs.google.com/spreadsheets/d/1Nn1EvsFPtXldgpgVb3Rcng2K2cls68LFQsBh2FyW0Bg/edit?usp=sharing"",""สระบุรี!I378"")"),2338)</f>
        <v>2338</v>
      </c>
      <c r="AT70" s="248">
        <f ca="1">IFERROR(__xludf.DUMMYFUNCTION("IMPORTRANGE(""https://docs.google.com/spreadsheets/d/1Nn1EvsFPtXldgpgVb3Rcng2K2cls68LFQsBh2FyW0Bg/edit?usp=sharing"",""สระบุรี!J377"")"),77)</f>
        <v>77</v>
      </c>
      <c r="AU70" s="248">
        <f ca="1">IFERROR(__xludf.DUMMYFUNCTION("IMPORTRANGE(""https://docs.google.com/spreadsheets/d/1Nn1EvsFPtXldgpgVb3Rcng2K2cls68LFQsBh2FyW0Bg/edit?usp=sharing"",""สระบุรี!J378"")"),911)</f>
        <v>911</v>
      </c>
      <c r="AV70" s="252">
        <f t="shared" ca="1" si="49"/>
        <v>38.964927288280585</v>
      </c>
      <c r="AW70" s="248">
        <f ca="1">IFERROR(__xludf.DUMMYFUNCTION("IMPORTRANGE(""https://docs.google.com/spreadsheets/d/1Nn1EvsFPtXldgpgVb3Rcng2K2cls68LFQsBh2FyW0Bg/edit?usp=sharing"",""สระบุรี!I379"")"),368)</f>
        <v>368</v>
      </c>
      <c r="AX70" s="248">
        <f ca="1">IFERROR(__xludf.DUMMYFUNCTION("IMPORTRANGE(""https://docs.google.com/spreadsheets/d/1Nn1EvsFPtXldgpgVb3Rcng2K2cls68LFQsBh2FyW0Bg/edit?usp=sharing"",""สระบุรี!J379"")"),184)</f>
        <v>184</v>
      </c>
      <c r="AY70" s="248">
        <f ca="1">IFERROR(__xludf.DUMMYFUNCTION("IMPORTRANGE(""https://docs.google.com/spreadsheets/d/1Nn1EvsFPtXldgpgVb3Rcng2K2cls68LFQsBh2FyW0Bg/edit?usp=sharing"",""สระบุรี!J380"")"),2877.94)</f>
        <v>2877.94</v>
      </c>
      <c r="AZ70" s="252">
        <f t="shared" ca="1" si="50"/>
        <v>50</v>
      </c>
      <c r="BA70" s="248">
        <f ca="1">IFERROR(__xludf.DUMMYFUNCTION("IMPORTRANGE(""https://docs.google.com/spreadsheets/d/1Nn1EvsFPtXldgpgVb3Rcng2K2cls68LFQsBh2FyW0Bg/edit?usp=sharing"",""สระบุรี!I381"")"),368)</f>
        <v>368</v>
      </c>
      <c r="BB70" s="248">
        <f ca="1">IFERROR(__xludf.DUMMYFUNCTION("IMPORTRANGE(""https://docs.google.com/spreadsheets/d/1Nn1EvsFPtXldgpgVb3Rcng2K2cls68LFQsBh2FyW0Bg/edit?usp=sharing"",""สระบุรี!J381"")"),185)</f>
        <v>185</v>
      </c>
      <c r="BC70" s="248">
        <f ca="1">IFERROR(__xludf.DUMMYFUNCTION("IMPORTRANGE(""https://docs.google.com/spreadsheets/d/1Nn1EvsFPtXldgpgVb3Rcng2K2cls68LFQsBh2FyW0Bg/edit?usp=sharing"",""สระบุรี!J382"")"),2886.67)</f>
        <v>2886.67</v>
      </c>
      <c r="BD70" s="252">
        <f t="shared" ca="1" si="51"/>
        <v>50.271739130434781</v>
      </c>
    </row>
    <row r="71" spans="1:56" ht="21" customHeight="1" x14ac:dyDescent="0.3">
      <c r="A71" s="243">
        <v>19</v>
      </c>
      <c r="B71" s="244" t="s">
        <v>93</v>
      </c>
      <c r="C71" s="245">
        <f t="shared" ca="1" si="0"/>
        <v>96770</v>
      </c>
      <c r="D71" s="246">
        <f t="shared" ca="1" si="88"/>
        <v>43970</v>
      </c>
      <c r="E71" s="247">
        <f ca="1">IFERROR(__xludf.DUMMYFUNCTION("IMPORTRANGE(""https://docs.google.com/spreadsheets/d/1MeEWN-I1oV_STSDYn1IFDPWt_1FKiwhDph83XaGc0o0/edit?usp=sharing"",""งบพรบ!EX71"")"),0)</f>
        <v>0</v>
      </c>
      <c r="F71" s="247">
        <f ca="1">IFERROR(__xludf.DUMMYFUNCTION("IMPORTRANGE(""https://docs.google.com/spreadsheets/d/1MeEWN-I1oV_STSDYn1IFDPWt_1FKiwhDph83XaGc0o0/edit?usp=sharing"",""งบพรบ!EY71"")"),43970)</f>
        <v>43970</v>
      </c>
      <c r="G71" s="247">
        <f ca="1">IFERROR(__xludf.DUMMYFUNCTION("IMPORTRANGE(""https://docs.google.com/spreadsheets/d/1MeEWN-I1oV_STSDYn1IFDPWt_1FKiwhDph83XaGc0o0/edit?usp=sharing"",""งบพรบ!EZ71"")"),52800)</f>
        <v>52800</v>
      </c>
      <c r="H71" s="247">
        <f ca="1">IFERROR(__xludf.DUMMYFUNCTION("IMPORTRANGE(""https://docs.google.com/spreadsheets/d/1MeEWN-I1oV_STSDYn1IFDPWt_1FKiwhDph83XaGc0o0/edit?usp=sharing"",""งบพรบ!FB71"")"),63970)</f>
        <v>63970</v>
      </c>
      <c r="I71" s="247">
        <f ca="1">IFERROR(__xludf.DUMMYFUNCTION("IMPORTRANGE(""https://docs.google.com/spreadsheets/d/1MeEWN-I1oV_STSDYn1IFDPWt_1FKiwhDph83XaGc0o0/edit?usp=sharing"",""งบพรบ!FC71"")"),52040)</f>
        <v>52040</v>
      </c>
      <c r="J71" s="247">
        <f t="shared" ca="1" si="3"/>
        <v>91655.18</v>
      </c>
      <c r="K71" s="253">
        <f t="shared" ca="1" si="4"/>
        <v>94.714456959801595</v>
      </c>
      <c r="L71" s="247">
        <f ca="1">IFERROR(__xludf.DUMMYFUNCTION("IMPORTRANGE(""https://docs.google.com/spreadsheets/d/1MeEWN-I1oV_STSDYn1IFDPWt_1FKiwhDph83XaGc0o0/edit?usp=sharing"",""งบพรบ!FD71"")"),39615.18)</f>
        <v>39615.18</v>
      </c>
      <c r="M71" s="250">
        <f t="shared" ca="1" si="5"/>
        <v>90.095929042528994</v>
      </c>
      <c r="N71" s="250">
        <f t="shared" ca="1" si="6"/>
        <v>61.927747381585121</v>
      </c>
      <c r="O71" s="251">
        <f ca="1">IFERROR(__xludf.DUMMYFUNCTION("IMPORTRANGE(""https://docs.google.com/spreadsheets/d/1MeEWN-I1oV_STSDYn1IFDPWt_1FKiwhDph83XaGc0o0/edit?usp=sharing"",""งบพรบ!FE71"")"),52040)</f>
        <v>52040</v>
      </c>
      <c r="P71" s="250">
        <f t="shared" ca="1" si="53"/>
        <v>98.560606060606062</v>
      </c>
      <c r="Q71" s="250">
        <f t="shared" ca="1" si="8"/>
        <v>100</v>
      </c>
      <c r="R71" s="248">
        <f ca="1">IFERROR(__xludf.DUMMYFUNCTION("IMPORTRANGE(""https://docs.google.com/spreadsheets/d/149xufxukrnEciK3WPbNpHwUK8BKEJxp3UcBG3Al6dA4/edit?usp=sharing"",""สิงห์บุรี!I359"")"),0)</f>
        <v>0</v>
      </c>
      <c r="S71" s="248">
        <f ca="1">IFERROR(__xludf.DUMMYFUNCTION("IMPORTRANGE(""https://docs.google.com/spreadsheets/d/149xufxukrnEciK3WPbNpHwUK8BKEJxp3UcBG3Al6dA4/edit?usp=sharing"",""สิงห์บุรี!J358"")"),0)</f>
        <v>0</v>
      </c>
      <c r="T71" s="248">
        <f ca="1">IFERROR(__xludf.DUMMYFUNCTION("IMPORTRANGE(""https://docs.google.com/spreadsheets/d/149xufxukrnEciK3WPbNpHwUK8BKEJxp3UcBG3Al6dA4/edit?usp=sharing"",""สิงห์บุรี!J359"")"),0)</f>
        <v>0</v>
      </c>
      <c r="U71" s="252">
        <f t="shared" ca="1" si="43"/>
        <v>0</v>
      </c>
      <c r="V71" s="248">
        <f ca="1">IFERROR(__xludf.DUMMYFUNCTION("IMPORTRANGE(""https://docs.google.com/spreadsheets/d/149xufxukrnEciK3WPbNpHwUK8BKEJxp3UcBG3Al6dA4/edit?usp=sharing"",""สิงห์บุรี!I360"")"),0)</f>
        <v>0</v>
      </c>
      <c r="W71" s="248">
        <f ca="1">IFERROR(__xludf.DUMMYFUNCTION("IMPORTRANGE(""https://docs.google.com/spreadsheets/d/149xufxukrnEciK3WPbNpHwUK8BKEJxp3UcBG3Al6dA4/edit?usp=sharing"",""สิงห์บุรี!J360"")"),0)</f>
        <v>0</v>
      </c>
      <c r="X71" s="248">
        <f ca="1">IFERROR(__xludf.DUMMYFUNCTION("IMPORTRANGE(""https://docs.google.com/spreadsheets/d/149xufxukrnEciK3WPbNpHwUK8BKEJxp3UcBG3Al6dA4/edit?usp=sharing"",""สิงห์บุรี!J361"")"),0)</f>
        <v>0</v>
      </c>
      <c r="Y71" s="252">
        <f t="shared" ca="1" si="44"/>
        <v>0</v>
      </c>
      <c r="Z71" s="248">
        <f ca="1">IFERROR(__xludf.DUMMYFUNCTION("IMPORTRANGE(""https://docs.google.com/spreadsheets/d/149xufxukrnEciK3WPbNpHwUK8BKEJxp3UcBG3Al6dA4/edit?usp=sharing"",""สิงห์บุรี!I362"")"),0)</f>
        <v>0</v>
      </c>
      <c r="AA71" s="248">
        <f ca="1">IFERROR(__xludf.DUMMYFUNCTION("IMPORTRANGE(""https://docs.google.com/spreadsheets/d/149xufxukrnEciK3WPbNpHwUK8BKEJxp3UcBG3Al6dA4/edit?usp=sharing"",""สิงห์บุรี!J362"")"),0)</f>
        <v>0</v>
      </c>
      <c r="AB71" s="248">
        <f ca="1">IFERROR(__xludf.DUMMYFUNCTION("IMPORTRANGE(""https://docs.google.com/spreadsheets/d/149xufxukrnEciK3WPbNpHwUK8BKEJxp3UcBG3Al6dA4/edit?usp=sharing"",""สิงห์บุรี!J363"")"),0)</f>
        <v>0</v>
      </c>
      <c r="AC71" s="252">
        <f t="shared" ca="1" si="45"/>
        <v>0</v>
      </c>
      <c r="AD71" s="248">
        <f ca="1">IFERROR(__xludf.DUMMYFUNCTION("IMPORTRANGE(""https://docs.google.com/spreadsheets/d/149xufxukrnEciK3WPbNpHwUK8BKEJxp3UcBG3Al6dA4/edit?usp=sharing"",""สิงห์บุรี!I364"")"),0)</f>
        <v>0</v>
      </c>
      <c r="AE71" s="248">
        <f ca="1">IFERROR(__xludf.DUMMYFUNCTION("IMPORTRANGE(""https://docs.google.com/spreadsheets/d/149xufxukrnEciK3WPbNpHwUK8BKEJxp3UcBG3Al6dA4/edit?usp=sharing"",""สิงห์บุรี!J364"")"),0)</f>
        <v>0</v>
      </c>
      <c r="AF71" s="252">
        <f t="shared" ca="1" si="16"/>
        <v>0</v>
      </c>
      <c r="AG71" s="248">
        <f ca="1">IFERROR(__xludf.DUMMYFUNCTION("IMPORTRANGE(""https://docs.google.com/spreadsheets/d/149xufxukrnEciK3WPbNpHwUK8BKEJxp3UcBG3Al6dA4/edit?usp=sharing"",""สิงห์บุรี!I369"")"),0)</f>
        <v>0</v>
      </c>
      <c r="AH71" s="248">
        <f ca="1">IFERROR(__xludf.DUMMYFUNCTION("IMPORTRANGE(""https://docs.google.com/spreadsheets/d/149xufxukrnEciK3WPbNpHwUK8BKEJxp3UcBG3Al6dA4/edit?usp=sharing"",""สิงห์บุรี!J368"")"),0)</f>
        <v>0</v>
      </c>
      <c r="AI71" s="248">
        <f ca="1">IFERROR(__xludf.DUMMYFUNCTION("IMPORTRANGE(""https://docs.google.com/spreadsheets/d/149xufxukrnEciK3WPbNpHwUK8BKEJxp3UcBG3Al6dA4/edit?usp=sharing"",""สิงห์บุรี!J369"")"),0)</f>
        <v>0</v>
      </c>
      <c r="AJ71" s="252">
        <f t="shared" ca="1" si="46"/>
        <v>0</v>
      </c>
      <c r="AK71" s="248">
        <f ca="1">IFERROR(__xludf.DUMMYFUNCTION("IMPORTRANGE(""https://docs.google.com/spreadsheets/d/149xufxukrnEciK3WPbNpHwUK8BKEJxp3UcBG3Al6dA4/edit?usp=sharing"",""สิงห์บุรี!I370"")"),0)</f>
        <v>0</v>
      </c>
      <c r="AL71" s="248">
        <f ca="1">IFERROR(__xludf.DUMMYFUNCTION("IMPORTRANGE(""https://docs.google.com/spreadsheets/d/149xufxukrnEciK3WPbNpHwUK8BKEJxp3UcBG3Al6dA4/edit?usp=sharing"",""สิงห์บุรี!J370"")"),0)</f>
        <v>0</v>
      </c>
      <c r="AM71" s="248">
        <f ca="1">IFERROR(__xludf.DUMMYFUNCTION("IMPORTRANGE(""https://docs.google.com/spreadsheets/d/149xufxukrnEciK3WPbNpHwUK8BKEJxp3UcBG3Al6dA4/edit?usp=sharing"",""สิงห์บุรี!J371"")"),0)</f>
        <v>0</v>
      </c>
      <c r="AN71" s="252">
        <f t="shared" ca="1" si="47"/>
        <v>0</v>
      </c>
      <c r="AO71" s="248">
        <f ca="1">IFERROR(__xludf.DUMMYFUNCTION("IMPORTRANGE(""https://docs.google.com/spreadsheets/d/149xufxukrnEciK3WPbNpHwUK8BKEJxp3UcBG3Al6dA4/edit?usp=sharing"",""สิงห์บุรี!I372"")"),0)</f>
        <v>0</v>
      </c>
      <c r="AP71" s="248">
        <f ca="1">IFERROR(__xludf.DUMMYFUNCTION("IMPORTRANGE(""https://docs.google.com/spreadsheets/d/149xufxukrnEciK3WPbNpHwUK8BKEJxp3UcBG3Al6dA4/edit?usp=sharing"",""สิงห์บุรี!J372"")"),0)</f>
        <v>0</v>
      </c>
      <c r="AQ71" s="248">
        <f ca="1">IFERROR(__xludf.DUMMYFUNCTION("IMPORTRANGE(""https://docs.google.com/spreadsheets/d/149xufxukrnEciK3WPbNpHwUK8BKEJxp3UcBG3Al6dA4/edit?usp=sharing"",""สิงห์บุรี!J373"")"),0)</f>
        <v>0</v>
      </c>
      <c r="AR71" s="252">
        <f t="shared" ca="1" si="48"/>
        <v>0</v>
      </c>
      <c r="AS71" s="248">
        <f ca="1">IFERROR(__xludf.DUMMYFUNCTION("IMPORTRANGE(""https://docs.google.com/spreadsheets/d/149xufxukrnEciK3WPbNpHwUK8BKEJxp3UcBG3Al6dA4/edit?usp=sharing"",""สิงห์บุรี!I378"")"),0)</f>
        <v>0</v>
      </c>
      <c r="AT71" s="248">
        <f ca="1">IFERROR(__xludf.DUMMYFUNCTION("IMPORTRANGE(""https://docs.google.com/spreadsheets/d/149xufxukrnEciK3WPbNpHwUK8BKEJxp3UcBG3Al6dA4/edit?usp=sharing"",""สิงห์บุรี!J377"")"),0)</f>
        <v>0</v>
      </c>
      <c r="AU71" s="248">
        <f ca="1">IFERROR(__xludf.DUMMYFUNCTION("IMPORTRANGE(""https://docs.google.com/spreadsheets/d/149xufxukrnEciK3WPbNpHwUK8BKEJxp3UcBG3Al6dA4/edit?usp=sharing"",""สิงห์บุรี!J378"")"),0)</f>
        <v>0</v>
      </c>
      <c r="AV71" s="252">
        <f t="shared" ca="1" si="49"/>
        <v>0</v>
      </c>
      <c r="AW71" s="248">
        <f ca="1">IFERROR(__xludf.DUMMYFUNCTION("IMPORTRANGE(""https://docs.google.com/spreadsheets/d/149xufxukrnEciK3WPbNpHwUK8BKEJxp3UcBG3Al6dA4/edit?usp=sharing"",""สิงห์บุรี!I379"")"),0)</f>
        <v>0</v>
      </c>
      <c r="AX71" s="248">
        <f ca="1">IFERROR(__xludf.DUMMYFUNCTION("IMPORTRANGE(""https://docs.google.com/spreadsheets/d/149xufxukrnEciK3WPbNpHwUK8BKEJxp3UcBG3Al6dA4/edit?usp=sharing"",""สิงห์บุรี!J379"")"),0)</f>
        <v>0</v>
      </c>
      <c r="AY71" s="248">
        <f ca="1">IFERROR(__xludf.DUMMYFUNCTION("IMPORTRANGE(""https://docs.google.com/spreadsheets/d/149xufxukrnEciK3WPbNpHwUK8BKEJxp3UcBG3Al6dA4/edit?usp=sharing"",""สิงห์บุรี!J380"")"),0)</f>
        <v>0</v>
      </c>
      <c r="AZ71" s="252">
        <f t="shared" ca="1" si="50"/>
        <v>0</v>
      </c>
      <c r="BA71" s="248">
        <f ca="1">IFERROR(__xludf.DUMMYFUNCTION("IMPORTRANGE(""https://docs.google.com/spreadsheets/d/149xufxukrnEciK3WPbNpHwUK8BKEJxp3UcBG3Al6dA4/edit?usp=sharing"",""สิงห์บุรี!I381"")"),0)</f>
        <v>0</v>
      </c>
      <c r="BB71" s="248">
        <f ca="1">IFERROR(__xludf.DUMMYFUNCTION("IMPORTRANGE(""https://docs.google.com/spreadsheets/d/149xufxukrnEciK3WPbNpHwUK8BKEJxp3UcBG3Al6dA4/edit?usp=sharing"",""สิงห์บุรี!J381"")"),0)</f>
        <v>0</v>
      </c>
      <c r="BC71" s="248">
        <f ca="1">IFERROR(__xludf.DUMMYFUNCTION("IMPORTRANGE(""https://docs.google.com/spreadsheets/d/149xufxukrnEciK3WPbNpHwUK8BKEJxp3UcBG3Al6dA4/edit?usp=sharing"",""สิงห์บุรี!J382"")"),0)</f>
        <v>0</v>
      </c>
      <c r="BD71" s="252">
        <f t="shared" ca="1" si="51"/>
        <v>0</v>
      </c>
    </row>
    <row r="72" spans="1:56" ht="21" customHeight="1" x14ac:dyDescent="0.3">
      <c r="A72" s="243">
        <v>20</v>
      </c>
      <c r="B72" s="244" t="s">
        <v>94</v>
      </c>
      <c r="C72" s="245">
        <f t="shared" ca="1" si="0"/>
        <v>1143490</v>
      </c>
      <c r="D72" s="246">
        <f t="shared" ca="1" si="88"/>
        <v>999890</v>
      </c>
      <c r="E72" s="247">
        <f ca="1">IFERROR(__xludf.DUMMYFUNCTION("IMPORTRANGE(""https://docs.google.com/spreadsheets/d/1MeEWN-I1oV_STSDYn1IFDPWt_1FKiwhDph83XaGc0o0/edit?usp=sharing"",""งบพรบ!EX72"")"),604800)</f>
        <v>604800</v>
      </c>
      <c r="F72" s="247">
        <f ca="1">IFERROR(__xludf.DUMMYFUNCTION("IMPORTRANGE(""https://docs.google.com/spreadsheets/d/1MeEWN-I1oV_STSDYn1IFDPWt_1FKiwhDph83XaGc0o0/edit?usp=sharing"",""งบพรบ!EY72"")"),395090)</f>
        <v>395090</v>
      </c>
      <c r="G72" s="247">
        <f ca="1">IFERROR(__xludf.DUMMYFUNCTION("IMPORTRANGE(""https://docs.google.com/spreadsheets/d/1MeEWN-I1oV_STSDYn1IFDPWt_1FKiwhDph83XaGc0o0/edit?usp=sharing"",""งบพรบ!EZ72"")"),143600)</f>
        <v>143600</v>
      </c>
      <c r="H72" s="247">
        <f ca="1">IFERROR(__xludf.DUMMYFUNCTION("IMPORTRANGE(""https://docs.google.com/spreadsheets/d/1MeEWN-I1oV_STSDYn1IFDPWt_1FKiwhDph83XaGc0o0/edit?usp=sharing"",""งบพรบ!FB72"")"),1164000)</f>
        <v>1164000</v>
      </c>
      <c r="I72" s="247">
        <f ca="1">IFERROR(__xludf.DUMMYFUNCTION("IMPORTRANGE(""https://docs.google.com/spreadsheets/d/1MeEWN-I1oV_STSDYn1IFDPWt_1FKiwhDph83XaGc0o0/edit?usp=sharing"",""งบพรบ!FC72"")"),143600)</f>
        <v>143600</v>
      </c>
      <c r="J72" s="247">
        <f t="shared" ca="1" si="3"/>
        <v>1181591.3900000001</v>
      </c>
      <c r="K72" s="253">
        <f t="shared" ca="1" si="4"/>
        <v>103.33202651531715</v>
      </c>
      <c r="L72" s="247">
        <f ca="1">IFERROR(__xludf.DUMMYFUNCTION("IMPORTRANGE(""https://docs.google.com/spreadsheets/d/1MeEWN-I1oV_STSDYn1IFDPWt_1FKiwhDph83XaGc0o0/edit?usp=sharing"",""งบพรบ!FD72"")"),1037991.39)</f>
        <v>1037991.39</v>
      </c>
      <c r="M72" s="250">
        <f t="shared" ca="1" si="5"/>
        <v>103.81055816139775</v>
      </c>
      <c r="N72" s="250">
        <f t="shared" ca="1" si="6"/>
        <v>89.174518041237107</v>
      </c>
      <c r="O72" s="251">
        <f ca="1">IFERROR(__xludf.DUMMYFUNCTION("IMPORTRANGE(""https://docs.google.com/spreadsheets/d/1MeEWN-I1oV_STSDYn1IFDPWt_1FKiwhDph83XaGc0o0/edit?usp=sharing"",""งบพรบ!FE72"")"),143600)</f>
        <v>143600</v>
      </c>
      <c r="P72" s="250">
        <f t="shared" ca="1" si="53"/>
        <v>100</v>
      </c>
      <c r="Q72" s="250">
        <f t="shared" ca="1" si="8"/>
        <v>100</v>
      </c>
      <c r="R72" s="248">
        <f ca="1">IFERROR(__xludf.DUMMYFUNCTION("IMPORTRANGE(""https://docs.google.com/spreadsheets/d/132g-zJpz2uMKimp17uOIx8A7o3w1Z25zwJyXnwsB56c/edit?usp=sharing"",""สุพรรณบุรี!I359"")"),2100)</f>
        <v>2100</v>
      </c>
      <c r="S72" s="248">
        <f ca="1">IFERROR(__xludf.DUMMYFUNCTION("IMPORTRANGE(""https://docs.google.com/spreadsheets/d/132g-zJpz2uMKimp17uOIx8A7o3w1Z25zwJyXnwsB56c/edit?usp=sharing"",""สุพรรณบุรี!J358"")"),390)</f>
        <v>390</v>
      </c>
      <c r="T72" s="248">
        <f ca="1">IFERROR(__xludf.DUMMYFUNCTION("IMPORTRANGE(""https://docs.google.com/spreadsheets/d/132g-zJpz2uMKimp17uOIx8A7o3w1Z25zwJyXnwsB56c/edit?usp=sharing"",""สุพรรณบุรี!J359"")"),2438.23)</f>
        <v>2438.23</v>
      </c>
      <c r="U72" s="252">
        <f t="shared" ca="1" si="43"/>
        <v>116.10619047619048</v>
      </c>
      <c r="V72" s="248">
        <f ca="1">IFERROR(__xludf.DUMMYFUNCTION("IMPORTRANGE(""https://docs.google.com/spreadsheets/d/132g-zJpz2uMKimp17uOIx8A7o3w1Z25zwJyXnwsB56c/edit?usp=sharing"",""สุพรรณบุรี!I360"")"),220)</f>
        <v>220</v>
      </c>
      <c r="W72" s="248">
        <f ca="1">IFERROR(__xludf.DUMMYFUNCTION("IMPORTRANGE(""https://docs.google.com/spreadsheets/d/132g-zJpz2uMKimp17uOIx8A7o3w1Z25zwJyXnwsB56c/edit?usp=sharing"",""สุพรรณบุรี!J360"")"),276)</f>
        <v>276</v>
      </c>
      <c r="X72" s="248">
        <f ca="1">IFERROR(__xludf.DUMMYFUNCTION("IMPORTRANGE(""https://docs.google.com/spreadsheets/d/132g-zJpz2uMKimp17uOIx8A7o3w1Z25zwJyXnwsB56c/edit?usp=sharing"",""สุพรรณบุรี!J361"")"),1786.25)</f>
        <v>1786.25</v>
      </c>
      <c r="Y72" s="252">
        <f t="shared" ca="1" si="44"/>
        <v>125.45454545454545</v>
      </c>
      <c r="Z72" s="248">
        <f ca="1">IFERROR(__xludf.DUMMYFUNCTION("IMPORTRANGE(""https://docs.google.com/spreadsheets/d/132g-zJpz2uMKimp17uOIx8A7o3w1Z25zwJyXnwsB56c/edit?usp=sharing"",""สุพรรณบุรี!I362"")"),220)</f>
        <v>220</v>
      </c>
      <c r="AA72" s="248">
        <f ca="1">IFERROR(__xludf.DUMMYFUNCTION("IMPORTRANGE(""https://docs.google.com/spreadsheets/d/132g-zJpz2uMKimp17uOIx8A7o3w1Z25zwJyXnwsB56c/edit?usp=sharing"",""สุพรรณบุรี!J362"")"),276)</f>
        <v>276</v>
      </c>
      <c r="AB72" s="248">
        <f ca="1">IFERROR(__xludf.DUMMYFUNCTION("IMPORTRANGE(""https://docs.google.com/spreadsheets/d/132g-zJpz2uMKimp17uOIx8A7o3w1Z25zwJyXnwsB56c/edit?usp=sharing"",""สุพรรณบุรี!J363"")"),1786.25)</f>
        <v>1786.25</v>
      </c>
      <c r="AC72" s="252">
        <f t="shared" ca="1" si="45"/>
        <v>125.45454545454545</v>
      </c>
      <c r="AD72" s="248">
        <f ca="1">IFERROR(__xludf.DUMMYFUNCTION("IMPORTRANGE(""https://docs.google.com/spreadsheets/d/132g-zJpz2uMKimp17uOIx8A7o3w1Z25zwJyXnwsB56c/edit?usp=sharing"",""สุพรรณบุรี!I364"")"),360)</f>
        <v>360</v>
      </c>
      <c r="AE72" s="248">
        <f ca="1">IFERROR(__xludf.DUMMYFUNCTION("IMPORTRANGE(""https://docs.google.com/spreadsheets/d/132g-zJpz2uMKimp17uOIx8A7o3w1Z25zwJyXnwsB56c/edit?usp=sharing"",""สุพรรณบุรี!J364"")"),441)</f>
        <v>441</v>
      </c>
      <c r="AF72" s="252">
        <f t="shared" ca="1" si="16"/>
        <v>122.5</v>
      </c>
      <c r="AG72" s="248">
        <f ca="1">IFERROR(__xludf.DUMMYFUNCTION("IMPORTRANGE(""https://docs.google.com/spreadsheets/d/132g-zJpz2uMKimp17uOIx8A7o3w1Z25zwJyXnwsB56c/edit?usp=sharing"",""สุพรรณบุรี!I369"")"),300)</f>
        <v>300</v>
      </c>
      <c r="AH72" s="248">
        <f ca="1">IFERROR(__xludf.DUMMYFUNCTION("IMPORTRANGE(""https://docs.google.com/spreadsheets/d/132g-zJpz2uMKimp17uOIx8A7o3w1Z25zwJyXnwsB56c/edit?usp=sharing"",""สุพรรณบุรี!J368"")"),89)</f>
        <v>89</v>
      </c>
      <c r="AI72" s="248">
        <f ca="1">IFERROR(__xludf.DUMMYFUNCTION("IMPORTRANGE(""https://docs.google.com/spreadsheets/d/132g-zJpz2uMKimp17uOIx8A7o3w1Z25zwJyXnwsB56c/edit?usp=sharing"",""สุพรรณบุรี!J369"")"),455.8)</f>
        <v>455.8</v>
      </c>
      <c r="AJ72" s="252">
        <f t="shared" ca="1" si="46"/>
        <v>151.93333333333334</v>
      </c>
      <c r="AK72" s="248">
        <f ca="1">IFERROR(__xludf.DUMMYFUNCTION("IMPORTRANGE(""https://docs.google.com/spreadsheets/d/132g-zJpz2uMKimp17uOIx8A7o3w1Z25zwJyXnwsB56c/edit?usp=sharing"",""สุพรรณบุรี!I370"")"),40)</f>
        <v>40</v>
      </c>
      <c r="AL72" s="248">
        <f ca="1">IFERROR(__xludf.DUMMYFUNCTION("IMPORTRANGE(""https://docs.google.com/spreadsheets/d/132g-zJpz2uMKimp17uOIx8A7o3w1Z25zwJyXnwsB56c/edit?usp=sharing"",""สุพรรณบุรี!J370"")"),59)</f>
        <v>59</v>
      </c>
      <c r="AM72" s="248">
        <f ca="1">IFERROR(__xludf.DUMMYFUNCTION("IMPORTRANGE(""https://docs.google.com/spreadsheets/d/132g-zJpz2uMKimp17uOIx8A7o3w1Z25zwJyXnwsB56c/edit?usp=sharing"",""สุพรรณบุรี!J371"")"),327.79)</f>
        <v>327.79</v>
      </c>
      <c r="AN72" s="252">
        <f t="shared" ca="1" si="47"/>
        <v>147.5</v>
      </c>
      <c r="AO72" s="248">
        <f ca="1">IFERROR(__xludf.DUMMYFUNCTION("IMPORTRANGE(""https://docs.google.com/spreadsheets/d/132g-zJpz2uMKimp17uOIx8A7o3w1Z25zwJyXnwsB56c/edit?usp=sharing"",""สุพรรณบุรี!I372"")"),40)</f>
        <v>40</v>
      </c>
      <c r="AP72" s="248">
        <f ca="1">IFERROR(__xludf.DUMMYFUNCTION("IMPORTRANGE(""https://docs.google.com/spreadsheets/d/132g-zJpz2uMKimp17uOIx8A7o3w1Z25zwJyXnwsB56c/edit?usp=sharing"",""สุพรรณบุรี!J372"")"),59)</f>
        <v>59</v>
      </c>
      <c r="AQ72" s="248">
        <f ca="1">IFERROR(__xludf.DUMMYFUNCTION("IMPORTRANGE(""https://docs.google.com/spreadsheets/d/132g-zJpz2uMKimp17uOIx8A7o3w1Z25zwJyXnwsB56c/edit?usp=sharing"",""สุพรรณบุรี!J373"")"),327.79)</f>
        <v>327.79</v>
      </c>
      <c r="AR72" s="252">
        <f t="shared" ca="1" si="48"/>
        <v>147.5</v>
      </c>
      <c r="AS72" s="248">
        <f ca="1">IFERROR(__xludf.DUMMYFUNCTION("IMPORTRANGE(""https://docs.google.com/spreadsheets/d/132g-zJpz2uMKimp17uOIx8A7o3w1Z25zwJyXnwsB56c/edit?usp=sharing"",""สุพรรณบุรี!I378"")"),1800)</f>
        <v>1800</v>
      </c>
      <c r="AT72" s="248">
        <f ca="1">IFERROR(__xludf.DUMMYFUNCTION("IMPORTRANGE(""https://docs.google.com/spreadsheets/d/132g-zJpz2uMKimp17uOIx8A7o3w1Z25zwJyXnwsB56c/edit?usp=sharing"",""สุพรรณบุรี!J377"")"),301)</f>
        <v>301</v>
      </c>
      <c r="AU72" s="248">
        <f ca="1">IFERROR(__xludf.DUMMYFUNCTION("IMPORTRANGE(""https://docs.google.com/spreadsheets/d/132g-zJpz2uMKimp17uOIx8A7o3w1Z25zwJyXnwsB56c/edit?usp=sharing"",""สุพรรณบุรี!J378"")"),1982.43)</f>
        <v>1982.43</v>
      </c>
      <c r="AV72" s="252">
        <f t="shared" ca="1" si="49"/>
        <v>110.13500000000001</v>
      </c>
      <c r="AW72" s="248">
        <f ca="1">IFERROR(__xludf.DUMMYFUNCTION("IMPORTRANGE(""https://docs.google.com/spreadsheets/d/132g-zJpz2uMKimp17uOIx8A7o3w1Z25zwJyXnwsB56c/edit?usp=sharing"",""สุพรรณบุรี!I379"")"),320)</f>
        <v>320</v>
      </c>
      <c r="AX72" s="248">
        <f ca="1">IFERROR(__xludf.DUMMYFUNCTION("IMPORTRANGE(""https://docs.google.com/spreadsheets/d/132g-zJpz2uMKimp17uOIx8A7o3w1Z25zwJyXnwsB56c/edit?usp=sharing"",""สุพรรณบุรี!J379"")"),382)</f>
        <v>382</v>
      </c>
      <c r="AY72" s="248">
        <f ca="1">IFERROR(__xludf.DUMMYFUNCTION("IMPORTRANGE(""https://docs.google.com/spreadsheets/d/132g-zJpz2uMKimp17uOIx8A7o3w1Z25zwJyXnwsB56c/edit?usp=sharing"",""สุพรรณบุรี!J380"")"),3454.27999999999)</f>
        <v>3454.2799999999902</v>
      </c>
      <c r="AZ72" s="252">
        <f t="shared" ca="1" si="50"/>
        <v>119.375</v>
      </c>
      <c r="BA72" s="248">
        <f ca="1">IFERROR(__xludf.DUMMYFUNCTION("IMPORTRANGE(""https://docs.google.com/spreadsheets/d/132g-zJpz2uMKimp17uOIx8A7o3w1Z25zwJyXnwsB56c/edit?usp=sharing"",""สุพรรณบุรี!I381"")"),320)</f>
        <v>320</v>
      </c>
      <c r="BB72" s="248">
        <f ca="1">IFERROR(__xludf.DUMMYFUNCTION("IMPORTRANGE(""https://docs.google.com/spreadsheets/d/132g-zJpz2uMKimp17uOIx8A7o3w1Z25zwJyXnwsB56c/edit?usp=sharing"",""สุพรรณบุรี!J381"")"),382)</f>
        <v>382</v>
      </c>
      <c r="BC72" s="248">
        <f ca="1">IFERROR(__xludf.DUMMYFUNCTION("IMPORTRANGE(""https://docs.google.com/spreadsheets/d/132g-zJpz2uMKimp17uOIx8A7o3w1Z25zwJyXnwsB56c/edit?usp=sharing"",""สุพรรณบุรี!J382"")"),3454.27999999999)</f>
        <v>3454.2799999999902</v>
      </c>
      <c r="BD72" s="252">
        <f t="shared" ca="1" si="51"/>
        <v>119.375</v>
      </c>
    </row>
    <row r="73" spans="1:56" ht="21" customHeight="1" x14ac:dyDescent="0.3">
      <c r="A73" s="254">
        <v>21</v>
      </c>
      <c r="B73" s="255" t="s">
        <v>95</v>
      </c>
      <c r="C73" s="256">
        <f t="shared" ca="1" si="0"/>
        <v>78110</v>
      </c>
      <c r="D73" s="257">
        <f t="shared" ca="1" si="88"/>
        <v>48110</v>
      </c>
      <c r="E73" s="258">
        <f ca="1">IFERROR(__xludf.DUMMYFUNCTION("IMPORTRANGE(""https://docs.google.com/spreadsheets/d/1MeEWN-I1oV_STSDYn1IFDPWt_1FKiwhDph83XaGc0o0/edit?usp=sharing"",""งบพรบ!EX73"")"),0)</f>
        <v>0</v>
      </c>
      <c r="F73" s="258">
        <f ca="1">IFERROR(__xludf.DUMMYFUNCTION("IMPORTRANGE(""https://docs.google.com/spreadsheets/d/1MeEWN-I1oV_STSDYn1IFDPWt_1FKiwhDph83XaGc0o0/edit?usp=sharing"",""งบพรบ!EY73"")"),48110)</f>
        <v>48110</v>
      </c>
      <c r="G73" s="258">
        <f ca="1">IFERROR(__xludf.DUMMYFUNCTION("IMPORTRANGE(""https://docs.google.com/spreadsheets/d/1MeEWN-I1oV_STSDYn1IFDPWt_1FKiwhDph83XaGc0o0/edit?usp=sharing"",""งบพรบ!EZ73"")"),30000)</f>
        <v>30000</v>
      </c>
      <c r="H73" s="258">
        <f ca="1">IFERROR(__xludf.DUMMYFUNCTION("IMPORTRANGE(""https://docs.google.com/spreadsheets/d/1MeEWN-I1oV_STSDYn1IFDPWt_1FKiwhDph83XaGc0o0/edit?usp=sharing"",""งบพรบ!FB73"")"),68610)</f>
        <v>68610</v>
      </c>
      <c r="I73" s="258">
        <f ca="1">IFERROR(__xludf.DUMMYFUNCTION("IMPORTRANGE(""https://docs.google.com/spreadsheets/d/1MeEWN-I1oV_STSDYn1IFDPWt_1FKiwhDph83XaGc0o0/edit?usp=sharing"",""งบพรบ!FC73"")"),30000)</f>
        <v>30000</v>
      </c>
      <c r="J73" s="258">
        <f t="shared" ca="1" si="3"/>
        <v>95622</v>
      </c>
      <c r="K73" s="259">
        <f t="shared" ca="1" si="4"/>
        <v>122.41966457559852</v>
      </c>
      <c r="L73" s="258">
        <f ca="1">IFERROR(__xludf.DUMMYFUNCTION("IMPORTRANGE(""https://docs.google.com/spreadsheets/d/1MeEWN-I1oV_STSDYn1IFDPWt_1FKiwhDph83XaGc0o0/edit?usp=sharing"",""งบพรบ!FD73"")"),65622)</f>
        <v>65622</v>
      </c>
      <c r="M73" s="260">
        <f t="shared" ca="1" si="5"/>
        <v>136.39991685720224</v>
      </c>
      <c r="N73" s="260">
        <f t="shared" ca="1" si="6"/>
        <v>95.644949715784875</v>
      </c>
      <c r="O73" s="261">
        <f ca="1">IFERROR(__xludf.DUMMYFUNCTION("IMPORTRANGE(""https://docs.google.com/spreadsheets/d/1MeEWN-I1oV_STSDYn1IFDPWt_1FKiwhDph83XaGc0o0/edit?usp=sharing"",""งบพรบ!FE73"")"),30000)</f>
        <v>30000</v>
      </c>
      <c r="P73" s="260">
        <f t="shared" ca="1" si="53"/>
        <v>100</v>
      </c>
      <c r="Q73" s="260">
        <f t="shared" ca="1" si="8"/>
        <v>100</v>
      </c>
      <c r="R73" s="287">
        <f ca="1">IFERROR(__xludf.DUMMYFUNCTION("IMPORTRANGE(""https://docs.google.com/spreadsheets/d/12Q_U0nVnFdxDFwa0pej9xvx8ZvLC9Dpi_vRro_aiG5g/edit?usp=sharing"",""อ่างทอง!I359"")"),0)</f>
        <v>0</v>
      </c>
      <c r="S73" s="287">
        <f ca="1">IFERROR(__xludf.DUMMYFUNCTION("IMPORTRANGE(""https://docs.google.com/spreadsheets/d/12Q_U0nVnFdxDFwa0pej9xvx8ZvLC9Dpi_vRro_aiG5g/edit?usp=sharing"",""อ่างทอง!J358"")"),0)</f>
        <v>0</v>
      </c>
      <c r="T73" s="287">
        <f ca="1">IFERROR(__xludf.DUMMYFUNCTION("IMPORTRANGE(""https://docs.google.com/spreadsheets/d/12Q_U0nVnFdxDFwa0pej9xvx8ZvLC9Dpi_vRro_aiG5g/edit?usp=sharing"",""อ่างทอง!J359"")"),0)</f>
        <v>0</v>
      </c>
      <c r="U73" s="263">
        <f t="shared" ca="1" si="43"/>
        <v>0</v>
      </c>
      <c r="V73" s="287">
        <f ca="1">IFERROR(__xludf.DUMMYFUNCTION("IMPORTRANGE(""https://docs.google.com/spreadsheets/d/12Q_U0nVnFdxDFwa0pej9xvx8ZvLC9Dpi_vRro_aiG5g/edit?usp=sharing"",""อ่างทอง!I360"")"),0)</f>
        <v>0</v>
      </c>
      <c r="W73" s="287">
        <f ca="1">IFERROR(__xludf.DUMMYFUNCTION("IMPORTRANGE(""https://docs.google.com/spreadsheets/d/12Q_U0nVnFdxDFwa0pej9xvx8ZvLC9Dpi_vRro_aiG5g/edit?usp=sharing"",""อ่างทอง!J360"")"),0)</f>
        <v>0</v>
      </c>
      <c r="X73" s="287">
        <f ca="1">IFERROR(__xludf.DUMMYFUNCTION("IMPORTRANGE(""https://docs.google.com/spreadsheets/d/12Q_U0nVnFdxDFwa0pej9xvx8ZvLC9Dpi_vRro_aiG5g/edit?usp=sharing"",""อ่างทอง!J361"")"),0)</f>
        <v>0</v>
      </c>
      <c r="Y73" s="263">
        <f t="shared" ca="1" si="44"/>
        <v>0</v>
      </c>
      <c r="Z73" s="287">
        <f ca="1">IFERROR(__xludf.DUMMYFUNCTION("IMPORTRANGE(""https://docs.google.com/spreadsheets/d/12Q_U0nVnFdxDFwa0pej9xvx8ZvLC9Dpi_vRro_aiG5g/edit?usp=sharing"",""อ่างทอง!I362"")"),0)</f>
        <v>0</v>
      </c>
      <c r="AA73" s="287">
        <f ca="1">IFERROR(__xludf.DUMMYFUNCTION("IMPORTRANGE(""https://docs.google.com/spreadsheets/d/12Q_U0nVnFdxDFwa0pej9xvx8ZvLC9Dpi_vRro_aiG5g/edit?usp=sharing"",""อ่างทอง!J362"")"),0)</f>
        <v>0</v>
      </c>
      <c r="AB73" s="287">
        <f ca="1">IFERROR(__xludf.DUMMYFUNCTION("IMPORTRANGE(""https://docs.google.com/spreadsheets/d/12Q_U0nVnFdxDFwa0pej9xvx8ZvLC9Dpi_vRro_aiG5g/edit?usp=sharing"",""อ่างทอง!J363"")"),0)</f>
        <v>0</v>
      </c>
      <c r="AC73" s="263">
        <f t="shared" ca="1" si="45"/>
        <v>0</v>
      </c>
      <c r="AD73" s="287">
        <f ca="1">IFERROR(__xludf.DUMMYFUNCTION("IMPORTRANGE(""https://docs.google.com/spreadsheets/d/12Q_U0nVnFdxDFwa0pej9xvx8ZvLC9Dpi_vRro_aiG5g/edit?usp=sharing"",""อ่างทอง!I364"")"),0)</f>
        <v>0</v>
      </c>
      <c r="AE73" s="287">
        <f ca="1">IFERROR(__xludf.DUMMYFUNCTION("IMPORTRANGE(""https://docs.google.com/spreadsheets/d/12Q_U0nVnFdxDFwa0pej9xvx8ZvLC9Dpi_vRro_aiG5g/edit?usp=sharing"",""อ่างทอง!J364"")"),0)</f>
        <v>0</v>
      </c>
      <c r="AF73" s="263">
        <f t="shared" ca="1" si="16"/>
        <v>0</v>
      </c>
      <c r="AG73" s="287">
        <f ca="1">IFERROR(__xludf.DUMMYFUNCTION("IMPORTRANGE(""https://docs.google.com/spreadsheets/d/12Q_U0nVnFdxDFwa0pej9xvx8ZvLC9Dpi_vRro_aiG5g/edit?usp=sharing"",""อ่างทอง!I369"")"),0)</f>
        <v>0</v>
      </c>
      <c r="AH73" s="287">
        <f ca="1">IFERROR(__xludf.DUMMYFUNCTION("IMPORTRANGE(""https://docs.google.com/spreadsheets/d/12Q_U0nVnFdxDFwa0pej9xvx8ZvLC9Dpi_vRro_aiG5g/edit?usp=sharing"",""อ่างทอง!J368"")"),0)</f>
        <v>0</v>
      </c>
      <c r="AI73" s="287">
        <f ca="1">IFERROR(__xludf.DUMMYFUNCTION("IMPORTRANGE(""https://docs.google.com/spreadsheets/d/12Q_U0nVnFdxDFwa0pej9xvx8ZvLC9Dpi_vRro_aiG5g/edit?usp=sharing"",""อ่างทอง!J369"")"),0)</f>
        <v>0</v>
      </c>
      <c r="AJ73" s="263">
        <f t="shared" ca="1" si="46"/>
        <v>0</v>
      </c>
      <c r="AK73" s="287">
        <f ca="1">IFERROR(__xludf.DUMMYFUNCTION("IMPORTRANGE(""https://docs.google.com/spreadsheets/d/12Q_U0nVnFdxDFwa0pej9xvx8ZvLC9Dpi_vRro_aiG5g/edit?usp=sharing"",""อ่างทอง!I370"")"),0)</f>
        <v>0</v>
      </c>
      <c r="AL73" s="287">
        <f ca="1">IFERROR(__xludf.DUMMYFUNCTION("IMPORTRANGE(""https://docs.google.com/spreadsheets/d/12Q_U0nVnFdxDFwa0pej9xvx8ZvLC9Dpi_vRro_aiG5g/edit?usp=sharing"",""อ่างทอง!J370"")"),0)</f>
        <v>0</v>
      </c>
      <c r="AM73" s="287">
        <f ca="1">IFERROR(__xludf.DUMMYFUNCTION("IMPORTRANGE(""https://docs.google.com/spreadsheets/d/12Q_U0nVnFdxDFwa0pej9xvx8ZvLC9Dpi_vRro_aiG5g/edit?usp=sharing"",""อ่างทอง!J371"")"),0)</f>
        <v>0</v>
      </c>
      <c r="AN73" s="263">
        <f t="shared" ca="1" si="47"/>
        <v>0</v>
      </c>
      <c r="AO73" s="287">
        <f ca="1">IFERROR(__xludf.DUMMYFUNCTION("IMPORTRANGE(""https://docs.google.com/spreadsheets/d/12Q_U0nVnFdxDFwa0pej9xvx8ZvLC9Dpi_vRro_aiG5g/edit?usp=sharing"",""อ่างทอง!I372"")"),0)</f>
        <v>0</v>
      </c>
      <c r="AP73" s="287">
        <f ca="1">IFERROR(__xludf.DUMMYFUNCTION("IMPORTRANGE(""https://docs.google.com/spreadsheets/d/12Q_U0nVnFdxDFwa0pej9xvx8ZvLC9Dpi_vRro_aiG5g/edit?usp=sharing"",""อ่างทอง!J372"")"),0)</f>
        <v>0</v>
      </c>
      <c r="AQ73" s="287">
        <f ca="1">IFERROR(__xludf.DUMMYFUNCTION("IMPORTRANGE(""https://docs.google.com/spreadsheets/d/12Q_U0nVnFdxDFwa0pej9xvx8ZvLC9Dpi_vRro_aiG5g/edit?usp=sharing"",""อ่างทอง!J373"")"),0)</f>
        <v>0</v>
      </c>
      <c r="AR73" s="263">
        <f t="shared" ca="1" si="48"/>
        <v>0</v>
      </c>
      <c r="AS73" s="287">
        <f ca="1">IFERROR(__xludf.DUMMYFUNCTION("IMPORTRANGE(""https://docs.google.com/spreadsheets/d/12Q_U0nVnFdxDFwa0pej9xvx8ZvLC9Dpi_vRro_aiG5g/edit?usp=sharing"",""อ่างทอง!I378"")"),0)</f>
        <v>0</v>
      </c>
      <c r="AT73" s="287">
        <f ca="1">IFERROR(__xludf.DUMMYFUNCTION("IMPORTRANGE(""https://docs.google.com/spreadsheets/d/12Q_U0nVnFdxDFwa0pej9xvx8ZvLC9Dpi_vRro_aiG5g/edit?usp=sharing"",""อ่างทอง!J377"")"),0)</f>
        <v>0</v>
      </c>
      <c r="AU73" s="287">
        <f ca="1">IFERROR(__xludf.DUMMYFUNCTION("IMPORTRANGE(""https://docs.google.com/spreadsheets/d/12Q_U0nVnFdxDFwa0pej9xvx8ZvLC9Dpi_vRro_aiG5g/edit?usp=sharing"",""อ่างทอง!J378"")"),0)</f>
        <v>0</v>
      </c>
      <c r="AV73" s="263">
        <f t="shared" ca="1" si="49"/>
        <v>0</v>
      </c>
      <c r="AW73" s="287">
        <f ca="1">IFERROR(__xludf.DUMMYFUNCTION("IMPORTRANGE(""https://docs.google.com/spreadsheets/d/12Q_U0nVnFdxDFwa0pej9xvx8ZvLC9Dpi_vRro_aiG5g/edit?usp=sharing"",""อ่างทอง!I379"")"),0)</f>
        <v>0</v>
      </c>
      <c r="AX73" s="287">
        <f ca="1">IFERROR(__xludf.DUMMYFUNCTION("IMPORTRANGE(""https://docs.google.com/spreadsheets/d/12Q_U0nVnFdxDFwa0pej9xvx8ZvLC9Dpi_vRro_aiG5g/edit?usp=sharing"",""อ่างทอง!J379"")"),0)</f>
        <v>0</v>
      </c>
      <c r="AY73" s="287">
        <f ca="1">IFERROR(__xludf.DUMMYFUNCTION("IMPORTRANGE(""https://docs.google.com/spreadsheets/d/12Q_U0nVnFdxDFwa0pej9xvx8ZvLC9Dpi_vRro_aiG5g/edit?usp=sharing"",""อ่างทอง!J380"")"),0)</f>
        <v>0</v>
      </c>
      <c r="AZ73" s="263">
        <f t="shared" ca="1" si="50"/>
        <v>0</v>
      </c>
      <c r="BA73" s="287">
        <f ca="1">IFERROR(__xludf.DUMMYFUNCTION("IMPORTRANGE(""https://docs.google.com/spreadsheets/d/12Q_U0nVnFdxDFwa0pej9xvx8ZvLC9Dpi_vRro_aiG5g/edit?usp=sharing"",""อ่างทอง!I381"")"),0)</f>
        <v>0</v>
      </c>
      <c r="BB73" s="287">
        <f ca="1">IFERROR(__xludf.DUMMYFUNCTION("IMPORTRANGE(""https://docs.google.com/spreadsheets/d/12Q_U0nVnFdxDFwa0pej9xvx8ZvLC9Dpi_vRro_aiG5g/edit?usp=sharing"",""อ่างทอง!J381"")"),0)</f>
        <v>0</v>
      </c>
      <c r="BC73" s="287">
        <f ca="1">IFERROR(__xludf.DUMMYFUNCTION("IMPORTRANGE(""https://docs.google.com/spreadsheets/d/12Q_U0nVnFdxDFwa0pej9xvx8ZvLC9Dpi_vRro_aiG5g/edit?usp=sharing"",""อ่างทอง!J382"")"),0)</f>
        <v>0</v>
      </c>
      <c r="BD73" s="263">
        <f t="shared" ca="1" si="51"/>
        <v>0</v>
      </c>
    </row>
    <row r="74" spans="1:56" ht="21" customHeight="1" x14ac:dyDescent="0.3">
      <c r="A74" s="442" t="s">
        <v>96</v>
      </c>
      <c r="B74" s="414"/>
      <c r="C74" s="224">
        <f t="shared" ca="1" si="0"/>
        <v>10140670</v>
      </c>
      <c r="D74" s="224">
        <f t="shared" ref="D74:I74" ca="1" si="89">SUM(D75:D88)</f>
        <v>8808470</v>
      </c>
      <c r="E74" s="224">
        <f t="shared" ca="1" si="89"/>
        <v>3620400</v>
      </c>
      <c r="F74" s="224">
        <f t="shared" ca="1" si="89"/>
        <v>5188070</v>
      </c>
      <c r="G74" s="224">
        <f t="shared" ca="1" si="89"/>
        <v>1332200</v>
      </c>
      <c r="H74" s="224">
        <f t="shared" ca="1" si="89"/>
        <v>10286570</v>
      </c>
      <c r="I74" s="224">
        <f t="shared" ca="1" si="89"/>
        <v>1347210</v>
      </c>
      <c r="J74" s="224">
        <f t="shared" ca="1" si="3"/>
        <v>9978091.5000000019</v>
      </c>
      <c r="K74" s="225">
        <f t="shared" ca="1" si="4"/>
        <v>98.39676766919743</v>
      </c>
      <c r="L74" s="224">
        <f ca="1">SUM(L75:L88)</f>
        <v>8630881.5000000019</v>
      </c>
      <c r="M74" s="226">
        <f t="shared" ca="1" si="5"/>
        <v>97.983889370117652</v>
      </c>
      <c r="N74" s="226">
        <f t="shared" ca="1" si="6"/>
        <v>83.904367539422779</v>
      </c>
      <c r="O74" s="227">
        <f ca="1">SUM(O75:O88)</f>
        <v>1347210</v>
      </c>
      <c r="P74" s="226">
        <f t="shared" ca="1" si="53"/>
        <v>101.12670770154631</v>
      </c>
      <c r="Q74" s="226">
        <f t="shared" ca="1" si="8"/>
        <v>100</v>
      </c>
      <c r="R74" s="224">
        <f t="shared" ref="R74:T74" ca="1" si="90">SUM(R75:R88)</f>
        <v>20194</v>
      </c>
      <c r="S74" s="224">
        <f t="shared" ca="1" si="90"/>
        <v>2663</v>
      </c>
      <c r="T74" s="224">
        <f t="shared" ca="1" si="90"/>
        <v>22757.029999999995</v>
      </c>
      <c r="U74" s="226">
        <f t="shared" ca="1" si="43"/>
        <v>112.69203723878377</v>
      </c>
      <c r="V74" s="224">
        <f t="shared" ref="V74:X74" ca="1" si="91">SUM(V75:V88)</f>
        <v>2225</v>
      </c>
      <c r="W74" s="224">
        <f t="shared" ca="1" si="91"/>
        <v>2327</v>
      </c>
      <c r="X74" s="224">
        <f t="shared" ca="1" si="91"/>
        <v>21665.359999999997</v>
      </c>
      <c r="Y74" s="226">
        <f t="shared" ca="1" si="44"/>
        <v>104.58426966292134</v>
      </c>
      <c r="Z74" s="224">
        <f t="shared" ref="Z74:AB74" ca="1" si="92">SUM(Z75:Z88)</f>
        <v>2225</v>
      </c>
      <c r="AA74" s="224">
        <f t="shared" ca="1" si="92"/>
        <v>1683</v>
      </c>
      <c r="AB74" s="224">
        <f t="shared" ca="1" si="92"/>
        <v>15105.79999999999</v>
      </c>
      <c r="AC74" s="226">
        <f t="shared" ca="1" si="45"/>
        <v>75.640449438202253</v>
      </c>
      <c r="AD74" s="224">
        <f t="shared" ref="AD74:AE74" ca="1" si="93">SUM(AD75:AD88)</f>
        <v>4350</v>
      </c>
      <c r="AE74" s="224">
        <f t="shared" ca="1" si="93"/>
        <v>4512</v>
      </c>
      <c r="AF74" s="226">
        <f t="shared" ca="1" si="16"/>
        <v>103.72413793103448</v>
      </c>
      <c r="AG74" s="224">
        <f t="shared" ref="AG74:AI74" ca="1" si="94">SUM(AG75:AG88)</f>
        <v>8983</v>
      </c>
      <c r="AH74" s="224">
        <f t="shared" ca="1" si="94"/>
        <v>1098</v>
      </c>
      <c r="AI74" s="224">
        <f t="shared" ca="1" si="94"/>
        <v>9436.35</v>
      </c>
      <c r="AJ74" s="226">
        <f t="shared" ca="1" si="46"/>
        <v>105.04675498163198</v>
      </c>
      <c r="AK74" s="224">
        <f t="shared" ref="AK74:AM74" ca="1" si="95">SUM(AK75:AK88)</f>
        <v>996</v>
      </c>
      <c r="AL74" s="224">
        <f t="shared" ca="1" si="95"/>
        <v>1093</v>
      </c>
      <c r="AM74" s="224">
        <f t="shared" ca="1" si="95"/>
        <v>11028.640000000003</v>
      </c>
      <c r="AN74" s="226">
        <f t="shared" ca="1" si="47"/>
        <v>109.73895582329317</v>
      </c>
      <c r="AO74" s="224">
        <f t="shared" ref="AO74:AQ74" ca="1" si="96">SUM(AO75:AO88)</f>
        <v>996</v>
      </c>
      <c r="AP74" s="224">
        <f t="shared" ca="1" si="96"/>
        <v>901</v>
      </c>
      <c r="AQ74" s="224">
        <f t="shared" ca="1" si="96"/>
        <v>8296.7200000000012</v>
      </c>
      <c r="AR74" s="226">
        <f t="shared" ca="1" si="48"/>
        <v>90.46184738955823</v>
      </c>
      <c r="AS74" s="224">
        <f t="shared" ref="AS74:AU74" ca="1" si="97">SUM(AS75:AS88)</f>
        <v>11211</v>
      </c>
      <c r="AT74" s="224">
        <f t="shared" ca="1" si="97"/>
        <v>1565</v>
      </c>
      <c r="AU74" s="224">
        <f t="shared" ca="1" si="97"/>
        <v>13320.68</v>
      </c>
      <c r="AV74" s="226">
        <f t="shared" ca="1" si="49"/>
        <v>118.81794665953082</v>
      </c>
      <c r="AW74" s="224">
        <f t="shared" ref="AW74:AY74" ca="1" si="98">SUM(AW75:AW88)</f>
        <v>3354</v>
      </c>
      <c r="AX74" s="224">
        <f t="shared" ca="1" si="98"/>
        <v>4084</v>
      </c>
      <c r="AY74" s="224">
        <f t="shared" ca="1" si="98"/>
        <v>47187.169999999896</v>
      </c>
      <c r="AZ74" s="226">
        <f t="shared" ca="1" si="50"/>
        <v>121.76505664877757</v>
      </c>
      <c r="BA74" s="224">
        <f t="shared" ref="BA74:BC74" ca="1" si="99">SUM(BA75:BA88)</f>
        <v>3354</v>
      </c>
      <c r="BB74" s="224">
        <f t="shared" ca="1" si="99"/>
        <v>3611</v>
      </c>
      <c r="BC74" s="224">
        <f t="shared" ca="1" si="99"/>
        <v>42992.599999999991</v>
      </c>
      <c r="BD74" s="226">
        <f t="shared" ca="1" si="51"/>
        <v>107.66249254621347</v>
      </c>
    </row>
    <row r="75" spans="1:56" ht="21" customHeight="1" x14ac:dyDescent="0.3">
      <c r="A75" s="243">
        <v>1</v>
      </c>
      <c r="B75" s="244" t="s">
        <v>97</v>
      </c>
      <c r="C75" s="245">
        <f t="shared" ca="1" si="0"/>
        <v>833700</v>
      </c>
      <c r="D75" s="246">
        <f t="shared" ref="D75:D88" ca="1" si="100">+E75+F75</f>
        <v>735900</v>
      </c>
      <c r="E75" s="247">
        <f ca="1">IFERROR(__xludf.DUMMYFUNCTION("IMPORTRANGE(""https://docs.google.com/spreadsheets/d/1MeEWN-I1oV_STSDYn1IFDPWt_1FKiwhDph83XaGc0o0/edit?usp=sharing"",""งบพรบ!EX75"")"),315600)</f>
        <v>315600</v>
      </c>
      <c r="F75" s="247">
        <f ca="1">IFERROR(__xludf.DUMMYFUNCTION("IMPORTRANGE(""https://docs.google.com/spreadsheets/d/1MeEWN-I1oV_STSDYn1IFDPWt_1FKiwhDph83XaGc0o0/edit?usp=sharing"",""งบพรบ!EY75"")"),420300)</f>
        <v>420300</v>
      </c>
      <c r="G75" s="247">
        <f ca="1">IFERROR(__xludf.DUMMYFUNCTION("IMPORTRANGE(""https://docs.google.com/spreadsheets/d/1MeEWN-I1oV_STSDYn1IFDPWt_1FKiwhDph83XaGc0o0/edit?usp=sharing"",""งบพรบ!EZ75"")"),97800)</f>
        <v>97800</v>
      </c>
      <c r="H75" s="247">
        <f ca="1">IFERROR(__xludf.DUMMYFUNCTION("IMPORTRANGE(""https://docs.google.com/spreadsheets/d/1MeEWN-I1oV_STSDYn1IFDPWt_1FKiwhDph83XaGc0o0/edit?usp=sharing"",""งบพรบ!FB75"")"),805900)</f>
        <v>805900</v>
      </c>
      <c r="I75" s="247">
        <f ca="1">IFERROR(__xludf.DUMMYFUNCTION("IMPORTRANGE(""https://docs.google.com/spreadsheets/d/1MeEWN-I1oV_STSDYn1IFDPWt_1FKiwhDph83XaGc0o0/edit?usp=sharing"",""งบพรบ!FC75"")"),93010)</f>
        <v>93010</v>
      </c>
      <c r="J75" s="247">
        <f t="shared" ca="1" si="3"/>
        <v>706759.89</v>
      </c>
      <c r="K75" s="253">
        <f t="shared" ca="1" si="4"/>
        <v>84.77388629003238</v>
      </c>
      <c r="L75" s="247">
        <f ca="1">IFERROR(__xludf.DUMMYFUNCTION("IMPORTRANGE(""https://docs.google.com/spreadsheets/d/1MeEWN-I1oV_STSDYn1IFDPWt_1FKiwhDph83XaGc0o0/edit?usp=sharing"",""งบพรบ!FD75"")"),613749.89)</f>
        <v>613749.89</v>
      </c>
      <c r="M75" s="250">
        <f t="shared" ca="1" si="5"/>
        <v>83.401262399782581</v>
      </c>
      <c r="N75" s="250">
        <f t="shared" ca="1" si="6"/>
        <v>76.157077801216033</v>
      </c>
      <c r="O75" s="251">
        <f ca="1">IFERROR(__xludf.DUMMYFUNCTION("IMPORTRANGE(""https://docs.google.com/spreadsheets/d/1MeEWN-I1oV_STSDYn1IFDPWt_1FKiwhDph83XaGc0o0/edit?usp=sharing"",""งบพรบ!FE75"")"),93010)</f>
        <v>93010</v>
      </c>
      <c r="P75" s="250">
        <f t="shared" ca="1" si="53"/>
        <v>95.102249488752562</v>
      </c>
      <c r="Q75" s="250">
        <f t="shared" ca="1" si="8"/>
        <v>100</v>
      </c>
      <c r="R75" s="248">
        <f ca="1">IFERROR(__xludf.DUMMYFUNCTION("IMPORTRANGE(""https://docs.google.com/spreadsheets/d/1kC41EOXpGBFOW658Fs3oD8beYlym0-zO54WY-2Qnp9I/edit?usp=sharing"",""กระบี่!I359"")"),2100)</f>
        <v>2100</v>
      </c>
      <c r="S75" s="248">
        <f ca="1">IFERROR(__xludf.DUMMYFUNCTION("IMPORTRANGE(""https://docs.google.com/spreadsheets/d/1kC41EOXpGBFOW658Fs3oD8beYlym0-zO54WY-2Qnp9I/edit?usp=sharing"",""กระบี่!J358"")"),272)</f>
        <v>272</v>
      </c>
      <c r="T75" s="248">
        <f ca="1">IFERROR(__xludf.DUMMYFUNCTION("IMPORTRANGE(""https://docs.google.com/spreadsheets/d/1kC41EOXpGBFOW658Fs3oD8beYlym0-zO54WY-2Qnp9I/edit?usp=sharing"",""กระบี่!J359"")"),2944.58)</f>
        <v>2944.58</v>
      </c>
      <c r="U75" s="252">
        <f t="shared" ca="1" si="43"/>
        <v>140.21809523809523</v>
      </c>
      <c r="V75" s="248">
        <f ca="1">IFERROR(__xludf.DUMMYFUNCTION("IMPORTRANGE(""https://docs.google.com/spreadsheets/d/1kC41EOXpGBFOW658Fs3oD8beYlym0-zO54WY-2Qnp9I/edit?usp=sharing"",""กระบี่!I360"")"),210)</f>
        <v>210</v>
      </c>
      <c r="W75" s="248">
        <f ca="1">IFERROR(__xludf.DUMMYFUNCTION("IMPORTRANGE(""https://docs.google.com/spreadsheets/d/1kC41EOXpGBFOW658Fs3oD8beYlym0-zO54WY-2Qnp9I/edit?usp=sharing"",""กระบี่!J360"")"),305)</f>
        <v>305</v>
      </c>
      <c r="X75" s="248">
        <f ca="1">IFERROR(__xludf.DUMMYFUNCTION("IMPORTRANGE(""https://docs.google.com/spreadsheets/d/1kC41EOXpGBFOW658Fs3oD8beYlym0-zO54WY-2Qnp9I/edit?usp=sharing"",""กระบี่!J361"")"),5063.13)</f>
        <v>5063.13</v>
      </c>
      <c r="Y75" s="252">
        <f t="shared" ca="1" si="44"/>
        <v>145.23809523809524</v>
      </c>
      <c r="Z75" s="248">
        <f ca="1">IFERROR(__xludf.DUMMYFUNCTION("IMPORTRANGE(""https://docs.google.com/spreadsheets/d/1kC41EOXpGBFOW658Fs3oD8beYlym0-zO54WY-2Qnp9I/edit?usp=sharing"",""กระบี่!I362"")"),210)</f>
        <v>210</v>
      </c>
      <c r="AA75" s="248">
        <f ca="1">IFERROR(__xludf.DUMMYFUNCTION("IMPORTRANGE(""https://docs.google.com/spreadsheets/d/1kC41EOXpGBFOW658Fs3oD8beYlym0-zO54WY-2Qnp9I/edit?usp=sharing"",""กระบี่!J362"")"),200)</f>
        <v>200</v>
      </c>
      <c r="AB75" s="248">
        <f ca="1">IFERROR(__xludf.DUMMYFUNCTION("IMPORTRANGE(""https://docs.google.com/spreadsheets/d/1kC41EOXpGBFOW658Fs3oD8beYlym0-zO54WY-2Qnp9I/edit?usp=sharing"",""กระบี่!J363"")"),3536.26)</f>
        <v>3536.26</v>
      </c>
      <c r="AC75" s="252">
        <f t="shared" ca="1" si="45"/>
        <v>95.238095238095241</v>
      </c>
      <c r="AD75" s="248">
        <f ca="1">IFERROR(__xludf.DUMMYFUNCTION("IMPORTRANGE(""https://docs.google.com/spreadsheets/d/1kC41EOXpGBFOW658Fs3oD8beYlym0-zO54WY-2Qnp9I/edit?usp=sharing"",""กระบี่!I364"")"),270)</f>
        <v>270</v>
      </c>
      <c r="AE75" s="248">
        <f ca="1">IFERROR(__xludf.DUMMYFUNCTION("IMPORTRANGE(""https://docs.google.com/spreadsheets/d/1kC41EOXpGBFOW658Fs3oD8beYlym0-zO54WY-2Qnp9I/edit?usp=sharing"",""กระบี่!J364"")"),471)</f>
        <v>471</v>
      </c>
      <c r="AF75" s="252">
        <f t="shared" ca="1" si="16"/>
        <v>174.44444444444446</v>
      </c>
      <c r="AG75" s="248">
        <f ca="1">IFERROR(__xludf.DUMMYFUNCTION("IMPORTRANGE(""https://docs.google.com/spreadsheets/d/1kC41EOXpGBFOW658Fs3oD8beYlym0-zO54WY-2Qnp9I/edit?usp=sharing"",""กระบี่!I369"")"),1300)</f>
        <v>1300</v>
      </c>
      <c r="AH75" s="248">
        <f ca="1">IFERROR(__xludf.DUMMYFUNCTION("IMPORTRANGE(""https://docs.google.com/spreadsheets/d/1kC41EOXpGBFOW658Fs3oD8beYlym0-zO54WY-2Qnp9I/edit?usp=sharing"",""กระบี่!J368"")"),137)</f>
        <v>137</v>
      </c>
      <c r="AI75" s="248">
        <f ca="1">IFERROR(__xludf.DUMMYFUNCTION("IMPORTRANGE(""https://docs.google.com/spreadsheets/d/1kC41EOXpGBFOW658Fs3oD8beYlym0-zO54WY-2Qnp9I/edit?usp=sharing"",""กระบี่!J369"")"),1601.96)</f>
        <v>1601.96</v>
      </c>
      <c r="AJ75" s="252">
        <f t="shared" ca="1" si="46"/>
        <v>123.22769230769231</v>
      </c>
      <c r="AK75" s="248">
        <f ca="1">IFERROR(__xludf.DUMMYFUNCTION("IMPORTRANGE(""https://docs.google.com/spreadsheets/d/1kC41EOXpGBFOW658Fs3oD8beYlym0-zO54WY-2Qnp9I/edit?usp=sharing"",""กระบี่!I370"")"),130)</f>
        <v>130</v>
      </c>
      <c r="AL75" s="248">
        <f ca="1">IFERROR(__xludf.DUMMYFUNCTION("IMPORTRANGE(""https://docs.google.com/spreadsheets/d/1kC41EOXpGBFOW658Fs3oD8beYlym0-zO54WY-2Qnp9I/edit?usp=sharing"",""กระบี่!J370"")"),185)</f>
        <v>185</v>
      </c>
      <c r="AM75" s="248">
        <f ca="1">IFERROR(__xludf.DUMMYFUNCTION("IMPORTRANGE(""https://docs.google.com/spreadsheets/d/1kC41EOXpGBFOW658Fs3oD8beYlym0-zO54WY-2Qnp9I/edit?usp=sharing"",""กระบี่!J371"")"),3824.35)</f>
        <v>3824.35</v>
      </c>
      <c r="AN75" s="252">
        <f t="shared" ca="1" si="47"/>
        <v>142.30769230769232</v>
      </c>
      <c r="AO75" s="248">
        <f ca="1">IFERROR(__xludf.DUMMYFUNCTION("IMPORTRANGE(""https://docs.google.com/spreadsheets/d/1kC41EOXpGBFOW658Fs3oD8beYlym0-zO54WY-2Qnp9I/edit?usp=sharing"",""กระบี่!I372"")"),130)</f>
        <v>130</v>
      </c>
      <c r="AP75" s="248">
        <f ca="1">IFERROR(__xludf.DUMMYFUNCTION("IMPORTRANGE(""https://docs.google.com/spreadsheets/d/1kC41EOXpGBFOW658Fs3oD8beYlym0-zO54WY-2Qnp9I/edit?usp=sharing"",""กระบี่!J372"")"),138)</f>
        <v>138</v>
      </c>
      <c r="AQ75" s="248">
        <f ca="1">IFERROR(__xludf.DUMMYFUNCTION("IMPORTRANGE(""https://docs.google.com/spreadsheets/d/1kC41EOXpGBFOW658Fs3oD8beYlym0-zO54WY-2Qnp9I/edit?usp=sharing"",""กระบี่!J373"")"),2882.32)</f>
        <v>2882.32</v>
      </c>
      <c r="AR75" s="252">
        <f t="shared" ca="1" si="48"/>
        <v>106.15384615384616</v>
      </c>
      <c r="AS75" s="248">
        <f ca="1">IFERROR(__xludf.DUMMYFUNCTION("IMPORTRANGE(""https://docs.google.com/spreadsheets/d/1kC41EOXpGBFOW658Fs3oD8beYlym0-zO54WY-2Qnp9I/edit?usp=sharing"",""กระบี่!I378"")"),800)</f>
        <v>800</v>
      </c>
      <c r="AT75" s="248">
        <f ca="1">IFERROR(__xludf.DUMMYFUNCTION("IMPORTRANGE(""https://docs.google.com/spreadsheets/d/1kC41EOXpGBFOW658Fs3oD8beYlym0-zO54WY-2Qnp9I/edit?usp=sharing"",""กระบี่!J377"")"),135)</f>
        <v>135</v>
      </c>
      <c r="AU75" s="248">
        <f ca="1">IFERROR(__xludf.DUMMYFUNCTION("IMPORTRANGE(""https://docs.google.com/spreadsheets/d/1kC41EOXpGBFOW658Fs3oD8beYlym0-zO54WY-2Qnp9I/edit?usp=sharing"",""กระบี่!J378"")"),1342.62)</f>
        <v>1342.62</v>
      </c>
      <c r="AV75" s="252">
        <f t="shared" ca="1" si="49"/>
        <v>167.82749999999999</v>
      </c>
      <c r="AW75" s="248">
        <f ca="1">IFERROR(__xludf.DUMMYFUNCTION("IMPORTRANGE(""https://docs.google.com/spreadsheets/d/1kC41EOXpGBFOW658Fs3oD8beYlym0-zO54WY-2Qnp9I/edit?usp=sharing"",""กระบี่!I379"")"),140)</f>
        <v>140</v>
      </c>
      <c r="AX75" s="248">
        <f ca="1">IFERROR(__xludf.DUMMYFUNCTION("IMPORTRANGE(""https://docs.google.com/spreadsheets/d/1kC41EOXpGBFOW658Fs3oD8beYlym0-zO54WY-2Qnp9I/edit?usp=sharing"",""กระบี่!J379"")"),391)</f>
        <v>391</v>
      </c>
      <c r="AY75" s="248">
        <f ca="1">IFERROR(__xludf.DUMMYFUNCTION("IMPORTRANGE(""https://docs.google.com/spreadsheets/d/1kC41EOXpGBFOW658Fs3oD8beYlym0-zO54WY-2Qnp9I/edit?usp=sharing"",""กระบี่!J380"")"),5629.46)</f>
        <v>5629.46</v>
      </c>
      <c r="AZ75" s="252">
        <f t="shared" ca="1" si="50"/>
        <v>279.28571428571428</v>
      </c>
      <c r="BA75" s="248">
        <f ca="1">IFERROR(__xludf.DUMMYFUNCTION("IMPORTRANGE(""https://docs.google.com/spreadsheets/d/1kC41EOXpGBFOW658Fs3oD8beYlym0-zO54WY-2Qnp9I/edit?usp=sharing"",""กระบี่!I381"")"),140)</f>
        <v>140</v>
      </c>
      <c r="BB75" s="248">
        <f ca="1">IFERROR(__xludf.DUMMYFUNCTION("IMPORTRANGE(""https://docs.google.com/spreadsheets/d/1kC41EOXpGBFOW658Fs3oD8beYlym0-zO54WY-2Qnp9I/edit?usp=sharing"",""กระบี่!J381"")"),333)</f>
        <v>333</v>
      </c>
      <c r="BC75" s="248">
        <f ca="1">IFERROR(__xludf.DUMMYFUNCTION("IMPORTRANGE(""https://docs.google.com/spreadsheets/d/1kC41EOXpGBFOW658Fs3oD8beYlym0-zO54WY-2Qnp9I/edit?usp=sharing"",""กระบี่!J382"")"),5044.62)</f>
        <v>5044.62</v>
      </c>
      <c r="BD75" s="252">
        <f t="shared" ca="1" si="51"/>
        <v>237.85714285714286</v>
      </c>
    </row>
    <row r="76" spans="1:56" ht="21" customHeight="1" x14ac:dyDescent="0.3">
      <c r="A76" s="243">
        <v>2</v>
      </c>
      <c r="B76" s="244" t="s">
        <v>98</v>
      </c>
      <c r="C76" s="245">
        <f t="shared" ca="1" si="0"/>
        <v>768060</v>
      </c>
      <c r="D76" s="246">
        <f t="shared" ca="1" si="100"/>
        <v>566060</v>
      </c>
      <c r="E76" s="247">
        <f ca="1">IFERROR(__xludf.DUMMYFUNCTION("IMPORTRANGE(""https://docs.google.com/spreadsheets/d/1MeEWN-I1oV_STSDYn1IFDPWt_1FKiwhDph83XaGc0o0/edit?usp=sharing"",""งบพรบ!EX76"")"),87600)</f>
        <v>87600</v>
      </c>
      <c r="F76" s="247">
        <f ca="1">IFERROR(__xludf.DUMMYFUNCTION("IMPORTRANGE(""https://docs.google.com/spreadsheets/d/1MeEWN-I1oV_STSDYn1IFDPWt_1FKiwhDph83XaGc0o0/edit?usp=sharing"",""งบพรบ!EY76"")"),478460)</f>
        <v>478460</v>
      </c>
      <c r="G76" s="247">
        <f ca="1">IFERROR(__xludf.DUMMYFUNCTION("IMPORTRANGE(""https://docs.google.com/spreadsheets/d/1MeEWN-I1oV_STSDYn1IFDPWt_1FKiwhDph83XaGc0o0/edit?usp=sharing"",""งบพรบ!EZ76"")"),202000)</f>
        <v>202000</v>
      </c>
      <c r="H76" s="247">
        <f ca="1">IFERROR(__xludf.DUMMYFUNCTION("IMPORTRANGE(""https://docs.google.com/spreadsheets/d/1MeEWN-I1oV_STSDYn1IFDPWt_1FKiwhDph83XaGc0o0/edit?usp=sharing"",""งบพรบ!FB76"")"),809240)</f>
        <v>809240</v>
      </c>
      <c r="I76" s="247">
        <f ca="1">IFERROR(__xludf.DUMMYFUNCTION("IMPORTRANGE(""https://docs.google.com/spreadsheets/d/1MeEWN-I1oV_STSDYn1IFDPWt_1FKiwhDph83XaGc0o0/edit?usp=sharing"",""งบพรบ!FC76"")"),202000)</f>
        <v>202000</v>
      </c>
      <c r="J76" s="247">
        <f t="shared" ca="1" si="3"/>
        <v>919333.75</v>
      </c>
      <c r="K76" s="253">
        <f t="shared" ca="1" si="4"/>
        <v>119.69556414863422</v>
      </c>
      <c r="L76" s="247">
        <f ca="1">IFERROR(__xludf.DUMMYFUNCTION("IMPORTRANGE(""https://docs.google.com/spreadsheets/d/1MeEWN-I1oV_STSDYn1IFDPWt_1FKiwhDph83XaGc0o0/edit?usp=sharing"",""งบพรบ!FD76"")"),717333.75)</f>
        <v>717333.75</v>
      </c>
      <c r="M76" s="250">
        <f t="shared" ca="1" si="5"/>
        <v>126.72397802353107</v>
      </c>
      <c r="N76" s="250">
        <f t="shared" ca="1" si="6"/>
        <v>88.64289333201522</v>
      </c>
      <c r="O76" s="251">
        <f ca="1">IFERROR(__xludf.DUMMYFUNCTION("IMPORTRANGE(""https://docs.google.com/spreadsheets/d/1MeEWN-I1oV_STSDYn1IFDPWt_1FKiwhDph83XaGc0o0/edit?usp=sharing"",""งบพรบ!FE76"")"),202000)</f>
        <v>202000</v>
      </c>
      <c r="P76" s="250">
        <f t="shared" ca="1" si="53"/>
        <v>100</v>
      </c>
      <c r="Q76" s="250">
        <f t="shared" ca="1" si="8"/>
        <v>100</v>
      </c>
      <c r="R76" s="248">
        <f ca="1">IFERROR(__xludf.DUMMYFUNCTION("IMPORTRANGE(""https://docs.google.com/spreadsheets/d/1FbzMZY_f3MDiEuK7RpCQKrilJ_kpX0Wm7QBZ1L7EjIU/edit?usp=sharing"",""ชุมพร!I359"")"),2500)</f>
        <v>2500</v>
      </c>
      <c r="S76" s="248">
        <f ca="1">IFERROR(__xludf.DUMMYFUNCTION("IMPORTRANGE(""https://docs.google.com/spreadsheets/d/1FbzMZY_f3MDiEuK7RpCQKrilJ_kpX0Wm7QBZ1L7EjIU/edit?usp=sharing"",""ชุมพร!J358"")"),337)</f>
        <v>337</v>
      </c>
      <c r="T76" s="248">
        <f ca="1">IFERROR(__xludf.DUMMYFUNCTION("IMPORTRANGE(""https://docs.google.com/spreadsheets/d/1FbzMZY_f3MDiEuK7RpCQKrilJ_kpX0Wm7QBZ1L7EjIU/edit?usp=sharing"",""ชุมพร!J359"")"),3171.87)</f>
        <v>3171.87</v>
      </c>
      <c r="U76" s="252">
        <f t="shared" ca="1" si="43"/>
        <v>126.87479999999999</v>
      </c>
      <c r="V76" s="248">
        <f ca="1">IFERROR(__xludf.DUMMYFUNCTION("IMPORTRANGE(""https://docs.google.com/spreadsheets/d/1FbzMZY_f3MDiEuK7RpCQKrilJ_kpX0Wm7QBZ1L7EjIU/edit?usp=sharing"",""ชุมพร!I360"")"),280)</f>
        <v>280</v>
      </c>
      <c r="W76" s="248">
        <f ca="1">IFERROR(__xludf.DUMMYFUNCTION("IMPORTRANGE(""https://docs.google.com/spreadsheets/d/1FbzMZY_f3MDiEuK7RpCQKrilJ_kpX0Wm7QBZ1L7EjIU/edit?usp=sharing"",""ชุมพร!J360"")"),260)</f>
        <v>260</v>
      </c>
      <c r="X76" s="248">
        <f ca="1">IFERROR(__xludf.DUMMYFUNCTION("IMPORTRANGE(""https://docs.google.com/spreadsheets/d/1FbzMZY_f3MDiEuK7RpCQKrilJ_kpX0Wm7QBZ1L7EjIU/edit?usp=sharing"",""ชุมพร!J361"")"),2466.86)</f>
        <v>2466.86</v>
      </c>
      <c r="Y76" s="252">
        <f t="shared" ca="1" si="44"/>
        <v>92.857142857142861</v>
      </c>
      <c r="Z76" s="248">
        <f ca="1">IFERROR(__xludf.DUMMYFUNCTION("IMPORTRANGE(""https://docs.google.com/spreadsheets/d/1FbzMZY_f3MDiEuK7RpCQKrilJ_kpX0Wm7QBZ1L7EjIU/edit?usp=sharing"",""ชุมพร!I362"")"),280)</f>
        <v>280</v>
      </c>
      <c r="AA76" s="248">
        <f ca="1">IFERROR(__xludf.DUMMYFUNCTION("IMPORTRANGE(""https://docs.google.com/spreadsheets/d/1FbzMZY_f3MDiEuK7RpCQKrilJ_kpX0Wm7QBZ1L7EjIU/edit?usp=sharing"",""ชุมพร!J362"")"),127)</f>
        <v>127</v>
      </c>
      <c r="AB76" s="248">
        <f ca="1">IFERROR(__xludf.DUMMYFUNCTION("IMPORTRANGE(""https://docs.google.com/spreadsheets/d/1FbzMZY_f3MDiEuK7RpCQKrilJ_kpX0Wm7QBZ1L7EjIU/edit?usp=sharing"",""ชุมพร!J363"")"),1054.71)</f>
        <v>1054.71</v>
      </c>
      <c r="AC76" s="252">
        <f t="shared" ca="1" si="45"/>
        <v>45.357142857142854</v>
      </c>
      <c r="AD76" s="248">
        <f ca="1">IFERROR(__xludf.DUMMYFUNCTION("IMPORTRANGE(""https://docs.google.com/spreadsheets/d/1FbzMZY_f3MDiEuK7RpCQKrilJ_kpX0Wm7QBZ1L7EjIU/edit?usp=sharing"",""ชุมพร!I364"")"),670)</f>
        <v>670</v>
      </c>
      <c r="AE76" s="248">
        <f ca="1">IFERROR(__xludf.DUMMYFUNCTION("IMPORTRANGE(""https://docs.google.com/spreadsheets/d/1FbzMZY_f3MDiEuK7RpCQKrilJ_kpX0Wm7QBZ1L7EjIU/edit?usp=sharing"",""ชุมพร!J364"")"),629)</f>
        <v>629</v>
      </c>
      <c r="AF76" s="252">
        <f t="shared" ca="1" si="16"/>
        <v>93.880597014925371</v>
      </c>
      <c r="AG76" s="248">
        <f ca="1">IFERROR(__xludf.DUMMYFUNCTION("IMPORTRANGE(""https://docs.google.com/spreadsheets/d/1FbzMZY_f3MDiEuK7RpCQKrilJ_kpX0Wm7QBZ1L7EjIU/edit?usp=sharing"",""ชุมพร!I369"")"),1000)</f>
        <v>1000</v>
      </c>
      <c r="AH76" s="248">
        <f ca="1">IFERROR(__xludf.DUMMYFUNCTION("IMPORTRANGE(""https://docs.google.com/spreadsheets/d/1FbzMZY_f3MDiEuK7RpCQKrilJ_kpX0Wm7QBZ1L7EjIU/edit?usp=sharing"",""ชุมพร!J368"")"),108)</f>
        <v>108</v>
      </c>
      <c r="AI76" s="248">
        <f ca="1">IFERROR(__xludf.DUMMYFUNCTION("IMPORTRANGE(""https://docs.google.com/spreadsheets/d/1FbzMZY_f3MDiEuK7RpCQKrilJ_kpX0Wm7QBZ1L7EjIU/edit?usp=sharing"",""ชุมพร!J369"")"),972.82)</f>
        <v>972.82</v>
      </c>
      <c r="AJ76" s="252">
        <f t="shared" ca="1" si="46"/>
        <v>97.281999999999996</v>
      </c>
      <c r="AK76" s="248">
        <f ca="1">IFERROR(__xludf.DUMMYFUNCTION("IMPORTRANGE(""https://docs.google.com/spreadsheets/d/1FbzMZY_f3MDiEuK7RpCQKrilJ_kpX0Wm7QBZ1L7EjIU/edit?usp=sharing"",""ชุมพร!I370"")"),100)</f>
        <v>100</v>
      </c>
      <c r="AL76" s="248">
        <f ca="1">IFERROR(__xludf.DUMMYFUNCTION("IMPORTRANGE(""https://docs.google.com/spreadsheets/d/1FbzMZY_f3MDiEuK7RpCQKrilJ_kpX0Wm7QBZ1L7EjIU/edit?usp=sharing"",""ชุมพร!J370"")"),46)</f>
        <v>46</v>
      </c>
      <c r="AM76" s="248">
        <f ca="1">IFERROR(__xludf.DUMMYFUNCTION("IMPORTRANGE(""https://docs.google.com/spreadsheets/d/1FbzMZY_f3MDiEuK7RpCQKrilJ_kpX0Wm7QBZ1L7EjIU/edit?usp=sharing"",""ชุมพร!J371"")"),443.88)</f>
        <v>443.88</v>
      </c>
      <c r="AN76" s="252">
        <f t="shared" ca="1" si="47"/>
        <v>46</v>
      </c>
      <c r="AO76" s="248">
        <f ca="1">IFERROR(__xludf.DUMMYFUNCTION("IMPORTRANGE(""https://docs.google.com/spreadsheets/d/1FbzMZY_f3MDiEuK7RpCQKrilJ_kpX0Wm7QBZ1L7EjIU/edit?usp=sharing"",""ชุมพร!I372"")"),100)</f>
        <v>100</v>
      </c>
      <c r="AP76" s="248">
        <f ca="1">IFERROR(__xludf.DUMMYFUNCTION("IMPORTRANGE(""https://docs.google.com/spreadsheets/d/1FbzMZY_f3MDiEuK7RpCQKrilJ_kpX0Wm7QBZ1L7EjIU/edit?usp=sharing"",""ชุมพร!J372"")"),37)</f>
        <v>37</v>
      </c>
      <c r="AQ76" s="248">
        <f ca="1">IFERROR(__xludf.DUMMYFUNCTION("IMPORTRANGE(""https://docs.google.com/spreadsheets/d/1FbzMZY_f3MDiEuK7RpCQKrilJ_kpX0Wm7QBZ1L7EjIU/edit?usp=sharing"",""ชุมพร!J373"")"),303.3)</f>
        <v>303.3</v>
      </c>
      <c r="AR76" s="252">
        <f t="shared" ca="1" si="48"/>
        <v>37</v>
      </c>
      <c r="AS76" s="248">
        <f ca="1">IFERROR(__xludf.DUMMYFUNCTION("IMPORTRANGE(""https://docs.google.com/spreadsheets/d/1FbzMZY_f3MDiEuK7RpCQKrilJ_kpX0Wm7QBZ1L7EjIU/edit?usp=sharing"",""ชุมพร!I378"")"),1500)</f>
        <v>1500</v>
      </c>
      <c r="AT76" s="248">
        <f ca="1">IFERROR(__xludf.DUMMYFUNCTION("IMPORTRANGE(""https://docs.google.com/spreadsheets/d/1FbzMZY_f3MDiEuK7RpCQKrilJ_kpX0Wm7QBZ1L7EjIU/edit?usp=sharing"",""ชุมพร!J377"")"),229)</f>
        <v>229</v>
      </c>
      <c r="AU76" s="248">
        <f ca="1">IFERROR(__xludf.DUMMYFUNCTION("IMPORTRANGE(""https://docs.google.com/spreadsheets/d/1FbzMZY_f3MDiEuK7RpCQKrilJ_kpX0Wm7QBZ1L7EjIU/edit?usp=sharing"",""ชุมพร!J378"")"),2199.05)</f>
        <v>2199.0500000000002</v>
      </c>
      <c r="AV76" s="252">
        <f t="shared" ca="1" si="49"/>
        <v>146.60333333333335</v>
      </c>
      <c r="AW76" s="248">
        <f ca="1">IFERROR(__xludf.DUMMYFUNCTION("IMPORTRANGE(""https://docs.google.com/spreadsheets/d/1FbzMZY_f3MDiEuK7RpCQKrilJ_kpX0Wm7QBZ1L7EjIU/edit?usp=sharing"",""ชุมพร!I379"")"),570)</f>
        <v>570</v>
      </c>
      <c r="AX76" s="248">
        <f ca="1">IFERROR(__xludf.DUMMYFUNCTION("IMPORTRANGE(""https://docs.google.com/spreadsheets/d/1FbzMZY_f3MDiEuK7RpCQKrilJ_kpX0Wm7QBZ1L7EjIU/edit?usp=sharing"",""ชุมพร!J379"")"),718)</f>
        <v>718</v>
      </c>
      <c r="AY76" s="248">
        <f ca="1">IFERROR(__xludf.DUMMYFUNCTION("IMPORTRANGE(""https://docs.google.com/spreadsheets/d/1FbzMZY_f3MDiEuK7RpCQKrilJ_kpX0Wm7QBZ1L7EjIU/edit?usp=sharing"",""ชุมพร!J380"")"),9181.73)</f>
        <v>9181.73</v>
      </c>
      <c r="AZ76" s="252">
        <f t="shared" ca="1" si="50"/>
        <v>125.96491228070175</v>
      </c>
      <c r="BA76" s="248">
        <f ca="1">IFERROR(__xludf.DUMMYFUNCTION("IMPORTRANGE(""https://docs.google.com/spreadsheets/d/1FbzMZY_f3MDiEuK7RpCQKrilJ_kpX0Wm7QBZ1L7EjIU/edit?usp=sharing"",""ชุมพร!I381"")"),570)</f>
        <v>570</v>
      </c>
      <c r="BB76" s="248">
        <f ca="1">IFERROR(__xludf.DUMMYFUNCTION("IMPORTRANGE(""https://docs.google.com/spreadsheets/d/1FbzMZY_f3MDiEuK7RpCQKrilJ_kpX0Wm7QBZ1L7EjIU/edit?usp=sharing"",""ชุมพร!J381"")"),592)</f>
        <v>592</v>
      </c>
      <c r="BC76" s="248">
        <f ca="1">IFERROR(__xludf.DUMMYFUNCTION("IMPORTRANGE(""https://docs.google.com/spreadsheets/d/1FbzMZY_f3MDiEuK7RpCQKrilJ_kpX0Wm7QBZ1L7EjIU/edit?usp=sharing"",""ชุมพร!J382"")"),7882.32)</f>
        <v>7882.32</v>
      </c>
      <c r="BD76" s="252">
        <f t="shared" ca="1" si="51"/>
        <v>103.85964912280701</v>
      </c>
    </row>
    <row r="77" spans="1:56" ht="21" customHeight="1" x14ac:dyDescent="0.3">
      <c r="A77" s="243">
        <v>3</v>
      </c>
      <c r="B77" s="244" t="s">
        <v>99</v>
      </c>
      <c r="C77" s="245">
        <f t="shared" ca="1" si="0"/>
        <v>997600</v>
      </c>
      <c r="D77" s="246">
        <f t="shared" ca="1" si="100"/>
        <v>868000</v>
      </c>
      <c r="E77" s="247">
        <f ca="1">IFERROR(__xludf.DUMMYFUNCTION("IMPORTRANGE(""https://docs.google.com/spreadsheets/d/1MeEWN-I1oV_STSDYn1IFDPWt_1FKiwhDph83XaGc0o0/edit?usp=sharing"",""งบพรบ!EX77"")"),403200)</f>
        <v>403200</v>
      </c>
      <c r="F77" s="247">
        <f ca="1">IFERROR(__xludf.DUMMYFUNCTION("IMPORTRANGE(""https://docs.google.com/spreadsheets/d/1MeEWN-I1oV_STSDYn1IFDPWt_1FKiwhDph83XaGc0o0/edit?usp=sharing"",""งบพรบ!EY77"")"),464800)</f>
        <v>464800</v>
      </c>
      <c r="G77" s="247">
        <f ca="1">IFERROR(__xludf.DUMMYFUNCTION("IMPORTRANGE(""https://docs.google.com/spreadsheets/d/1MeEWN-I1oV_STSDYn1IFDPWt_1FKiwhDph83XaGc0o0/edit?usp=sharing"",""งบพรบ!EZ77"")"),129600)</f>
        <v>129600</v>
      </c>
      <c r="H77" s="247">
        <f ca="1">IFERROR(__xludf.DUMMYFUNCTION("IMPORTRANGE(""https://docs.google.com/spreadsheets/d/1MeEWN-I1oV_STSDYn1IFDPWt_1FKiwhDph83XaGc0o0/edit?usp=sharing"",""งบพรบ!FB77"")"),935800)</f>
        <v>935800</v>
      </c>
      <c r="I77" s="247">
        <f ca="1">IFERROR(__xludf.DUMMYFUNCTION("IMPORTRANGE(""https://docs.google.com/spreadsheets/d/1MeEWN-I1oV_STSDYn1IFDPWt_1FKiwhDph83XaGc0o0/edit?usp=sharing"",""งบพรบ!FC77"")"),129600)</f>
        <v>129600</v>
      </c>
      <c r="J77" s="247">
        <f t="shared" ca="1" si="3"/>
        <v>922712.07</v>
      </c>
      <c r="K77" s="253">
        <f t="shared" ca="1" si="4"/>
        <v>92.493190657578182</v>
      </c>
      <c r="L77" s="247">
        <f ca="1">IFERROR(__xludf.DUMMYFUNCTION("IMPORTRANGE(""https://docs.google.com/spreadsheets/d/1MeEWN-I1oV_STSDYn1IFDPWt_1FKiwhDph83XaGc0o0/edit?usp=sharing"",""งบพรบ!FD77"")"),793112.07)</f>
        <v>793112.07</v>
      </c>
      <c r="M77" s="250">
        <f t="shared" ca="1" si="5"/>
        <v>91.372358294930876</v>
      </c>
      <c r="N77" s="250">
        <f t="shared" ca="1" si="6"/>
        <v>84.752304979696518</v>
      </c>
      <c r="O77" s="251">
        <f ca="1">IFERROR(__xludf.DUMMYFUNCTION("IMPORTRANGE(""https://docs.google.com/spreadsheets/d/1MeEWN-I1oV_STSDYn1IFDPWt_1FKiwhDph83XaGc0o0/edit?usp=sharing"",""งบพรบ!FE77"")"),129600)</f>
        <v>129600</v>
      </c>
      <c r="P77" s="250">
        <f t="shared" ca="1" si="53"/>
        <v>100</v>
      </c>
      <c r="Q77" s="250">
        <f t="shared" ca="1" si="8"/>
        <v>100</v>
      </c>
      <c r="R77" s="248">
        <f ca="1">IFERROR(__xludf.DUMMYFUNCTION("IMPORTRANGE(""https://docs.google.com/spreadsheets/d/1v5sN-00LrXuhBxw4dkh2GrG_z4l5oAqOdJRBCsUyMaM/edit?usp=sharing"",""ตรัง!I359"")"),2700)</f>
        <v>2700</v>
      </c>
      <c r="S77" s="248">
        <f ca="1">IFERROR(__xludf.DUMMYFUNCTION("IMPORTRANGE(""https://docs.google.com/spreadsheets/d/1v5sN-00LrXuhBxw4dkh2GrG_z4l5oAqOdJRBCsUyMaM/edit?usp=sharing"",""ตรัง!J358"")"),312)</f>
        <v>312</v>
      </c>
      <c r="T77" s="248">
        <f ca="1">IFERROR(__xludf.DUMMYFUNCTION("IMPORTRANGE(""https://docs.google.com/spreadsheets/d/1v5sN-00LrXuhBxw4dkh2GrG_z4l5oAqOdJRBCsUyMaM/edit?usp=sharing"",""ตรัง!J359"")"),2458.17)</f>
        <v>2458.17</v>
      </c>
      <c r="U77" s="252">
        <f t="shared" ca="1" si="43"/>
        <v>91.043333333333337</v>
      </c>
      <c r="V77" s="248">
        <f ca="1">IFERROR(__xludf.DUMMYFUNCTION("IMPORTRANGE(""https://docs.google.com/spreadsheets/d/1v5sN-00LrXuhBxw4dkh2GrG_z4l5oAqOdJRBCsUyMaM/edit?usp=sharing"",""ตรัง!I360"")"),332)</f>
        <v>332</v>
      </c>
      <c r="W77" s="248">
        <f ca="1">IFERROR(__xludf.DUMMYFUNCTION("IMPORTRANGE(""https://docs.google.com/spreadsheets/d/1v5sN-00LrXuhBxw4dkh2GrG_z4l5oAqOdJRBCsUyMaM/edit?usp=sharing"",""ตรัง!J360"")"),156)</f>
        <v>156</v>
      </c>
      <c r="X77" s="248">
        <f ca="1">IFERROR(__xludf.DUMMYFUNCTION("IMPORTRANGE(""https://docs.google.com/spreadsheets/d/1v5sN-00LrXuhBxw4dkh2GrG_z4l5oAqOdJRBCsUyMaM/edit?usp=sharing"",""ตรัง!J361"")"),1455.26)</f>
        <v>1455.26</v>
      </c>
      <c r="Y77" s="252">
        <f t="shared" ca="1" si="44"/>
        <v>46.987951807228917</v>
      </c>
      <c r="Z77" s="248">
        <f ca="1">IFERROR(__xludf.DUMMYFUNCTION("IMPORTRANGE(""https://docs.google.com/spreadsheets/d/1v5sN-00LrXuhBxw4dkh2GrG_z4l5oAqOdJRBCsUyMaM/edit?usp=sharing"",""ตรัง!I362"")"),332)</f>
        <v>332</v>
      </c>
      <c r="AA77" s="248">
        <f ca="1">IFERROR(__xludf.DUMMYFUNCTION("IMPORTRANGE(""https://docs.google.com/spreadsheets/d/1v5sN-00LrXuhBxw4dkh2GrG_z4l5oAqOdJRBCsUyMaM/edit?usp=sharing"",""ตรัง!J362"")"),131)</f>
        <v>131</v>
      </c>
      <c r="AB77" s="248">
        <f ca="1">IFERROR(__xludf.DUMMYFUNCTION("IMPORTRANGE(""https://docs.google.com/spreadsheets/d/1v5sN-00LrXuhBxw4dkh2GrG_z4l5oAqOdJRBCsUyMaM/edit?usp=sharing"",""ตรัง!J363"")"),1265.65999999999)</f>
        <v>1265.6599999999901</v>
      </c>
      <c r="AC77" s="252">
        <f t="shared" ca="1" si="45"/>
        <v>39.457831325301207</v>
      </c>
      <c r="AD77" s="248">
        <f ca="1">IFERROR(__xludf.DUMMYFUNCTION("IMPORTRANGE(""https://docs.google.com/spreadsheets/d/1v5sN-00LrXuhBxw4dkh2GrG_z4l5oAqOdJRBCsUyMaM/edit?usp=sharing"",""ตรัง!I364"")"),502)</f>
        <v>502</v>
      </c>
      <c r="AE77" s="248">
        <f ca="1">IFERROR(__xludf.DUMMYFUNCTION("IMPORTRANGE(""https://docs.google.com/spreadsheets/d/1v5sN-00LrXuhBxw4dkh2GrG_z4l5oAqOdJRBCsUyMaM/edit?usp=sharing"",""ตรัง!J364"")"),297)</f>
        <v>297</v>
      </c>
      <c r="AF77" s="252">
        <f t="shared" ca="1" si="16"/>
        <v>59.163346613545819</v>
      </c>
      <c r="AG77" s="248">
        <f ca="1">IFERROR(__xludf.DUMMYFUNCTION("IMPORTRANGE(""https://docs.google.com/spreadsheets/d/1v5sN-00LrXuhBxw4dkh2GrG_z4l5oAqOdJRBCsUyMaM/edit?usp=sharing"",""ตรัง!I369"")"),1300)</f>
        <v>1300</v>
      </c>
      <c r="AH77" s="248">
        <f ca="1">IFERROR(__xludf.DUMMYFUNCTION("IMPORTRANGE(""https://docs.google.com/spreadsheets/d/1v5sN-00LrXuhBxw4dkh2GrG_z4l5oAqOdJRBCsUyMaM/edit?usp=sharing"",""ตรัง!J368"")"),114)</f>
        <v>114</v>
      </c>
      <c r="AI77" s="248">
        <f ca="1">IFERROR(__xludf.DUMMYFUNCTION("IMPORTRANGE(""https://docs.google.com/spreadsheets/d/1v5sN-00LrXuhBxw4dkh2GrG_z4l5oAqOdJRBCsUyMaM/edit?usp=sharing"",""ตรัง!J369"")"),1095.05)</f>
        <v>1095.05</v>
      </c>
      <c r="AJ77" s="252">
        <f t="shared" ca="1" si="46"/>
        <v>84.234615384615381</v>
      </c>
      <c r="AK77" s="248">
        <f ca="1">IFERROR(__xludf.DUMMYFUNCTION("IMPORTRANGE(""https://docs.google.com/spreadsheets/d/1v5sN-00LrXuhBxw4dkh2GrG_z4l5oAqOdJRBCsUyMaM/edit?usp=sharing"",""ตรัง!I370"")"),182)</f>
        <v>182</v>
      </c>
      <c r="AL77" s="248">
        <f ca="1">IFERROR(__xludf.DUMMYFUNCTION("IMPORTRANGE(""https://docs.google.com/spreadsheets/d/1v5sN-00LrXuhBxw4dkh2GrG_z4l5oAqOdJRBCsUyMaM/edit?usp=sharing"",""ตรัง!J370"")"),117)</f>
        <v>117</v>
      </c>
      <c r="AM77" s="248">
        <f ca="1">IFERROR(__xludf.DUMMYFUNCTION("IMPORTRANGE(""https://docs.google.com/spreadsheets/d/1v5sN-00LrXuhBxw4dkh2GrG_z4l5oAqOdJRBCsUyMaM/edit?usp=sharing"",""ตรัง!J371"")"),1182.89)</f>
        <v>1182.8900000000001</v>
      </c>
      <c r="AN77" s="252">
        <f t="shared" ca="1" si="47"/>
        <v>64.285714285714292</v>
      </c>
      <c r="AO77" s="248">
        <f ca="1">IFERROR(__xludf.DUMMYFUNCTION("IMPORTRANGE(""https://docs.google.com/spreadsheets/d/1v5sN-00LrXuhBxw4dkh2GrG_z4l5oAqOdJRBCsUyMaM/edit?usp=sharing"",""ตรัง!I372"")"),182)</f>
        <v>182</v>
      </c>
      <c r="AP77" s="248">
        <f ca="1">IFERROR(__xludf.DUMMYFUNCTION("IMPORTRANGE(""https://docs.google.com/spreadsheets/d/1v5sN-00LrXuhBxw4dkh2GrG_z4l5oAqOdJRBCsUyMaM/edit?usp=sharing"",""ตรัง!J372"")"),110)</f>
        <v>110</v>
      </c>
      <c r="AQ77" s="248">
        <f ca="1">IFERROR(__xludf.DUMMYFUNCTION("IMPORTRANGE(""https://docs.google.com/spreadsheets/d/1v5sN-00LrXuhBxw4dkh2GrG_z4l5oAqOdJRBCsUyMaM/edit?usp=sharing"",""ตรัง!J373"")"),1079.52)</f>
        <v>1079.52</v>
      </c>
      <c r="AR77" s="252">
        <f t="shared" ca="1" si="48"/>
        <v>60.439560439560438</v>
      </c>
      <c r="AS77" s="248">
        <f ca="1">IFERROR(__xludf.DUMMYFUNCTION("IMPORTRANGE(""https://docs.google.com/spreadsheets/d/1v5sN-00LrXuhBxw4dkh2GrG_z4l5oAqOdJRBCsUyMaM/edit?usp=sharing"",""ตรัง!I378"")"),1400)</f>
        <v>1400</v>
      </c>
      <c r="AT77" s="248">
        <f ca="1">IFERROR(__xludf.DUMMYFUNCTION("IMPORTRANGE(""https://docs.google.com/spreadsheets/d/1v5sN-00LrXuhBxw4dkh2GrG_z4l5oAqOdJRBCsUyMaM/edit?usp=sharing"",""ตรัง!J377"")"),198)</f>
        <v>198</v>
      </c>
      <c r="AU77" s="248">
        <f ca="1">IFERROR(__xludf.DUMMYFUNCTION("IMPORTRANGE(""https://docs.google.com/spreadsheets/d/1v5sN-00LrXuhBxw4dkh2GrG_z4l5oAqOdJRBCsUyMaM/edit?usp=sharing"",""ตรัง!J378"")"),1363.12)</f>
        <v>1363.12</v>
      </c>
      <c r="AV77" s="252">
        <f t="shared" ca="1" si="49"/>
        <v>97.36571428571429</v>
      </c>
      <c r="AW77" s="248">
        <f ca="1">IFERROR(__xludf.DUMMYFUNCTION("IMPORTRANGE(""https://docs.google.com/spreadsheets/d/1v5sN-00LrXuhBxw4dkh2GrG_z4l5oAqOdJRBCsUyMaM/edit?usp=sharing"",""ตรัง!I379"")"),320)</f>
        <v>320</v>
      </c>
      <c r="AX77" s="248">
        <f ca="1">IFERROR(__xludf.DUMMYFUNCTION("IMPORTRANGE(""https://docs.google.com/spreadsheets/d/1v5sN-00LrXuhBxw4dkh2GrG_z4l5oAqOdJRBCsUyMaM/edit?usp=sharing"",""ตรัง!J379"")"),205)</f>
        <v>205</v>
      </c>
      <c r="AY77" s="248">
        <f ca="1">IFERROR(__xludf.DUMMYFUNCTION("IMPORTRANGE(""https://docs.google.com/spreadsheets/d/1v5sN-00LrXuhBxw4dkh2GrG_z4l5oAqOdJRBCsUyMaM/edit?usp=sharing"",""ตรัง!J380"")"),2054.23)</f>
        <v>2054.23</v>
      </c>
      <c r="AZ77" s="252">
        <f t="shared" ca="1" si="50"/>
        <v>64.0625</v>
      </c>
      <c r="BA77" s="248">
        <f ca="1">IFERROR(__xludf.DUMMYFUNCTION("IMPORTRANGE(""https://docs.google.com/spreadsheets/d/1v5sN-00LrXuhBxw4dkh2GrG_z4l5oAqOdJRBCsUyMaM/edit?usp=sharing"",""ตรัง!I381"")"),320)</f>
        <v>320</v>
      </c>
      <c r="BB77" s="248">
        <f ca="1">IFERROR(__xludf.DUMMYFUNCTION("IMPORTRANGE(""https://docs.google.com/spreadsheets/d/1v5sN-00LrXuhBxw4dkh2GrG_z4l5oAqOdJRBCsUyMaM/edit?usp=sharing"",""ตรัง!J381"")"),187)</f>
        <v>187</v>
      </c>
      <c r="BC77" s="248">
        <f ca="1">IFERROR(__xludf.DUMMYFUNCTION("IMPORTRANGE(""https://docs.google.com/spreadsheets/d/1v5sN-00LrXuhBxw4dkh2GrG_z4l5oAqOdJRBCsUyMaM/edit?usp=sharing"",""ตรัง!J382"")"),1968)</f>
        <v>1968</v>
      </c>
      <c r="BD77" s="252">
        <f t="shared" ca="1" si="51"/>
        <v>58.4375</v>
      </c>
    </row>
    <row r="78" spans="1:56" ht="21" customHeight="1" x14ac:dyDescent="0.3">
      <c r="A78" s="243">
        <v>4</v>
      </c>
      <c r="B78" s="244" t="s">
        <v>100</v>
      </c>
      <c r="C78" s="245">
        <f t="shared" ca="1" si="0"/>
        <v>695090</v>
      </c>
      <c r="D78" s="246">
        <f t="shared" ca="1" si="100"/>
        <v>619090</v>
      </c>
      <c r="E78" s="247">
        <f ca="1">IFERROR(__xludf.DUMMYFUNCTION("IMPORTRANGE(""https://docs.google.com/spreadsheets/d/1MeEWN-I1oV_STSDYn1IFDPWt_1FKiwhDph83XaGc0o0/edit?usp=sharing"",""งบพรบ!EX78"")"),87600)</f>
        <v>87600</v>
      </c>
      <c r="F78" s="247">
        <f ca="1">IFERROR(__xludf.DUMMYFUNCTION("IMPORTRANGE(""https://docs.google.com/spreadsheets/d/1MeEWN-I1oV_STSDYn1IFDPWt_1FKiwhDph83XaGc0o0/edit?usp=sharing"",""งบพรบ!EY78"")"),531490)</f>
        <v>531490</v>
      </c>
      <c r="G78" s="247">
        <f ca="1">IFERROR(__xludf.DUMMYFUNCTION("IMPORTRANGE(""https://docs.google.com/spreadsheets/d/1MeEWN-I1oV_STSDYn1IFDPWt_1FKiwhDph83XaGc0o0/edit?usp=sharing"",""งบพรบ!EZ78"")"),76000)</f>
        <v>76000</v>
      </c>
      <c r="H78" s="247">
        <f ca="1">IFERROR(__xludf.DUMMYFUNCTION("IMPORTRANGE(""https://docs.google.com/spreadsheets/d/1MeEWN-I1oV_STSDYn1IFDPWt_1FKiwhDph83XaGc0o0/edit?usp=sharing"",""งบพรบ!FB78"")"),830290)</f>
        <v>830290</v>
      </c>
      <c r="I78" s="247">
        <f ca="1">IFERROR(__xludf.DUMMYFUNCTION("IMPORTRANGE(""https://docs.google.com/spreadsheets/d/1MeEWN-I1oV_STSDYn1IFDPWt_1FKiwhDph83XaGc0o0/edit?usp=sharing"",""งบพรบ!FC78"")"),75000)</f>
        <v>75000</v>
      </c>
      <c r="J78" s="247">
        <f t="shared" ca="1" si="3"/>
        <v>762811.89</v>
      </c>
      <c r="K78" s="253">
        <f t="shared" ca="1" si="4"/>
        <v>109.74289516465494</v>
      </c>
      <c r="L78" s="247">
        <f ca="1">IFERROR(__xludf.DUMMYFUNCTION("IMPORTRANGE(""https://docs.google.com/spreadsheets/d/1MeEWN-I1oV_STSDYn1IFDPWt_1FKiwhDph83XaGc0o0/edit?usp=sharing"",""งบพรบ!FD78"")"),687811.89)</f>
        <v>687811.89</v>
      </c>
      <c r="M78" s="250">
        <f t="shared" ca="1" si="5"/>
        <v>111.10046842946906</v>
      </c>
      <c r="N78" s="250">
        <f t="shared" ca="1" si="6"/>
        <v>82.839958327813179</v>
      </c>
      <c r="O78" s="251">
        <f ca="1">IFERROR(__xludf.DUMMYFUNCTION("IMPORTRANGE(""https://docs.google.com/spreadsheets/d/1MeEWN-I1oV_STSDYn1IFDPWt_1FKiwhDph83XaGc0o0/edit?usp=sharing"",""งบพรบ!FE78"")"),75000)</f>
        <v>75000</v>
      </c>
      <c r="P78" s="250">
        <f t="shared" ca="1" si="53"/>
        <v>98.684210526315795</v>
      </c>
      <c r="Q78" s="250">
        <f t="shared" ca="1" si="8"/>
        <v>100</v>
      </c>
      <c r="R78" s="248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248">
        <f ca="1">IFERROR(__xludf.DUMMYFUNCTION("IMPORTRANGE(""https://docs.google.com/spreadsheets/d/1T5rRTzFc79aSIvqnzkZNvwPstq829QYz_xALlO1Z0s8/edit?usp=sharing"",""นครศรีธรรมราช!J358"")"),350)</f>
        <v>350</v>
      </c>
      <c r="T78" s="248">
        <f ca="1">IFERROR(__xludf.DUMMYFUNCTION("IMPORTRANGE(""https://docs.google.com/spreadsheets/d/1T5rRTzFc79aSIvqnzkZNvwPstq829QYz_xALlO1Z0s8/edit?usp=sharing"",""นครศรีธรรมราช!J359"")"),2379.1)</f>
        <v>2379.1</v>
      </c>
      <c r="U78" s="252">
        <f t="shared" ca="1" si="43"/>
        <v>78.778145695364245</v>
      </c>
      <c r="V78" s="248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248">
        <f ca="1">IFERROR(__xludf.DUMMYFUNCTION("IMPORTRANGE(""https://docs.google.com/spreadsheets/d/1T5rRTzFc79aSIvqnzkZNvwPstq829QYz_xALlO1Z0s8/edit?usp=sharing"",""นครศรีธรรมราช!J360"")"),333)</f>
        <v>333</v>
      </c>
      <c r="X78" s="248">
        <f ca="1">IFERROR(__xludf.DUMMYFUNCTION("IMPORTRANGE(""https://docs.google.com/spreadsheets/d/1T5rRTzFc79aSIvqnzkZNvwPstq829QYz_xALlO1Z0s8/edit?usp=sharing"",""นครศรีธรรมราช!J361"")"),2302.72)</f>
        <v>2302.7199999999998</v>
      </c>
      <c r="Y78" s="252">
        <f t="shared" ca="1" si="44"/>
        <v>133.19999999999999</v>
      </c>
      <c r="Z78" s="248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248">
        <f ca="1">IFERROR(__xludf.DUMMYFUNCTION("IMPORTRANGE(""https://docs.google.com/spreadsheets/d/1T5rRTzFc79aSIvqnzkZNvwPstq829QYz_xALlO1Z0s8/edit?usp=sharing"",""นครศรีธรรมราช!J362"")"),247)</f>
        <v>247</v>
      </c>
      <c r="AB78" s="248">
        <f ca="1">IFERROR(__xludf.DUMMYFUNCTION("IMPORTRANGE(""https://docs.google.com/spreadsheets/d/1T5rRTzFc79aSIvqnzkZNvwPstq829QYz_xALlO1Z0s8/edit?usp=sharing"",""นครศรีธรรมราช!J363"")"),1722.69)</f>
        <v>1722.69</v>
      </c>
      <c r="AC78" s="252">
        <f t="shared" ca="1" si="45"/>
        <v>98.8</v>
      </c>
      <c r="AD78" s="248">
        <f ca="1">IFERROR(__xludf.DUMMYFUNCTION("IMPORTRANGE(""https://docs.google.com/spreadsheets/d/1T5rRTzFc79aSIvqnzkZNvwPstq829QYz_xALlO1Z0s8/edit?usp=sharing"",""นครศรีธรรมราช!I364"")"),950)</f>
        <v>950</v>
      </c>
      <c r="AE78" s="248">
        <f ca="1">IFERROR(__xludf.DUMMYFUNCTION("IMPORTRANGE(""https://docs.google.com/spreadsheets/d/1T5rRTzFc79aSIvqnzkZNvwPstq829QYz_xALlO1Z0s8/edit?usp=sharing"",""นครศรีธรรมราช!J364"")"),696)</f>
        <v>696</v>
      </c>
      <c r="AF78" s="252">
        <f t="shared" ca="1" si="16"/>
        <v>73.263157894736835</v>
      </c>
      <c r="AG78" s="248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248">
        <f ca="1">IFERROR(__xludf.DUMMYFUNCTION("IMPORTRANGE(""https://docs.google.com/spreadsheets/d/1T5rRTzFc79aSIvqnzkZNvwPstq829QYz_xALlO1Z0s8/edit?usp=sharing"",""นครศรีธรรมราช!J368"")"),178)</f>
        <v>178</v>
      </c>
      <c r="AI78" s="248">
        <f ca="1">IFERROR(__xludf.DUMMYFUNCTION("IMPORTRANGE(""https://docs.google.com/spreadsheets/d/1T5rRTzFc79aSIvqnzkZNvwPstq829QYz_xALlO1Z0s8/edit?usp=sharing"",""นครศรีธรรมราช!J369"")"),1259.25)</f>
        <v>1259.25</v>
      </c>
      <c r="AJ78" s="252">
        <f t="shared" ca="1" si="46"/>
        <v>82.84539473684211</v>
      </c>
      <c r="AK78" s="248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248">
        <f ca="1">IFERROR(__xludf.DUMMYFUNCTION("IMPORTRANGE(""https://docs.google.com/spreadsheets/d/1T5rRTzFc79aSIvqnzkZNvwPstq829QYz_xALlO1Z0s8/edit?usp=sharing"",""นครศรีธรรมราช!J370"")"),182)</f>
        <v>182</v>
      </c>
      <c r="AM78" s="248">
        <f ca="1">IFERROR(__xludf.DUMMYFUNCTION("IMPORTRANGE(""https://docs.google.com/spreadsheets/d/1T5rRTzFc79aSIvqnzkZNvwPstq829QYz_xALlO1Z0s8/edit?usp=sharing"",""นครศรีธรรมราช!J371"")"),1328.42)</f>
        <v>1328.42</v>
      </c>
      <c r="AN78" s="252">
        <f t="shared" ca="1" si="47"/>
        <v>121.33333333333333</v>
      </c>
      <c r="AO78" s="248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248">
        <f ca="1">IFERROR(__xludf.DUMMYFUNCTION("IMPORTRANGE(""https://docs.google.com/spreadsheets/d/1T5rRTzFc79aSIvqnzkZNvwPstq829QYz_xALlO1Z0s8/edit?usp=sharing"",""นครศรีธรรมราช!J372"")"),186)</f>
        <v>186</v>
      </c>
      <c r="AQ78" s="248">
        <f ca="1">IFERROR(__xludf.DUMMYFUNCTION("IMPORTRANGE(""https://docs.google.com/spreadsheets/d/1T5rRTzFc79aSIvqnzkZNvwPstq829QYz_xALlO1Z0s8/edit?usp=sharing"",""นครศรีธรรมราช!J373"")"),1342.55)</f>
        <v>1342.55</v>
      </c>
      <c r="AR78" s="252">
        <f t="shared" ca="1" si="48"/>
        <v>124</v>
      </c>
      <c r="AS78" s="248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248">
        <f ca="1">IFERROR(__xludf.DUMMYFUNCTION("IMPORTRANGE(""https://docs.google.com/spreadsheets/d/1T5rRTzFc79aSIvqnzkZNvwPstq829QYz_xALlO1Z0s8/edit?usp=sharing"",""นครศรีธรรมราช!J377"")"),172)</f>
        <v>172</v>
      </c>
      <c r="AU78" s="248">
        <f ca="1">IFERROR(__xludf.DUMMYFUNCTION("IMPORTRANGE(""https://docs.google.com/spreadsheets/d/1T5rRTzFc79aSIvqnzkZNvwPstq829QYz_xALlO1Z0s8/edit?usp=sharing"",""นครศรีธรรมราช!J378"")"),1119.85)</f>
        <v>1119.8499999999999</v>
      </c>
      <c r="AV78" s="252">
        <f t="shared" ca="1" si="49"/>
        <v>74.656666666666652</v>
      </c>
      <c r="AW78" s="248">
        <f ca="1">IFERROR(__xludf.DUMMYFUNCTION("IMPORTRANGE(""https://docs.google.com/spreadsheets/d/1T5rRTzFc79aSIvqnzkZNvwPstq829QYz_xALlO1Z0s8/edit?usp=sharing"",""นครศรีธรรมราช!I379"")"),800)</f>
        <v>800</v>
      </c>
      <c r="AX78" s="248">
        <f ca="1">IFERROR(__xludf.DUMMYFUNCTION("IMPORTRANGE(""https://docs.google.com/spreadsheets/d/1T5rRTzFc79aSIvqnzkZNvwPstq829QYz_xALlO1Z0s8/edit?usp=sharing"",""นครศรีธรรมราช!J379"")"),600)</f>
        <v>600</v>
      </c>
      <c r="AY78" s="248">
        <f ca="1">IFERROR(__xludf.DUMMYFUNCTION("IMPORTRANGE(""https://docs.google.com/spreadsheets/d/1T5rRTzFc79aSIvqnzkZNvwPstq829QYz_xALlO1Z0s8/edit?usp=sharing"",""นครศรีธรรมราช!J380"")"),5529.84)</f>
        <v>5529.84</v>
      </c>
      <c r="AZ78" s="252">
        <f t="shared" ca="1" si="50"/>
        <v>75</v>
      </c>
      <c r="BA78" s="248">
        <f ca="1">IFERROR(__xludf.DUMMYFUNCTION("IMPORTRANGE(""https://docs.google.com/spreadsheets/d/1T5rRTzFc79aSIvqnzkZNvwPstq829QYz_xALlO1Z0s8/edit?usp=sharing"",""นครศรีธรรมราช!I381"")"),800)</f>
        <v>800</v>
      </c>
      <c r="BB78" s="248">
        <f ca="1">IFERROR(__xludf.DUMMYFUNCTION("IMPORTRANGE(""https://docs.google.com/spreadsheets/d/1T5rRTzFc79aSIvqnzkZNvwPstq829QYz_xALlO1Z0s8/edit?usp=sharing"",""นครศรีธรรมราช!J381"")"),510)</f>
        <v>510</v>
      </c>
      <c r="BC78" s="248">
        <f ca="1">IFERROR(__xludf.DUMMYFUNCTION("IMPORTRANGE(""https://docs.google.com/spreadsheets/d/1T5rRTzFc79aSIvqnzkZNvwPstq829QYz_xALlO1Z0s8/edit?usp=sharing"",""นครศรีธรรมราช!J382"")"),4935.68)</f>
        <v>4935.68</v>
      </c>
      <c r="BD78" s="252">
        <f t="shared" ca="1" si="51"/>
        <v>63.75</v>
      </c>
    </row>
    <row r="79" spans="1:56" ht="21" customHeight="1" x14ac:dyDescent="0.3">
      <c r="A79" s="243">
        <v>5</v>
      </c>
      <c r="B79" s="244" t="s">
        <v>101</v>
      </c>
      <c r="C79" s="245">
        <f t="shared" ca="1" si="0"/>
        <v>396570</v>
      </c>
      <c r="D79" s="246">
        <f t="shared" ca="1" si="100"/>
        <v>305770</v>
      </c>
      <c r="E79" s="247">
        <f ca="1">IFERROR(__xludf.DUMMYFUNCTION("IMPORTRANGE(""https://docs.google.com/spreadsheets/d/1MeEWN-I1oV_STSDYn1IFDPWt_1FKiwhDph83XaGc0o0/edit?usp=sharing"",""งบพรบ!EX79"")"),87600)</f>
        <v>87600</v>
      </c>
      <c r="F79" s="247">
        <f ca="1">IFERROR(__xludf.DUMMYFUNCTION("IMPORTRANGE(""https://docs.google.com/spreadsheets/d/1MeEWN-I1oV_STSDYn1IFDPWt_1FKiwhDph83XaGc0o0/edit?usp=sharing"",""งบพรบ!EY79"")"),218170)</f>
        <v>218170</v>
      </c>
      <c r="G79" s="247">
        <f ca="1">IFERROR(__xludf.DUMMYFUNCTION("IMPORTRANGE(""https://docs.google.com/spreadsheets/d/1MeEWN-I1oV_STSDYn1IFDPWt_1FKiwhDph83XaGc0o0/edit?usp=sharing"",""งบพรบ!EZ79"")"),90800)</f>
        <v>90800</v>
      </c>
      <c r="H79" s="247">
        <f ca="1">IFERROR(__xludf.DUMMYFUNCTION("IMPORTRANGE(""https://docs.google.com/spreadsheets/d/1MeEWN-I1oV_STSDYn1IFDPWt_1FKiwhDph83XaGc0o0/edit?usp=sharing"",""งบพรบ!FB79"")"),358270)</f>
        <v>358270</v>
      </c>
      <c r="I79" s="247">
        <f ca="1">IFERROR(__xludf.DUMMYFUNCTION("IMPORTRANGE(""https://docs.google.com/spreadsheets/d/1MeEWN-I1oV_STSDYn1IFDPWt_1FKiwhDph83XaGc0o0/edit?usp=sharing"",""งบพรบ!FC79"")"),90800)</f>
        <v>90800</v>
      </c>
      <c r="J79" s="247">
        <f t="shared" ca="1" si="3"/>
        <v>409411.14</v>
      </c>
      <c r="K79" s="253">
        <f t="shared" ca="1" si="4"/>
        <v>103.23805128981012</v>
      </c>
      <c r="L79" s="247">
        <f ca="1">IFERROR(__xludf.DUMMYFUNCTION("IMPORTRANGE(""https://docs.google.com/spreadsheets/d/1MeEWN-I1oV_STSDYn1IFDPWt_1FKiwhDph83XaGc0o0/edit?usp=sharing"",""งบพรบ!FD79"")"),318611.14)</f>
        <v>318611.14</v>
      </c>
      <c r="M79" s="250">
        <f t="shared" ca="1" si="5"/>
        <v>104.19960754815712</v>
      </c>
      <c r="N79" s="250">
        <f t="shared" ca="1" si="6"/>
        <v>88.930454685014098</v>
      </c>
      <c r="O79" s="251">
        <f ca="1">IFERROR(__xludf.DUMMYFUNCTION("IMPORTRANGE(""https://docs.google.com/spreadsheets/d/1MeEWN-I1oV_STSDYn1IFDPWt_1FKiwhDph83XaGc0o0/edit?usp=sharing"",""งบพรบ!FE79"")"),90800)</f>
        <v>90800</v>
      </c>
      <c r="P79" s="250">
        <f t="shared" ca="1" si="53"/>
        <v>100</v>
      </c>
      <c r="Q79" s="250">
        <f t="shared" ca="1" si="8"/>
        <v>100</v>
      </c>
      <c r="R79" s="248">
        <f ca="1">IFERROR(__xludf.DUMMYFUNCTION("IMPORTRANGE(""https://docs.google.com/spreadsheets/d/1BeghqumK0IvCmRd2QOy6_afsZq7ZtAGrSnVJy2u7WmY/edit?usp=sharing"",""นราธิวาส!I359"")"),90)</f>
        <v>90</v>
      </c>
      <c r="S79" s="248">
        <f ca="1">IFERROR(__xludf.DUMMYFUNCTION("IMPORTRANGE(""https://docs.google.com/spreadsheets/d/1BeghqumK0IvCmRd2QOy6_afsZq7ZtAGrSnVJy2u7WmY/edit?usp=sharing"",""นราธิวาส!J358"")"),31)</f>
        <v>31</v>
      </c>
      <c r="T79" s="248">
        <f ca="1">IFERROR(__xludf.DUMMYFUNCTION("IMPORTRANGE(""https://docs.google.com/spreadsheets/d/1BeghqumK0IvCmRd2QOy6_afsZq7ZtAGrSnVJy2u7WmY/edit?usp=sharing"",""นราธิวาส!J359"")"),71.96)</f>
        <v>71.959999999999994</v>
      </c>
      <c r="U79" s="252">
        <f t="shared" ca="1" si="43"/>
        <v>79.955555555555549</v>
      </c>
      <c r="V79" s="248">
        <f ca="1">IFERROR(__xludf.DUMMYFUNCTION("IMPORTRANGE(""https://docs.google.com/spreadsheets/d/1BeghqumK0IvCmRd2QOy6_afsZq7ZtAGrSnVJy2u7WmY/edit?usp=sharing"",""นราธิวาส!I360"")"),27)</f>
        <v>27</v>
      </c>
      <c r="W79" s="248">
        <f ca="1">IFERROR(__xludf.DUMMYFUNCTION("IMPORTRANGE(""https://docs.google.com/spreadsheets/d/1BeghqumK0IvCmRd2QOy6_afsZq7ZtAGrSnVJy2u7WmY/edit?usp=sharing"",""นราธิวาส!J360"")"),33)</f>
        <v>33</v>
      </c>
      <c r="X79" s="248">
        <f ca="1">IFERROR(__xludf.DUMMYFUNCTION("IMPORTRANGE(""https://docs.google.com/spreadsheets/d/1BeghqumK0IvCmRd2QOy6_afsZq7ZtAGrSnVJy2u7WmY/edit?usp=sharing"",""นราธิวาส!J361"")"),74.1)</f>
        <v>74.099999999999994</v>
      </c>
      <c r="Y79" s="252">
        <f t="shared" ca="1" si="44"/>
        <v>122.22222222222223</v>
      </c>
      <c r="Z79" s="248">
        <f ca="1">IFERROR(__xludf.DUMMYFUNCTION("IMPORTRANGE(""https://docs.google.com/spreadsheets/d/1BeghqumK0IvCmRd2QOy6_afsZq7ZtAGrSnVJy2u7WmY/edit?usp=sharing"",""นราธิวาส!I362"")"),27)</f>
        <v>27</v>
      </c>
      <c r="AA79" s="248">
        <f ca="1">IFERROR(__xludf.DUMMYFUNCTION("IMPORTRANGE(""https://docs.google.com/spreadsheets/d/1BeghqumK0IvCmRd2QOy6_afsZq7ZtAGrSnVJy2u7WmY/edit?usp=sharing"",""นราธิวาส!J362"")"),28)</f>
        <v>28</v>
      </c>
      <c r="AB79" s="248">
        <f ca="1">IFERROR(__xludf.DUMMYFUNCTION("IMPORTRANGE(""https://docs.google.com/spreadsheets/d/1BeghqumK0IvCmRd2QOy6_afsZq7ZtAGrSnVJy2u7WmY/edit?usp=sharing"",""นราธิวาส!J363"")"),66.46)</f>
        <v>66.459999999999994</v>
      </c>
      <c r="AC79" s="252">
        <f t="shared" ca="1" si="45"/>
        <v>103.70370370370371</v>
      </c>
      <c r="AD79" s="248">
        <f ca="1">IFERROR(__xludf.DUMMYFUNCTION("IMPORTRANGE(""https://docs.google.com/spreadsheets/d/1BeghqumK0IvCmRd2QOy6_afsZq7ZtAGrSnVJy2u7WmY/edit?usp=sharing"",""นราธิวาส!I364"")"),42)</f>
        <v>42</v>
      </c>
      <c r="AE79" s="248">
        <f ca="1">IFERROR(__xludf.DUMMYFUNCTION("IMPORTRANGE(""https://docs.google.com/spreadsheets/d/1BeghqumK0IvCmRd2QOy6_afsZq7ZtAGrSnVJy2u7WmY/edit?usp=sharing"",""นราธิวาส!J364"")"),43)</f>
        <v>43</v>
      </c>
      <c r="AF79" s="252">
        <f t="shared" ca="1" si="16"/>
        <v>102.38095238095238</v>
      </c>
      <c r="AG79" s="248">
        <f ca="1">IFERROR(__xludf.DUMMYFUNCTION("IMPORTRANGE(""https://docs.google.com/spreadsheets/d/1BeghqumK0IvCmRd2QOy6_afsZq7ZtAGrSnVJy2u7WmY/edit?usp=sharing"",""นราธิวาส!I369"")"),50)</f>
        <v>50</v>
      </c>
      <c r="AH79" s="248">
        <f ca="1">IFERROR(__xludf.DUMMYFUNCTION("IMPORTRANGE(""https://docs.google.com/spreadsheets/d/1BeghqumK0IvCmRd2QOy6_afsZq7ZtAGrSnVJy2u7WmY/edit?usp=sharing"",""นราธิวาส!J368"")"),21)</f>
        <v>21</v>
      </c>
      <c r="AI79" s="248">
        <f ca="1">IFERROR(__xludf.DUMMYFUNCTION("IMPORTRANGE(""https://docs.google.com/spreadsheets/d/1BeghqumK0IvCmRd2QOy6_afsZq7ZtAGrSnVJy2u7WmY/edit?usp=sharing"",""นราธิวาส!J369"")"),50.55)</f>
        <v>50.55</v>
      </c>
      <c r="AJ79" s="252">
        <f t="shared" ca="1" si="46"/>
        <v>101.1</v>
      </c>
      <c r="AK79" s="248">
        <f ca="1">IFERROR(__xludf.DUMMYFUNCTION("IMPORTRANGE(""https://docs.google.com/spreadsheets/d/1BeghqumK0IvCmRd2QOy6_afsZq7ZtAGrSnVJy2u7WmY/edit?usp=sharing"",""นราธิวาส!I370"")"),17)</f>
        <v>17</v>
      </c>
      <c r="AL79" s="248">
        <f ca="1">IFERROR(__xludf.DUMMYFUNCTION("IMPORTRANGE(""https://docs.google.com/spreadsheets/d/1BeghqumK0IvCmRd2QOy6_afsZq7ZtAGrSnVJy2u7WmY/edit?usp=sharing"",""นราธิวาส!J370"")"),22)</f>
        <v>22</v>
      </c>
      <c r="AM79" s="248">
        <f ca="1">IFERROR(__xludf.DUMMYFUNCTION("IMPORTRANGE(""https://docs.google.com/spreadsheets/d/1BeghqumK0IvCmRd2QOy6_afsZq7ZtAGrSnVJy2u7WmY/edit?usp=sharing"",""นราธิวาส!J371"")"),51.45)</f>
        <v>51.45</v>
      </c>
      <c r="AN79" s="252">
        <f t="shared" ca="1" si="47"/>
        <v>129.41176470588235</v>
      </c>
      <c r="AO79" s="248">
        <f ca="1">IFERROR(__xludf.DUMMYFUNCTION("IMPORTRANGE(""https://docs.google.com/spreadsheets/d/1BeghqumK0IvCmRd2QOy6_afsZq7ZtAGrSnVJy2u7WmY/edit?usp=sharing"",""นราธิวาส!I372"")"),17)</f>
        <v>17</v>
      </c>
      <c r="AP79" s="248">
        <f ca="1">IFERROR(__xludf.DUMMYFUNCTION("IMPORTRANGE(""https://docs.google.com/spreadsheets/d/1BeghqumK0IvCmRd2QOy6_afsZq7ZtAGrSnVJy2u7WmY/edit?usp=sharing"",""นราธิวาส!J372"")"),17)</f>
        <v>17</v>
      </c>
      <c r="AQ79" s="248">
        <f ca="1">IFERROR(__xludf.DUMMYFUNCTION("IMPORTRANGE(""https://docs.google.com/spreadsheets/d/1BeghqumK0IvCmRd2QOy6_afsZq7ZtAGrSnVJy2u7WmY/edit?usp=sharing"",""นราธิวาส!J373"")"),43.81)</f>
        <v>43.81</v>
      </c>
      <c r="AR79" s="252">
        <f t="shared" ca="1" si="48"/>
        <v>100</v>
      </c>
      <c r="AS79" s="248">
        <f ca="1">IFERROR(__xludf.DUMMYFUNCTION("IMPORTRANGE(""https://docs.google.com/spreadsheets/d/1BeghqumK0IvCmRd2QOy6_afsZq7ZtAGrSnVJy2u7WmY/edit?usp=sharing"",""นราธิวาส!I378"")"),40)</f>
        <v>40</v>
      </c>
      <c r="AT79" s="248">
        <f ca="1">IFERROR(__xludf.DUMMYFUNCTION("IMPORTRANGE(""https://docs.google.com/spreadsheets/d/1BeghqumK0IvCmRd2QOy6_afsZq7ZtAGrSnVJy2u7WmY/edit?usp=sharing"",""นราธิวาส!J377"")"),10)</f>
        <v>10</v>
      </c>
      <c r="AU79" s="248">
        <f ca="1">IFERROR(__xludf.DUMMYFUNCTION("IMPORTRANGE(""https://docs.google.com/spreadsheets/d/1BeghqumK0IvCmRd2QOy6_afsZq7ZtAGrSnVJy2u7WmY/edit?usp=sharing"",""นราธิวาส!J378"")"),21.41)</f>
        <v>21.41</v>
      </c>
      <c r="AV79" s="252">
        <f t="shared" ca="1" si="49"/>
        <v>53.524999999999999</v>
      </c>
      <c r="AW79" s="248">
        <f ca="1">IFERROR(__xludf.DUMMYFUNCTION("IMPORTRANGE(""https://docs.google.com/spreadsheets/d/1BeghqumK0IvCmRd2QOy6_afsZq7ZtAGrSnVJy2u7WmY/edit?usp=sharing"",""นราธิวาส!I379"")"),25)</f>
        <v>25</v>
      </c>
      <c r="AX79" s="248">
        <f ca="1">IFERROR(__xludf.DUMMYFUNCTION("IMPORTRANGE(""https://docs.google.com/spreadsheets/d/1BeghqumK0IvCmRd2QOy6_afsZq7ZtAGrSnVJy2u7WmY/edit?usp=sharing"",""นราธิวาส!J379"")"),26)</f>
        <v>26</v>
      </c>
      <c r="AY79" s="248">
        <f ca="1">IFERROR(__xludf.DUMMYFUNCTION("IMPORTRANGE(""https://docs.google.com/spreadsheets/d/1BeghqumK0IvCmRd2QOy6_afsZq7ZtAGrSnVJy2u7WmY/edit?usp=sharing"",""นราธิวาส!J380"")"),89.6099999999999)</f>
        <v>89.6099999999999</v>
      </c>
      <c r="AZ79" s="252">
        <f t="shared" ca="1" si="50"/>
        <v>104</v>
      </c>
      <c r="BA79" s="248">
        <f ca="1">IFERROR(__xludf.DUMMYFUNCTION("IMPORTRANGE(""https://docs.google.com/spreadsheets/d/1BeghqumK0IvCmRd2QOy6_afsZq7ZtAGrSnVJy2u7WmY/edit?usp=sharing"",""นราธิวาส!I381"")"),25)</f>
        <v>25</v>
      </c>
      <c r="BB79" s="248">
        <f ca="1">IFERROR(__xludf.DUMMYFUNCTION("IMPORTRANGE(""https://docs.google.com/spreadsheets/d/1BeghqumK0IvCmRd2QOy6_afsZq7ZtAGrSnVJy2u7WmY/edit?usp=sharing"",""นราธิวาส!J381"")"),26)</f>
        <v>26</v>
      </c>
      <c r="BC79" s="248">
        <f ca="1">IFERROR(__xludf.DUMMYFUNCTION("IMPORTRANGE(""https://docs.google.com/spreadsheets/d/1BeghqumK0IvCmRd2QOy6_afsZq7ZtAGrSnVJy2u7WmY/edit?usp=sharing"",""นราธิวาส!J382"")"),89.6099999999999)</f>
        <v>89.6099999999999</v>
      </c>
      <c r="BD79" s="252">
        <f t="shared" ca="1" si="51"/>
        <v>104</v>
      </c>
    </row>
    <row r="80" spans="1:56" ht="21" customHeight="1" x14ac:dyDescent="0.3">
      <c r="A80" s="243">
        <v>6</v>
      </c>
      <c r="B80" s="244" t="s">
        <v>102</v>
      </c>
      <c r="C80" s="245">
        <f t="shared" ca="1" si="0"/>
        <v>836060</v>
      </c>
      <c r="D80" s="246">
        <f t="shared" ca="1" si="100"/>
        <v>760060</v>
      </c>
      <c r="E80" s="247">
        <f ca="1">IFERROR(__xludf.DUMMYFUNCTION("IMPORTRANGE(""https://docs.google.com/spreadsheets/d/1MeEWN-I1oV_STSDYn1IFDPWt_1FKiwhDph83XaGc0o0/edit?usp=sharing"",""งบพรบ!EX80"")"),517200)</f>
        <v>517200</v>
      </c>
      <c r="F80" s="247">
        <f ca="1">IFERROR(__xludf.DUMMYFUNCTION("IMPORTRANGE(""https://docs.google.com/spreadsheets/d/1MeEWN-I1oV_STSDYn1IFDPWt_1FKiwhDph83XaGc0o0/edit?usp=sharing"",""งบพรบ!EY80"")"),242860)</f>
        <v>242860</v>
      </c>
      <c r="G80" s="247">
        <f ca="1">IFERROR(__xludf.DUMMYFUNCTION("IMPORTRANGE(""https://docs.google.com/spreadsheets/d/1MeEWN-I1oV_STSDYn1IFDPWt_1FKiwhDph83XaGc0o0/edit?usp=sharing"",""งบพรบ!EZ80"")"),76000)</f>
        <v>76000</v>
      </c>
      <c r="H80" s="247">
        <f ca="1">IFERROR(__xludf.DUMMYFUNCTION("IMPORTRANGE(""https://docs.google.com/spreadsheets/d/1MeEWN-I1oV_STSDYn1IFDPWt_1FKiwhDph83XaGc0o0/edit?usp=sharing"",""งบพรบ!FB80"")"),820060)</f>
        <v>820060</v>
      </c>
      <c r="I80" s="247">
        <f ca="1">IFERROR(__xludf.DUMMYFUNCTION("IMPORTRANGE(""https://docs.google.com/spreadsheets/d/1MeEWN-I1oV_STSDYn1IFDPWt_1FKiwhDph83XaGc0o0/edit?usp=sharing"",""งบพรบ!FC80"")"),76000)</f>
        <v>76000</v>
      </c>
      <c r="J80" s="247">
        <f t="shared" ca="1" si="3"/>
        <v>849294.28</v>
      </c>
      <c r="K80" s="253">
        <f t="shared" ca="1" si="4"/>
        <v>101.58293423916943</v>
      </c>
      <c r="L80" s="247">
        <f ca="1">IFERROR(__xludf.DUMMYFUNCTION("IMPORTRANGE(""https://docs.google.com/spreadsheets/d/1MeEWN-I1oV_STSDYn1IFDPWt_1FKiwhDph83XaGc0o0/edit?usp=sharing"",""งบพรบ!FD80"")"),773294.28)</f>
        <v>773294.28</v>
      </c>
      <c r="M80" s="250">
        <f t="shared" ca="1" si="5"/>
        <v>101.74121516722364</v>
      </c>
      <c r="N80" s="250">
        <f t="shared" ca="1" si="6"/>
        <v>94.297280686779018</v>
      </c>
      <c r="O80" s="251">
        <f ca="1">IFERROR(__xludf.DUMMYFUNCTION("IMPORTRANGE(""https://docs.google.com/spreadsheets/d/1MeEWN-I1oV_STSDYn1IFDPWt_1FKiwhDph83XaGc0o0/edit?usp=sharing"",""งบพรบ!FE80"")"),76000)</f>
        <v>76000</v>
      </c>
      <c r="P80" s="250">
        <f t="shared" ca="1" si="53"/>
        <v>100</v>
      </c>
      <c r="Q80" s="250">
        <f t="shared" ca="1" si="8"/>
        <v>100</v>
      </c>
      <c r="R80" s="248">
        <f ca="1">IFERROR(__xludf.DUMMYFUNCTION("IMPORTRANGE(""https://docs.google.com/spreadsheets/d/1IwnW3-jjRf74MCLW-6PiFwMUffRQXZwZA7YM609NmRc/edit?usp=sharing"",""ปัตตานี!I359"")"),400)</f>
        <v>400</v>
      </c>
      <c r="S80" s="248">
        <f ca="1">IFERROR(__xludf.DUMMYFUNCTION("IMPORTRANGE(""https://docs.google.com/spreadsheets/d/1IwnW3-jjRf74MCLW-6PiFwMUffRQXZwZA7YM609NmRc/edit?usp=sharing"",""ปัตตานี!J358"")"),94)</f>
        <v>94</v>
      </c>
      <c r="T80" s="248">
        <f ca="1">IFERROR(__xludf.DUMMYFUNCTION("IMPORTRANGE(""https://docs.google.com/spreadsheets/d/1IwnW3-jjRf74MCLW-6PiFwMUffRQXZwZA7YM609NmRc/edit?usp=sharing"",""ปัตตานี!J359"")"),406.65)</f>
        <v>406.65</v>
      </c>
      <c r="U80" s="252">
        <f t="shared" ca="1" si="43"/>
        <v>101.66249999999999</v>
      </c>
      <c r="V80" s="248">
        <f ca="1">IFERROR(__xludf.DUMMYFUNCTION("IMPORTRANGE(""https://docs.google.com/spreadsheets/d/1IwnW3-jjRf74MCLW-6PiFwMUffRQXZwZA7YM609NmRc/edit?usp=sharing"",""ปัตตานี!I360"")"),84)</f>
        <v>84</v>
      </c>
      <c r="W80" s="248">
        <f ca="1">IFERROR(__xludf.DUMMYFUNCTION("IMPORTRANGE(""https://docs.google.com/spreadsheets/d/1IwnW3-jjRf74MCLW-6PiFwMUffRQXZwZA7YM609NmRc/edit?usp=sharing"",""ปัตตานี!J360"")"),94)</f>
        <v>94</v>
      </c>
      <c r="X80" s="248">
        <f ca="1">IFERROR(__xludf.DUMMYFUNCTION("IMPORTRANGE(""https://docs.google.com/spreadsheets/d/1IwnW3-jjRf74MCLW-6PiFwMUffRQXZwZA7YM609NmRc/edit?usp=sharing"",""ปัตตานี!J361"")"),406.65)</f>
        <v>406.65</v>
      </c>
      <c r="Y80" s="252">
        <f t="shared" ca="1" si="44"/>
        <v>111.9047619047619</v>
      </c>
      <c r="Z80" s="248">
        <f ca="1">IFERROR(__xludf.DUMMYFUNCTION("IMPORTRANGE(""https://docs.google.com/spreadsheets/d/1IwnW3-jjRf74MCLW-6PiFwMUffRQXZwZA7YM609NmRc/edit?usp=sharing"",""ปัตตานี!I362"")"),84)</f>
        <v>84</v>
      </c>
      <c r="AA80" s="248">
        <f ca="1">IFERROR(__xludf.DUMMYFUNCTION("IMPORTRANGE(""https://docs.google.com/spreadsheets/d/1IwnW3-jjRf74MCLW-6PiFwMUffRQXZwZA7YM609NmRc/edit?usp=sharing"",""ปัตตานี!J362"")"),71)</f>
        <v>71</v>
      </c>
      <c r="AB80" s="248">
        <f ca="1">IFERROR(__xludf.DUMMYFUNCTION("IMPORTRANGE(""https://docs.google.com/spreadsheets/d/1IwnW3-jjRf74MCLW-6PiFwMUffRQXZwZA7YM609NmRc/edit?usp=sharing"",""ปัตตานี!J363"")"),330.67)</f>
        <v>330.67</v>
      </c>
      <c r="AC80" s="252">
        <f t="shared" ca="1" si="45"/>
        <v>84.523809523809518</v>
      </c>
      <c r="AD80" s="248">
        <f ca="1">IFERROR(__xludf.DUMMYFUNCTION("IMPORTRANGE(""https://docs.google.com/spreadsheets/d/1IwnW3-jjRf74MCLW-6PiFwMUffRQXZwZA7YM609NmRc/edit?usp=sharing"",""ปัตตานี!I364"")"),134)</f>
        <v>134</v>
      </c>
      <c r="AE80" s="248">
        <f ca="1">IFERROR(__xludf.DUMMYFUNCTION("IMPORTRANGE(""https://docs.google.com/spreadsheets/d/1IwnW3-jjRf74MCLW-6PiFwMUffRQXZwZA7YM609NmRc/edit?usp=sharing"",""ปัตตานี!J364"")"),127)</f>
        <v>127</v>
      </c>
      <c r="AF80" s="252">
        <f t="shared" ca="1" si="16"/>
        <v>94.776119402985074</v>
      </c>
      <c r="AG80" s="248">
        <f ca="1">IFERROR(__xludf.DUMMYFUNCTION("IMPORTRANGE(""https://docs.google.com/spreadsheets/d/1IwnW3-jjRf74MCLW-6PiFwMUffRQXZwZA7YM609NmRc/edit?usp=sharing"",""ปัตตานี!I369"")"),200)</f>
        <v>200</v>
      </c>
      <c r="AH80" s="248">
        <f ca="1">IFERROR(__xludf.DUMMYFUNCTION("IMPORTRANGE(""https://docs.google.com/spreadsheets/d/1IwnW3-jjRf74MCLW-6PiFwMUffRQXZwZA7YM609NmRc/edit?usp=sharing"",""ปัตตานี!J368"")"),41)</f>
        <v>41</v>
      </c>
      <c r="AI80" s="248">
        <f ca="1">IFERROR(__xludf.DUMMYFUNCTION("IMPORTRANGE(""https://docs.google.com/spreadsheets/d/1IwnW3-jjRf74MCLW-6PiFwMUffRQXZwZA7YM609NmRc/edit?usp=sharing"",""ปัตตานี!J369"")"),203.85)</f>
        <v>203.85</v>
      </c>
      <c r="AJ80" s="252">
        <f t="shared" ca="1" si="46"/>
        <v>101.925</v>
      </c>
      <c r="AK80" s="248">
        <f ca="1">IFERROR(__xludf.DUMMYFUNCTION("IMPORTRANGE(""https://docs.google.com/spreadsheets/d/1IwnW3-jjRf74MCLW-6PiFwMUffRQXZwZA7YM609NmRc/edit?usp=sharing"",""ปัตตานี!I370"")"),30)</f>
        <v>30</v>
      </c>
      <c r="AL80" s="248">
        <f ca="1">IFERROR(__xludf.DUMMYFUNCTION("IMPORTRANGE(""https://docs.google.com/spreadsheets/d/1IwnW3-jjRf74MCLW-6PiFwMUffRQXZwZA7YM609NmRc/edit?usp=sharing"",""ปัตตานี!J370"")"),41)</f>
        <v>41</v>
      </c>
      <c r="AM80" s="248">
        <f ca="1">IFERROR(__xludf.DUMMYFUNCTION("IMPORTRANGE(""https://docs.google.com/spreadsheets/d/1IwnW3-jjRf74MCLW-6PiFwMUffRQXZwZA7YM609NmRc/edit?usp=sharing"",""ปัตตานี!J371"")"),203.85)</f>
        <v>203.85</v>
      </c>
      <c r="AN80" s="252">
        <f t="shared" ca="1" si="47"/>
        <v>136.66666666666666</v>
      </c>
      <c r="AO80" s="248">
        <f ca="1">IFERROR(__xludf.DUMMYFUNCTION("IMPORTRANGE(""https://docs.google.com/spreadsheets/d/1IwnW3-jjRf74MCLW-6PiFwMUffRQXZwZA7YM609NmRc/edit?usp=sharing"",""ปัตตานี!I372"")"),30)</f>
        <v>30</v>
      </c>
      <c r="AP80" s="248">
        <f ca="1">IFERROR(__xludf.DUMMYFUNCTION("IMPORTRANGE(""https://docs.google.com/spreadsheets/d/1IwnW3-jjRf74MCLW-6PiFwMUffRQXZwZA7YM609NmRc/edit?usp=sharing"",""ปัตตานี!J372"")"),40)</f>
        <v>40</v>
      </c>
      <c r="AQ80" s="248">
        <f ca="1">IFERROR(__xludf.DUMMYFUNCTION("IMPORTRANGE(""https://docs.google.com/spreadsheets/d/1IwnW3-jjRf74MCLW-6PiFwMUffRQXZwZA7YM609NmRc/edit?usp=sharing"",""ปัตตานี!J373"")"),201.59)</f>
        <v>201.59</v>
      </c>
      <c r="AR80" s="252">
        <f t="shared" ca="1" si="48"/>
        <v>133.33333333333334</v>
      </c>
      <c r="AS80" s="248">
        <f ca="1">IFERROR(__xludf.DUMMYFUNCTION("IMPORTRANGE(""https://docs.google.com/spreadsheets/d/1IwnW3-jjRf74MCLW-6PiFwMUffRQXZwZA7YM609NmRc/edit?usp=sharing"",""ปัตตานี!I378"")"),200)</f>
        <v>200</v>
      </c>
      <c r="AT80" s="248">
        <f ca="1">IFERROR(__xludf.DUMMYFUNCTION("IMPORTRANGE(""https://docs.google.com/spreadsheets/d/1IwnW3-jjRf74MCLW-6PiFwMUffRQXZwZA7YM609NmRc/edit?usp=sharing"",""ปัตตานี!J377"")"),53)</f>
        <v>53</v>
      </c>
      <c r="AU80" s="248">
        <f ca="1">IFERROR(__xludf.DUMMYFUNCTION("IMPORTRANGE(""https://docs.google.com/spreadsheets/d/1IwnW3-jjRf74MCLW-6PiFwMUffRQXZwZA7YM609NmRc/edit?usp=sharing"",""ปัตตานี!J378"")"),202.8)</f>
        <v>202.8</v>
      </c>
      <c r="AV80" s="252">
        <f t="shared" ca="1" si="49"/>
        <v>101.4</v>
      </c>
      <c r="AW80" s="248">
        <f ca="1">IFERROR(__xludf.DUMMYFUNCTION("IMPORTRANGE(""https://docs.google.com/spreadsheets/d/1IwnW3-jjRf74MCLW-6PiFwMUffRQXZwZA7YM609NmRc/edit?usp=sharing"",""ปัตตานี!I379"")"),104)</f>
        <v>104</v>
      </c>
      <c r="AX80" s="248">
        <f ca="1">IFERROR(__xludf.DUMMYFUNCTION("IMPORTRANGE(""https://docs.google.com/spreadsheets/d/1IwnW3-jjRf74MCLW-6PiFwMUffRQXZwZA7YM609NmRc/edit?usp=sharing"",""ปัตตานี!J379"")"),109)</f>
        <v>109</v>
      </c>
      <c r="AY80" s="248">
        <f ca="1">IFERROR(__xludf.DUMMYFUNCTION("IMPORTRANGE(""https://docs.google.com/spreadsheets/d/1IwnW3-jjRf74MCLW-6PiFwMUffRQXZwZA7YM609NmRc/edit?usp=sharing"",""ปัตตานี!J380"")"),511.97)</f>
        <v>511.97</v>
      </c>
      <c r="AZ80" s="252">
        <f t="shared" ca="1" si="50"/>
        <v>104.80769230769231</v>
      </c>
      <c r="BA80" s="248">
        <f ca="1">IFERROR(__xludf.DUMMYFUNCTION("IMPORTRANGE(""https://docs.google.com/spreadsheets/d/1IwnW3-jjRf74MCLW-6PiFwMUffRQXZwZA7YM609NmRc/edit?usp=sharing"",""ปัตตานี!I381"")"),104)</f>
        <v>104</v>
      </c>
      <c r="BB80" s="248">
        <f ca="1">IFERROR(__xludf.DUMMYFUNCTION("IMPORTRANGE(""https://docs.google.com/spreadsheets/d/1IwnW3-jjRf74MCLW-6PiFwMUffRQXZwZA7YM609NmRc/edit?usp=sharing"",""ปัตตานี!J381"")"),87)</f>
        <v>87</v>
      </c>
      <c r="BC80" s="248">
        <f ca="1">IFERROR(__xludf.DUMMYFUNCTION("IMPORTRANGE(""https://docs.google.com/spreadsheets/d/1IwnW3-jjRf74MCLW-6PiFwMUffRQXZwZA7YM609NmRc/edit?usp=sharing"",""ปัตตานี!J382"")"),438.25)</f>
        <v>438.25</v>
      </c>
      <c r="BD80" s="252">
        <f t="shared" ca="1" si="51"/>
        <v>83.65384615384616</v>
      </c>
    </row>
    <row r="81" spans="1:56" ht="21" customHeight="1" x14ac:dyDescent="0.3">
      <c r="A81" s="243">
        <v>7</v>
      </c>
      <c r="B81" s="244" t="s">
        <v>103</v>
      </c>
      <c r="C81" s="245">
        <f t="shared" ca="1" si="0"/>
        <v>661560</v>
      </c>
      <c r="D81" s="246">
        <f t="shared" ca="1" si="100"/>
        <v>585560</v>
      </c>
      <c r="E81" s="247">
        <f ca="1">IFERROR(__xludf.DUMMYFUNCTION("IMPORTRANGE(""https://docs.google.com/spreadsheets/d/1MeEWN-I1oV_STSDYn1IFDPWt_1FKiwhDph83XaGc0o0/edit?usp=sharing"",""งบพรบ!EX81"")"),315600)</f>
        <v>315600</v>
      </c>
      <c r="F81" s="247">
        <f ca="1">IFERROR(__xludf.DUMMYFUNCTION("IMPORTRANGE(""https://docs.google.com/spreadsheets/d/1MeEWN-I1oV_STSDYn1IFDPWt_1FKiwhDph83XaGc0o0/edit?usp=sharing"",""งบพรบ!EY81"")"),269960)</f>
        <v>269960</v>
      </c>
      <c r="G81" s="247">
        <f ca="1">IFERROR(__xludf.DUMMYFUNCTION("IMPORTRANGE(""https://docs.google.com/spreadsheets/d/1MeEWN-I1oV_STSDYn1IFDPWt_1FKiwhDph83XaGc0o0/edit?usp=sharing"",""งบพรบ!EZ81"")"),76000)</f>
        <v>76000</v>
      </c>
      <c r="H81" s="247">
        <f ca="1">IFERROR(__xludf.DUMMYFUNCTION("IMPORTRANGE(""https://docs.google.com/spreadsheets/d/1MeEWN-I1oV_STSDYn1IFDPWt_1FKiwhDph83XaGc0o0/edit?usp=sharing"",""งบพรบ!FB81"")"),635560)</f>
        <v>635560</v>
      </c>
      <c r="I81" s="247">
        <f ca="1">IFERROR(__xludf.DUMMYFUNCTION("IMPORTRANGE(""https://docs.google.com/spreadsheets/d/1MeEWN-I1oV_STSDYn1IFDPWt_1FKiwhDph83XaGc0o0/edit?usp=sharing"",""งบพรบ!FC81"")"),75800)</f>
        <v>75800</v>
      </c>
      <c r="J81" s="247">
        <f t="shared" ca="1" si="3"/>
        <v>499145.3</v>
      </c>
      <c r="K81" s="253">
        <f t="shared" ca="1" si="4"/>
        <v>75.449740008464843</v>
      </c>
      <c r="L81" s="247">
        <f ca="1">IFERROR(__xludf.DUMMYFUNCTION("IMPORTRANGE(""https://docs.google.com/spreadsheets/d/1MeEWN-I1oV_STSDYn1IFDPWt_1FKiwhDph83XaGc0o0/edit?usp=sharing"",""งบพรบ!FD81"")"),423345.3)</f>
        <v>423345.3</v>
      </c>
      <c r="M81" s="250">
        <f t="shared" ca="1" si="5"/>
        <v>72.297510075824846</v>
      </c>
      <c r="N81" s="250">
        <f t="shared" ca="1" si="6"/>
        <v>66.609808672666631</v>
      </c>
      <c r="O81" s="251">
        <f ca="1">IFERROR(__xludf.DUMMYFUNCTION("IMPORTRANGE(""https://docs.google.com/spreadsheets/d/1MeEWN-I1oV_STSDYn1IFDPWt_1FKiwhDph83XaGc0o0/edit?usp=sharing"",""งบพรบ!FE81"")"),75800)</f>
        <v>75800</v>
      </c>
      <c r="P81" s="250">
        <f t="shared" ca="1" si="53"/>
        <v>99.736842105263165</v>
      </c>
      <c r="Q81" s="250">
        <f t="shared" ca="1" si="8"/>
        <v>100</v>
      </c>
      <c r="R81" s="248">
        <f ca="1">IFERROR(__xludf.DUMMYFUNCTION("IMPORTRANGE(""https://docs.google.com/spreadsheets/d/1vl4QWbWdFruual5o_wdo6ZSqXZ_it806oja4CctTLKs/edit?usp=sharing"",""พังงา!I359"")"),650)</f>
        <v>650</v>
      </c>
      <c r="S81" s="248">
        <f ca="1">IFERROR(__xludf.DUMMYFUNCTION("IMPORTRANGE(""https://docs.google.com/spreadsheets/d/1vl4QWbWdFruual5o_wdo6ZSqXZ_it806oja4CctTLKs/edit?usp=sharing"",""พังงา!J358"")"),40)</f>
        <v>40</v>
      </c>
      <c r="T81" s="248">
        <f ca="1">IFERROR(__xludf.DUMMYFUNCTION("IMPORTRANGE(""https://docs.google.com/spreadsheets/d/1vl4QWbWdFruual5o_wdo6ZSqXZ_it806oja4CctTLKs/edit?usp=sharing"",""พังงา!J359"")"),353.77)</f>
        <v>353.77</v>
      </c>
      <c r="U81" s="252">
        <f t="shared" ca="1" si="43"/>
        <v>54.426153846153845</v>
      </c>
      <c r="V81" s="248">
        <f ca="1">IFERROR(__xludf.DUMMYFUNCTION("IMPORTRANGE(""https://docs.google.com/spreadsheets/d/1vl4QWbWdFruual5o_wdo6ZSqXZ_it806oja4CctTLKs/edit?usp=sharing"",""พังงา!I360"")"),80)</f>
        <v>80</v>
      </c>
      <c r="W81" s="248">
        <f ca="1">IFERROR(__xludf.DUMMYFUNCTION("IMPORTRANGE(""https://docs.google.com/spreadsheets/d/1vl4QWbWdFruual5o_wdo6ZSqXZ_it806oja4CctTLKs/edit?usp=sharing"",""พังงา!J360"")"),40)</f>
        <v>40</v>
      </c>
      <c r="X81" s="248">
        <f ca="1">IFERROR(__xludf.DUMMYFUNCTION("IMPORTRANGE(""https://docs.google.com/spreadsheets/d/1vl4QWbWdFruual5o_wdo6ZSqXZ_it806oja4CctTLKs/edit?usp=sharing"",""พังงา!J361"")"),353.77)</f>
        <v>353.77</v>
      </c>
      <c r="Y81" s="252">
        <f t="shared" ca="1" si="44"/>
        <v>50</v>
      </c>
      <c r="Z81" s="248">
        <f ca="1">IFERROR(__xludf.DUMMYFUNCTION("IMPORTRANGE(""https://docs.google.com/spreadsheets/d/1vl4QWbWdFruual5o_wdo6ZSqXZ_it806oja4CctTLKs/edit?usp=sharing"",""พังงา!I362"")"),80)</f>
        <v>80</v>
      </c>
      <c r="AA81" s="248">
        <f ca="1">IFERROR(__xludf.DUMMYFUNCTION("IMPORTRANGE(""https://docs.google.com/spreadsheets/d/1vl4QWbWdFruual5o_wdo6ZSqXZ_it806oja4CctTLKs/edit?usp=sharing"",""พังงา!J362"")"),30)</f>
        <v>30</v>
      </c>
      <c r="AB81" s="248">
        <f ca="1">IFERROR(__xludf.DUMMYFUNCTION("IMPORTRANGE(""https://docs.google.com/spreadsheets/d/1vl4QWbWdFruual5o_wdo6ZSqXZ_it806oja4CctTLKs/edit?usp=sharing"",""พังงา!J363"")"),283.42)</f>
        <v>283.42</v>
      </c>
      <c r="AC81" s="252">
        <f t="shared" ca="1" si="45"/>
        <v>37.5</v>
      </c>
      <c r="AD81" s="248">
        <f ca="1">IFERROR(__xludf.DUMMYFUNCTION("IMPORTRANGE(""https://docs.google.com/spreadsheets/d/1vl4QWbWdFruual5o_wdo6ZSqXZ_it806oja4CctTLKs/edit?usp=sharing"",""พังงา!I364"")"),130)</f>
        <v>130</v>
      </c>
      <c r="AE81" s="248">
        <f ca="1">IFERROR(__xludf.DUMMYFUNCTION("IMPORTRANGE(""https://docs.google.com/spreadsheets/d/1vl4QWbWdFruual5o_wdo6ZSqXZ_it806oja4CctTLKs/edit?usp=sharing"",""พังงา!J364"")"),102)</f>
        <v>102</v>
      </c>
      <c r="AF81" s="252">
        <f t="shared" ca="1" si="16"/>
        <v>78.461538461538467</v>
      </c>
      <c r="AG81" s="248">
        <f ca="1">IFERROR(__xludf.DUMMYFUNCTION("IMPORTRANGE(""https://docs.google.com/spreadsheets/d/1vl4QWbWdFruual5o_wdo6ZSqXZ_it806oja4CctTLKs/edit?usp=sharing"",""พังงา!I369"")"),200)</f>
        <v>200</v>
      </c>
      <c r="AH81" s="248">
        <f ca="1">IFERROR(__xludf.DUMMYFUNCTION("IMPORTRANGE(""https://docs.google.com/spreadsheets/d/1vl4QWbWdFruual5o_wdo6ZSqXZ_it806oja4CctTLKs/edit?usp=sharing"",""พังงา!J368"")"),9)</f>
        <v>9</v>
      </c>
      <c r="AI81" s="248">
        <f ca="1">IFERROR(__xludf.DUMMYFUNCTION("IMPORTRANGE(""https://docs.google.com/spreadsheets/d/1vl4QWbWdFruual5o_wdo6ZSqXZ_it806oja4CctTLKs/edit?usp=sharing"",""พังงา!J369"")"),62.88)</f>
        <v>62.88</v>
      </c>
      <c r="AJ81" s="252">
        <f t="shared" ca="1" si="46"/>
        <v>31.44</v>
      </c>
      <c r="AK81" s="248">
        <f ca="1">IFERROR(__xludf.DUMMYFUNCTION("IMPORTRANGE(""https://docs.google.com/spreadsheets/d/1vl4QWbWdFruual5o_wdo6ZSqXZ_it806oja4CctTLKs/edit?usp=sharing"",""พังงา!I370"")"),30)</f>
        <v>30</v>
      </c>
      <c r="AL81" s="248">
        <f ca="1">IFERROR(__xludf.DUMMYFUNCTION("IMPORTRANGE(""https://docs.google.com/spreadsheets/d/1vl4QWbWdFruual5o_wdo6ZSqXZ_it806oja4CctTLKs/edit?usp=sharing"",""พังงา!J370"")"),9)</f>
        <v>9</v>
      </c>
      <c r="AM81" s="248">
        <f ca="1">IFERROR(__xludf.DUMMYFUNCTION("IMPORTRANGE(""https://docs.google.com/spreadsheets/d/1vl4QWbWdFruual5o_wdo6ZSqXZ_it806oja4CctTLKs/edit?usp=sharing"",""พังงา!J371"")"),62.88)</f>
        <v>62.88</v>
      </c>
      <c r="AN81" s="252">
        <f t="shared" ca="1" si="47"/>
        <v>30</v>
      </c>
      <c r="AO81" s="248">
        <f ca="1">IFERROR(__xludf.DUMMYFUNCTION("IMPORTRANGE(""https://docs.google.com/spreadsheets/d/1vl4QWbWdFruual5o_wdo6ZSqXZ_it806oja4CctTLKs/edit?usp=sharing"",""พังงา!I372"")"),30)</f>
        <v>30</v>
      </c>
      <c r="AP81" s="248">
        <f ca="1">IFERROR(__xludf.DUMMYFUNCTION("IMPORTRANGE(""https://docs.google.com/spreadsheets/d/1vl4QWbWdFruual5o_wdo6ZSqXZ_it806oja4CctTLKs/edit?usp=sharing"",""พังงา!J372"")"),6)</f>
        <v>6</v>
      </c>
      <c r="AQ81" s="248">
        <f ca="1">IFERROR(__xludf.DUMMYFUNCTION("IMPORTRANGE(""https://docs.google.com/spreadsheets/d/1vl4QWbWdFruual5o_wdo6ZSqXZ_it806oja4CctTLKs/edit?usp=sharing"",""พังงา!J373"")"),34.54)</f>
        <v>34.54</v>
      </c>
      <c r="AR81" s="252">
        <f t="shared" ca="1" si="48"/>
        <v>20</v>
      </c>
      <c r="AS81" s="248">
        <f ca="1">IFERROR(__xludf.DUMMYFUNCTION("IMPORTRANGE(""https://docs.google.com/spreadsheets/d/1vl4QWbWdFruual5o_wdo6ZSqXZ_it806oja4CctTLKs/edit?usp=sharing"",""พังงา!I378"")"),450)</f>
        <v>450</v>
      </c>
      <c r="AT81" s="248">
        <f ca="1">IFERROR(__xludf.DUMMYFUNCTION("IMPORTRANGE(""https://docs.google.com/spreadsheets/d/1vl4QWbWdFruual5o_wdo6ZSqXZ_it806oja4CctTLKs/edit?usp=sharing"",""พังงา!J377"")"),31)</f>
        <v>31</v>
      </c>
      <c r="AU81" s="248">
        <f ca="1">IFERROR(__xludf.DUMMYFUNCTION("IMPORTRANGE(""https://docs.google.com/spreadsheets/d/1vl4QWbWdFruual5o_wdo6ZSqXZ_it806oja4CctTLKs/edit?usp=sharing"",""พังงา!J378"")"),290.89)</f>
        <v>290.89</v>
      </c>
      <c r="AV81" s="252">
        <f t="shared" ca="1" si="49"/>
        <v>64.642222222222216</v>
      </c>
      <c r="AW81" s="248">
        <f ca="1">IFERROR(__xludf.DUMMYFUNCTION("IMPORTRANGE(""https://docs.google.com/spreadsheets/d/1vl4QWbWdFruual5o_wdo6ZSqXZ_it806oja4CctTLKs/edit?usp=sharing"",""พังงา!I379"")"),100)</f>
        <v>100</v>
      </c>
      <c r="AX81" s="248">
        <f ca="1">IFERROR(__xludf.DUMMYFUNCTION("IMPORTRANGE(""https://docs.google.com/spreadsheets/d/1vl4QWbWdFruual5o_wdo6ZSqXZ_it806oja4CctTLKs/edit?usp=sharing"",""พังงา!J379"")"),105)</f>
        <v>105</v>
      </c>
      <c r="AY81" s="248">
        <f ca="1">IFERROR(__xludf.DUMMYFUNCTION("IMPORTRANGE(""https://docs.google.com/spreadsheets/d/1vl4QWbWdFruual5o_wdo6ZSqXZ_it806oja4CctTLKs/edit?usp=sharing"",""พังงา!J380"")"),1046.94)</f>
        <v>1046.94</v>
      </c>
      <c r="AZ81" s="252">
        <f t="shared" ca="1" si="50"/>
        <v>105</v>
      </c>
      <c r="BA81" s="248">
        <f ca="1">IFERROR(__xludf.DUMMYFUNCTION("IMPORTRANGE(""https://docs.google.com/spreadsheets/d/1vl4QWbWdFruual5o_wdo6ZSqXZ_it806oja4CctTLKs/edit?usp=sharing"",""พังงา!I381"")"),100)</f>
        <v>100</v>
      </c>
      <c r="BB81" s="248">
        <f ca="1">IFERROR(__xludf.DUMMYFUNCTION("IMPORTRANGE(""https://docs.google.com/spreadsheets/d/1vl4QWbWdFruual5o_wdo6ZSqXZ_it806oja4CctTLKs/edit?usp=sharing"",""พังงา!J381"")"),96)</f>
        <v>96</v>
      </c>
      <c r="BC81" s="248">
        <f ca="1">IFERROR(__xludf.DUMMYFUNCTION("IMPORTRANGE(""https://docs.google.com/spreadsheets/d/1vl4QWbWdFruual5o_wdo6ZSqXZ_it806oja4CctTLKs/edit?usp=sharing"",""พังงา!J382"")"),968.85)</f>
        <v>968.85</v>
      </c>
      <c r="BD81" s="252">
        <f t="shared" ca="1" si="51"/>
        <v>96</v>
      </c>
    </row>
    <row r="82" spans="1:56" ht="21" customHeight="1" x14ac:dyDescent="0.3">
      <c r="A82" s="243">
        <v>8</v>
      </c>
      <c r="B82" s="244" t="s">
        <v>104</v>
      </c>
      <c r="C82" s="245">
        <f t="shared" ca="1" si="0"/>
        <v>444870</v>
      </c>
      <c r="D82" s="246">
        <f t="shared" ca="1" si="100"/>
        <v>399870</v>
      </c>
      <c r="E82" s="247">
        <f ca="1">IFERROR(__xludf.DUMMYFUNCTION("IMPORTRANGE(""https://docs.google.com/spreadsheets/d/1MeEWN-I1oV_STSDYn1IFDPWt_1FKiwhDph83XaGc0o0/edit?usp=sharing"",""งบพรบ!EX82"")"),87600)</f>
        <v>87600</v>
      </c>
      <c r="F82" s="247">
        <f ca="1">IFERROR(__xludf.DUMMYFUNCTION("IMPORTRANGE(""https://docs.google.com/spreadsheets/d/1MeEWN-I1oV_STSDYn1IFDPWt_1FKiwhDph83XaGc0o0/edit?usp=sharing"",""งบพรบ!EY82"")"),312270)</f>
        <v>312270</v>
      </c>
      <c r="G82" s="247">
        <f ca="1">IFERROR(__xludf.DUMMYFUNCTION("IMPORTRANGE(""https://docs.google.com/spreadsheets/d/1MeEWN-I1oV_STSDYn1IFDPWt_1FKiwhDph83XaGc0o0/edit?usp=sharing"",""งบพรบ!EZ82"")"),45000)</f>
        <v>45000</v>
      </c>
      <c r="H82" s="247">
        <f ca="1">IFERROR(__xludf.DUMMYFUNCTION("IMPORTRANGE(""https://docs.google.com/spreadsheets/d/1MeEWN-I1oV_STSDYn1IFDPWt_1FKiwhDph83XaGc0o0/edit?usp=sharing"",""งบพรบ!FB82"")"),454870)</f>
        <v>454870</v>
      </c>
      <c r="I82" s="247">
        <f ca="1">IFERROR(__xludf.DUMMYFUNCTION("IMPORTRANGE(""https://docs.google.com/spreadsheets/d/1MeEWN-I1oV_STSDYn1IFDPWt_1FKiwhDph83XaGc0o0/edit?usp=sharing"",""งบพรบ!FC82"")"),45000)</f>
        <v>45000</v>
      </c>
      <c r="J82" s="247">
        <f t="shared" ca="1" si="3"/>
        <v>369867.1</v>
      </c>
      <c r="K82" s="253">
        <f t="shared" ca="1" si="4"/>
        <v>83.140490480365045</v>
      </c>
      <c r="L82" s="247">
        <f ca="1">IFERROR(__xludf.DUMMYFUNCTION("IMPORTRANGE(""https://docs.google.com/spreadsheets/d/1MeEWN-I1oV_STSDYn1IFDPWt_1FKiwhDph83XaGc0o0/edit?usp=sharing"",""งบพรบ!FD82"")"),324867.1)</f>
        <v>324867.09999999998</v>
      </c>
      <c r="M82" s="250">
        <f t="shared" ca="1" si="5"/>
        <v>81.243179033185783</v>
      </c>
      <c r="N82" s="250">
        <f t="shared" ca="1" si="6"/>
        <v>71.419768285444178</v>
      </c>
      <c r="O82" s="251">
        <f ca="1">IFERROR(__xludf.DUMMYFUNCTION("IMPORTRANGE(""https://docs.google.com/spreadsheets/d/1MeEWN-I1oV_STSDYn1IFDPWt_1FKiwhDph83XaGc0o0/edit?usp=sharing"",""งบพรบ!FE82"")"),45000)</f>
        <v>45000</v>
      </c>
      <c r="P82" s="250">
        <f t="shared" ca="1" si="53"/>
        <v>100</v>
      </c>
      <c r="Q82" s="250">
        <f t="shared" ca="1" si="8"/>
        <v>100</v>
      </c>
      <c r="R82" s="248">
        <f ca="1">IFERROR(__xludf.DUMMYFUNCTION("IMPORTRANGE(""https://docs.google.com/spreadsheets/d/1b6QssHQp2FoAPSMKHOy273KNzAomaIKhtdlvuZ_zDNE/edit?usp=sharing"",""พัทลุง!I359"")"),970)</f>
        <v>970</v>
      </c>
      <c r="S82" s="248">
        <f ca="1">IFERROR(__xludf.DUMMYFUNCTION("IMPORTRANGE(""https://docs.google.com/spreadsheets/d/1b6QssHQp2FoAPSMKHOy273KNzAomaIKhtdlvuZ_zDNE/edit?usp=sharing"",""พัทลุง!J358"")"),69)</f>
        <v>69</v>
      </c>
      <c r="T82" s="248">
        <f ca="1">IFERROR(__xludf.DUMMYFUNCTION("IMPORTRANGE(""https://docs.google.com/spreadsheets/d/1b6QssHQp2FoAPSMKHOy273KNzAomaIKhtdlvuZ_zDNE/edit?usp=sharing"",""พัทลุง!J359"")"),318.729999999999)</f>
        <v>318.729999999999</v>
      </c>
      <c r="U82" s="252">
        <f t="shared" ca="1" si="43"/>
        <v>32.85876288659783</v>
      </c>
      <c r="V82" s="248">
        <f ca="1">IFERROR(__xludf.DUMMYFUNCTION("IMPORTRANGE(""https://docs.google.com/spreadsheets/d/1b6QssHQp2FoAPSMKHOy273KNzAomaIKhtdlvuZ_zDNE/edit?usp=sharing"",""พัทลุง!I360"")"),127)</f>
        <v>127</v>
      </c>
      <c r="W82" s="248">
        <f ca="1">IFERROR(__xludf.DUMMYFUNCTION("IMPORTRANGE(""https://docs.google.com/spreadsheets/d/1b6QssHQp2FoAPSMKHOy273KNzAomaIKhtdlvuZ_zDNE/edit?usp=sharing"",""พัทลุง!J360"")"),88)</f>
        <v>88</v>
      </c>
      <c r="X82" s="248">
        <f ca="1">IFERROR(__xludf.DUMMYFUNCTION("IMPORTRANGE(""https://docs.google.com/spreadsheets/d/1b6QssHQp2FoAPSMKHOy273KNzAomaIKhtdlvuZ_zDNE/edit?usp=sharing"",""พัทลุง!J361"")"),336.69)</f>
        <v>336.69</v>
      </c>
      <c r="Y82" s="252">
        <f t="shared" ca="1" si="44"/>
        <v>69.29133858267717</v>
      </c>
      <c r="Z82" s="248">
        <f ca="1">IFERROR(__xludf.DUMMYFUNCTION("IMPORTRANGE(""https://docs.google.com/spreadsheets/d/1b6QssHQp2FoAPSMKHOy273KNzAomaIKhtdlvuZ_zDNE/edit?usp=sharing"",""พัทลุง!I362"")"),127)</f>
        <v>127</v>
      </c>
      <c r="AA82" s="248">
        <f ca="1">IFERROR(__xludf.DUMMYFUNCTION("IMPORTRANGE(""https://docs.google.com/spreadsheets/d/1b6QssHQp2FoAPSMKHOy273KNzAomaIKhtdlvuZ_zDNE/edit?usp=sharing"",""พัทลุง!J362"")"),52)</f>
        <v>52</v>
      </c>
      <c r="AB82" s="248">
        <f ca="1">IFERROR(__xludf.DUMMYFUNCTION("IMPORTRANGE(""https://docs.google.com/spreadsheets/d/1b6QssHQp2FoAPSMKHOy273KNzAomaIKhtdlvuZ_zDNE/edit?usp=sharing"",""พัทลุง!J363"")"),168.31)</f>
        <v>168.31</v>
      </c>
      <c r="AC82" s="252">
        <f t="shared" ca="1" si="45"/>
        <v>40.944881889763778</v>
      </c>
      <c r="AD82" s="248">
        <f ca="1">IFERROR(__xludf.DUMMYFUNCTION("IMPORTRANGE(""https://docs.google.com/spreadsheets/d/1b6QssHQp2FoAPSMKHOy273KNzAomaIKhtdlvuZ_zDNE/edit?usp=sharing"",""พัทลุง!I364"")"),267)</f>
        <v>267</v>
      </c>
      <c r="AE82" s="248">
        <f ca="1">IFERROR(__xludf.DUMMYFUNCTION("IMPORTRANGE(""https://docs.google.com/spreadsheets/d/1b6QssHQp2FoAPSMKHOy273KNzAomaIKhtdlvuZ_zDNE/edit?usp=sharing"",""พัทลุง!J364"")"),208)</f>
        <v>208</v>
      </c>
      <c r="AF82" s="252">
        <f t="shared" ca="1" si="16"/>
        <v>77.902621722846447</v>
      </c>
      <c r="AG82" s="248">
        <f ca="1">IFERROR(__xludf.DUMMYFUNCTION("IMPORTRANGE(""https://docs.google.com/spreadsheets/d/1b6QssHQp2FoAPSMKHOy273KNzAomaIKhtdlvuZ_zDNE/edit?usp=sharing"",""พัทลุง!I369"")"),670)</f>
        <v>670</v>
      </c>
      <c r="AH82" s="248">
        <f ca="1">IFERROR(__xludf.DUMMYFUNCTION("IMPORTRANGE(""https://docs.google.com/spreadsheets/d/1b6QssHQp2FoAPSMKHOy273KNzAomaIKhtdlvuZ_zDNE/edit?usp=sharing"",""พัทลุง!J368"")"),9)</f>
        <v>9</v>
      </c>
      <c r="AI82" s="248">
        <f ca="1">IFERROR(__xludf.DUMMYFUNCTION("IMPORTRANGE(""https://docs.google.com/spreadsheets/d/1b6QssHQp2FoAPSMKHOy273KNzAomaIKhtdlvuZ_zDNE/edit?usp=sharing"",""พัทลุง!J369"")"),50.58)</f>
        <v>50.58</v>
      </c>
      <c r="AJ82" s="252">
        <f t="shared" ca="1" si="46"/>
        <v>7.5492537313432839</v>
      </c>
      <c r="AK82" s="248">
        <f ca="1">IFERROR(__xludf.DUMMYFUNCTION("IMPORTRANGE(""https://docs.google.com/spreadsheets/d/1b6QssHQp2FoAPSMKHOy273KNzAomaIKhtdlvuZ_zDNE/edit?usp=sharing"",""พัทลุง!I370"")"),67)</f>
        <v>67</v>
      </c>
      <c r="AL82" s="248">
        <f ca="1">IFERROR(__xludf.DUMMYFUNCTION("IMPORTRANGE(""https://docs.google.com/spreadsheets/d/1b6QssHQp2FoAPSMKHOy273KNzAomaIKhtdlvuZ_zDNE/edit?usp=sharing"",""พัทลุง!J370"")"),39)</f>
        <v>39</v>
      </c>
      <c r="AM82" s="248">
        <f ca="1">IFERROR(__xludf.DUMMYFUNCTION("IMPORTRANGE(""https://docs.google.com/spreadsheets/d/1b6QssHQp2FoAPSMKHOy273KNzAomaIKhtdlvuZ_zDNE/edit?usp=sharing"",""พัทลุง!J371"")"),134.67)</f>
        <v>134.66999999999999</v>
      </c>
      <c r="AN82" s="252">
        <f t="shared" ca="1" si="47"/>
        <v>58.208955223880594</v>
      </c>
      <c r="AO82" s="248">
        <f ca="1">IFERROR(__xludf.DUMMYFUNCTION("IMPORTRANGE(""https://docs.google.com/spreadsheets/d/1b6QssHQp2FoAPSMKHOy273KNzAomaIKhtdlvuZ_zDNE/edit?usp=sharing"",""พัทลุง!I372"")"),67)</f>
        <v>67</v>
      </c>
      <c r="AP82" s="248">
        <f ca="1">IFERROR(__xludf.DUMMYFUNCTION("IMPORTRANGE(""https://docs.google.com/spreadsheets/d/1b6QssHQp2FoAPSMKHOy273KNzAomaIKhtdlvuZ_zDNE/edit?usp=sharing"",""พัทลุง!J372"")"),40)</f>
        <v>40</v>
      </c>
      <c r="AQ82" s="248">
        <f ca="1">IFERROR(__xludf.DUMMYFUNCTION("IMPORTRANGE(""https://docs.google.com/spreadsheets/d/1b6QssHQp2FoAPSMKHOy273KNzAomaIKhtdlvuZ_zDNE/edit?usp=sharing"",""พัทลุง!J373"")"),135.32)</f>
        <v>135.32</v>
      </c>
      <c r="AR82" s="252">
        <f t="shared" ca="1" si="48"/>
        <v>59.701492537313435</v>
      </c>
      <c r="AS82" s="248">
        <f ca="1">IFERROR(__xludf.DUMMYFUNCTION("IMPORTRANGE(""https://docs.google.com/spreadsheets/d/1b6QssHQp2FoAPSMKHOy273KNzAomaIKhtdlvuZ_zDNE/edit?usp=sharing"",""พัทลุง!I378"")"),300)</f>
        <v>300</v>
      </c>
      <c r="AT82" s="248">
        <f ca="1">IFERROR(__xludf.DUMMYFUNCTION("IMPORTRANGE(""https://docs.google.com/spreadsheets/d/1b6QssHQp2FoAPSMKHOy273KNzAomaIKhtdlvuZ_zDNE/edit?usp=sharing"",""พัทลุง!J377"")"),60)</f>
        <v>60</v>
      </c>
      <c r="AU82" s="248">
        <f ca="1">IFERROR(__xludf.DUMMYFUNCTION("IMPORTRANGE(""https://docs.google.com/spreadsheets/d/1b6QssHQp2FoAPSMKHOy273KNzAomaIKhtdlvuZ_zDNE/edit?usp=sharing"",""พัทลุง!J378"")"),268.15)</f>
        <v>268.14999999999998</v>
      </c>
      <c r="AV82" s="252">
        <f t="shared" ca="1" si="49"/>
        <v>89.383333333333326</v>
      </c>
      <c r="AW82" s="248">
        <f ca="1">IFERROR(__xludf.DUMMYFUNCTION("IMPORTRANGE(""https://docs.google.com/spreadsheets/d/1b6QssHQp2FoAPSMKHOy273KNzAomaIKhtdlvuZ_zDNE/edit?usp=sharing"",""พัทลุง!I379"")"),200)</f>
        <v>200</v>
      </c>
      <c r="AX82" s="248">
        <f ca="1">IFERROR(__xludf.DUMMYFUNCTION("IMPORTRANGE(""https://docs.google.com/spreadsheets/d/1b6QssHQp2FoAPSMKHOy273KNzAomaIKhtdlvuZ_zDNE/edit?usp=sharing"",""พัทลุง!J379"")"),211)</f>
        <v>211</v>
      </c>
      <c r="AY82" s="248">
        <f ca="1">IFERROR(__xludf.DUMMYFUNCTION("IMPORTRANGE(""https://docs.google.com/spreadsheets/d/1b6QssHQp2FoAPSMKHOy273KNzAomaIKhtdlvuZ_zDNE/edit?usp=sharing"",""พัทลุง!J380"")"),1297.55)</f>
        <v>1297.55</v>
      </c>
      <c r="AZ82" s="252">
        <f t="shared" ca="1" si="50"/>
        <v>105.5</v>
      </c>
      <c r="BA82" s="248">
        <f ca="1">IFERROR(__xludf.DUMMYFUNCTION("IMPORTRANGE(""https://docs.google.com/spreadsheets/d/1b6QssHQp2FoAPSMKHOy273KNzAomaIKhtdlvuZ_zDNE/edit?usp=sharing"",""พัทลุง!I381"")"),200)</f>
        <v>200</v>
      </c>
      <c r="BB82" s="248">
        <f ca="1">IFERROR(__xludf.DUMMYFUNCTION("IMPORTRANGE(""https://docs.google.com/spreadsheets/d/1b6QssHQp2FoAPSMKHOy273KNzAomaIKhtdlvuZ_zDNE/edit?usp=sharing"",""พัทลุง!J381"")"),168)</f>
        <v>168</v>
      </c>
      <c r="BC82" s="248">
        <f ca="1">IFERROR(__xludf.DUMMYFUNCTION("IMPORTRANGE(""https://docs.google.com/spreadsheets/d/1b6QssHQp2FoAPSMKHOy273KNzAomaIKhtdlvuZ_zDNE/edit?usp=sharing"",""พัทลุง!J382"")"),1098.87)</f>
        <v>1098.8699999999999</v>
      </c>
      <c r="BD82" s="252">
        <f t="shared" ca="1" si="51"/>
        <v>84</v>
      </c>
    </row>
    <row r="83" spans="1:56" ht="21" customHeight="1" x14ac:dyDescent="0.3">
      <c r="A83" s="243">
        <v>9</v>
      </c>
      <c r="B83" s="244" t="s">
        <v>105</v>
      </c>
      <c r="C83" s="245">
        <f t="shared" ca="1" si="0"/>
        <v>518760</v>
      </c>
      <c r="D83" s="246">
        <f t="shared" ca="1" si="100"/>
        <v>404960</v>
      </c>
      <c r="E83" s="247">
        <f ca="1">IFERROR(__xludf.DUMMYFUNCTION("IMPORTRANGE(""https://docs.google.com/spreadsheets/d/1MeEWN-I1oV_STSDYn1IFDPWt_1FKiwhDph83XaGc0o0/edit?usp=sharing"",""งบพรบ!EX83"")"),201600)</f>
        <v>201600</v>
      </c>
      <c r="F83" s="247">
        <f ca="1">IFERROR(__xludf.DUMMYFUNCTION("IMPORTRANGE(""https://docs.google.com/spreadsheets/d/1MeEWN-I1oV_STSDYn1IFDPWt_1FKiwhDph83XaGc0o0/edit?usp=sharing"",""งบพรบ!EY83"")"),203360)</f>
        <v>203360</v>
      </c>
      <c r="G83" s="247">
        <f ca="1">IFERROR(__xludf.DUMMYFUNCTION("IMPORTRANGE(""https://docs.google.com/spreadsheets/d/1MeEWN-I1oV_STSDYn1IFDPWt_1FKiwhDph83XaGc0o0/edit?usp=sharing"",""งบพรบ!EZ83"")"),113800)</f>
        <v>113800</v>
      </c>
      <c r="H83" s="247">
        <f ca="1">IFERROR(__xludf.DUMMYFUNCTION("IMPORTRANGE(""https://docs.google.com/spreadsheets/d/1MeEWN-I1oV_STSDYn1IFDPWt_1FKiwhDph83XaGc0o0/edit?usp=sharing"",""งบพรบ!FB83"")"),643580)</f>
        <v>643580</v>
      </c>
      <c r="I83" s="247">
        <f ca="1">IFERROR(__xludf.DUMMYFUNCTION("IMPORTRANGE(""https://docs.google.com/spreadsheets/d/1MeEWN-I1oV_STSDYn1IFDPWt_1FKiwhDph83XaGc0o0/edit?usp=sharing"",""งบพรบ!FC83"")"),113600)</f>
        <v>113600</v>
      </c>
      <c r="J83" s="247">
        <f t="shared" ca="1" si="3"/>
        <v>610353.65</v>
      </c>
      <c r="K83" s="253">
        <f t="shared" ca="1" si="4"/>
        <v>117.65626686714472</v>
      </c>
      <c r="L83" s="247">
        <f ca="1">IFERROR(__xludf.DUMMYFUNCTION("IMPORTRANGE(""https://docs.google.com/spreadsheets/d/1MeEWN-I1oV_STSDYn1IFDPWt_1FKiwhDph83XaGc0o0/edit?usp=sharing"",""งบพรบ!FD83"")"),496753.65)</f>
        <v>496753.65</v>
      </c>
      <c r="M83" s="250">
        <f t="shared" ca="1" si="5"/>
        <v>122.66733751481628</v>
      </c>
      <c r="N83" s="250">
        <f t="shared" ca="1" si="6"/>
        <v>77.185998632648619</v>
      </c>
      <c r="O83" s="251">
        <f ca="1">IFERROR(__xludf.DUMMYFUNCTION("IMPORTRANGE(""https://docs.google.com/spreadsheets/d/1MeEWN-I1oV_STSDYn1IFDPWt_1FKiwhDph83XaGc0o0/edit?usp=sharing"",""งบพรบ!FE83"")"),113600)</f>
        <v>113600</v>
      </c>
      <c r="P83" s="250">
        <f t="shared" ca="1" si="53"/>
        <v>99.824253075571178</v>
      </c>
      <c r="Q83" s="250">
        <f t="shared" ca="1" si="8"/>
        <v>100</v>
      </c>
      <c r="R83" s="248">
        <f ca="1">IFERROR(__xludf.DUMMYFUNCTION("IMPORTRANGE(""https://docs.google.com/spreadsheets/d/1o7UZe4_OqlqtLDHrj01Z2YFRSZDf1DMy1n3XViHaxRc/edit?usp=sharing"",""ภูเก็ต!I359"")"),95)</f>
        <v>95</v>
      </c>
      <c r="S83" s="248">
        <f ca="1">IFERROR(__xludf.DUMMYFUNCTION("IMPORTRANGE(""https://docs.google.com/spreadsheets/d/1o7UZe4_OqlqtLDHrj01Z2YFRSZDf1DMy1n3XViHaxRc/edit?usp=sharing"",""ภูเก็ต!J358"")"),17)</f>
        <v>17</v>
      </c>
      <c r="T83" s="248">
        <f ca="1">IFERROR(__xludf.DUMMYFUNCTION("IMPORTRANGE(""https://docs.google.com/spreadsheets/d/1o7UZe4_OqlqtLDHrj01Z2YFRSZDf1DMy1n3XViHaxRc/edit?usp=sharing"",""ภูเก็ต!J359"")"),65.91)</f>
        <v>65.91</v>
      </c>
      <c r="U83" s="252">
        <f t="shared" ca="1" si="43"/>
        <v>69.378947368421052</v>
      </c>
      <c r="V83" s="248">
        <f ca="1">IFERROR(__xludf.DUMMYFUNCTION("IMPORTRANGE(""https://docs.google.com/spreadsheets/d/1o7UZe4_OqlqtLDHrj01Z2YFRSZDf1DMy1n3XViHaxRc/edit?usp=sharing"",""ภูเก็ต!I360"")"),22)</f>
        <v>22</v>
      </c>
      <c r="W83" s="248">
        <f ca="1">IFERROR(__xludf.DUMMYFUNCTION("IMPORTRANGE(""https://docs.google.com/spreadsheets/d/1o7UZe4_OqlqtLDHrj01Z2YFRSZDf1DMy1n3XViHaxRc/edit?usp=sharing"",""ภูเก็ต!J360"")"),18)</f>
        <v>18</v>
      </c>
      <c r="X83" s="248">
        <f ca="1">IFERROR(__xludf.DUMMYFUNCTION("IMPORTRANGE(""https://docs.google.com/spreadsheets/d/1o7UZe4_OqlqtLDHrj01Z2YFRSZDf1DMy1n3XViHaxRc/edit?usp=sharing"",""ภูเก็ต!J361"")"),67.09)</f>
        <v>67.09</v>
      </c>
      <c r="Y83" s="252">
        <f t="shared" ca="1" si="44"/>
        <v>81.818181818181813</v>
      </c>
      <c r="Z83" s="248">
        <f ca="1">IFERROR(__xludf.DUMMYFUNCTION("IMPORTRANGE(""https://docs.google.com/spreadsheets/d/1o7UZe4_OqlqtLDHrj01Z2YFRSZDf1DMy1n3XViHaxRc/edit?usp=sharing"",""ภูเก็ต!I362"")"),22)</f>
        <v>22</v>
      </c>
      <c r="AA83" s="248">
        <f ca="1">IFERROR(__xludf.DUMMYFUNCTION("IMPORTRANGE(""https://docs.google.com/spreadsheets/d/1o7UZe4_OqlqtLDHrj01Z2YFRSZDf1DMy1n3XViHaxRc/edit?usp=sharing"",""ภูเก็ต!J362"")"),18)</f>
        <v>18</v>
      </c>
      <c r="AB83" s="248">
        <f ca="1">IFERROR(__xludf.DUMMYFUNCTION("IMPORTRANGE(""https://docs.google.com/spreadsheets/d/1o7UZe4_OqlqtLDHrj01Z2YFRSZDf1DMy1n3XViHaxRc/edit?usp=sharing"",""ภูเก็ต!J363"")"),67.09)</f>
        <v>67.09</v>
      </c>
      <c r="AC83" s="252">
        <f t="shared" ca="1" si="45"/>
        <v>81.818181818181813</v>
      </c>
      <c r="AD83" s="248">
        <f ca="1">IFERROR(__xludf.DUMMYFUNCTION("IMPORTRANGE(""https://docs.google.com/spreadsheets/d/1o7UZe4_OqlqtLDHrj01Z2YFRSZDf1DMy1n3XViHaxRc/edit?usp=sharing"",""ภูเก็ต!I364"")"),36)</f>
        <v>36</v>
      </c>
      <c r="AE83" s="248">
        <f ca="1">IFERROR(__xludf.DUMMYFUNCTION("IMPORTRANGE(""https://docs.google.com/spreadsheets/d/1o7UZe4_OqlqtLDHrj01Z2YFRSZDf1DMy1n3XViHaxRc/edit?usp=sharing"",""ภูเก็ต!J364"")"),33)</f>
        <v>33</v>
      </c>
      <c r="AF83" s="252">
        <f t="shared" ca="1" si="16"/>
        <v>91.666666666666671</v>
      </c>
      <c r="AG83" s="248">
        <f ca="1">IFERROR(__xludf.DUMMYFUNCTION("IMPORTRANGE(""https://docs.google.com/spreadsheets/d/1o7UZe4_OqlqtLDHrj01Z2YFRSZDf1DMy1n3XViHaxRc/edit?usp=sharing"",""ภูเก็ต!I369"")"),3)</f>
        <v>3</v>
      </c>
      <c r="AH83" s="248">
        <f ca="1">IFERROR(__xludf.DUMMYFUNCTION("IMPORTRANGE(""https://docs.google.com/spreadsheets/d/1o7UZe4_OqlqtLDHrj01Z2YFRSZDf1DMy1n3XViHaxRc/edit?usp=sharing"",""ภูเก็ต!J368"")"),0)</f>
        <v>0</v>
      </c>
      <c r="AI83" s="248">
        <f ca="1">IFERROR(__xludf.DUMMYFUNCTION("IMPORTRANGE(""https://docs.google.com/spreadsheets/d/1o7UZe4_OqlqtLDHrj01Z2YFRSZDf1DMy1n3XViHaxRc/edit?usp=sharing"",""ภูเก็ต!J369"")"),0)</f>
        <v>0</v>
      </c>
      <c r="AJ83" s="252">
        <f t="shared" ca="1" si="46"/>
        <v>0</v>
      </c>
      <c r="AK83" s="248">
        <f ca="1">IFERROR(__xludf.DUMMYFUNCTION("IMPORTRANGE(""https://docs.google.com/spreadsheets/d/1o7UZe4_OqlqtLDHrj01Z2YFRSZDf1DMy1n3XViHaxRc/edit?usp=sharing"",""ภูเก็ต!I370"")"),1)</f>
        <v>1</v>
      </c>
      <c r="AL83" s="248">
        <f ca="1">IFERROR(__xludf.DUMMYFUNCTION("IMPORTRANGE(""https://docs.google.com/spreadsheets/d/1o7UZe4_OqlqtLDHrj01Z2YFRSZDf1DMy1n3XViHaxRc/edit?usp=sharing"",""ภูเก็ต!J370"")"),1)</f>
        <v>1</v>
      </c>
      <c r="AM83" s="248">
        <f ca="1">IFERROR(__xludf.DUMMYFUNCTION("IMPORTRANGE(""https://docs.google.com/spreadsheets/d/1o7UZe4_OqlqtLDHrj01Z2YFRSZDf1DMy1n3XViHaxRc/edit?usp=sharing"",""ภูเก็ต!J371"")"),1.18)</f>
        <v>1.18</v>
      </c>
      <c r="AN83" s="252">
        <f t="shared" ca="1" si="47"/>
        <v>100</v>
      </c>
      <c r="AO83" s="248">
        <f ca="1">IFERROR(__xludf.DUMMYFUNCTION("IMPORTRANGE(""https://docs.google.com/spreadsheets/d/1o7UZe4_OqlqtLDHrj01Z2YFRSZDf1DMy1n3XViHaxRc/edit?usp=sharing"",""ภูเก็ต!I372"")"),1)</f>
        <v>1</v>
      </c>
      <c r="AP83" s="248">
        <f ca="1">IFERROR(__xludf.DUMMYFUNCTION("IMPORTRANGE(""https://docs.google.com/spreadsheets/d/1o7UZe4_OqlqtLDHrj01Z2YFRSZDf1DMy1n3XViHaxRc/edit?usp=sharing"",""ภูเก็ต!J372"")"),1)</f>
        <v>1</v>
      </c>
      <c r="AQ83" s="248">
        <f ca="1">IFERROR(__xludf.DUMMYFUNCTION("IMPORTRANGE(""https://docs.google.com/spreadsheets/d/1o7UZe4_OqlqtLDHrj01Z2YFRSZDf1DMy1n3XViHaxRc/edit?usp=sharing"",""ภูเก็ต!J373"")"),1.18)</f>
        <v>1.18</v>
      </c>
      <c r="AR83" s="252">
        <f t="shared" ca="1" si="48"/>
        <v>100</v>
      </c>
      <c r="AS83" s="248">
        <f ca="1">IFERROR(__xludf.DUMMYFUNCTION("IMPORTRANGE(""https://docs.google.com/spreadsheets/d/1o7UZe4_OqlqtLDHrj01Z2YFRSZDf1DMy1n3XViHaxRc/edit?usp=sharing"",""ภูเก็ต!I378"")"),92)</f>
        <v>92</v>
      </c>
      <c r="AT83" s="248">
        <f ca="1">IFERROR(__xludf.DUMMYFUNCTION("IMPORTRANGE(""https://docs.google.com/spreadsheets/d/1o7UZe4_OqlqtLDHrj01Z2YFRSZDf1DMy1n3XViHaxRc/edit?usp=sharing"",""ภูเก็ต!J377"")"),17)</f>
        <v>17</v>
      </c>
      <c r="AU83" s="248">
        <f ca="1">IFERROR(__xludf.DUMMYFUNCTION("IMPORTRANGE(""https://docs.google.com/spreadsheets/d/1o7UZe4_OqlqtLDHrj01Z2YFRSZDf1DMy1n3XViHaxRc/edit?usp=sharing"",""ภูเก็ต!J378"")"),65.91)</f>
        <v>65.91</v>
      </c>
      <c r="AV83" s="252">
        <f t="shared" ca="1" si="49"/>
        <v>71.641304347826093</v>
      </c>
      <c r="AW83" s="248">
        <f ca="1">IFERROR(__xludf.DUMMYFUNCTION("IMPORTRANGE(""https://docs.google.com/spreadsheets/d/1o7UZe4_OqlqtLDHrj01Z2YFRSZDf1DMy1n3XViHaxRc/edit?usp=sharing"",""ภูเก็ต!I379"")"),35)</f>
        <v>35</v>
      </c>
      <c r="AX83" s="248">
        <f ca="1">IFERROR(__xludf.DUMMYFUNCTION("IMPORTRANGE(""https://docs.google.com/spreadsheets/d/1o7UZe4_OqlqtLDHrj01Z2YFRSZDf1DMy1n3XViHaxRc/edit?usp=sharing"",""ภูเก็ต!J379"")"),32)</f>
        <v>32</v>
      </c>
      <c r="AY83" s="248">
        <f ca="1">IFERROR(__xludf.DUMMYFUNCTION("IMPORTRANGE(""https://docs.google.com/spreadsheets/d/1o7UZe4_OqlqtLDHrj01Z2YFRSZDf1DMy1n3XViHaxRc/edit?usp=sharing"",""ภูเก็ต!J380"")"),291)</f>
        <v>291</v>
      </c>
      <c r="AZ83" s="252">
        <f t="shared" ca="1" si="50"/>
        <v>91.428571428571431</v>
      </c>
      <c r="BA83" s="248">
        <f ca="1">IFERROR(__xludf.DUMMYFUNCTION("IMPORTRANGE(""https://docs.google.com/spreadsheets/d/1o7UZe4_OqlqtLDHrj01Z2YFRSZDf1DMy1n3XViHaxRc/edit?usp=sharing"",""ภูเก็ต!I381"")"),35)</f>
        <v>35</v>
      </c>
      <c r="BB83" s="248">
        <f ca="1">IFERROR(__xludf.DUMMYFUNCTION("IMPORTRANGE(""https://docs.google.com/spreadsheets/d/1o7UZe4_OqlqtLDHrj01Z2YFRSZDf1DMy1n3XViHaxRc/edit?usp=sharing"",""ภูเก็ต!J381"")"),32)</f>
        <v>32</v>
      </c>
      <c r="BC83" s="248">
        <f ca="1">IFERROR(__xludf.DUMMYFUNCTION("IMPORTRANGE(""https://docs.google.com/spreadsheets/d/1o7UZe4_OqlqtLDHrj01Z2YFRSZDf1DMy1n3XViHaxRc/edit?usp=sharing"",""ภูเก็ต!J382"")"),291)</f>
        <v>291</v>
      </c>
      <c r="BD83" s="252">
        <f t="shared" ca="1" si="51"/>
        <v>91.428571428571431</v>
      </c>
    </row>
    <row r="84" spans="1:56" ht="21" customHeight="1" x14ac:dyDescent="0.3">
      <c r="A84" s="243">
        <v>10</v>
      </c>
      <c r="B84" s="244" t="s">
        <v>106</v>
      </c>
      <c r="C84" s="245">
        <f t="shared" ca="1" si="0"/>
        <v>672850</v>
      </c>
      <c r="D84" s="246">
        <f t="shared" ca="1" si="100"/>
        <v>559050</v>
      </c>
      <c r="E84" s="247">
        <f ca="1">IFERROR(__xludf.DUMMYFUNCTION("IMPORTRANGE(""https://docs.google.com/spreadsheets/d/1MeEWN-I1oV_STSDYn1IFDPWt_1FKiwhDph83XaGc0o0/edit?usp=sharing"",""งบพรบ!EX84"")"),315600)</f>
        <v>315600</v>
      </c>
      <c r="F84" s="247">
        <f ca="1">IFERROR(__xludf.DUMMYFUNCTION("IMPORTRANGE(""https://docs.google.com/spreadsheets/d/1MeEWN-I1oV_STSDYn1IFDPWt_1FKiwhDph83XaGc0o0/edit?usp=sharing"",""งบพรบ!EY84"")"),243450)</f>
        <v>243450</v>
      </c>
      <c r="G84" s="247">
        <f ca="1">IFERROR(__xludf.DUMMYFUNCTION("IMPORTRANGE(""https://docs.google.com/spreadsheets/d/1MeEWN-I1oV_STSDYn1IFDPWt_1FKiwhDph83XaGc0o0/edit?usp=sharing"",""งบพรบ!EZ84"")"),113800)</f>
        <v>113800</v>
      </c>
      <c r="H84" s="247">
        <f ca="1">IFERROR(__xludf.DUMMYFUNCTION("IMPORTRANGE(""https://docs.google.com/spreadsheets/d/1MeEWN-I1oV_STSDYn1IFDPWt_1FKiwhDph83XaGc0o0/edit?usp=sharing"",""งบพรบ!FB84"")"),614050)</f>
        <v>614050</v>
      </c>
      <c r="I84" s="247">
        <f ca="1">IFERROR(__xludf.DUMMYFUNCTION("IMPORTRANGE(""https://docs.google.com/spreadsheets/d/1MeEWN-I1oV_STSDYn1IFDPWt_1FKiwhDph83XaGc0o0/edit?usp=sharing"",""งบพรบ!FC84"")"),113800)</f>
        <v>113800</v>
      </c>
      <c r="J84" s="247">
        <f t="shared" ca="1" si="3"/>
        <v>637202.43999999994</v>
      </c>
      <c r="K84" s="253">
        <f t="shared" ca="1" si="4"/>
        <v>94.702004904510659</v>
      </c>
      <c r="L84" s="247">
        <f ca="1">IFERROR(__xludf.DUMMYFUNCTION("IMPORTRANGE(""https://docs.google.com/spreadsheets/d/1MeEWN-I1oV_STSDYn1IFDPWt_1FKiwhDph83XaGc0o0/edit?usp=sharing"",""งบพรบ!FD84"")"),523402.44)</f>
        <v>523402.44</v>
      </c>
      <c r="M84" s="250">
        <f t="shared" ca="1" si="5"/>
        <v>93.623547088811378</v>
      </c>
      <c r="N84" s="250">
        <f t="shared" ca="1" si="6"/>
        <v>85.237755883071415</v>
      </c>
      <c r="O84" s="251">
        <f ca="1">IFERROR(__xludf.DUMMYFUNCTION("IMPORTRANGE(""https://docs.google.com/spreadsheets/d/1MeEWN-I1oV_STSDYn1IFDPWt_1FKiwhDph83XaGc0o0/edit?usp=sharing"",""งบพรบ!FE84"")"),113800)</f>
        <v>113800</v>
      </c>
      <c r="P84" s="250">
        <f t="shared" ca="1" si="53"/>
        <v>100</v>
      </c>
      <c r="Q84" s="250">
        <f t="shared" ca="1" si="8"/>
        <v>100</v>
      </c>
      <c r="R84" s="248">
        <f ca="1">IFERROR(__xludf.DUMMYFUNCTION("IMPORTRANGE(""https://docs.google.com/spreadsheets/d/1ctPm1vUzcUCPuOj9-eoHUD85PqINFqUB0TjdSWmR5-c/edit?usp=sharing"",""ยะลา!I359"")"),440)</f>
        <v>440</v>
      </c>
      <c r="S84" s="248">
        <f ca="1">IFERROR(__xludf.DUMMYFUNCTION("IMPORTRANGE(""https://docs.google.com/spreadsheets/d/1ctPm1vUzcUCPuOj9-eoHUD85PqINFqUB0TjdSWmR5-c/edit?usp=sharing"",""ยะลา!J358"")"),107)</f>
        <v>107</v>
      </c>
      <c r="T84" s="248">
        <f ca="1">IFERROR(__xludf.DUMMYFUNCTION("IMPORTRANGE(""https://docs.google.com/spreadsheets/d/1ctPm1vUzcUCPuOj9-eoHUD85PqINFqUB0TjdSWmR5-c/edit?usp=sharing"",""ยะลา!J359"")"),609)</f>
        <v>609</v>
      </c>
      <c r="U84" s="252">
        <f t="shared" ca="1" si="43"/>
        <v>138.40909090909091</v>
      </c>
      <c r="V84" s="248">
        <f ca="1">IFERROR(__xludf.DUMMYFUNCTION("IMPORTRANGE(""https://docs.google.com/spreadsheets/d/1ctPm1vUzcUCPuOj9-eoHUD85PqINFqUB0TjdSWmR5-c/edit?usp=sharing"",""ยะลา!I360"")"),54)</f>
        <v>54</v>
      </c>
      <c r="W84" s="248">
        <f ca="1">IFERROR(__xludf.DUMMYFUNCTION("IMPORTRANGE(""https://docs.google.com/spreadsheets/d/1ctPm1vUzcUCPuOj9-eoHUD85PqINFqUB0TjdSWmR5-c/edit?usp=sharing"",""ยะลา!J360"")"),106)</f>
        <v>106</v>
      </c>
      <c r="X84" s="248">
        <f ca="1">IFERROR(__xludf.DUMMYFUNCTION("IMPORTRANGE(""https://docs.google.com/spreadsheets/d/1ctPm1vUzcUCPuOj9-eoHUD85PqINFqUB0TjdSWmR5-c/edit?usp=sharing"",""ยะลา!J361"")"),604.32)</f>
        <v>604.32000000000005</v>
      </c>
      <c r="Y84" s="252">
        <f t="shared" ca="1" si="44"/>
        <v>196.2962962962963</v>
      </c>
      <c r="Z84" s="248">
        <f ca="1">IFERROR(__xludf.DUMMYFUNCTION("IMPORTRANGE(""https://docs.google.com/spreadsheets/d/1ctPm1vUzcUCPuOj9-eoHUD85PqINFqUB0TjdSWmR5-c/edit?usp=sharing"",""ยะลา!I362"")"),54)</f>
        <v>54</v>
      </c>
      <c r="AA84" s="248">
        <f ca="1">IFERROR(__xludf.DUMMYFUNCTION("IMPORTRANGE(""https://docs.google.com/spreadsheets/d/1ctPm1vUzcUCPuOj9-eoHUD85PqINFqUB0TjdSWmR5-c/edit?usp=sharing"",""ยะลา!J362"")"),96)</f>
        <v>96</v>
      </c>
      <c r="AB84" s="248">
        <f ca="1">IFERROR(__xludf.DUMMYFUNCTION("IMPORTRANGE(""https://docs.google.com/spreadsheets/d/1ctPm1vUzcUCPuOj9-eoHUD85PqINFqUB0TjdSWmR5-c/edit?usp=sharing"",""ยะลา!J363"")"),521.93)</f>
        <v>521.92999999999995</v>
      </c>
      <c r="AC84" s="252">
        <f t="shared" ca="1" si="45"/>
        <v>177.77777777777777</v>
      </c>
      <c r="AD84" s="248">
        <f ca="1">IFERROR(__xludf.DUMMYFUNCTION("IMPORTRANGE(""https://docs.google.com/spreadsheets/d/1ctPm1vUzcUCPuOj9-eoHUD85PqINFqUB0TjdSWmR5-c/edit?usp=sharing"",""ยะลา!I364"")"),74)</f>
        <v>74</v>
      </c>
      <c r="AE84" s="248">
        <f ca="1">IFERROR(__xludf.DUMMYFUNCTION("IMPORTRANGE(""https://docs.google.com/spreadsheets/d/1ctPm1vUzcUCPuOj9-eoHUD85PqINFqUB0TjdSWmR5-c/edit?usp=sharing"",""ยะลา!J364"")"),130)</f>
        <v>130</v>
      </c>
      <c r="AF84" s="252">
        <f t="shared" ca="1" si="16"/>
        <v>175.67567567567568</v>
      </c>
      <c r="AG84" s="248">
        <f ca="1">IFERROR(__xludf.DUMMYFUNCTION("IMPORTRANGE(""https://docs.google.com/spreadsheets/d/1ctPm1vUzcUCPuOj9-eoHUD85PqINFqUB0TjdSWmR5-c/edit?usp=sharing"",""ยะลา!I369"")"),340)</f>
        <v>340</v>
      </c>
      <c r="AH84" s="248">
        <f ca="1">IFERROR(__xludf.DUMMYFUNCTION("IMPORTRANGE(""https://docs.google.com/spreadsheets/d/1ctPm1vUzcUCPuOj9-eoHUD85PqINFqUB0TjdSWmR5-c/edit?usp=sharing"",""ยะลา!J368"")"),82)</f>
        <v>82</v>
      </c>
      <c r="AI84" s="248">
        <f ca="1">IFERROR(__xludf.DUMMYFUNCTION("IMPORTRANGE(""https://docs.google.com/spreadsheets/d/1ctPm1vUzcUCPuOj9-eoHUD85PqINFqUB0TjdSWmR5-c/edit?usp=sharing"",""ยะลา!J369"")"),384.35)</f>
        <v>384.35</v>
      </c>
      <c r="AJ84" s="252">
        <f t="shared" ca="1" si="46"/>
        <v>113.04411764705883</v>
      </c>
      <c r="AK84" s="248">
        <f ca="1">IFERROR(__xludf.DUMMYFUNCTION("IMPORTRANGE(""https://docs.google.com/spreadsheets/d/1ctPm1vUzcUCPuOj9-eoHUD85PqINFqUB0TjdSWmR5-c/edit?usp=sharing"",""ยะลา!I370"")"),34)</f>
        <v>34</v>
      </c>
      <c r="AL84" s="248">
        <f ca="1">IFERROR(__xludf.DUMMYFUNCTION("IMPORTRANGE(""https://docs.google.com/spreadsheets/d/1ctPm1vUzcUCPuOj9-eoHUD85PqINFqUB0TjdSWmR5-c/edit?usp=sharing"",""ยะลา!J370"")"),81)</f>
        <v>81</v>
      </c>
      <c r="AM84" s="248">
        <f ca="1">IFERROR(__xludf.DUMMYFUNCTION("IMPORTRANGE(""https://docs.google.com/spreadsheets/d/1ctPm1vUzcUCPuOj9-eoHUD85PqINFqUB0TjdSWmR5-c/edit?usp=sharing"",""ยะลา!J371"")"),379.67)</f>
        <v>379.67</v>
      </c>
      <c r="AN84" s="252">
        <f t="shared" ca="1" si="47"/>
        <v>238.23529411764707</v>
      </c>
      <c r="AO84" s="248">
        <f ca="1">IFERROR(__xludf.DUMMYFUNCTION("IMPORTRANGE(""https://docs.google.com/spreadsheets/d/1ctPm1vUzcUCPuOj9-eoHUD85PqINFqUB0TjdSWmR5-c/edit?usp=sharing"",""ยะลา!I372"")"),34)</f>
        <v>34</v>
      </c>
      <c r="AP84" s="248">
        <f ca="1">IFERROR(__xludf.DUMMYFUNCTION("IMPORTRANGE(""https://docs.google.com/spreadsheets/d/1ctPm1vUzcUCPuOj9-eoHUD85PqINFqUB0TjdSWmR5-c/edit?usp=sharing"",""ยะลา!J372"")"),79)</f>
        <v>79</v>
      </c>
      <c r="AQ84" s="248">
        <f ca="1">IFERROR(__xludf.DUMMYFUNCTION("IMPORTRANGE(""https://docs.google.com/spreadsheets/d/1ctPm1vUzcUCPuOj9-eoHUD85PqINFqUB0TjdSWmR5-c/edit?usp=sharing"",""ยะลา!J373"")"),375.82)</f>
        <v>375.82</v>
      </c>
      <c r="AR84" s="252">
        <f t="shared" ca="1" si="48"/>
        <v>232.35294117647058</v>
      </c>
      <c r="AS84" s="248">
        <f ca="1">IFERROR(__xludf.DUMMYFUNCTION("IMPORTRANGE(""https://docs.google.com/spreadsheets/d/1ctPm1vUzcUCPuOj9-eoHUD85PqINFqUB0TjdSWmR5-c/edit?usp=sharing"",""ยะลา!I378"")"),100)</f>
        <v>100</v>
      </c>
      <c r="AT84" s="248">
        <f ca="1">IFERROR(__xludf.DUMMYFUNCTION("IMPORTRANGE(""https://docs.google.com/spreadsheets/d/1ctPm1vUzcUCPuOj9-eoHUD85PqINFqUB0TjdSWmR5-c/edit?usp=sharing"",""ยะลา!J377"")"),25)</f>
        <v>25</v>
      </c>
      <c r="AU84" s="248">
        <f ca="1">IFERROR(__xludf.DUMMYFUNCTION("IMPORTRANGE(""https://docs.google.com/spreadsheets/d/1ctPm1vUzcUCPuOj9-eoHUD85PqINFqUB0TjdSWmR5-c/edit?usp=sharing"",""ยะลา!J378"")"),224.65)</f>
        <v>224.65</v>
      </c>
      <c r="AV84" s="252">
        <f t="shared" ca="1" si="49"/>
        <v>224.65</v>
      </c>
      <c r="AW84" s="248">
        <f ca="1">IFERROR(__xludf.DUMMYFUNCTION("IMPORTRANGE(""https://docs.google.com/spreadsheets/d/1ctPm1vUzcUCPuOj9-eoHUD85PqINFqUB0TjdSWmR5-c/edit?usp=sharing"",""ยะลา!I379"")"),40)</f>
        <v>40</v>
      </c>
      <c r="AX84" s="248">
        <f ca="1">IFERROR(__xludf.DUMMYFUNCTION("IMPORTRANGE(""https://docs.google.com/spreadsheets/d/1ctPm1vUzcUCPuOj9-eoHUD85PqINFqUB0TjdSWmR5-c/edit?usp=sharing"",""ยะลา!J379"")"),58)</f>
        <v>58</v>
      </c>
      <c r="AY84" s="248">
        <f ca="1">IFERROR(__xludf.DUMMYFUNCTION("IMPORTRANGE(""https://docs.google.com/spreadsheets/d/1ctPm1vUzcUCPuOj9-eoHUD85PqINFqUB0TjdSWmR5-c/edit?usp=sharing"",""ยะลา!J380"")"),457.31)</f>
        <v>457.31</v>
      </c>
      <c r="AZ84" s="252">
        <f t="shared" ca="1" si="50"/>
        <v>145</v>
      </c>
      <c r="BA84" s="248">
        <f ca="1">IFERROR(__xludf.DUMMYFUNCTION("IMPORTRANGE(""https://docs.google.com/spreadsheets/d/1ctPm1vUzcUCPuOj9-eoHUD85PqINFqUB0TjdSWmR5-c/edit?usp=sharing"",""ยะลา!I381"")"),40)</f>
        <v>40</v>
      </c>
      <c r="BB84" s="248">
        <f ca="1">IFERROR(__xludf.DUMMYFUNCTION("IMPORTRANGE(""https://docs.google.com/spreadsheets/d/1ctPm1vUzcUCPuOj9-eoHUD85PqINFqUB0TjdSWmR5-c/edit?usp=sharing"",""ยะลา!J381"")"),51)</f>
        <v>51</v>
      </c>
      <c r="BC84" s="248">
        <f ca="1">IFERROR(__xludf.DUMMYFUNCTION("IMPORTRANGE(""https://docs.google.com/spreadsheets/d/1ctPm1vUzcUCPuOj9-eoHUD85PqINFqUB0TjdSWmR5-c/edit?usp=sharing"",""ยะลา!J382"")"),391.66)</f>
        <v>391.66</v>
      </c>
      <c r="BD84" s="252">
        <f t="shared" ca="1" si="51"/>
        <v>127.5</v>
      </c>
    </row>
    <row r="85" spans="1:56" ht="21" customHeight="1" x14ac:dyDescent="0.3">
      <c r="A85" s="243">
        <v>11</v>
      </c>
      <c r="B85" s="244" t="s">
        <v>107</v>
      </c>
      <c r="C85" s="245">
        <f t="shared" ca="1" si="0"/>
        <v>619700</v>
      </c>
      <c r="D85" s="246">
        <f t="shared" ca="1" si="100"/>
        <v>573700</v>
      </c>
      <c r="E85" s="247">
        <f ca="1">IFERROR(__xludf.DUMMYFUNCTION("IMPORTRANGE(""https://docs.google.com/spreadsheets/d/1MeEWN-I1oV_STSDYn1IFDPWt_1FKiwhDph83XaGc0o0/edit?usp=sharing"",""งบพรบ!EX85"")"),315600)</f>
        <v>315600</v>
      </c>
      <c r="F85" s="247">
        <f ca="1">IFERROR(__xludf.DUMMYFUNCTION("IMPORTRANGE(""https://docs.google.com/spreadsheets/d/1MeEWN-I1oV_STSDYn1IFDPWt_1FKiwhDph83XaGc0o0/edit?usp=sharing"",""งบพรบ!EY85"")"),258100)</f>
        <v>258100</v>
      </c>
      <c r="G85" s="247">
        <f ca="1">IFERROR(__xludf.DUMMYFUNCTION("IMPORTRANGE(""https://docs.google.com/spreadsheets/d/1MeEWN-I1oV_STSDYn1IFDPWt_1FKiwhDph83XaGc0o0/edit?usp=sharing"",""งบพรบ!EZ85"")"),46000)</f>
        <v>46000</v>
      </c>
      <c r="H85" s="247">
        <f ca="1">IFERROR(__xludf.DUMMYFUNCTION("IMPORTRANGE(""https://docs.google.com/spreadsheets/d/1MeEWN-I1oV_STSDYn1IFDPWt_1FKiwhDph83XaGc0o0/edit?usp=sharing"",""งบพรบ!FB85"")"),603700)</f>
        <v>603700</v>
      </c>
      <c r="I85" s="247">
        <f ca="1">IFERROR(__xludf.DUMMYFUNCTION("IMPORTRANGE(""https://docs.google.com/spreadsheets/d/1MeEWN-I1oV_STSDYn1IFDPWt_1FKiwhDph83XaGc0o0/edit?usp=sharing"",""งบพรบ!FC85"")"),46000)</f>
        <v>46000</v>
      </c>
      <c r="J85" s="247">
        <f t="shared" ca="1" si="3"/>
        <v>575533.86</v>
      </c>
      <c r="K85" s="253">
        <f t="shared" ca="1" si="4"/>
        <v>92.872980474423102</v>
      </c>
      <c r="L85" s="247">
        <f ca="1">IFERROR(__xludf.DUMMYFUNCTION("IMPORTRANGE(""https://docs.google.com/spreadsheets/d/1MeEWN-I1oV_STSDYn1IFDPWt_1FKiwhDph83XaGc0o0/edit?usp=sharing"",""งบพรบ!FD85"")"),529533.86)</f>
        <v>529533.86</v>
      </c>
      <c r="M85" s="250">
        <f t="shared" ca="1" si="5"/>
        <v>92.301526930451459</v>
      </c>
      <c r="N85" s="250">
        <f t="shared" ca="1" si="6"/>
        <v>87.714735795925122</v>
      </c>
      <c r="O85" s="251">
        <f ca="1">IFERROR(__xludf.DUMMYFUNCTION("IMPORTRANGE(""https://docs.google.com/spreadsheets/d/1MeEWN-I1oV_STSDYn1IFDPWt_1FKiwhDph83XaGc0o0/edit?usp=sharing"",""งบพรบ!FE85"")"),46000)</f>
        <v>46000</v>
      </c>
      <c r="P85" s="250">
        <f t="shared" ca="1" si="53"/>
        <v>100</v>
      </c>
      <c r="Q85" s="250">
        <f t="shared" ca="1" si="8"/>
        <v>100</v>
      </c>
      <c r="R85" s="248">
        <f ca="1">IFERROR(__xludf.DUMMYFUNCTION("IMPORTRANGE(""https://docs.google.com/spreadsheets/d/1YiDIE7Klmt8osgdapRqYWNr7iPGFSsiJqq46S7PYRE0/edit?usp=sharing"",""ระนอง!I359"")"),450)</f>
        <v>450</v>
      </c>
      <c r="S85" s="248">
        <f ca="1">IFERROR(__xludf.DUMMYFUNCTION("IMPORTRANGE(""https://docs.google.com/spreadsheets/d/1YiDIE7Klmt8osgdapRqYWNr7iPGFSsiJqq46S7PYRE0/edit?usp=sharing"",""ระนอง!J358"")"),85)</f>
        <v>85</v>
      </c>
      <c r="T85" s="248">
        <f ca="1">IFERROR(__xludf.DUMMYFUNCTION("IMPORTRANGE(""https://docs.google.com/spreadsheets/d/1YiDIE7Klmt8osgdapRqYWNr7iPGFSsiJqq46S7PYRE0/edit?usp=sharing"",""ระนอง!J359"")"),488.9)</f>
        <v>488.9</v>
      </c>
      <c r="U85" s="252">
        <f t="shared" ca="1" si="43"/>
        <v>108.64444444444445</v>
      </c>
      <c r="V85" s="248">
        <f ca="1">IFERROR(__xludf.DUMMYFUNCTION("IMPORTRANGE(""https://docs.google.com/spreadsheets/d/1YiDIE7Klmt8osgdapRqYWNr7iPGFSsiJqq46S7PYRE0/edit?usp=sharing"",""ระนอง!I360"")"),60)</f>
        <v>60</v>
      </c>
      <c r="W85" s="248">
        <f ca="1">IFERROR(__xludf.DUMMYFUNCTION("IMPORTRANGE(""https://docs.google.com/spreadsheets/d/1YiDIE7Klmt8osgdapRqYWNr7iPGFSsiJqq46S7PYRE0/edit?usp=sharing"",""ระนอง!J360"")"),71)</f>
        <v>71</v>
      </c>
      <c r="X85" s="248">
        <f ca="1">IFERROR(__xludf.DUMMYFUNCTION("IMPORTRANGE(""https://docs.google.com/spreadsheets/d/1YiDIE7Klmt8osgdapRqYWNr7iPGFSsiJqq46S7PYRE0/edit?usp=sharing"",""ระนอง!J361"")"),426.169999999999)</f>
        <v>426.16999999999899</v>
      </c>
      <c r="Y85" s="252">
        <f t="shared" ca="1" si="44"/>
        <v>118.33333333333333</v>
      </c>
      <c r="Z85" s="248">
        <f ca="1">IFERROR(__xludf.DUMMYFUNCTION("IMPORTRANGE(""https://docs.google.com/spreadsheets/d/1YiDIE7Klmt8osgdapRqYWNr7iPGFSsiJqq46S7PYRE0/edit?usp=sharing"",""ระนอง!I362"")"),60)</f>
        <v>60</v>
      </c>
      <c r="AA85" s="248">
        <f ca="1">IFERROR(__xludf.DUMMYFUNCTION("IMPORTRANGE(""https://docs.google.com/spreadsheets/d/1YiDIE7Klmt8osgdapRqYWNr7iPGFSsiJqq46S7PYRE0/edit?usp=sharing"",""ระนอง!J362"")"),59)</f>
        <v>59</v>
      </c>
      <c r="AB85" s="248">
        <f ca="1">IFERROR(__xludf.DUMMYFUNCTION("IMPORTRANGE(""https://docs.google.com/spreadsheets/d/1YiDIE7Klmt8osgdapRqYWNr7iPGFSsiJqq46S7PYRE0/edit?usp=sharing"",""ระนอง!J363"")"),354.83)</f>
        <v>354.83</v>
      </c>
      <c r="AC85" s="252">
        <f t="shared" ca="1" si="45"/>
        <v>98.333333333333329</v>
      </c>
      <c r="AD85" s="248">
        <f ca="1">IFERROR(__xludf.DUMMYFUNCTION("IMPORTRANGE(""https://docs.google.com/spreadsheets/d/1YiDIE7Klmt8osgdapRqYWNr7iPGFSsiJqq46S7PYRE0/edit?usp=sharing"",""ระนอง!I364"")"),110)</f>
        <v>110</v>
      </c>
      <c r="AE85" s="248">
        <f ca="1">IFERROR(__xludf.DUMMYFUNCTION("IMPORTRANGE(""https://docs.google.com/spreadsheets/d/1YiDIE7Klmt8osgdapRqYWNr7iPGFSsiJqq46S7PYRE0/edit?usp=sharing"",""ระนอง!J364"")"),144)</f>
        <v>144</v>
      </c>
      <c r="AF85" s="252">
        <f t="shared" ca="1" si="16"/>
        <v>130.90909090909091</v>
      </c>
      <c r="AG85" s="248">
        <f ca="1">IFERROR(__xludf.DUMMYFUNCTION("IMPORTRANGE(""https://docs.google.com/spreadsheets/d/1YiDIE7Klmt8osgdapRqYWNr7iPGFSsiJqq46S7PYRE0/edit?usp=sharing"",""ระนอง!I369"")"),300)</f>
        <v>300</v>
      </c>
      <c r="AH85" s="248">
        <f ca="1">IFERROR(__xludf.DUMMYFUNCTION("IMPORTRANGE(""https://docs.google.com/spreadsheets/d/1YiDIE7Klmt8osgdapRqYWNr7iPGFSsiJqq46S7PYRE0/edit?usp=sharing"",""ระนอง!J368"")"),56)</f>
        <v>56</v>
      </c>
      <c r="AI85" s="248">
        <f ca="1">IFERROR(__xludf.DUMMYFUNCTION("IMPORTRANGE(""https://docs.google.com/spreadsheets/d/1YiDIE7Klmt8osgdapRqYWNr7iPGFSsiJqq46S7PYRE0/edit?usp=sharing"",""ระนอง!J369"")"),325.74)</f>
        <v>325.74</v>
      </c>
      <c r="AJ85" s="252">
        <f t="shared" ca="1" si="46"/>
        <v>108.58</v>
      </c>
      <c r="AK85" s="248">
        <f ca="1">IFERROR(__xludf.DUMMYFUNCTION("IMPORTRANGE(""https://docs.google.com/spreadsheets/d/1YiDIE7Klmt8osgdapRqYWNr7iPGFSsiJqq46S7PYRE0/edit?usp=sharing"",""ระนอง!I370"")"),30)</f>
        <v>30</v>
      </c>
      <c r="AL85" s="248">
        <f ca="1">IFERROR(__xludf.DUMMYFUNCTION("IMPORTRANGE(""https://docs.google.com/spreadsheets/d/1YiDIE7Klmt8osgdapRqYWNr7iPGFSsiJqq46S7PYRE0/edit?usp=sharing"",""ระนอง!J370"")"),42)</f>
        <v>42</v>
      </c>
      <c r="AM85" s="248">
        <f ca="1">IFERROR(__xludf.DUMMYFUNCTION("IMPORTRANGE(""https://docs.google.com/spreadsheets/d/1YiDIE7Klmt8osgdapRqYWNr7iPGFSsiJqq46S7PYRE0/edit?usp=sharing"",""ระนอง!J371"")"),263.01)</f>
        <v>263.01</v>
      </c>
      <c r="AN85" s="252">
        <f t="shared" ca="1" si="47"/>
        <v>140</v>
      </c>
      <c r="AO85" s="248">
        <f ca="1">IFERROR(__xludf.DUMMYFUNCTION("IMPORTRANGE(""https://docs.google.com/spreadsheets/d/1YiDIE7Klmt8osgdapRqYWNr7iPGFSsiJqq46S7PYRE0/edit?usp=sharing"",""ระนอง!I372"")"),30)</f>
        <v>30</v>
      </c>
      <c r="AP85" s="248">
        <f ca="1">IFERROR(__xludf.DUMMYFUNCTION("IMPORTRANGE(""https://docs.google.com/spreadsheets/d/1YiDIE7Klmt8osgdapRqYWNr7iPGFSsiJqq46S7PYRE0/edit?usp=sharing"",""ระนอง!J372"")"),31)</f>
        <v>31</v>
      </c>
      <c r="AQ85" s="248">
        <f ca="1">IFERROR(__xludf.DUMMYFUNCTION("IMPORTRANGE(""https://docs.google.com/spreadsheets/d/1YiDIE7Klmt8osgdapRqYWNr7iPGFSsiJqq46S7PYRE0/edit?usp=sharing"",""ระนอง!J373"")"),200.45)</f>
        <v>200.45</v>
      </c>
      <c r="AR85" s="252">
        <f t="shared" ca="1" si="48"/>
        <v>103.33333333333333</v>
      </c>
      <c r="AS85" s="248">
        <f ca="1">IFERROR(__xludf.DUMMYFUNCTION("IMPORTRANGE(""https://docs.google.com/spreadsheets/d/1YiDIE7Klmt8osgdapRqYWNr7iPGFSsiJqq46S7PYRE0/edit?usp=sharing"",""ระนอง!I378"")"),150)</f>
        <v>150</v>
      </c>
      <c r="AT85" s="248">
        <f ca="1">IFERROR(__xludf.DUMMYFUNCTION("IMPORTRANGE(""https://docs.google.com/spreadsheets/d/1YiDIE7Klmt8osgdapRqYWNr7iPGFSsiJqq46S7PYRE0/edit?usp=sharing"",""ระนอง!J377"")"),29)</f>
        <v>29</v>
      </c>
      <c r="AU85" s="248">
        <f ca="1">IFERROR(__xludf.DUMMYFUNCTION("IMPORTRANGE(""https://docs.google.com/spreadsheets/d/1YiDIE7Klmt8osgdapRqYWNr7iPGFSsiJqq46S7PYRE0/edit?usp=sharing"",""ระนอง!J378"")"),163.16)</f>
        <v>163.16</v>
      </c>
      <c r="AV85" s="252">
        <f t="shared" ca="1" si="49"/>
        <v>108.77333333333333</v>
      </c>
      <c r="AW85" s="248">
        <f ca="1">IFERROR(__xludf.DUMMYFUNCTION("IMPORTRANGE(""https://docs.google.com/spreadsheets/d/1YiDIE7Klmt8osgdapRqYWNr7iPGFSsiJqq46S7PYRE0/edit?usp=sharing"",""ระนอง!I379"")"),80)</f>
        <v>80</v>
      </c>
      <c r="AX85" s="248">
        <f ca="1">IFERROR(__xludf.DUMMYFUNCTION("IMPORTRANGE(""https://docs.google.com/spreadsheets/d/1YiDIE7Klmt8osgdapRqYWNr7iPGFSsiJqq46S7PYRE0/edit?usp=sharing"",""ระนอง!J379"")"),124)</f>
        <v>124</v>
      </c>
      <c r="AY85" s="248">
        <f ca="1">IFERROR(__xludf.DUMMYFUNCTION("IMPORTRANGE(""https://docs.google.com/spreadsheets/d/1YiDIE7Klmt8osgdapRqYWNr7iPGFSsiJqq46S7PYRE0/edit?usp=sharing"",""ระนอง!J380"")"),1548.24)</f>
        <v>1548.24</v>
      </c>
      <c r="AZ85" s="252">
        <f t="shared" ca="1" si="50"/>
        <v>155</v>
      </c>
      <c r="BA85" s="248">
        <f ca="1">IFERROR(__xludf.DUMMYFUNCTION("IMPORTRANGE(""https://docs.google.com/spreadsheets/d/1YiDIE7Klmt8osgdapRqYWNr7iPGFSsiJqq46S7PYRE0/edit?usp=sharing"",""ระนอง!I381"")"),80)</f>
        <v>80</v>
      </c>
      <c r="BB85" s="248">
        <f ca="1">IFERROR(__xludf.DUMMYFUNCTION("IMPORTRANGE(""https://docs.google.com/spreadsheets/d/1YiDIE7Klmt8osgdapRqYWNr7iPGFSsiJqq46S7PYRE0/edit?usp=sharing"",""ระนอง!J381"")"),113)</f>
        <v>113</v>
      </c>
      <c r="BC85" s="248">
        <f ca="1">IFERROR(__xludf.DUMMYFUNCTION("IMPORTRANGE(""https://docs.google.com/spreadsheets/d/1YiDIE7Klmt8osgdapRqYWNr7iPGFSsiJqq46S7PYRE0/edit?usp=sharing"",""ระนอง!J382"")"),1280.38)</f>
        <v>1280.3800000000001</v>
      </c>
      <c r="BD85" s="252">
        <f t="shared" ca="1" si="51"/>
        <v>141.25</v>
      </c>
    </row>
    <row r="86" spans="1:56" ht="24" customHeight="1" x14ac:dyDescent="0.3">
      <c r="A86" s="243">
        <v>12</v>
      </c>
      <c r="B86" s="244" t="s">
        <v>108</v>
      </c>
      <c r="C86" s="245">
        <f t="shared" ca="1" si="0"/>
        <v>738610</v>
      </c>
      <c r="D86" s="246">
        <f t="shared" ca="1" si="100"/>
        <v>700810</v>
      </c>
      <c r="E86" s="247">
        <f ca="1">IFERROR(__xludf.DUMMYFUNCTION("IMPORTRANGE(""https://docs.google.com/spreadsheets/d/1MeEWN-I1oV_STSDYn1IFDPWt_1FKiwhDph83XaGc0o0/edit?usp=sharing"",""งบพรบ!EX86"")"),342000)</f>
        <v>342000</v>
      </c>
      <c r="F86" s="247">
        <f ca="1">IFERROR(__xludf.DUMMYFUNCTION("IMPORTRANGE(""https://docs.google.com/spreadsheets/d/1MeEWN-I1oV_STSDYn1IFDPWt_1FKiwhDph83XaGc0o0/edit?usp=sharing"",""งบพรบ!EY86"")"),358810)</f>
        <v>358810</v>
      </c>
      <c r="G86" s="247">
        <f ca="1">IFERROR(__xludf.DUMMYFUNCTION("IMPORTRANGE(""https://docs.google.com/spreadsheets/d/1MeEWN-I1oV_STSDYn1IFDPWt_1FKiwhDph83XaGc0o0/edit?usp=sharing"",""งบพรบ!EZ86"")"),37800)</f>
        <v>37800</v>
      </c>
      <c r="H86" s="247">
        <f ca="1">IFERROR(__xludf.DUMMYFUNCTION("IMPORTRANGE(""https://docs.google.com/spreadsheets/d/1MeEWN-I1oV_STSDYn1IFDPWt_1FKiwhDph83XaGc0o0/edit?usp=sharing"",""งบพรบ!FB86"")"),804710)</f>
        <v>804710</v>
      </c>
      <c r="I86" s="247">
        <f ca="1">IFERROR(__xludf.DUMMYFUNCTION("IMPORTRANGE(""https://docs.google.com/spreadsheets/d/1MeEWN-I1oV_STSDYn1IFDPWt_1FKiwhDph83XaGc0o0/edit?usp=sharing"",""งบพรบ!FC86"")"),80200)</f>
        <v>80200</v>
      </c>
      <c r="J86" s="247">
        <f t="shared" ca="1" si="3"/>
        <v>744113.41</v>
      </c>
      <c r="K86" s="253">
        <f t="shared" ca="1" si="4"/>
        <v>100.74510364062225</v>
      </c>
      <c r="L86" s="247">
        <f ca="1">IFERROR(__xludf.DUMMYFUNCTION("IMPORTRANGE(""https://docs.google.com/spreadsheets/d/1MeEWN-I1oV_STSDYn1IFDPWt_1FKiwhDph83XaGc0o0/edit?usp=sharing"",""งบพรบ!FD86"")"),663913.41)</f>
        <v>663913.41</v>
      </c>
      <c r="M86" s="250">
        <f t="shared" ca="1" si="5"/>
        <v>94.735150754127361</v>
      </c>
      <c r="N86" s="250">
        <f t="shared" ca="1" si="6"/>
        <v>82.503437263113426</v>
      </c>
      <c r="O86" s="251">
        <f ca="1">IFERROR(__xludf.DUMMYFUNCTION("IMPORTRANGE(""https://docs.google.com/spreadsheets/d/1MeEWN-I1oV_STSDYn1IFDPWt_1FKiwhDph83XaGc0o0/edit?usp=sharing"",""งบพรบ!FE86"")"),80200)</f>
        <v>80200</v>
      </c>
      <c r="P86" s="250">
        <f t="shared" ca="1" si="53"/>
        <v>212.16931216931218</v>
      </c>
      <c r="Q86" s="250">
        <f t="shared" ca="1" si="8"/>
        <v>100</v>
      </c>
      <c r="R86" s="248">
        <f ca="1">IFERROR(__xludf.DUMMYFUNCTION("IMPORTRANGE(""https://docs.google.com/spreadsheets/d/16o_4B-V7AWw_6E93bSpXj_XxVv1oVQctk-B6z1dNEWU/edit?usp=sharing"",""สงขลา!I359"")"),1400)</f>
        <v>1400</v>
      </c>
      <c r="S86" s="248">
        <f ca="1">IFERROR(__xludf.DUMMYFUNCTION("IMPORTRANGE(""https://docs.google.com/spreadsheets/d/16o_4B-V7AWw_6E93bSpXj_XxVv1oVQctk-B6z1dNEWU/edit?usp=sharing"",""สงขลา!J358"")"),211)</f>
        <v>211</v>
      </c>
      <c r="T86" s="248">
        <f ca="1">IFERROR(__xludf.DUMMYFUNCTION("IMPORTRANGE(""https://docs.google.com/spreadsheets/d/16o_4B-V7AWw_6E93bSpXj_XxVv1oVQctk-B6z1dNEWU/edit?usp=sharing"",""สงขลา!J359"")"),1565.54)</f>
        <v>1565.54</v>
      </c>
      <c r="U86" s="252">
        <f t="shared" ca="1" si="43"/>
        <v>111.82428571428571</v>
      </c>
      <c r="V86" s="248">
        <f ca="1">IFERROR(__xludf.DUMMYFUNCTION("IMPORTRANGE(""https://docs.google.com/spreadsheets/d/16o_4B-V7AWw_6E93bSpXj_XxVv1oVQctk-B6z1dNEWU/edit?usp=sharing"",""สงขลา!I360"")"),140)</f>
        <v>140</v>
      </c>
      <c r="W86" s="248">
        <f ca="1">IFERROR(__xludf.DUMMYFUNCTION("IMPORTRANGE(""https://docs.google.com/spreadsheets/d/16o_4B-V7AWw_6E93bSpXj_XxVv1oVQctk-B6z1dNEWU/edit?usp=sharing"",""สงขลา!J360"")"),187)</f>
        <v>187</v>
      </c>
      <c r="X86" s="248">
        <f ca="1">IFERROR(__xludf.DUMMYFUNCTION("IMPORTRANGE(""https://docs.google.com/spreadsheets/d/16o_4B-V7AWw_6E93bSpXj_XxVv1oVQctk-B6z1dNEWU/edit?usp=sharing"",""สงขลา!J361"")"),1471.37)</f>
        <v>1471.37</v>
      </c>
      <c r="Y86" s="252">
        <f t="shared" ca="1" si="44"/>
        <v>133.57142857142858</v>
      </c>
      <c r="Z86" s="248">
        <f ca="1">IFERROR(__xludf.DUMMYFUNCTION("IMPORTRANGE(""https://docs.google.com/spreadsheets/d/16o_4B-V7AWw_6E93bSpXj_XxVv1oVQctk-B6z1dNEWU/edit?usp=sharing"",""สงขลา!I362"")"),140)</f>
        <v>140</v>
      </c>
      <c r="AA86" s="248">
        <f ca="1">IFERROR(__xludf.DUMMYFUNCTION("IMPORTRANGE(""https://docs.google.com/spreadsheets/d/16o_4B-V7AWw_6E93bSpXj_XxVv1oVQctk-B6z1dNEWU/edit?usp=sharing"",""สงขลา!J362"")"),158)</f>
        <v>158</v>
      </c>
      <c r="AB86" s="248">
        <f ca="1">IFERROR(__xludf.DUMMYFUNCTION("IMPORTRANGE(""https://docs.google.com/spreadsheets/d/16o_4B-V7AWw_6E93bSpXj_XxVv1oVQctk-B6z1dNEWU/edit?usp=sharing"",""สงขลา!J363"")"),1243.22)</f>
        <v>1243.22</v>
      </c>
      <c r="AC86" s="252">
        <f t="shared" ca="1" si="45"/>
        <v>112.85714285714286</v>
      </c>
      <c r="AD86" s="248">
        <f ca="1">IFERROR(__xludf.DUMMYFUNCTION("IMPORTRANGE(""https://docs.google.com/spreadsheets/d/16o_4B-V7AWw_6E93bSpXj_XxVv1oVQctk-B6z1dNEWU/edit?usp=sharing"",""สงขลา!I364"")"),290)</f>
        <v>290</v>
      </c>
      <c r="AE86" s="248">
        <f ca="1">IFERROR(__xludf.DUMMYFUNCTION("IMPORTRANGE(""https://docs.google.com/spreadsheets/d/16o_4B-V7AWw_6E93bSpXj_XxVv1oVQctk-B6z1dNEWU/edit?usp=sharing"",""สงขลา!J364"")"),441)</f>
        <v>441</v>
      </c>
      <c r="AF86" s="252">
        <f t="shared" ca="1" si="16"/>
        <v>152.06896551724137</v>
      </c>
      <c r="AG86" s="248">
        <f ca="1">IFERROR(__xludf.DUMMYFUNCTION("IMPORTRANGE(""https://docs.google.com/spreadsheets/d/16o_4B-V7AWw_6E93bSpXj_XxVv1oVQctk-B6z1dNEWU/edit?usp=sharing"",""สงขลา!I369"")"),400)</f>
        <v>400</v>
      </c>
      <c r="AH86" s="248">
        <f ca="1">IFERROR(__xludf.DUMMYFUNCTION("IMPORTRANGE(""https://docs.google.com/spreadsheets/d/16o_4B-V7AWw_6E93bSpXj_XxVv1oVQctk-B6z1dNEWU/edit?usp=sharing"",""สงขลา!J368"")"),63)</f>
        <v>63</v>
      </c>
      <c r="AI86" s="248">
        <f ca="1">IFERROR(__xludf.DUMMYFUNCTION("IMPORTRANGE(""https://docs.google.com/spreadsheets/d/16o_4B-V7AWw_6E93bSpXj_XxVv1oVQctk-B6z1dNEWU/edit?usp=sharing"",""สงขลา!J369"")"),454.33)</f>
        <v>454.33</v>
      </c>
      <c r="AJ86" s="252">
        <f t="shared" ca="1" si="46"/>
        <v>113.5825</v>
      </c>
      <c r="AK86" s="248">
        <f ca="1">IFERROR(__xludf.DUMMYFUNCTION("IMPORTRANGE(""https://docs.google.com/spreadsheets/d/16o_4B-V7AWw_6E93bSpXj_XxVv1oVQctk-B6z1dNEWU/edit?usp=sharing"",""สงขลา!I370"")"),40)</f>
        <v>40</v>
      </c>
      <c r="AL86" s="248">
        <f ca="1">IFERROR(__xludf.DUMMYFUNCTION("IMPORTRANGE(""https://docs.google.com/spreadsheets/d/16o_4B-V7AWw_6E93bSpXj_XxVv1oVQctk-B6z1dNEWU/edit?usp=sharing"",""สงขลา!J370"")"),66)</f>
        <v>66</v>
      </c>
      <c r="AM86" s="248">
        <f ca="1">IFERROR(__xludf.DUMMYFUNCTION("IMPORTRANGE(""https://docs.google.com/spreadsheets/d/16o_4B-V7AWw_6E93bSpXj_XxVv1oVQctk-B6z1dNEWU/edit?usp=sharing"",""สงขลา!J371"")"),463.16)</f>
        <v>463.16</v>
      </c>
      <c r="AN86" s="252">
        <f t="shared" ca="1" si="47"/>
        <v>165</v>
      </c>
      <c r="AO86" s="248">
        <f ca="1">IFERROR(__xludf.DUMMYFUNCTION("IMPORTRANGE(""https://docs.google.com/spreadsheets/d/16o_4B-V7AWw_6E93bSpXj_XxVv1oVQctk-B6z1dNEWU/edit?usp=sharing"",""สงขลา!I372"")"),40)</f>
        <v>40</v>
      </c>
      <c r="AP86" s="248">
        <f ca="1">IFERROR(__xludf.DUMMYFUNCTION("IMPORTRANGE(""https://docs.google.com/spreadsheets/d/16o_4B-V7AWw_6E93bSpXj_XxVv1oVQctk-B6z1dNEWU/edit?usp=sharing"",""สงขลา!J372"")"),47)</f>
        <v>47</v>
      </c>
      <c r="AQ86" s="248">
        <f ca="1">IFERROR(__xludf.DUMMYFUNCTION("IMPORTRANGE(""https://docs.google.com/spreadsheets/d/16o_4B-V7AWw_6E93bSpXj_XxVv1oVQctk-B6z1dNEWU/edit?usp=sharing"",""สงขลา!J373"")"),329.81)</f>
        <v>329.81</v>
      </c>
      <c r="AR86" s="252">
        <f t="shared" ca="1" si="48"/>
        <v>117.5</v>
      </c>
      <c r="AS86" s="248">
        <f ca="1">IFERROR(__xludf.DUMMYFUNCTION("IMPORTRANGE(""https://docs.google.com/spreadsheets/d/16o_4B-V7AWw_6E93bSpXj_XxVv1oVQctk-B6z1dNEWU/edit?usp=sharing"",""สงขลา!I378"")"),1000)</f>
        <v>1000</v>
      </c>
      <c r="AT86" s="248">
        <f ca="1">IFERROR(__xludf.DUMMYFUNCTION("IMPORTRANGE(""https://docs.google.com/spreadsheets/d/16o_4B-V7AWw_6E93bSpXj_XxVv1oVQctk-B6z1dNEWU/edit?usp=sharing"",""สงขลา!J377"")"),148)</f>
        <v>148</v>
      </c>
      <c r="AU86" s="248">
        <f ca="1">IFERROR(__xludf.DUMMYFUNCTION("IMPORTRANGE(""https://docs.google.com/spreadsheets/d/16o_4B-V7AWw_6E93bSpXj_XxVv1oVQctk-B6z1dNEWU/edit?usp=sharing"",""สงขลา!J378"")"),1111.21)</f>
        <v>1111.21</v>
      </c>
      <c r="AV86" s="252">
        <f t="shared" ca="1" si="49"/>
        <v>111.121</v>
      </c>
      <c r="AW86" s="248">
        <f ca="1">IFERROR(__xludf.DUMMYFUNCTION("IMPORTRANGE(""https://docs.google.com/spreadsheets/d/16o_4B-V7AWw_6E93bSpXj_XxVv1oVQctk-B6z1dNEWU/edit?usp=sharing"",""สงขลา!I379"")"),250)</f>
        <v>250</v>
      </c>
      <c r="AX86" s="248">
        <f ca="1">IFERROR(__xludf.DUMMYFUNCTION("IMPORTRANGE(""https://docs.google.com/spreadsheets/d/16o_4B-V7AWw_6E93bSpXj_XxVv1oVQctk-B6z1dNEWU/edit?usp=sharing"",""สงขลา!J379"")"),404)</f>
        <v>404</v>
      </c>
      <c r="AY86" s="248">
        <f ca="1">IFERROR(__xludf.DUMMYFUNCTION("IMPORTRANGE(""https://docs.google.com/spreadsheets/d/16o_4B-V7AWw_6E93bSpXj_XxVv1oVQctk-B6z1dNEWU/edit?usp=sharing"",""สงขลา!J380"")"),4406.72)</f>
        <v>4406.72</v>
      </c>
      <c r="AZ86" s="252">
        <f t="shared" ca="1" si="50"/>
        <v>161.6</v>
      </c>
      <c r="BA86" s="248">
        <f ca="1">IFERROR(__xludf.DUMMYFUNCTION("IMPORTRANGE(""https://docs.google.com/spreadsheets/d/16o_4B-V7AWw_6E93bSpXj_XxVv1oVQctk-B6z1dNEWU/edit?usp=sharing"",""สงขลา!I381"")"),250)</f>
        <v>250</v>
      </c>
      <c r="BB86" s="248">
        <f ca="1">IFERROR(__xludf.DUMMYFUNCTION("IMPORTRANGE(""https://docs.google.com/spreadsheets/d/16o_4B-V7AWw_6E93bSpXj_XxVv1oVQctk-B6z1dNEWU/edit?usp=sharing"",""สงขลา!J381"")"),394)</f>
        <v>394</v>
      </c>
      <c r="BC86" s="248">
        <f ca="1">IFERROR(__xludf.DUMMYFUNCTION("IMPORTRANGE(""https://docs.google.com/spreadsheets/d/16o_4B-V7AWw_6E93bSpXj_XxVv1oVQctk-B6z1dNEWU/edit?usp=sharing"",""สงขลา!J382"")"),4306.24)</f>
        <v>4306.24</v>
      </c>
      <c r="BD86" s="252">
        <f t="shared" ca="1" si="51"/>
        <v>157.6</v>
      </c>
    </row>
    <row r="87" spans="1:56" ht="24" customHeight="1" x14ac:dyDescent="0.3">
      <c r="A87" s="243">
        <v>13</v>
      </c>
      <c r="B87" s="244" t="s">
        <v>109</v>
      </c>
      <c r="C87" s="245">
        <f t="shared" ca="1" si="0"/>
        <v>518480</v>
      </c>
      <c r="D87" s="246">
        <f t="shared" ca="1" si="100"/>
        <v>442480</v>
      </c>
      <c r="E87" s="247">
        <f ca="1">IFERROR(__xludf.DUMMYFUNCTION("IMPORTRANGE(""https://docs.google.com/spreadsheets/d/1MeEWN-I1oV_STSDYn1IFDPWt_1FKiwhDph83XaGc0o0/edit?usp=sharing"",""งบพรบ!EX87"")"),201600)</f>
        <v>201600</v>
      </c>
      <c r="F87" s="247">
        <f ca="1">IFERROR(__xludf.DUMMYFUNCTION("IMPORTRANGE(""https://docs.google.com/spreadsheets/d/1MeEWN-I1oV_STSDYn1IFDPWt_1FKiwhDph83XaGc0o0/edit?usp=sharing"",""งบพรบ!EY87"")"),240880)</f>
        <v>240880</v>
      </c>
      <c r="G87" s="247">
        <f ca="1">IFERROR(__xludf.DUMMYFUNCTION("IMPORTRANGE(""https://docs.google.com/spreadsheets/d/1MeEWN-I1oV_STSDYn1IFDPWt_1FKiwhDph83XaGc0o0/edit?usp=sharing"",""งบพรบ!EZ87"")"),76000)</f>
        <v>76000</v>
      </c>
      <c r="H87" s="247">
        <f ca="1">IFERROR(__xludf.DUMMYFUNCTION("IMPORTRANGE(""https://docs.google.com/spreadsheets/d/1MeEWN-I1oV_STSDYn1IFDPWt_1FKiwhDph83XaGc0o0/edit?usp=sharing"",""งบพรบ!FB87"")"),583380)</f>
        <v>583380</v>
      </c>
      <c r="I87" s="247">
        <f ca="1">IFERROR(__xludf.DUMMYFUNCTION("IMPORTRANGE(""https://docs.google.com/spreadsheets/d/1MeEWN-I1oV_STSDYn1IFDPWt_1FKiwhDph83XaGc0o0/edit?usp=sharing"",""งบพรบ!FC87"")"),76000)</f>
        <v>76000</v>
      </c>
      <c r="J87" s="247">
        <f t="shared" ca="1" si="3"/>
        <v>554691.5</v>
      </c>
      <c r="K87" s="253">
        <f t="shared" ca="1" si="4"/>
        <v>106.98416525227589</v>
      </c>
      <c r="L87" s="247">
        <f ca="1">IFERROR(__xludf.DUMMYFUNCTION("IMPORTRANGE(""https://docs.google.com/spreadsheets/d/1MeEWN-I1oV_STSDYn1IFDPWt_1FKiwhDph83XaGc0o0/edit?usp=sharing"",""งบพรบ!FD87"")"),478691.5)</f>
        <v>478691.5</v>
      </c>
      <c r="M87" s="250">
        <f t="shared" ca="1" si="5"/>
        <v>108.18375971795335</v>
      </c>
      <c r="N87" s="250">
        <f t="shared" ca="1" si="6"/>
        <v>82.054835613150942</v>
      </c>
      <c r="O87" s="251">
        <f ca="1">IFERROR(__xludf.DUMMYFUNCTION("IMPORTRANGE(""https://docs.google.com/spreadsheets/d/1MeEWN-I1oV_STSDYn1IFDPWt_1FKiwhDph83XaGc0o0/edit?usp=sharing"",""งบพรบ!FE87"")"),76000)</f>
        <v>76000</v>
      </c>
      <c r="P87" s="250">
        <f t="shared" ca="1" si="53"/>
        <v>100</v>
      </c>
      <c r="Q87" s="250">
        <f t="shared" ca="1" si="8"/>
        <v>100</v>
      </c>
      <c r="R87" s="248">
        <f ca="1">IFERROR(__xludf.DUMMYFUNCTION("IMPORTRANGE(""https://docs.google.com/spreadsheets/d/16cywr71Fj4fA5OGRHsZh30ZG2gwJhMAQv69oVBzYHv0/edit?usp=sharing"",""สตูล!I359"")"),379)</f>
        <v>379</v>
      </c>
      <c r="S87" s="248">
        <f ca="1">IFERROR(__xludf.DUMMYFUNCTION("IMPORTRANGE(""https://docs.google.com/spreadsheets/d/16cywr71Fj4fA5OGRHsZh30ZG2gwJhMAQv69oVBzYHv0/edit?usp=sharing"",""สตูล!J358"")"),75)</f>
        <v>75</v>
      </c>
      <c r="T87" s="248">
        <f ca="1">IFERROR(__xludf.DUMMYFUNCTION("IMPORTRANGE(""https://docs.google.com/spreadsheets/d/16cywr71Fj4fA5OGRHsZh30ZG2gwJhMAQv69oVBzYHv0/edit?usp=sharing"",""สตูล!J359"")"),384.909999999999)</f>
        <v>384.909999999999</v>
      </c>
      <c r="U87" s="252">
        <f t="shared" ca="1" si="43"/>
        <v>101.55936675461714</v>
      </c>
      <c r="V87" s="248">
        <f ca="1">IFERROR(__xludf.DUMMYFUNCTION("IMPORTRANGE(""https://docs.google.com/spreadsheets/d/16cywr71Fj4fA5OGRHsZh30ZG2gwJhMAQv69oVBzYHv0/edit?usp=sharing"",""สตูล!I360"")"),59)</f>
        <v>59</v>
      </c>
      <c r="W87" s="248">
        <f ca="1">IFERROR(__xludf.DUMMYFUNCTION("IMPORTRANGE(""https://docs.google.com/spreadsheets/d/16cywr71Fj4fA5OGRHsZh30ZG2gwJhMAQv69oVBzYHv0/edit?usp=sharing"",""สตูล!J360"")"),76)</f>
        <v>76</v>
      </c>
      <c r="X87" s="248">
        <f ca="1">IFERROR(__xludf.DUMMYFUNCTION("IMPORTRANGE(""https://docs.google.com/spreadsheets/d/16cywr71Fj4fA5OGRHsZh30ZG2gwJhMAQv69oVBzYHv0/edit?usp=sharing"",""สตูล!J361"")"),391.95)</f>
        <v>391.95</v>
      </c>
      <c r="Y87" s="252">
        <f t="shared" ca="1" si="44"/>
        <v>128.81355932203391</v>
      </c>
      <c r="Z87" s="248">
        <f ca="1">IFERROR(__xludf.DUMMYFUNCTION("IMPORTRANGE(""https://docs.google.com/spreadsheets/d/16cywr71Fj4fA5OGRHsZh30ZG2gwJhMAQv69oVBzYHv0/edit?usp=sharing"",""สตูล!I362"")"),59)</f>
        <v>59</v>
      </c>
      <c r="AA87" s="248">
        <f ca="1">IFERROR(__xludf.DUMMYFUNCTION("IMPORTRANGE(""https://docs.google.com/spreadsheets/d/16cywr71Fj4fA5OGRHsZh30ZG2gwJhMAQv69oVBzYHv0/edit?usp=sharing"",""สตูล!J362"")"),76)</f>
        <v>76</v>
      </c>
      <c r="AB87" s="248">
        <f ca="1">IFERROR(__xludf.DUMMYFUNCTION("IMPORTRANGE(""https://docs.google.com/spreadsheets/d/16cywr71Fj4fA5OGRHsZh30ZG2gwJhMAQv69oVBzYHv0/edit?usp=sharing"",""สตูล!J363"")"),391.95)</f>
        <v>391.95</v>
      </c>
      <c r="AC87" s="252">
        <f t="shared" ca="1" si="45"/>
        <v>128.81355932203391</v>
      </c>
      <c r="AD87" s="248">
        <f ca="1">IFERROR(__xludf.DUMMYFUNCTION("IMPORTRANGE(""https://docs.google.com/spreadsheets/d/16cywr71Fj4fA5OGRHsZh30ZG2gwJhMAQv69oVBzYHv0/edit?usp=sharing"",""สตูล!I364"")"),75)</f>
        <v>75</v>
      </c>
      <c r="AE87" s="248">
        <f ca="1">IFERROR(__xludf.DUMMYFUNCTION("IMPORTRANGE(""https://docs.google.com/spreadsheets/d/16cywr71Fj4fA5OGRHsZh30ZG2gwJhMAQv69oVBzYHv0/edit?usp=sharing"",""สตูล!J364"")"),95)</f>
        <v>95</v>
      </c>
      <c r="AF87" s="252">
        <f t="shared" ca="1" si="16"/>
        <v>126.66666666666667</v>
      </c>
      <c r="AG87" s="248">
        <f ca="1">IFERROR(__xludf.DUMMYFUNCTION("IMPORTRANGE(""https://docs.google.com/spreadsheets/d/16cywr71Fj4fA5OGRHsZh30ZG2gwJhMAQv69oVBzYHv0/edit?usp=sharing"",""สตูล!I369"")"),200)</f>
        <v>200</v>
      </c>
      <c r="AH87" s="248">
        <f ca="1">IFERROR(__xludf.DUMMYFUNCTION("IMPORTRANGE(""https://docs.google.com/spreadsheets/d/16cywr71Fj4fA5OGRHsZh30ZG2gwJhMAQv69oVBzYHv0/edit?usp=sharing"",""สตูล!J368"")"),47)</f>
        <v>47</v>
      </c>
      <c r="AI87" s="248">
        <f ca="1">IFERROR(__xludf.DUMMYFUNCTION("IMPORTRANGE(""https://docs.google.com/spreadsheets/d/16cywr71Fj4fA5OGRHsZh30ZG2gwJhMAQv69oVBzYHv0/edit?usp=sharing"",""สตูล!J369"")"),203.56)</f>
        <v>203.56</v>
      </c>
      <c r="AJ87" s="252">
        <f t="shared" ca="1" si="46"/>
        <v>101.78</v>
      </c>
      <c r="AK87" s="248">
        <f ca="1">IFERROR(__xludf.DUMMYFUNCTION("IMPORTRANGE(""https://docs.google.com/spreadsheets/d/16cywr71Fj4fA5OGRHsZh30ZG2gwJhMAQv69oVBzYHv0/edit?usp=sharing"",""สตูล!I370"")"),35)</f>
        <v>35</v>
      </c>
      <c r="AL87" s="248">
        <f ca="1">IFERROR(__xludf.DUMMYFUNCTION("IMPORTRANGE(""https://docs.google.com/spreadsheets/d/16cywr71Fj4fA5OGRHsZh30ZG2gwJhMAQv69oVBzYHv0/edit?usp=sharing"",""สตูล!J370"")"),48)</f>
        <v>48</v>
      </c>
      <c r="AM87" s="248">
        <f ca="1">IFERROR(__xludf.DUMMYFUNCTION("IMPORTRANGE(""https://docs.google.com/spreadsheets/d/16cywr71Fj4fA5OGRHsZh30ZG2gwJhMAQv69oVBzYHv0/edit?usp=sharing"",""สตูล!J371"")"),210.6)</f>
        <v>210.6</v>
      </c>
      <c r="AN87" s="252">
        <f t="shared" ca="1" si="47"/>
        <v>137.14285714285714</v>
      </c>
      <c r="AO87" s="248">
        <f ca="1">IFERROR(__xludf.DUMMYFUNCTION("IMPORTRANGE(""https://docs.google.com/spreadsheets/d/16cywr71Fj4fA5OGRHsZh30ZG2gwJhMAQv69oVBzYHv0/edit?usp=sharing"",""สตูล!I372"")"),35)</f>
        <v>35</v>
      </c>
      <c r="AP87" s="248">
        <f ca="1">IFERROR(__xludf.DUMMYFUNCTION("IMPORTRANGE(""https://docs.google.com/spreadsheets/d/16cywr71Fj4fA5OGRHsZh30ZG2gwJhMAQv69oVBzYHv0/edit?usp=sharing"",""สตูล!J372"")"),48)</f>
        <v>48</v>
      </c>
      <c r="AQ87" s="248">
        <f ca="1">IFERROR(__xludf.DUMMYFUNCTION("IMPORTRANGE(""https://docs.google.com/spreadsheets/d/16cywr71Fj4fA5OGRHsZh30ZG2gwJhMAQv69oVBzYHv0/edit?usp=sharing"",""สตูล!J373"")"),210.6)</f>
        <v>210.6</v>
      </c>
      <c r="AR87" s="252">
        <f t="shared" ca="1" si="48"/>
        <v>137.14285714285714</v>
      </c>
      <c r="AS87" s="248">
        <f ca="1">IFERROR(__xludf.DUMMYFUNCTION("IMPORTRANGE(""https://docs.google.com/spreadsheets/d/16cywr71Fj4fA5OGRHsZh30ZG2gwJhMAQv69oVBzYHv0/edit?usp=sharing"",""สตูล!I378"")"),179)</f>
        <v>179</v>
      </c>
      <c r="AT87" s="248">
        <f ca="1">IFERROR(__xludf.DUMMYFUNCTION("IMPORTRANGE(""https://docs.google.com/spreadsheets/d/16cywr71Fj4fA5OGRHsZh30ZG2gwJhMAQv69oVBzYHv0/edit?usp=sharing"",""สตูล!J377"")"),28)</f>
        <v>28</v>
      </c>
      <c r="AU87" s="248">
        <f ca="1">IFERROR(__xludf.DUMMYFUNCTION("IMPORTRANGE(""https://docs.google.com/spreadsheets/d/16cywr71Fj4fA5OGRHsZh30ZG2gwJhMAQv69oVBzYHv0/edit?usp=sharing"",""สตูล!J378"")"),181.35)</f>
        <v>181.35</v>
      </c>
      <c r="AV87" s="252">
        <f t="shared" ca="1" si="49"/>
        <v>101.31284916201118</v>
      </c>
      <c r="AW87" s="248">
        <f ca="1">IFERROR(__xludf.DUMMYFUNCTION("IMPORTRANGE(""https://docs.google.com/spreadsheets/d/16cywr71Fj4fA5OGRHsZh30ZG2gwJhMAQv69oVBzYHv0/edit?usp=sharing"",""สตูล!I379"")"),40)</f>
        <v>40</v>
      </c>
      <c r="AX87" s="248">
        <f ca="1">IFERROR(__xludf.DUMMYFUNCTION("IMPORTRANGE(""https://docs.google.com/spreadsheets/d/16cywr71Fj4fA5OGRHsZh30ZG2gwJhMAQv69oVBzYHv0/edit?usp=sharing"",""สตูล!J379"")"),48)</f>
        <v>48</v>
      </c>
      <c r="AY87" s="248">
        <f ca="1">IFERROR(__xludf.DUMMYFUNCTION("IMPORTRANGE(""https://docs.google.com/spreadsheets/d/16cywr71Fj4fA5OGRHsZh30ZG2gwJhMAQv69oVBzYHv0/edit?usp=sharing"",""สตูล!J380"")"),362.539999999999)</f>
        <v>362.539999999999</v>
      </c>
      <c r="AZ87" s="252">
        <f t="shared" ca="1" si="50"/>
        <v>120</v>
      </c>
      <c r="BA87" s="248">
        <f ca="1">IFERROR(__xludf.DUMMYFUNCTION("IMPORTRANGE(""https://docs.google.com/spreadsheets/d/16cywr71Fj4fA5OGRHsZh30ZG2gwJhMAQv69oVBzYHv0/edit?usp=sharing"",""สตูล!I381"")"),40)</f>
        <v>40</v>
      </c>
      <c r="BB87" s="248">
        <f ca="1">IFERROR(__xludf.DUMMYFUNCTION("IMPORTRANGE(""https://docs.google.com/spreadsheets/d/16cywr71Fj4fA5OGRHsZh30ZG2gwJhMAQv69oVBzYHv0/edit?usp=sharing"",""สตูล!J381"")"),47)</f>
        <v>47</v>
      </c>
      <c r="BC87" s="248">
        <f ca="1">IFERROR(__xludf.DUMMYFUNCTION("IMPORTRANGE(""https://docs.google.com/spreadsheets/d/16cywr71Fj4fA5OGRHsZh30ZG2gwJhMAQv69oVBzYHv0/edit?usp=sharing"",""สตูล!J382"")"),360.12)</f>
        <v>360.12</v>
      </c>
      <c r="BD87" s="252">
        <f t="shared" ca="1" si="51"/>
        <v>117.5</v>
      </c>
    </row>
    <row r="88" spans="1:56" ht="24" customHeight="1" x14ac:dyDescent="0.3">
      <c r="A88" s="254">
        <v>14</v>
      </c>
      <c r="B88" s="255" t="s">
        <v>110</v>
      </c>
      <c r="C88" s="256">
        <f t="shared" ca="1" si="0"/>
        <v>1438760</v>
      </c>
      <c r="D88" s="257">
        <f t="shared" ca="1" si="100"/>
        <v>1287160</v>
      </c>
      <c r="E88" s="258">
        <f ca="1">IFERROR(__xludf.DUMMYFUNCTION("IMPORTRANGE(""https://docs.google.com/spreadsheets/d/1MeEWN-I1oV_STSDYn1IFDPWt_1FKiwhDph83XaGc0o0/edit?usp=sharing"",""งบพรบ!EX88"")"),342000)</f>
        <v>342000</v>
      </c>
      <c r="F88" s="258">
        <f ca="1">IFERROR(__xludf.DUMMYFUNCTION("IMPORTRANGE(""https://docs.google.com/spreadsheets/d/1MeEWN-I1oV_STSDYn1IFDPWt_1FKiwhDph83XaGc0o0/edit?usp=sharing"",""งบพรบ!EY88"")"),945160)</f>
        <v>945160</v>
      </c>
      <c r="G88" s="258">
        <f ca="1">IFERROR(__xludf.DUMMYFUNCTION("IMPORTRANGE(""https://docs.google.com/spreadsheets/d/1MeEWN-I1oV_STSDYn1IFDPWt_1FKiwhDph83XaGc0o0/edit?usp=sharing"",""งบพรบ!EZ88"")"),151600)</f>
        <v>151600</v>
      </c>
      <c r="H88" s="258">
        <f ca="1">IFERROR(__xludf.DUMMYFUNCTION("IMPORTRANGE(""https://docs.google.com/spreadsheets/d/1MeEWN-I1oV_STSDYn1IFDPWt_1FKiwhDph83XaGc0o0/edit?usp=sharing"",""งบพรบ!FB88"")"),1387160)</f>
        <v>1387160</v>
      </c>
      <c r="I88" s="258">
        <f ca="1">IFERROR(__xludf.DUMMYFUNCTION("IMPORTRANGE(""https://docs.google.com/spreadsheets/d/1MeEWN-I1oV_STSDYn1IFDPWt_1FKiwhDph83XaGc0o0/edit?usp=sharing"",""งบพรบ!FC88"")"),130400)</f>
        <v>130400</v>
      </c>
      <c r="J88" s="258">
        <f t="shared" ca="1" si="3"/>
        <v>1416861.22</v>
      </c>
      <c r="K88" s="259">
        <f t="shared" ca="1" si="4"/>
        <v>98.477940726736918</v>
      </c>
      <c r="L88" s="258">
        <f ca="1">IFERROR(__xludf.DUMMYFUNCTION("IMPORTRANGE(""https://docs.google.com/spreadsheets/d/1MeEWN-I1oV_STSDYn1IFDPWt_1FKiwhDph83XaGc0o0/edit?usp=sharing"",""งบพรบ!FD88"")"),1286461.22)</f>
        <v>1286461.22</v>
      </c>
      <c r="M88" s="260">
        <f t="shared" ca="1" si="5"/>
        <v>99.945711488859189</v>
      </c>
      <c r="N88" s="260">
        <f t="shared" ca="1" si="6"/>
        <v>92.740651402866291</v>
      </c>
      <c r="O88" s="261">
        <f ca="1">IFERROR(__xludf.DUMMYFUNCTION("IMPORTRANGE(""https://docs.google.com/spreadsheets/d/1MeEWN-I1oV_STSDYn1IFDPWt_1FKiwhDph83XaGc0o0/edit?usp=sharing"",""งบพรบ!FE88"")"),130400)</f>
        <v>130400</v>
      </c>
      <c r="P88" s="260">
        <f t="shared" ca="1" si="53"/>
        <v>86.01583113456465</v>
      </c>
      <c r="Q88" s="260">
        <f t="shared" ca="1" si="8"/>
        <v>100</v>
      </c>
      <c r="R88" s="287">
        <f ca="1">IFERROR(__xludf.DUMMYFUNCTION("IMPORTRANGE(""https://docs.google.com/spreadsheets/d/1vO9Sws6kMtrVtyvrAJptINXjK8TFBoX9xLYOVK_C8bQ/edit?usp=sharing"",""สุราษฎร์ธานี!I359"")"),5000)</f>
        <v>5000</v>
      </c>
      <c r="S88" s="287">
        <f ca="1">IFERROR(__xludf.DUMMYFUNCTION("IMPORTRANGE(""https://docs.google.com/spreadsheets/d/1vO9Sws6kMtrVtyvrAJptINXjK8TFBoX9xLYOVK_C8bQ/edit?usp=sharing"",""สุราษฎร์ธานี!J358"")"),663)</f>
        <v>663</v>
      </c>
      <c r="T88" s="287">
        <f ca="1">IFERROR(__xludf.DUMMYFUNCTION("IMPORTRANGE(""https://docs.google.com/spreadsheets/d/1vO9Sws6kMtrVtyvrAJptINXjK8TFBoX9xLYOVK_C8bQ/edit?usp=sharing"",""สุราษฎร์ธานี!J359"")"),7537.94)</f>
        <v>7537.94</v>
      </c>
      <c r="U88" s="263">
        <f t="shared" ca="1" si="43"/>
        <v>150.75880000000001</v>
      </c>
      <c r="V88" s="287">
        <f ca="1">IFERROR(__xludf.DUMMYFUNCTION("IMPORTRANGE(""https://docs.google.com/spreadsheets/d/1vO9Sws6kMtrVtyvrAJptINXjK8TFBoX9xLYOVK_C8bQ/edit?usp=sharing"",""สุราษฎร์ธานี!I360"")"),500)</f>
        <v>500</v>
      </c>
      <c r="W88" s="287">
        <f ca="1">IFERROR(__xludf.DUMMYFUNCTION("IMPORTRANGE(""https://docs.google.com/spreadsheets/d/1vO9Sws6kMtrVtyvrAJptINXjK8TFBoX9xLYOVK_C8bQ/edit?usp=sharing"",""สุราษฎร์ธานี!J360"")"),560)</f>
        <v>560</v>
      </c>
      <c r="X88" s="287">
        <f ca="1">IFERROR(__xludf.DUMMYFUNCTION("IMPORTRANGE(""https://docs.google.com/spreadsheets/d/1vO9Sws6kMtrVtyvrAJptINXjK8TFBoX9xLYOVK_C8bQ/edit?usp=sharing"",""สุราษฎร์ธานี!J361"")"),6245.28)</f>
        <v>6245.28</v>
      </c>
      <c r="Y88" s="263">
        <f t="shared" ca="1" si="44"/>
        <v>112</v>
      </c>
      <c r="Z88" s="287">
        <f ca="1">IFERROR(__xludf.DUMMYFUNCTION("IMPORTRANGE(""https://docs.google.com/spreadsheets/d/1vO9Sws6kMtrVtyvrAJptINXjK8TFBoX9xLYOVK_C8bQ/edit?usp=sharing"",""สุราษฎร์ธานี!I362"")"),500)</f>
        <v>500</v>
      </c>
      <c r="AA88" s="287">
        <f ca="1">IFERROR(__xludf.DUMMYFUNCTION("IMPORTRANGE(""https://docs.google.com/spreadsheets/d/1vO9Sws6kMtrVtyvrAJptINXjK8TFBoX9xLYOVK_C8bQ/edit?usp=sharing"",""สุราษฎร์ธานี!J362"")"),390)</f>
        <v>390</v>
      </c>
      <c r="AB88" s="287">
        <f ca="1">IFERROR(__xludf.DUMMYFUNCTION("IMPORTRANGE(""https://docs.google.com/spreadsheets/d/1vO9Sws6kMtrVtyvrAJptINXjK8TFBoX9xLYOVK_C8bQ/edit?usp=sharing"",""สุราษฎร์ธานี!J363"")"),4098.6)</f>
        <v>4098.6000000000004</v>
      </c>
      <c r="AC88" s="263">
        <f t="shared" ca="1" si="45"/>
        <v>78</v>
      </c>
      <c r="AD88" s="287">
        <f ca="1">IFERROR(__xludf.DUMMYFUNCTION("IMPORTRANGE(""https://docs.google.com/spreadsheets/d/1vO9Sws6kMtrVtyvrAJptINXjK8TFBoX9xLYOVK_C8bQ/edit?usp=sharing"",""สุราษฎร์ธานี!I364"")"),800)</f>
        <v>800</v>
      </c>
      <c r="AE88" s="287">
        <f ca="1">IFERROR(__xludf.DUMMYFUNCTION("IMPORTRANGE(""https://docs.google.com/spreadsheets/d/1vO9Sws6kMtrVtyvrAJptINXjK8TFBoX9xLYOVK_C8bQ/edit?usp=sharing"",""สุราษฎร์ธานี!J364"")"),1096)</f>
        <v>1096</v>
      </c>
      <c r="AF88" s="263">
        <f t="shared" ca="1" si="16"/>
        <v>137</v>
      </c>
      <c r="AG88" s="287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287">
        <f ca="1">IFERROR(__xludf.DUMMYFUNCTION("IMPORTRANGE(""https://docs.google.com/spreadsheets/d/1vO9Sws6kMtrVtyvrAJptINXjK8TFBoX9xLYOVK_C8bQ/edit?usp=sharing"",""สุราษฎร์ธานี!J368"")"),233)</f>
        <v>233</v>
      </c>
      <c r="AI88" s="287">
        <f ca="1">IFERROR(__xludf.DUMMYFUNCTION("IMPORTRANGE(""https://docs.google.com/spreadsheets/d/1vO9Sws6kMtrVtyvrAJptINXjK8TFBoX9xLYOVK_C8bQ/edit?usp=sharing"",""สุราษฎร์ธานี!J369"")"),2771.43)</f>
        <v>2771.43</v>
      </c>
      <c r="AJ88" s="263">
        <f t="shared" ca="1" si="46"/>
        <v>184.762</v>
      </c>
      <c r="AK88" s="287">
        <f ca="1">IFERROR(__xludf.DUMMYFUNCTION("IMPORTRANGE(""https://docs.google.com/spreadsheets/d/1vO9Sws6kMtrVtyvrAJptINXjK8TFBoX9xLYOVK_C8bQ/edit?usp=sharing"",""สุราษฎร์ธานี!I370"")"),150)</f>
        <v>150</v>
      </c>
      <c r="AL88" s="287">
        <f ca="1">IFERROR(__xludf.DUMMYFUNCTION("IMPORTRANGE(""https://docs.google.com/spreadsheets/d/1vO9Sws6kMtrVtyvrAJptINXjK8TFBoX9xLYOVK_C8bQ/edit?usp=sharing"",""สุราษฎร์ธานี!J370"")"),214)</f>
        <v>214</v>
      </c>
      <c r="AM88" s="287">
        <f ca="1">IFERROR(__xludf.DUMMYFUNCTION("IMPORTRANGE(""https://docs.google.com/spreadsheets/d/1vO9Sws6kMtrVtyvrAJptINXjK8TFBoX9xLYOVK_C8bQ/edit?usp=sharing"",""สุราษฎร์ธานี!J371"")"),2478.63)</f>
        <v>2478.63</v>
      </c>
      <c r="AN88" s="263">
        <f t="shared" ca="1" si="47"/>
        <v>142.66666666666666</v>
      </c>
      <c r="AO88" s="287">
        <f ca="1">IFERROR(__xludf.DUMMYFUNCTION("IMPORTRANGE(""https://docs.google.com/spreadsheets/d/1vO9Sws6kMtrVtyvrAJptINXjK8TFBoX9xLYOVK_C8bQ/edit?usp=sharing"",""สุราษฎร์ธานี!I372"")"),150)</f>
        <v>150</v>
      </c>
      <c r="AP88" s="287">
        <f ca="1">IFERROR(__xludf.DUMMYFUNCTION("IMPORTRANGE(""https://docs.google.com/spreadsheets/d/1vO9Sws6kMtrVtyvrAJptINXjK8TFBoX9xLYOVK_C8bQ/edit?usp=sharing"",""สุราษฎร์ธานี!J372"")"),121)</f>
        <v>121</v>
      </c>
      <c r="AQ88" s="287">
        <f ca="1">IFERROR(__xludf.DUMMYFUNCTION("IMPORTRANGE(""https://docs.google.com/spreadsheets/d/1vO9Sws6kMtrVtyvrAJptINXjK8TFBoX9xLYOVK_C8bQ/edit?usp=sharing"",""สุราษฎร์ธานี!J373"")"),1155.91)</f>
        <v>1155.9100000000001</v>
      </c>
      <c r="AR88" s="263">
        <f t="shared" ca="1" si="48"/>
        <v>80.666666666666671</v>
      </c>
      <c r="AS88" s="287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287">
        <f ca="1">IFERROR(__xludf.DUMMYFUNCTION("IMPORTRANGE(""https://docs.google.com/spreadsheets/d/1vO9Sws6kMtrVtyvrAJptINXjK8TFBoX9xLYOVK_C8bQ/edit?usp=sharing"",""สุราษฎร์ธานี!J377"")"),430)</f>
        <v>430</v>
      </c>
      <c r="AU88" s="287">
        <f ca="1">IFERROR(__xludf.DUMMYFUNCTION("IMPORTRANGE(""https://docs.google.com/spreadsheets/d/1vO9Sws6kMtrVtyvrAJptINXjK8TFBoX9xLYOVK_C8bQ/edit?usp=sharing"",""สุราษฎร์ธานี!J378"")"),4766.51)</f>
        <v>4766.51</v>
      </c>
      <c r="AV88" s="263">
        <f t="shared" ca="1" si="49"/>
        <v>136.18600000000001</v>
      </c>
      <c r="AW88" s="287">
        <f ca="1">IFERROR(__xludf.DUMMYFUNCTION("IMPORTRANGE(""https://docs.google.com/spreadsheets/d/1vO9Sws6kMtrVtyvrAJptINXjK8TFBoX9xLYOVK_C8bQ/edit?usp=sharing"",""สุราษฎร์ธานี!I379"")"),650)</f>
        <v>650</v>
      </c>
      <c r="AX88" s="287">
        <f ca="1">IFERROR(__xludf.DUMMYFUNCTION("IMPORTRANGE(""https://docs.google.com/spreadsheets/d/1vO9Sws6kMtrVtyvrAJptINXjK8TFBoX9xLYOVK_C8bQ/edit?usp=sharing"",""สุราษฎร์ธานี!J379"")"),1053)</f>
        <v>1053</v>
      </c>
      <c r="AY88" s="287">
        <f ca="1">IFERROR(__xludf.DUMMYFUNCTION("IMPORTRANGE(""https://docs.google.com/spreadsheets/d/1vO9Sws6kMtrVtyvrAJptINXjK8TFBoX9xLYOVK_C8bQ/edit?usp=sharing"",""สุราษฎร์ธานี!J380"")"),14780.0299999999)</f>
        <v>14780.029999999901</v>
      </c>
      <c r="AZ88" s="263">
        <f t="shared" ca="1" si="50"/>
        <v>162</v>
      </c>
      <c r="BA88" s="287">
        <f ca="1">IFERROR(__xludf.DUMMYFUNCTION("IMPORTRANGE(""https://docs.google.com/spreadsheets/d/1vO9Sws6kMtrVtyvrAJptINXjK8TFBoX9xLYOVK_C8bQ/edit?usp=sharing"",""สุราษฎร์ธานี!I381"")"),650)</f>
        <v>650</v>
      </c>
      <c r="BB88" s="287">
        <f ca="1">IFERROR(__xludf.DUMMYFUNCTION("IMPORTRANGE(""https://docs.google.com/spreadsheets/d/1vO9Sws6kMtrVtyvrAJptINXjK8TFBoX9xLYOVK_C8bQ/edit?usp=sharing"",""สุราษฎร์ธานี!J381"")"),975)</f>
        <v>975</v>
      </c>
      <c r="BC88" s="287">
        <f ca="1">IFERROR(__xludf.DUMMYFUNCTION("IMPORTRANGE(""https://docs.google.com/spreadsheets/d/1vO9Sws6kMtrVtyvrAJptINXjK8TFBoX9xLYOVK_C8bQ/edit?usp=sharing"",""สุราษฎร์ธานี!J382"")"),13937)</f>
        <v>13937</v>
      </c>
      <c r="BD88" s="263">
        <f t="shared" ca="1" si="51"/>
        <v>150</v>
      </c>
    </row>
    <row r="89" spans="1:56" ht="21" hidden="1" customHeight="1" x14ac:dyDescent="0.3">
      <c r="A89" s="441" t="s">
        <v>111</v>
      </c>
      <c r="B89" s="414"/>
      <c r="C89" s="230">
        <f t="shared" ca="1" si="0"/>
        <v>58947470</v>
      </c>
      <c r="D89" s="230">
        <f t="shared" ref="D89:I89" ca="1" si="101">+D90+D91+D92+D93+D94+D95+D96+D97+D98+D99+D100+D101+D102+D103</f>
        <v>34483870</v>
      </c>
      <c r="E89" s="230">
        <f t="shared" ca="1" si="101"/>
        <v>24783800</v>
      </c>
      <c r="F89" s="230">
        <f t="shared" ca="1" si="101"/>
        <v>9700070</v>
      </c>
      <c r="G89" s="230">
        <f t="shared" ca="1" si="101"/>
        <v>24463600</v>
      </c>
      <c r="H89" s="230">
        <f t="shared" ca="1" si="101"/>
        <v>31232015</v>
      </c>
      <c r="I89" s="230">
        <f t="shared" ca="1" si="101"/>
        <v>20245047.27</v>
      </c>
      <c r="J89" s="230">
        <f t="shared" ca="1" si="3"/>
        <v>47911203.509999998</v>
      </c>
      <c r="K89" s="231">
        <f t="shared" ca="1" si="4"/>
        <v>81.277794466836326</v>
      </c>
      <c r="L89" s="230">
        <f ca="1">+L90+L91+L92+L93+L94+L95+L96+L97+L98+L99+L100+L101+L102+L103</f>
        <v>28695656.239999998</v>
      </c>
      <c r="M89" s="232">
        <f t="shared" ca="1" si="5"/>
        <v>83.214721085539409</v>
      </c>
      <c r="N89" s="232">
        <f t="shared" ca="1" si="6"/>
        <v>91.878978157509209</v>
      </c>
      <c r="O89" s="233">
        <f ca="1">+O90+O91+O92+O93+O94+O95+O96+O97+O98+O99+O100+O101+O102+O103</f>
        <v>19215547.27</v>
      </c>
      <c r="P89" s="232">
        <f t="shared" ca="1" si="53"/>
        <v>78.54750433296816</v>
      </c>
      <c r="Q89" s="232">
        <f t="shared" ca="1" si="8"/>
        <v>94.914805649648656</v>
      </c>
      <c r="R89" s="234"/>
      <c r="S89" s="234"/>
      <c r="T89" s="234"/>
      <c r="U89" s="232"/>
      <c r="V89" s="234"/>
      <c r="W89" s="234"/>
      <c r="X89" s="234"/>
      <c r="Y89" s="232"/>
      <c r="Z89" s="232"/>
      <c r="AA89" s="232"/>
      <c r="AB89" s="232"/>
      <c r="AC89" s="232"/>
      <c r="AD89" s="234"/>
      <c r="AE89" s="234"/>
      <c r="AF89" s="234"/>
      <c r="AG89" s="234"/>
      <c r="AH89" s="234"/>
      <c r="AI89" s="234"/>
      <c r="AJ89" s="232"/>
      <c r="AK89" s="234"/>
      <c r="AL89" s="234"/>
      <c r="AM89" s="234"/>
      <c r="AN89" s="232"/>
      <c r="AO89" s="232"/>
      <c r="AP89" s="232"/>
      <c r="AQ89" s="232"/>
      <c r="AR89" s="232"/>
      <c r="AS89" s="234"/>
      <c r="AT89" s="234"/>
      <c r="AU89" s="234"/>
      <c r="AV89" s="232"/>
      <c r="AW89" s="234"/>
      <c r="AX89" s="234"/>
      <c r="AY89" s="234"/>
      <c r="AZ89" s="232"/>
      <c r="BA89" s="232"/>
      <c r="BB89" s="232"/>
      <c r="BC89" s="232"/>
      <c r="BD89" s="232"/>
    </row>
    <row r="90" spans="1:56" ht="24" hidden="1" customHeight="1" x14ac:dyDescent="0.3">
      <c r="A90" s="243">
        <v>1</v>
      </c>
      <c r="B90" s="244" t="s">
        <v>112</v>
      </c>
      <c r="C90" s="245">
        <f t="shared" ca="1" si="0"/>
        <v>143000</v>
      </c>
      <c r="D90" s="246">
        <f t="shared" ref="D90:D103" ca="1" si="102">+E90+F90</f>
        <v>143000</v>
      </c>
      <c r="E90" s="247">
        <f ca="1">IFERROR(__xludf.DUMMYFUNCTION("IMPORTRANGE(""https://docs.google.com/spreadsheets/d/1MeEWN-I1oV_STSDYn1IFDPWt_1FKiwhDph83XaGc0o0/edit?usp=sharing"",""งบพรบ!EX90"")"),143000)</f>
        <v>143000</v>
      </c>
      <c r="F90" s="247">
        <f ca="1">IFERROR(__xludf.DUMMYFUNCTION("IMPORTRANGE(""https://docs.google.com/spreadsheets/d/1MeEWN-I1oV_STSDYn1IFDPWt_1FKiwhDph83XaGc0o0/edit?usp=sharing"",""งบพรบ!EY90"")"),0)</f>
        <v>0</v>
      </c>
      <c r="G90" s="247">
        <f ca="1">IFERROR(__xludf.DUMMYFUNCTION("IMPORTRANGE(""https://docs.google.com/spreadsheets/d/1MeEWN-I1oV_STSDYn1IFDPWt_1FKiwhDph83XaGc0o0/edit?usp=sharing"",""งบพรบ!EZ90"")"),0)</f>
        <v>0</v>
      </c>
      <c r="H90" s="247">
        <f ca="1">IFERROR(__xludf.DUMMYFUNCTION("IMPORTRANGE(""https://docs.google.com/spreadsheets/d/1MeEWN-I1oV_STSDYn1IFDPWt_1FKiwhDph83XaGc0o0/edit?usp=sharing"",""งบพรบ!FB90"")"),153000)</f>
        <v>153000</v>
      </c>
      <c r="I90" s="247">
        <f ca="1">IFERROR(__xludf.DUMMYFUNCTION("IMPORTRANGE(""https://docs.google.com/spreadsheets/d/1MeEWN-I1oV_STSDYn1IFDPWt_1FKiwhDph83XaGc0o0/edit?usp=sharing"",""งบพรบ!FC90"")"),0)</f>
        <v>0</v>
      </c>
      <c r="J90" s="247">
        <f t="shared" ca="1" si="3"/>
        <v>118799.98</v>
      </c>
      <c r="K90" s="253">
        <f t="shared" ca="1" si="4"/>
        <v>83.076909090909098</v>
      </c>
      <c r="L90" s="247">
        <f ca="1">IFERROR(__xludf.DUMMYFUNCTION("IMPORTRANGE(""https://docs.google.com/spreadsheets/d/1MeEWN-I1oV_STSDYn1IFDPWt_1FKiwhDph83XaGc0o0/edit?usp=sharing"",""งบพรบ!FD90"")"),118799.98)</f>
        <v>118799.98</v>
      </c>
      <c r="M90" s="250">
        <f t="shared" ca="1" si="5"/>
        <v>83.076909090909098</v>
      </c>
      <c r="N90" s="250">
        <f t="shared" ca="1" si="6"/>
        <v>77.647045751633982</v>
      </c>
      <c r="O90" s="251">
        <f ca="1">IFERROR(__xludf.DUMMYFUNCTION("IMPORTRANGE(""https://docs.google.com/spreadsheets/d/1MeEWN-I1oV_STSDYn1IFDPWt_1FKiwhDph83XaGc0o0/edit?usp=sharing"",""งบพรบ!FE90"")"),0)</f>
        <v>0</v>
      </c>
      <c r="P90" s="250">
        <f t="shared" ca="1" si="53"/>
        <v>0</v>
      </c>
      <c r="Q90" s="250">
        <f t="shared" ca="1" si="8"/>
        <v>0</v>
      </c>
      <c r="R90" s="271"/>
      <c r="S90" s="271"/>
      <c r="T90" s="271"/>
      <c r="U90" s="250"/>
      <c r="V90" s="271"/>
      <c r="W90" s="271"/>
      <c r="X90" s="271"/>
      <c r="Y90" s="250"/>
      <c r="Z90" s="250"/>
      <c r="AA90" s="250"/>
      <c r="AB90" s="250"/>
      <c r="AC90" s="250"/>
      <c r="AD90" s="271"/>
      <c r="AE90" s="271"/>
      <c r="AF90" s="271"/>
      <c r="AG90" s="271"/>
      <c r="AH90" s="271"/>
      <c r="AI90" s="271"/>
      <c r="AJ90" s="250"/>
      <c r="AK90" s="271"/>
      <c r="AL90" s="271"/>
      <c r="AM90" s="271"/>
      <c r="AN90" s="250"/>
      <c r="AO90" s="250"/>
      <c r="AP90" s="250"/>
      <c r="AQ90" s="250"/>
      <c r="AR90" s="250"/>
      <c r="AS90" s="271"/>
      <c r="AT90" s="271"/>
      <c r="AU90" s="271"/>
      <c r="AV90" s="250"/>
      <c r="AW90" s="271"/>
      <c r="AX90" s="271"/>
      <c r="AY90" s="271"/>
      <c r="AZ90" s="250"/>
      <c r="BA90" s="250"/>
      <c r="BB90" s="250"/>
      <c r="BC90" s="250"/>
      <c r="BD90" s="250"/>
    </row>
    <row r="91" spans="1:56" ht="24" hidden="1" customHeight="1" x14ac:dyDescent="0.3">
      <c r="A91" s="243">
        <v>2</v>
      </c>
      <c r="B91" s="244" t="s">
        <v>113</v>
      </c>
      <c r="C91" s="245">
        <f t="shared" ca="1" si="0"/>
        <v>143000</v>
      </c>
      <c r="D91" s="246">
        <f t="shared" ca="1" si="102"/>
        <v>143000</v>
      </c>
      <c r="E91" s="247">
        <f ca="1">IFERROR(__xludf.DUMMYFUNCTION("IMPORTRANGE(""https://docs.google.com/spreadsheets/d/1MeEWN-I1oV_STSDYn1IFDPWt_1FKiwhDph83XaGc0o0/edit?usp=sharing"",""งบพรบ!EX91"")"),143000)</f>
        <v>143000</v>
      </c>
      <c r="F91" s="247">
        <f ca="1">IFERROR(__xludf.DUMMYFUNCTION("IMPORTRANGE(""https://docs.google.com/spreadsheets/d/1MeEWN-I1oV_STSDYn1IFDPWt_1FKiwhDph83XaGc0o0/edit?usp=sharing"",""งบพรบ!EY91"")"),0)</f>
        <v>0</v>
      </c>
      <c r="G91" s="247">
        <f ca="1">IFERROR(__xludf.DUMMYFUNCTION("IMPORTRANGE(""https://docs.google.com/spreadsheets/d/1MeEWN-I1oV_STSDYn1IFDPWt_1FKiwhDph83XaGc0o0/edit?usp=sharing"",""งบพรบ!EZ91"")"),0)</f>
        <v>0</v>
      </c>
      <c r="H91" s="247">
        <f ca="1">IFERROR(__xludf.DUMMYFUNCTION("IMPORTRANGE(""https://docs.google.com/spreadsheets/d/1MeEWN-I1oV_STSDYn1IFDPWt_1FKiwhDph83XaGc0o0/edit?usp=sharing"",""งบพรบ!FB91"")"),163000)</f>
        <v>163000</v>
      </c>
      <c r="I91" s="247">
        <f ca="1">IFERROR(__xludf.DUMMYFUNCTION("IMPORTRANGE(""https://docs.google.com/spreadsheets/d/1MeEWN-I1oV_STSDYn1IFDPWt_1FKiwhDph83XaGc0o0/edit?usp=sharing"",""งบพรบ!FC91"")"),0)</f>
        <v>0</v>
      </c>
      <c r="J91" s="247">
        <f t="shared" ca="1" si="3"/>
        <v>118000</v>
      </c>
      <c r="K91" s="253">
        <f t="shared" ca="1" si="4"/>
        <v>82.51748251748252</v>
      </c>
      <c r="L91" s="247">
        <f ca="1">IFERROR(__xludf.DUMMYFUNCTION("IMPORTRANGE(""https://docs.google.com/spreadsheets/d/1MeEWN-I1oV_STSDYn1IFDPWt_1FKiwhDph83XaGc0o0/edit?usp=sharing"",""งบพรบ!FD91"")"),118000)</f>
        <v>118000</v>
      </c>
      <c r="M91" s="250">
        <f t="shared" ca="1" si="5"/>
        <v>82.51748251748252</v>
      </c>
      <c r="N91" s="250">
        <f t="shared" ca="1" si="6"/>
        <v>72.392638036809814</v>
      </c>
      <c r="O91" s="251">
        <f ca="1">IFERROR(__xludf.DUMMYFUNCTION("IMPORTRANGE(""https://docs.google.com/spreadsheets/d/1MeEWN-I1oV_STSDYn1IFDPWt_1FKiwhDph83XaGc0o0/edit?usp=sharing"",""งบพรบ!FE91"")"),0)</f>
        <v>0</v>
      </c>
      <c r="P91" s="250">
        <f t="shared" ca="1" si="53"/>
        <v>0</v>
      </c>
      <c r="Q91" s="250">
        <f t="shared" ca="1" si="8"/>
        <v>0</v>
      </c>
      <c r="R91" s="271"/>
      <c r="S91" s="271"/>
      <c r="T91" s="271"/>
      <c r="U91" s="250"/>
      <c r="V91" s="271"/>
      <c r="W91" s="271"/>
      <c r="X91" s="271"/>
      <c r="Y91" s="250"/>
      <c r="Z91" s="250"/>
      <c r="AA91" s="250"/>
      <c r="AB91" s="250"/>
      <c r="AC91" s="250"/>
      <c r="AD91" s="271"/>
      <c r="AE91" s="271"/>
      <c r="AF91" s="271"/>
      <c r="AG91" s="271"/>
      <c r="AH91" s="271"/>
      <c r="AI91" s="271"/>
      <c r="AJ91" s="250"/>
      <c r="AK91" s="271"/>
      <c r="AL91" s="271"/>
      <c r="AM91" s="271"/>
      <c r="AN91" s="250"/>
      <c r="AO91" s="250"/>
      <c r="AP91" s="250"/>
      <c r="AQ91" s="250"/>
      <c r="AR91" s="250"/>
      <c r="AS91" s="271"/>
      <c r="AT91" s="271"/>
      <c r="AU91" s="271"/>
      <c r="AV91" s="250"/>
      <c r="AW91" s="271"/>
      <c r="AX91" s="271"/>
      <c r="AY91" s="271"/>
      <c r="AZ91" s="250"/>
      <c r="BA91" s="250"/>
      <c r="BB91" s="250"/>
      <c r="BC91" s="250"/>
      <c r="BD91" s="250"/>
    </row>
    <row r="92" spans="1:56" ht="24" hidden="1" customHeight="1" x14ac:dyDescent="0.3">
      <c r="A92" s="243">
        <v>3</v>
      </c>
      <c r="B92" s="244" t="s">
        <v>114</v>
      </c>
      <c r="C92" s="245">
        <f t="shared" ca="1" si="0"/>
        <v>5900500</v>
      </c>
      <c r="D92" s="246">
        <f t="shared" ca="1" si="102"/>
        <v>5900500</v>
      </c>
      <c r="E92" s="247">
        <f ca="1">IFERROR(__xludf.DUMMYFUNCTION("IMPORTRANGE(""https://docs.google.com/spreadsheets/d/1MeEWN-I1oV_STSDYn1IFDPWt_1FKiwhDph83XaGc0o0/edit?usp=sharing"",""งบพรบ!EX92"")"),5900500)</f>
        <v>5900500</v>
      </c>
      <c r="F92" s="247">
        <f ca="1">IFERROR(__xludf.DUMMYFUNCTION("IMPORTRANGE(""https://docs.google.com/spreadsheets/d/1MeEWN-I1oV_STSDYn1IFDPWt_1FKiwhDph83XaGc0o0/edit?usp=sharing"",""งบพรบ!EY92"")"),0)</f>
        <v>0</v>
      </c>
      <c r="G92" s="247">
        <f ca="1">IFERROR(__xludf.DUMMYFUNCTION("IMPORTRANGE(""https://docs.google.com/spreadsheets/d/1MeEWN-I1oV_STSDYn1IFDPWt_1FKiwhDph83XaGc0o0/edit?usp=sharing"",""งบพรบ!EZ92"")"),0)</f>
        <v>0</v>
      </c>
      <c r="H92" s="247">
        <f ca="1">IFERROR(__xludf.DUMMYFUNCTION("IMPORTRANGE(""https://docs.google.com/spreadsheets/d/1MeEWN-I1oV_STSDYn1IFDPWt_1FKiwhDph83XaGc0o0/edit?usp=sharing"",""งบพรบ!FB92"")"),6252000)</f>
        <v>6252000</v>
      </c>
      <c r="I92" s="247">
        <f ca="1">IFERROR(__xludf.DUMMYFUNCTION("IMPORTRANGE(""https://docs.google.com/spreadsheets/d/1MeEWN-I1oV_STSDYn1IFDPWt_1FKiwhDph83XaGc0o0/edit?usp=sharing"",""งบพรบ!FC92"")"),0)</f>
        <v>0</v>
      </c>
      <c r="J92" s="247">
        <f t="shared" ca="1" si="3"/>
        <v>5686537.2800000003</v>
      </c>
      <c r="K92" s="253">
        <f t="shared" ca="1" si="4"/>
        <v>96.373820523684429</v>
      </c>
      <c r="L92" s="247">
        <f ca="1">IFERROR(__xludf.DUMMYFUNCTION("IMPORTRANGE(""https://docs.google.com/spreadsheets/d/1MeEWN-I1oV_STSDYn1IFDPWt_1FKiwhDph83XaGc0o0/edit?usp=sharing"",""งบพรบ!FD92"")"),5686537.28)</f>
        <v>5686537.2800000003</v>
      </c>
      <c r="M92" s="250">
        <f t="shared" ca="1" si="5"/>
        <v>96.373820523684429</v>
      </c>
      <c r="N92" s="250">
        <f t="shared" ca="1" si="6"/>
        <v>90.955490722968648</v>
      </c>
      <c r="O92" s="251">
        <f ca="1">IFERROR(__xludf.DUMMYFUNCTION("IMPORTRANGE(""https://docs.google.com/spreadsheets/d/1MeEWN-I1oV_STSDYn1IFDPWt_1FKiwhDph83XaGc0o0/edit?usp=sharing"",""งบพรบ!FE92"")"),0)</f>
        <v>0</v>
      </c>
      <c r="P92" s="250">
        <f t="shared" ca="1" si="53"/>
        <v>0</v>
      </c>
      <c r="Q92" s="250">
        <f t="shared" ca="1" si="8"/>
        <v>0</v>
      </c>
      <c r="R92" s="271"/>
      <c r="S92" s="271"/>
      <c r="T92" s="271"/>
      <c r="U92" s="250"/>
      <c r="V92" s="271"/>
      <c r="W92" s="271"/>
      <c r="X92" s="271"/>
      <c r="Y92" s="250"/>
      <c r="Z92" s="250"/>
      <c r="AA92" s="250"/>
      <c r="AB92" s="250"/>
      <c r="AC92" s="250"/>
      <c r="AD92" s="271"/>
      <c r="AE92" s="271"/>
      <c r="AF92" s="271"/>
      <c r="AG92" s="271"/>
      <c r="AH92" s="271"/>
      <c r="AI92" s="271"/>
      <c r="AJ92" s="250"/>
      <c r="AK92" s="271"/>
      <c r="AL92" s="271"/>
      <c r="AM92" s="271"/>
      <c r="AN92" s="250"/>
      <c r="AO92" s="250"/>
      <c r="AP92" s="250"/>
      <c r="AQ92" s="250"/>
      <c r="AR92" s="250"/>
      <c r="AS92" s="271"/>
      <c r="AT92" s="271"/>
      <c r="AU92" s="271"/>
      <c r="AV92" s="250"/>
      <c r="AW92" s="271"/>
      <c r="AX92" s="271"/>
      <c r="AY92" s="271"/>
      <c r="AZ92" s="250"/>
      <c r="BA92" s="250"/>
      <c r="BB92" s="250"/>
      <c r="BC92" s="250"/>
      <c r="BD92" s="250"/>
    </row>
    <row r="93" spans="1:56" ht="24" hidden="1" customHeight="1" x14ac:dyDescent="0.3">
      <c r="A93" s="243">
        <f t="shared" ref="A93:A103" si="103">+A92+1</f>
        <v>4</v>
      </c>
      <c r="B93" s="244" t="s">
        <v>115</v>
      </c>
      <c r="C93" s="245">
        <f t="shared" ca="1" si="0"/>
        <v>5095100</v>
      </c>
      <c r="D93" s="246">
        <f t="shared" ca="1" si="102"/>
        <v>5095100</v>
      </c>
      <c r="E93" s="247">
        <f ca="1">IFERROR(__xludf.DUMMYFUNCTION("IMPORTRANGE(""https://docs.google.com/spreadsheets/d/1MeEWN-I1oV_STSDYn1IFDPWt_1FKiwhDph83XaGc0o0/edit?usp=sharing"",""งบพรบ!EX93"")"),5095100)</f>
        <v>5095100</v>
      </c>
      <c r="F93" s="247">
        <f ca="1">IFERROR(__xludf.DUMMYFUNCTION("IMPORTRANGE(""https://docs.google.com/spreadsheets/d/1MeEWN-I1oV_STSDYn1IFDPWt_1FKiwhDph83XaGc0o0/edit?usp=sharing"",""งบพรบ!EY93"")"),0)</f>
        <v>0</v>
      </c>
      <c r="G93" s="247">
        <f ca="1">IFERROR(__xludf.DUMMYFUNCTION("IMPORTRANGE(""https://docs.google.com/spreadsheets/d/1MeEWN-I1oV_STSDYn1IFDPWt_1FKiwhDph83XaGc0o0/edit?usp=sharing"",""งบพรบ!EZ93"")"),0)</f>
        <v>0</v>
      </c>
      <c r="H93" s="247">
        <f ca="1">IFERROR(__xludf.DUMMYFUNCTION("IMPORTRANGE(""https://docs.google.com/spreadsheets/d/1MeEWN-I1oV_STSDYn1IFDPWt_1FKiwhDph83XaGc0o0/edit?usp=sharing"",""งบพรบ!FB93"")"),5071692)</f>
        <v>5071692</v>
      </c>
      <c r="I93" s="247">
        <f ca="1">IFERROR(__xludf.DUMMYFUNCTION("IMPORTRANGE(""https://docs.google.com/spreadsheets/d/1MeEWN-I1oV_STSDYn1IFDPWt_1FKiwhDph83XaGc0o0/edit?usp=sharing"",""งบพรบ!FC93"")"),0)</f>
        <v>0</v>
      </c>
      <c r="J93" s="247">
        <f t="shared" ca="1" si="3"/>
        <v>5083095.78</v>
      </c>
      <c r="K93" s="253">
        <f t="shared" ca="1" si="4"/>
        <v>99.764396773370493</v>
      </c>
      <c r="L93" s="247">
        <f ca="1">IFERROR(__xludf.DUMMYFUNCTION("IMPORTRANGE(""https://docs.google.com/spreadsheets/d/1MeEWN-I1oV_STSDYn1IFDPWt_1FKiwhDph83XaGc0o0/edit?usp=sharing"",""งบพรบ!FD93"")"),5083095.78)</f>
        <v>5083095.78</v>
      </c>
      <c r="M93" s="250">
        <f t="shared" ca="1" si="5"/>
        <v>99.764396773370493</v>
      </c>
      <c r="N93" s="250">
        <f t="shared" ca="1" si="6"/>
        <v>100.22485158799076</v>
      </c>
      <c r="O93" s="251">
        <f ca="1">IFERROR(__xludf.DUMMYFUNCTION("IMPORTRANGE(""https://docs.google.com/spreadsheets/d/1MeEWN-I1oV_STSDYn1IFDPWt_1FKiwhDph83XaGc0o0/edit?usp=sharing"",""งบพรบ!FE93"")"),0)</f>
        <v>0</v>
      </c>
      <c r="P93" s="250">
        <f t="shared" ca="1" si="53"/>
        <v>0</v>
      </c>
      <c r="Q93" s="250">
        <f t="shared" ca="1" si="8"/>
        <v>0</v>
      </c>
      <c r="R93" s="271"/>
      <c r="S93" s="271"/>
      <c r="T93" s="271"/>
      <c r="U93" s="250"/>
      <c r="V93" s="271"/>
      <c r="W93" s="271"/>
      <c r="X93" s="271"/>
      <c r="Y93" s="250"/>
      <c r="Z93" s="250"/>
      <c r="AA93" s="250"/>
      <c r="AB93" s="250"/>
      <c r="AC93" s="250"/>
      <c r="AD93" s="271"/>
      <c r="AE93" s="271"/>
      <c r="AF93" s="271"/>
      <c r="AG93" s="271"/>
      <c r="AH93" s="271"/>
      <c r="AI93" s="271"/>
      <c r="AJ93" s="250"/>
      <c r="AK93" s="271"/>
      <c r="AL93" s="271"/>
      <c r="AM93" s="271"/>
      <c r="AN93" s="250"/>
      <c r="AO93" s="250"/>
      <c r="AP93" s="250"/>
      <c r="AQ93" s="250"/>
      <c r="AR93" s="250"/>
      <c r="AS93" s="271"/>
      <c r="AT93" s="271"/>
      <c r="AU93" s="271"/>
      <c r="AV93" s="250"/>
      <c r="AW93" s="271"/>
      <c r="AX93" s="271"/>
      <c r="AY93" s="271"/>
      <c r="AZ93" s="250"/>
      <c r="BA93" s="250"/>
      <c r="BB93" s="250"/>
      <c r="BC93" s="250"/>
      <c r="BD93" s="250"/>
    </row>
    <row r="94" spans="1:56" ht="24" hidden="1" customHeight="1" x14ac:dyDescent="0.3">
      <c r="A94" s="243">
        <f t="shared" si="103"/>
        <v>5</v>
      </c>
      <c r="B94" s="244" t="s">
        <v>116</v>
      </c>
      <c r="C94" s="245">
        <f t="shared" ca="1" si="0"/>
        <v>1384000</v>
      </c>
      <c r="D94" s="246">
        <f t="shared" ca="1" si="102"/>
        <v>1384000</v>
      </c>
      <c r="E94" s="247">
        <f ca="1">IFERROR(__xludf.DUMMYFUNCTION("IMPORTRANGE(""https://docs.google.com/spreadsheets/d/1MeEWN-I1oV_STSDYn1IFDPWt_1FKiwhDph83XaGc0o0/edit?usp=sharing"",""งบพรบ!EX94"")"),1384000)</f>
        <v>1384000</v>
      </c>
      <c r="F94" s="247">
        <f ca="1">IFERROR(__xludf.DUMMYFUNCTION("IMPORTRANGE(""https://docs.google.com/spreadsheets/d/1MeEWN-I1oV_STSDYn1IFDPWt_1FKiwhDph83XaGc0o0/edit?usp=sharing"",""งบพรบ!EY94"")"),0)</f>
        <v>0</v>
      </c>
      <c r="G94" s="247">
        <f ca="1">IFERROR(__xludf.DUMMYFUNCTION("IMPORTRANGE(""https://docs.google.com/spreadsheets/d/1MeEWN-I1oV_STSDYn1IFDPWt_1FKiwhDph83XaGc0o0/edit?usp=sharing"",""งบพรบ!EZ94"")"),0)</f>
        <v>0</v>
      </c>
      <c r="H94" s="247">
        <f ca="1">IFERROR(__xludf.DUMMYFUNCTION("IMPORTRANGE(""https://docs.google.com/spreadsheets/d/1MeEWN-I1oV_STSDYn1IFDPWt_1FKiwhDph83XaGc0o0/edit?usp=sharing"",""งบพรบ!FB94"")"),1612600)</f>
        <v>1612600</v>
      </c>
      <c r="I94" s="247">
        <f ca="1">IFERROR(__xludf.DUMMYFUNCTION("IMPORTRANGE(""https://docs.google.com/spreadsheets/d/1MeEWN-I1oV_STSDYn1IFDPWt_1FKiwhDph83XaGc0o0/edit?usp=sharing"",""งบพรบ!FC94"")"),0)</f>
        <v>0</v>
      </c>
      <c r="J94" s="247">
        <f t="shared" ca="1" si="3"/>
        <v>1496783.03</v>
      </c>
      <c r="K94" s="253">
        <f t="shared" ca="1" si="4"/>
        <v>108.14906286127167</v>
      </c>
      <c r="L94" s="247">
        <f ca="1">IFERROR(__xludf.DUMMYFUNCTION("IMPORTRANGE(""https://docs.google.com/spreadsheets/d/1MeEWN-I1oV_STSDYn1IFDPWt_1FKiwhDph83XaGc0o0/edit?usp=sharing"",""งบพรบ!FD94"")"),1496783.03)</f>
        <v>1496783.03</v>
      </c>
      <c r="M94" s="250">
        <f t="shared" ca="1" si="5"/>
        <v>108.14906286127167</v>
      </c>
      <c r="N94" s="250">
        <f t="shared" ca="1" si="6"/>
        <v>92.817997643556993</v>
      </c>
      <c r="O94" s="251">
        <f ca="1">IFERROR(__xludf.DUMMYFUNCTION("IMPORTRANGE(""https://docs.google.com/spreadsheets/d/1MeEWN-I1oV_STSDYn1IFDPWt_1FKiwhDph83XaGc0o0/edit?usp=sharing"",""งบพรบ!FE94"")"),0)</f>
        <v>0</v>
      </c>
      <c r="P94" s="250">
        <f t="shared" ca="1" si="53"/>
        <v>0</v>
      </c>
      <c r="Q94" s="250">
        <f t="shared" ca="1" si="8"/>
        <v>0</v>
      </c>
      <c r="R94" s="271"/>
      <c r="S94" s="271"/>
      <c r="T94" s="271"/>
      <c r="U94" s="250"/>
      <c r="V94" s="271"/>
      <c r="W94" s="271"/>
      <c r="X94" s="271"/>
      <c r="Y94" s="250"/>
      <c r="Z94" s="250"/>
      <c r="AA94" s="250"/>
      <c r="AB94" s="250"/>
      <c r="AC94" s="250"/>
      <c r="AD94" s="271"/>
      <c r="AE94" s="271"/>
      <c r="AF94" s="271"/>
      <c r="AG94" s="271"/>
      <c r="AH94" s="271"/>
      <c r="AI94" s="271"/>
      <c r="AJ94" s="250"/>
      <c r="AK94" s="271"/>
      <c r="AL94" s="271"/>
      <c r="AM94" s="271"/>
      <c r="AN94" s="250"/>
      <c r="AO94" s="250"/>
      <c r="AP94" s="250"/>
      <c r="AQ94" s="250"/>
      <c r="AR94" s="250"/>
      <c r="AS94" s="271"/>
      <c r="AT94" s="271"/>
      <c r="AU94" s="271"/>
      <c r="AV94" s="250"/>
      <c r="AW94" s="271"/>
      <c r="AX94" s="271"/>
      <c r="AY94" s="271"/>
      <c r="AZ94" s="250"/>
      <c r="BA94" s="250"/>
      <c r="BB94" s="250"/>
      <c r="BC94" s="250"/>
      <c r="BD94" s="250"/>
    </row>
    <row r="95" spans="1:56" ht="24" hidden="1" customHeight="1" x14ac:dyDescent="0.3">
      <c r="A95" s="243">
        <f t="shared" si="103"/>
        <v>6</v>
      </c>
      <c r="B95" s="244" t="s">
        <v>117</v>
      </c>
      <c r="C95" s="245">
        <f t="shared" ca="1" si="0"/>
        <v>7813870</v>
      </c>
      <c r="D95" s="246">
        <f t="shared" ca="1" si="102"/>
        <v>7813870</v>
      </c>
      <c r="E95" s="247">
        <f ca="1">IFERROR(__xludf.DUMMYFUNCTION("IMPORTRANGE(""https://docs.google.com/spreadsheets/d/1MeEWN-I1oV_STSDYn1IFDPWt_1FKiwhDph83XaGc0o0/edit?usp=sharing"",""งบพรบ!EX95"")"),1927000)</f>
        <v>1927000</v>
      </c>
      <c r="F95" s="247">
        <f ca="1">IFERROR(__xludf.DUMMYFUNCTION("IMPORTRANGE(""https://docs.google.com/spreadsheets/d/1MeEWN-I1oV_STSDYn1IFDPWt_1FKiwhDph83XaGc0o0/edit?usp=sharing"",""งบพรบ!EY95"")"),5886870)</f>
        <v>5886870</v>
      </c>
      <c r="G95" s="247">
        <f ca="1">IFERROR(__xludf.DUMMYFUNCTION("IMPORTRANGE(""https://docs.google.com/spreadsheets/d/1MeEWN-I1oV_STSDYn1IFDPWt_1FKiwhDph83XaGc0o0/edit?usp=sharing"",""งบพรบ!EZ95"")"),0)</f>
        <v>0</v>
      </c>
      <c r="H95" s="247">
        <f ca="1">IFERROR(__xludf.DUMMYFUNCTION("IMPORTRANGE(""https://docs.google.com/spreadsheets/d/1MeEWN-I1oV_STSDYn1IFDPWt_1FKiwhDph83XaGc0o0/edit?usp=sharing"",""งบพรบ!FB95"")"),3613625)</f>
        <v>3613625</v>
      </c>
      <c r="I95" s="247">
        <f ca="1">IFERROR(__xludf.DUMMYFUNCTION("IMPORTRANGE(""https://docs.google.com/spreadsheets/d/1MeEWN-I1oV_STSDYn1IFDPWt_1FKiwhDph83XaGc0o0/edit?usp=sharing"",""งบพรบ!FC95"")"),0)</f>
        <v>0</v>
      </c>
      <c r="J95" s="247">
        <f t="shared" ca="1" si="3"/>
        <v>3267869.92</v>
      </c>
      <c r="K95" s="253">
        <f t="shared" ca="1" si="4"/>
        <v>41.821401175089939</v>
      </c>
      <c r="L95" s="247">
        <f ca="1">IFERROR(__xludf.DUMMYFUNCTION("IMPORTRANGE(""https://docs.google.com/spreadsheets/d/1MeEWN-I1oV_STSDYn1IFDPWt_1FKiwhDph83XaGc0o0/edit?usp=sharing"",""งบพรบ!FD95"")"),3267869.92)</f>
        <v>3267869.92</v>
      </c>
      <c r="M95" s="250">
        <f t="shared" ca="1" si="5"/>
        <v>41.821401175089939</v>
      </c>
      <c r="N95" s="250">
        <f t="shared" ca="1" si="6"/>
        <v>90.431904804732085</v>
      </c>
      <c r="O95" s="251">
        <f ca="1">IFERROR(__xludf.DUMMYFUNCTION("IMPORTRANGE(""https://docs.google.com/spreadsheets/d/1MeEWN-I1oV_STSDYn1IFDPWt_1FKiwhDph83XaGc0o0/edit?usp=sharing"",""งบพรบ!FE95"")"),0)</f>
        <v>0</v>
      </c>
      <c r="P95" s="250">
        <f t="shared" ca="1" si="53"/>
        <v>0</v>
      </c>
      <c r="Q95" s="250">
        <f t="shared" ca="1" si="8"/>
        <v>0</v>
      </c>
      <c r="R95" s="271"/>
      <c r="S95" s="271"/>
      <c r="T95" s="271"/>
      <c r="U95" s="250"/>
      <c r="V95" s="271"/>
      <c r="W95" s="271"/>
      <c r="X95" s="271"/>
      <c r="Y95" s="250"/>
      <c r="Z95" s="250"/>
      <c r="AA95" s="250"/>
      <c r="AB95" s="250"/>
      <c r="AC95" s="250"/>
      <c r="AD95" s="271"/>
      <c r="AE95" s="271"/>
      <c r="AF95" s="271"/>
      <c r="AG95" s="271"/>
      <c r="AH95" s="271"/>
      <c r="AI95" s="271"/>
      <c r="AJ95" s="250"/>
      <c r="AK95" s="271"/>
      <c r="AL95" s="271"/>
      <c r="AM95" s="271"/>
      <c r="AN95" s="250"/>
      <c r="AO95" s="250"/>
      <c r="AP95" s="250"/>
      <c r="AQ95" s="250"/>
      <c r="AR95" s="250"/>
      <c r="AS95" s="271"/>
      <c r="AT95" s="271"/>
      <c r="AU95" s="271"/>
      <c r="AV95" s="250"/>
      <c r="AW95" s="271"/>
      <c r="AX95" s="271"/>
      <c r="AY95" s="271"/>
      <c r="AZ95" s="250"/>
      <c r="BA95" s="250"/>
      <c r="BB95" s="250"/>
      <c r="BC95" s="250"/>
      <c r="BD95" s="250"/>
    </row>
    <row r="96" spans="1:56" ht="24" hidden="1" customHeight="1" x14ac:dyDescent="0.3">
      <c r="A96" s="243">
        <f t="shared" si="103"/>
        <v>7</v>
      </c>
      <c r="B96" s="244" t="s">
        <v>118</v>
      </c>
      <c r="C96" s="245">
        <f t="shared" ca="1" si="0"/>
        <v>0</v>
      </c>
      <c r="D96" s="246">
        <f t="shared" ca="1" si="102"/>
        <v>0</v>
      </c>
      <c r="E96" s="247">
        <f ca="1">IFERROR(__xludf.DUMMYFUNCTION("IMPORTRANGE(""https://docs.google.com/spreadsheets/d/1MeEWN-I1oV_STSDYn1IFDPWt_1FKiwhDph83XaGc0o0/edit?usp=sharing"",""งบพรบ!EX96"")"),0)</f>
        <v>0</v>
      </c>
      <c r="F96" s="247">
        <f ca="1">IFERROR(__xludf.DUMMYFUNCTION("IMPORTRANGE(""https://docs.google.com/spreadsheets/d/1MeEWN-I1oV_STSDYn1IFDPWt_1FKiwhDph83XaGc0o0/edit?usp=sharing"",""งบพรบ!EY96"")"),0)</f>
        <v>0</v>
      </c>
      <c r="G96" s="247">
        <f ca="1">IFERROR(__xludf.DUMMYFUNCTION("IMPORTRANGE(""https://docs.google.com/spreadsheets/d/1MeEWN-I1oV_STSDYn1IFDPWt_1FKiwhDph83XaGc0o0/edit?usp=sharing"",""งบพรบ!EZ96"")"),0)</f>
        <v>0</v>
      </c>
      <c r="H96" s="247">
        <f ca="1">IFERROR(__xludf.DUMMYFUNCTION("IMPORTRANGE(""https://docs.google.com/spreadsheets/d/1MeEWN-I1oV_STSDYn1IFDPWt_1FKiwhDph83XaGc0o0/edit?usp=sharing"",""งบพรบ!FB96"")"),0)</f>
        <v>0</v>
      </c>
      <c r="I96" s="247">
        <f ca="1">IFERROR(__xludf.DUMMYFUNCTION("IMPORTRANGE(""https://docs.google.com/spreadsheets/d/1MeEWN-I1oV_STSDYn1IFDPWt_1FKiwhDph83XaGc0o0/edit?usp=sharing"",""งบพรบ!FC96"")"),0)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IFERROR(__xludf.DUMMYFUNCTION("IMPORTRANGE(""https://docs.google.com/spreadsheets/d/1MeEWN-I1oV_STSDYn1IFDPWt_1FKiwhDph83XaGc0o0/edit?usp=sharing"",""งบพรบ!FD96"")"),0)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IFERROR(__xludf.DUMMYFUNCTION("IMPORTRANGE(""https://docs.google.com/spreadsheets/d/1MeEWN-I1oV_STSDYn1IFDPWt_1FKiwhDph83XaGc0o0/edit?usp=sharing"",""งบพรบ!FE96"")"),0)</f>
        <v>0</v>
      </c>
      <c r="P96" s="250">
        <f t="shared" ca="1" si="53"/>
        <v>0</v>
      </c>
      <c r="Q96" s="250">
        <f t="shared" ca="1" si="8"/>
        <v>0</v>
      </c>
      <c r="R96" s="271"/>
      <c r="S96" s="271"/>
      <c r="T96" s="271"/>
      <c r="U96" s="250"/>
      <c r="V96" s="271"/>
      <c r="W96" s="271"/>
      <c r="X96" s="271"/>
      <c r="Y96" s="250"/>
      <c r="Z96" s="250"/>
      <c r="AA96" s="250"/>
      <c r="AB96" s="250"/>
      <c r="AC96" s="250"/>
      <c r="AD96" s="271"/>
      <c r="AE96" s="271"/>
      <c r="AF96" s="271"/>
      <c r="AG96" s="271"/>
      <c r="AH96" s="271"/>
      <c r="AI96" s="271"/>
      <c r="AJ96" s="250"/>
      <c r="AK96" s="271"/>
      <c r="AL96" s="271"/>
      <c r="AM96" s="271"/>
      <c r="AN96" s="250"/>
      <c r="AO96" s="250"/>
      <c r="AP96" s="250"/>
      <c r="AQ96" s="250"/>
      <c r="AR96" s="250"/>
      <c r="AS96" s="271"/>
      <c r="AT96" s="271"/>
      <c r="AU96" s="271"/>
      <c r="AV96" s="250"/>
      <c r="AW96" s="271"/>
      <c r="AX96" s="271"/>
      <c r="AY96" s="271"/>
      <c r="AZ96" s="250"/>
      <c r="BA96" s="250"/>
      <c r="BB96" s="250"/>
      <c r="BC96" s="250"/>
      <c r="BD96" s="250"/>
    </row>
    <row r="97" spans="1:56" ht="24" hidden="1" customHeight="1" x14ac:dyDescent="0.3">
      <c r="A97" s="243">
        <f t="shared" si="103"/>
        <v>8</v>
      </c>
      <c r="B97" s="244" t="s">
        <v>119</v>
      </c>
      <c r="C97" s="245">
        <f t="shared" ca="1" si="0"/>
        <v>3295800</v>
      </c>
      <c r="D97" s="246">
        <f t="shared" ca="1" si="102"/>
        <v>3295800</v>
      </c>
      <c r="E97" s="247">
        <f ca="1">IFERROR(__xludf.DUMMYFUNCTION("IMPORTRANGE(""https://docs.google.com/spreadsheets/d/1MeEWN-I1oV_STSDYn1IFDPWt_1FKiwhDph83XaGc0o0/edit?usp=sharing"",""งบพรบ!EX97"")"),3295800)</f>
        <v>3295800</v>
      </c>
      <c r="F97" s="247">
        <f ca="1">IFERROR(__xludf.DUMMYFUNCTION("IMPORTRANGE(""https://docs.google.com/spreadsheets/d/1MeEWN-I1oV_STSDYn1IFDPWt_1FKiwhDph83XaGc0o0/edit?usp=sharing"",""งบพรบ!EY97"")"),0)</f>
        <v>0</v>
      </c>
      <c r="G97" s="247">
        <f ca="1">IFERROR(__xludf.DUMMYFUNCTION("IMPORTRANGE(""https://docs.google.com/spreadsheets/d/1MeEWN-I1oV_STSDYn1IFDPWt_1FKiwhDph83XaGc0o0/edit?usp=sharing"",""งบพรบ!EZ97"")"),0)</f>
        <v>0</v>
      </c>
      <c r="H97" s="247">
        <f ca="1">IFERROR(__xludf.DUMMYFUNCTION("IMPORTRANGE(""https://docs.google.com/spreadsheets/d/1MeEWN-I1oV_STSDYn1IFDPWt_1FKiwhDph83XaGc0o0/edit?usp=sharing"",""งบพรบ!FB97"")"),3520700)</f>
        <v>3520700</v>
      </c>
      <c r="I97" s="247">
        <f ca="1">IFERROR(__xludf.DUMMYFUNCTION("IMPORTRANGE(""https://docs.google.com/spreadsheets/d/1MeEWN-I1oV_STSDYn1IFDPWt_1FKiwhDph83XaGc0o0/edit?usp=sharing"",""งบพรบ!FC97"")"),0)</f>
        <v>0</v>
      </c>
      <c r="J97" s="247">
        <f t="shared" ca="1" si="3"/>
        <v>3133010.64</v>
      </c>
      <c r="K97" s="253">
        <f t="shared" ca="1" si="4"/>
        <v>95.060702712543232</v>
      </c>
      <c r="L97" s="247">
        <f ca="1">IFERROR(__xludf.DUMMYFUNCTION("IMPORTRANGE(""https://docs.google.com/spreadsheets/d/1MeEWN-I1oV_STSDYn1IFDPWt_1FKiwhDph83XaGc0o0/edit?usp=sharing"",""งบพรบ!FD97"")"),3133010.64)</f>
        <v>3133010.64</v>
      </c>
      <c r="M97" s="250">
        <f t="shared" ca="1" si="5"/>
        <v>95.060702712543232</v>
      </c>
      <c r="N97" s="250">
        <f t="shared" ca="1" si="6"/>
        <v>88.988287556451837</v>
      </c>
      <c r="O97" s="251">
        <f ca="1">IFERROR(__xludf.DUMMYFUNCTION("IMPORTRANGE(""https://docs.google.com/spreadsheets/d/1MeEWN-I1oV_STSDYn1IFDPWt_1FKiwhDph83XaGc0o0/edit?usp=sharing"",""งบพรบ!FE97"")"),0)</f>
        <v>0</v>
      </c>
      <c r="P97" s="250">
        <f t="shared" ca="1" si="53"/>
        <v>0</v>
      </c>
      <c r="Q97" s="250">
        <f t="shared" ca="1" si="8"/>
        <v>0</v>
      </c>
      <c r="R97" s="271"/>
      <c r="S97" s="271"/>
      <c r="T97" s="271"/>
      <c r="U97" s="250"/>
      <c r="V97" s="271"/>
      <c r="W97" s="271"/>
      <c r="X97" s="271"/>
      <c r="Y97" s="250"/>
      <c r="Z97" s="250"/>
      <c r="AA97" s="250"/>
      <c r="AB97" s="250"/>
      <c r="AC97" s="250"/>
      <c r="AD97" s="271"/>
      <c r="AE97" s="271"/>
      <c r="AF97" s="271"/>
      <c r="AG97" s="271"/>
      <c r="AH97" s="271"/>
      <c r="AI97" s="271"/>
      <c r="AJ97" s="250"/>
      <c r="AK97" s="271"/>
      <c r="AL97" s="271"/>
      <c r="AM97" s="271"/>
      <c r="AN97" s="250"/>
      <c r="AO97" s="250"/>
      <c r="AP97" s="250"/>
      <c r="AQ97" s="250"/>
      <c r="AR97" s="250"/>
      <c r="AS97" s="271"/>
      <c r="AT97" s="271"/>
      <c r="AU97" s="271"/>
      <c r="AV97" s="250"/>
      <c r="AW97" s="271"/>
      <c r="AX97" s="271"/>
      <c r="AY97" s="271"/>
      <c r="AZ97" s="250"/>
      <c r="BA97" s="250"/>
      <c r="BB97" s="250"/>
      <c r="BC97" s="250"/>
      <c r="BD97" s="250"/>
    </row>
    <row r="98" spans="1:56" ht="24" hidden="1" customHeight="1" x14ac:dyDescent="0.3">
      <c r="A98" s="243">
        <f t="shared" si="103"/>
        <v>9</v>
      </c>
      <c r="B98" s="244" t="s">
        <v>120</v>
      </c>
      <c r="C98" s="245">
        <f t="shared" ca="1" si="0"/>
        <v>29159600</v>
      </c>
      <c r="D98" s="246">
        <f t="shared" ca="1" si="102"/>
        <v>4696000</v>
      </c>
      <c r="E98" s="247">
        <f ca="1">IFERROR(__xludf.DUMMYFUNCTION("IMPORTRANGE(""https://docs.google.com/spreadsheets/d/1MeEWN-I1oV_STSDYn1IFDPWt_1FKiwhDph83XaGc0o0/edit?usp=sharing"",""งบพรบ!EX98"")"),1342800)</f>
        <v>1342800</v>
      </c>
      <c r="F98" s="247">
        <f ca="1">IFERROR(__xludf.DUMMYFUNCTION("IMPORTRANGE(""https://docs.google.com/spreadsheets/d/1MeEWN-I1oV_STSDYn1IFDPWt_1FKiwhDph83XaGc0o0/edit?usp=sharing"",""งบพรบ!EY98"")"),3353200)</f>
        <v>3353200</v>
      </c>
      <c r="G98" s="247">
        <f ca="1">IFERROR(__xludf.DUMMYFUNCTION("IMPORTRANGE(""https://docs.google.com/spreadsheets/d/1MeEWN-I1oV_STSDYn1IFDPWt_1FKiwhDph83XaGc0o0/edit?usp=sharing"",""งบพรบ!EZ98"")"),24463600)</f>
        <v>24463600</v>
      </c>
      <c r="H98" s="247">
        <f ca="1">IFERROR(__xludf.DUMMYFUNCTION("IMPORTRANGE(""https://docs.google.com/spreadsheets/d/1MeEWN-I1oV_STSDYn1IFDPWt_1FKiwhDph83XaGc0o0/edit?usp=sharing"",""งบพรบ!FB98"")"),4402048)</f>
        <v>4402048</v>
      </c>
      <c r="I98" s="247">
        <f ca="1">IFERROR(__xludf.DUMMYFUNCTION("IMPORTRANGE(""https://docs.google.com/spreadsheets/d/1MeEWN-I1oV_STSDYn1IFDPWt_1FKiwhDph83XaGc0o0/edit?usp=sharing"",""งบพรบ!FC98"")"),20245047.27)</f>
        <v>20245047.27</v>
      </c>
      <c r="J98" s="247">
        <f t="shared" ca="1" si="3"/>
        <v>23425142.140000001</v>
      </c>
      <c r="K98" s="253">
        <f t="shared" ca="1" si="4"/>
        <v>80.334236889394916</v>
      </c>
      <c r="L98" s="247">
        <f ca="1">IFERROR(__xludf.DUMMYFUNCTION("IMPORTRANGE(""https://docs.google.com/spreadsheets/d/1MeEWN-I1oV_STSDYn1IFDPWt_1FKiwhDph83XaGc0o0/edit?usp=sharing"",""งบพรบ!FD98"")"),4209594.87)</f>
        <v>4209594.87</v>
      </c>
      <c r="M98" s="250">
        <f t="shared" ca="1" si="5"/>
        <v>89.642139480408858</v>
      </c>
      <c r="N98" s="250">
        <f t="shared" ca="1" si="6"/>
        <v>95.62810014793115</v>
      </c>
      <c r="O98" s="251">
        <f ca="1">IFERROR(__xludf.DUMMYFUNCTION("IMPORTRANGE(""https://docs.google.com/spreadsheets/d/1MeEWN-I1oV_STSDYn1IFDPWt_1FKiwhDph83XaGc0o0/edit?usp=sharing"",""งบพรบ!FE98"")"),19215547.27)</f>
        <v>19215547.27</v>
      </c>
      <c r="P98" s="250">
        <f t="shared" ca="1" si="53"/>
        <v>78.54750433296816</v>
      </c>
      <c r="Q98" s="250">
        <f t="shared" ca="1" si="8"/>
        <v>94.914805649648656</v>
      </c>
      <c r="R98" s="271"/>
      <c r="S98" s="271"/>
      <c r="T98" s="271"/>
      <c r="U98" s="250"/>
      <c r="V98" s="271"/>
      <c r="W98" s="271"/>
      <c r="X98" s="271"/>
      <c r="Y98" s="250"/>
      <c r="Z98" s="250"/>
      <c r="AA98" s="250"/>
      <c r="AB98" s="250"/>
      <c r="AC98" s="250"/>
      <c r="AD98" s="271"/>
      <c r="AE98" s="271"/>
      <c r="AF98" s="271"/>
      <c r="AG98" s="271"/>
      <c r="AH98" s="271"/>
      <c r="AI98" s="271"/>
      <c r="AJ98" s="250"/>
      <c r="AK98" s="271"/>
      <c r="AL98" s="271"/>
      <c r="AM98" s="271"/>
      <c r="AN98" s="250"/>
      <c r="AO98" s="250"/>
      <c r="AP98" s="250"/>
      <c r="AQ98" s="250"/>
      <c r="AR98" s="250"/>
      <c r="AS98" s="271"/>
      <c r="AT98" s="271"/>
      <c r="AU98" s="271"/>
      <c r="AV98" s="250"/>
      <c r="AW98" s="271"/>
      <c r="AX98" s="271"/>
      <c r="AY98" s="271"/>
      <c r="AZ98" s="250"/>
      <c r="BA98" s="250"/>
      <c r="BB98" s="250"/>
      <c r="BC98" s="250"/>
      <c r="BD98" s="250"/>
    </row>
    <row r="99" spans="1:56" ht="24" hidden="1" customHeight="1" x14ac:dyDescent="0.3">
      <c r="A99" s="243">
        <f t="shared" si="103"/>
        <v>10</v>
      </c>
      <c r="B99" s="244" t="s">
        <v>121</v>
      </c>
      <c r="C99" s="245">
        <f t="shared" ca="1" si="0"/>
        <v>2713200</v>
      </c>
      <c r="D99" s="246">
        <f t="shared" ca="1" si="102"/>
        <v>2713200</v>
      </c>
      <c r="E99" s="247">
        <f ca="1">IFERROR(__xludf.DUMMYFUNCTION("IMPORTRANGE(""https://docs.google.com/spreadsheets/d/1MeEWN-I1oV_STSDYn1IFDPWt_1FKiwhDph83XaGc0o0/edit?usp=sharing"",""งบพรบ!EX99"")"),2253200)</f>
        <v>2253200</v>
      </c>
      <c r="F99" s="247">
        <f ca="1">IFERROR(__xludf.DUMMYFUNCTION("IMPORTRANGE(""https://docs.google.com/spreadsheets/d/1MeEWN-I1oV_STSDYn1IFDPWt_1FKiwhDph83XaGc0o0/edit?usp=sharing"",""งบพรบ!EY99"")"),460000)</f>
        <v>460000</v>
      </c>
      <c r="G99" s="247">
        <f ca="1">IFERROR(__xludf.DUMMYFUNCTION("IMPORTRANGE(""https://docs.google.com/spreadsheets/d/1MeEWN-I1oV_STSDYn1IFDPWt_1FKiwhDph83XaGc0o0/edit?usp=sharing"",""งบพรบ!EZ99"")"),0)</f>
        <v>0</v>
      </c>
      <c r="H99" s="247">
        <f ca="1">IFERROR(__xludf.DUMMYFUNCTION("IMPORTRANGE(""https://docs.google.com/spreadsheets/d/1MeEWN-I1oV_STSDYn1IFDPWt_1FKiwhDph83XaGc0o0/edit?usp=sharing"",""งบพรบ!FB99"")"),3023950)</f>
        <v>3023950</v>
      </c>
      <c r="I99" s="247">
        <f ca="1">IFERROR(__xludf.DUMMYFUNCTION("IMPORTRANGE(""https://docs.google.com/spreadsheets/d/1MeEWN-I1oV_STSDYn1IFDPWt_1FKiwhDph83XaGc0o0/edit?usp=sharing"",""งบพรบ!FC99"")"),0)</f>
        <v>0</v>
      </c>
      <c r="J99" s="247">
        <f t="shared" ca="1" si="3"/>
        <v>2349055.79</v>
      </c>
      <c r="K99" s="253">
        <f t="shared" ca="1" si="4"/>
        <v>86.578792201090963</v>
      </c>
      <c r="L99" s="247">
        <f ca="1">IFERROR(__xludf.DUMMYFUNCTION("IMPORTRANGE(""https://docs.google.com/spreadsheets/d/1MeEWN-I1oV_STSDYn1IFDPWt_1FKiwhDph83XaGc0o0/edit?usp=sharing"",""งบพรบ!FD99"")"),2349055.79)</f>
        <v>2349055.79</v>
      </c>
      <c r="M99" s="250">
        <f t="shared" ca="1" si="5"/>
        <v>86.578792201090963</v>
      </c>
      <c r="N99" s="250">
        <f t="shared" ca="1" si="6"/>
        <v>77.681700755634182</v>
      </c>
      <c r="O99" s="251">
        <f ca="1">IFERROR(__xludf.DUMMYFUNCTION("IMPORTRANGE(""https://docs.google.com/spreadsheets/d/1MeEWN-I1oV_STSDYn1IFDPWt_1FKiwhDph83XaGc0o0/edit?usp=sharing"",""งบพรบ!FE99"")"),0)</f>
        <v>0</v>
      </c>
      <c r="P99" s="250">
        <f t="shared" ca="1" si="53"/>
        <v>0</v>
      </c>
      <c r="Q99" s="250">
        <f t="shared" ca="1" si="8"/>
        <v>0</v>
      </c>
      <c r="R99" s="271"/>
      <c r="S99" s="271"/>
      <c r="T99" s="271"/>
      <c r="U99" s="250"/>
      <c r="V99" s="271"/>
      <c r="W99" s="271"/>
      <c r="X99" s="271"/>
      <c r="Y99" s="250"/>
      <c r="Z99" s="250"/>
      <c r="AA99" s="250"/>
      <c r="AB99" s="250"/>
      <c r="AC99" s="250"/>
      <c r="AD99" s="271"/>
      <c r="AE99" s="271"/>
      <c r="AF99" s="271"/>
      <c r="AG99" s="271"/>
      <c r="AH99" s="271"/>
      <c r="AI99" s="271"/>
      <c r="AJ99" s="250"/>
      <c r="AK99" s="271"/>
      <c r="AL99" s="271"/>
      <c r="AM99" s="271"/>
      <c r="AN99" s="250"/>
      <c r="AO99" s="250"/>
      <c r="AP99" s="250"/>
      <c r="AQ99" s="250"/>
      <c r="AR99" s="250"/>
      <c r="AS99" s="271"/>
      <c r="AT99" s="271"/>
      <c r="AU99" s="271"/>
      <c r="AV99" s="250"/>
      <c r="AW99" s="271"/>
      <c r="AX99" s="271"/>
      <c r="AY99" s="271"/>
      <c r="AZ99" s="250"/>
      <c r="BA99" s="250"/>
      <c r="BB99" s="250"/>
      <c r="BC99" s="250"/>
      <c r="BD99" s="250"/>
    </row>
    <row r="100" spans="1:56" ht="24" hidden="1" customHeight="1" x14ac:dyDescent="0.3">
      <c r="A100" s="243">
        <f t="shared" si="103"/>
        <v>11</v>
      </c>
      <c r="B100" s="244" t="s">
        <v>122</v>
      </c>
      <c r="C100" s="245">
        <f t="shared" ca="1" si="0"/>
        <v>1533500</v>
      </c>
      <c r="D100" s="246">
        <f t="shared" ca="1" si="102"/>
        <v>1533500</v>
      </c>
      <c r="E100" s="247">
        <f ca="1">IFERROR(__xludf.DUMMYFUNCTION("IMPORTRANGE(""https://docs.google.com/spreadsheets/d/1MeEWN-I1oV_STSDYn1IFDPWt_1FKiwhDph83XaGc0o0/edit?usp=sharing"",""งบพรบ!EX100"")"),1533500)</f>
        <v>1533500</v>
      </c>
      <c r="F100" s="247">
        <f ca="1">IFERROR(__xludf.DUMMYFUNCTION("IMPORTRANGE(""https://docs.google.com/spreadsheets/d/1MeEWN-I1oV_STSDYn1IFDPWt_1FKiwhDph83XaGc0o0/edit?usp=sharing"",""งบพรบ!EY100"")"),0)</f>
        <v>0</v>
      </c>
      <c r="G100" s="247">
        <f ca="1">IFERROR(__xludf.DUMMYFUNCTION("IMPORTRANGE(""https://docs.google.com/spreadsheets/d/1MeEWN-I1oV_STSDYn1IFDPWt_1FKiwhDph83XaGc0o0/edit?usp=sharing"",""งบพรบ!EZ100"")"),0)</f>
        <v>0</v>
      </c>
      <c r="H100" s="247">
        <f ca="1">IFERROR(__xludf.DUMMYFUNCTION("IMPORTRANGE(""https://docs.google.com/spreadsheets/d/1MeEWN-I1oV_STSDYn1IFDPWt_1FKiwhDph83XaGc0o0/edit?usp=sharing"",""งบพรบ!FB100"")"),1593500)</f>
        <v>1593500</v>
      </c>
      <c r="I100" s="247">
        <f ca="1">IFERROR(__xludf.DUMMYFUNCTION("IMPORTRANGE(""https://docs.google.com/spreadsheets/d/1MeEWN-I1oV_STSDYn1IFDPWt_1FKiwhDph83XaGc0o0/edit?usp=sharing"",""งบพรบ!FC100"")"),0)</f>
        <v>0</v>
      </c>
      <c r="J100" s="247">
        <f t="shared" ca="1" si="3"/>
        <v>1562037.61</v>
      </c>
      <c r="K100" s="253">
        <f t="shared" ca="1" si="4"/>
        <v>101.86094620149984</v>
      </c>
      <c r="L100" s="247">
        <f ca="1">IFERROR(__xludf.DUMMYFUNCTION("IMPORTRANGE(""https://docs.google.com/spreadsheets/d/1MeEWN-I1oV_STSDYn1IFDPWt_1FKiwhDph83XaGc0o0/edit?usp=sharing"",""งบพรบ!FD100"")"),1562037.61)</f>
        <v>1562037.61</v>
      </c>
      <c r="M100" s="250">
        <f t="shared" ca="1" si="5"/>
        <v>101.86094620149984</v>
      </c>
      <c r="N100" s="250">
        <f t="shared" ca="1" si="6"/>
        <v>98.025579541888931</v>
      </c>
      <c r="O100" s="251">
        <f ca="1">IFERROR(__xludf.DUMMYFUNCTION("IMPORTRANGE(""https://docs.google.com/spreadsheets/d/1MeEWN-I1oV_STSDYn1IFDPWt_1FKiwhDph83XaGc0o0/edit?usp=sharing"",""งบพรบ!FE100"")"),0)</f>
        <v>0</v>
      </c>
      <c r="P100" s="250">
        <f t="shared" ca="1" si="53"/>
        <v>0</v>
      </c>
      <c r="Q100" s="250">
        <f t="shared" ca="1" si="8"/>
        <v>0</v>
      </c>
      <c r="R100" s="271"/>
      <c r="S100" s="271"/>
      <c r="T100" s="271"/>
      <c r="U100" s="250"/>
      <c r="V100" s="271"/>
      <c r="W100" s="271"/>
      <c r="X100" s="271"/>
      <c r="Y100" s="250"/>
      <c r="Z100" s="250"/>
      <c r="AA100" s="250"/>
      <c r="AB100" s="250"/>
      <c r="AC100" s="250"/>
      <c r="AD100" s="271"/>
      <c r="AE100" s="271"/>
      <c r="AF100" s="271"/>
      <c r="AG100" s="271"/>
      <c r="AH100" s="271"/>
      <c r="AI100" s="271"/>
      <c r="AJ100" s="250"/>
      <c r="AK100" s="271"/>
      <c r="AL100" s="271"/>
      <c r="AM100" s="271"/>
      <c r="AN100" s="250"/>
      <c r="AO100" s="250"/>
      <c r="AP100" s="250"/>
      <c r="AQ100" s="250"/>
      <c r="AR100" s="250"/>
      <c r="AS100" s="271"/>
      <c r="AT100" s="271"/>
      <c r="AU100" s="271"/>
      <c r="AV100" s="250"/>
      <c r="AW100" s="271"/>
      <c r="AX100" s="271"/>
      <c r="AY100" s="271"/>
      <c r="AZ100" s="250"/>
      <c r="BA100" s="250"/>
      <c r="BB100" s="250"/>
      <c r="BC100" s="250"/>
      <c r="BD100" s="250"/>
    </row>
    <row r="101" spans="1:56" ht="24" hidden="1" customHeight="1" x14ac:dyDescent="0.3">
      <c r="A101" s="243">
        <f t="shared" si="103"/>
        <v>12</v>
      </c>
      <c r="B101" s="244" t="s">
        <v>123</v>
      </c>
      <c r="C101" s="245">
        <f t="shared" ca="1" si="0"/>
        <v>1765900</v>
      </c>
      <c r="D101" s="246">
        <f t="shared" ca="1" si="102"/>
        <v>1765900</v>
      </c>
      <c r="E101" s="247">
        <f ca="1">IFERROR(__xludf.DUMMYFUNCTION("IMPORTRANGE(""https://docs.google.com/spreadsheets/d/1MeEWN-I1oV_STSDYn1IFDPWt_1FKiwhDph83XaGc0o0/edit?usp=sharing"",""งบพรบ!EX101"")"),1765900)</f>
        <v>1765900</v>
      </c>
      <c r="F101" s="247">
        <f ca="1">IFERROR(__xludf.DUMMYFUNCTION("IMPORTRANGE(""https://docs.google.com/spreadsheets/d/1MeEWN-I1oV_STSDYn1IFDPWt_1FKiwhDph83XaGc0o0/edit?usp=sharing"",""งบพรบ!EY101"")"),0)</f>
        <v>0</v>
      </c>
      <c r="G101" s="247">
        <f ca="1">IFERROR(__xludf.DUMMYFUNCTION("IMPORTRANGE(""https://docs.google.com/spreadsheets/d/1MeEWN-I1oV_STSDYn1IFDPWt_1FKiwhDph83XaGc0o0/edit?usp=sharing"",""งบพรบ!EZ101"")"),0)</f>
        <v>0</v>
      </c>
      <c r="H101" s="247">
        <f ca="1">IFERROR(__xludf.DUMMYFUNCTION("IMPORTRANGE(""https://docs.google.com/spreadsheets/d/1MeEWN-I1oV_STSDYn1IFDPWt_1FKiwhDph83XaGc0o0/edit?usp=sharing"",""งบพรบ!FB101"")"),1825900)</f>
        <v>1825900</v>
      </c>
      <c r="I101" s="247">
        <f ca="1">IFERROR(__xludf.DUMMYFUNCTION("IMPORTRANGE(""https://docs.google.com/spreadsheets/d/1MeEWN-I1oV_STSDYn1IFDPWt_1FKiwhDph83XaGc0o0/edit?usp=sharing"",""งบพรบ!FC101"")"),0)</f>
        <v>0</v>
      </c>
      <c r="J101" s="247">
        <f t="shared" ca="1" si="3"/>
        <v>1670871.34</v>
      </c>
      <c r="K101" s="253">
        <f t="shared" ca="1" si="4"/>
        <v>94.618683957188964</v>
      </c>
      <c r="L101" s="247">
        <f ca="1">IFERROR(__xludf.DUMMYFUNCTION("IMPORTRANGE(""https://docs.google.com/spreadsheets/d/1MeEWN-I1oV_STSDYn1IFDPWt_1FKiwhDph83XaGc0o0/edit?usp=sharing"",""งบพรบ!FD101"")"),1670871.34)</f>
        <v>1670871.34</v>
      </c>
      <c r="M101" s="250">
        <f t="shared" ca="1" si="5"/>
        <v>94.618683957188964</v>
      </c>
      <c r="N101" s="250">
        <f t="shared" ca="1" si="6"/>
        <v>91.509466016758864</v>
      </c>
      <c r="O101" s="251">
        <f ca="1">IFERROR(__xludf.DUMMYFUNCTION("IMPORTRANGE(""https://docs.google.com/spreadsheets/d/1MeEWN-I1oV_STSDYn1IFDPWt_1FKiwhDph83XaGc0o0/edit?usp=sharing"",""งบพรบ!FE101"")"),0)</f>
        <v>0</v>
      </c>
      <c r="P101" s="250">
        <f t="shared" ca="1" si="53"/>
        <v>0</v>
      </c>
      <c r="Q101" s="250">
        <f t="shared" ca="1" si="8"/>
        <v>0</v>
      </c>
      <c r="R101" s="271"/>
      <c r="S101" s="271"/>
      <c r="T101" s="271"/>
      <c r="U101" s="250"/>
      <c r="V101" s="271"/>
      <c r="W101" s="271"/>
      <c r="X101" s="271"/>
      <c r="Y101" s="250"/>
      <c r="Z101" s="250"/>
      <c r="AA101" s="250"/>
      <c r="AB101" s="250"/>
      <c r="AC101" s="250"/>
      <c r="AD101" s="271"/>
      <c r="AE101" s="271"/>
      <c r="AF101" s="271"/>
      <c r="AG101" s="271"/>
      <c r="AH101" s="271"/>
      <c r="AI101" s="271"/>
      <c r="AJ101" s="250"/>
      <c r="AK101" s="271"/>
      <c r="AL101" s="271"/>
      <c r="AM101" s="271"/>
      <c r="AN101" s="250"/>
      <c r="AO101" s="250"/>
      <c r="AP101" s="250"/>
      <c r="AQ101" s="250"/>
      <c r="AR101" s="250"/>
      <c r="AS101" s="271"/>
      <c r="AT101" s="271"/>
      <c r="AU101" s="271"/>
      <c r="AV101" s="250"/>
      <c r="AW101" s="271"/>
      <c r="AX101" s="271"/>
      <c r="AY101" s="271"/>
      <c r="AZ101" s="250"/>
      <c r="BA101" s="250"/>
      <c r="BB101" s="250"/>
      <c r="BC101" s="250"/>
      <c r="BD101" s="250"/>
    </row>
    <row r="102" spans="1:56" ht="24" hidden="1" customHeight="1" x14ac:dyDescent="0.3">
      <c r="A102" s="243">
        <f t="shared" si="103"/>
        <v>13</v>
      </c>
      <c r="B102" s="244" t="s">
        <v>124</v>
      </c>
      <c r="C102" s="245">
        <f t="shared" ca="1" si="0"/>
        <v>0</v>
      </c>
      <c r="D102" s="246">
        <f t="shared" ca="1" si="102"/>
        <v>0</v>
      </c>
      <c r="E102" s="247">
        <f ca="1">IFERROR(__xludf.DUMMYFUNCTION("IMPORTRANGE(""https://docs.google.com/spreadsheets/d/1MeEWN-I1oV_STSDYn1IFDPWt_1FKiwhDph83XaGc0o0/edit?usp=sharing"",""งบพรบ!EX102"")"),0)</f>
        <v>0</v>
      </c>
      <c r="F102" s="247">
        <f ca="1">IFERROR(__xludf.DUMMYFUNCTION("IMPORTRANGE(""https://docs.google.com/spreadsheets/d/1MeEWN-I1oV_STSDYn1IFDPWt_1FKiwhDph83XaGc0o0/edit?usp=sharing"",""งบพรบ!EY102"")"),0)</f>
        <v>0</v>
      </c>
      <c r="G102" s="247">
        <f ca="1">IFERROR(__xludf.DUMMYFUNCTION("IMPORTRANGE(""https://docs.google.com/spreadsheets/d/1MeEWN-I1oV_STSDYn1IFDPWt_1FKiwhDph83XaGc0o0/edit?usp=sharing"",""งบพรบ!EZ102"")"),0)</f>
        <v>0</v>
      </c>
      <c r="H102" s="247">
        <f ca="1">IFERROR(__xludf.DUMMYFUNCTION("IMPORTRANGE(""https://docs.google.com/spreadsheets/d/1MeEWN-I1oV_STSDYn1IFDPWt_1FKiwhDph83XaGc0o0/edit?usp=sharing"",""งบพรบ!FB102"")"),0)</f>
        <v>0</v>
      </c>
      <c r="I102" s="247">
        <f ca="1">IFERROR(__xludf.DUMMYFUNCTION("IMPORTRANGE(""https://docs.google.com/spreadsheets/d/1MeEWN-I1oV_STSDYn1IFDPWt_1FKiwhDph83XaGc0o0/edit?usp=sharing"",""งบพรบ!FC102"")"),0)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IFERROR(__xludf.DUMMYFUNCTION("IMPORTRANGE(""https://docs.google.com/spreadsheets/d/1MeEWN-I1oV_STSDYn1IFDPWt_1FKiwhDph83XaGc0o0/edit?usp=sharing"",""งบพรบ!FD102"")"),0)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IFERROR(__xludf.DUMMYFUNCTION("IMPORTRANGE(""https://docs.google.com/spreadsheets/d/1MeEWN-I1oV_STSDYn1IFDPWt_1FKiwhDph83XaGc0o0/edit?usp=sharing"",""งบพรบ!FE102"")"),0)</f>
        <v>0</v>
      </c>
      <c r="P102" s="250">
        <f t="shared" ca="1" si="53"/>
        <v>0</v>
      </c>
      <c r="Q102" s="250">
        <f t="shared" ca="1" si="8"/>
        <v>0</v>
      </c>
      <c r="R102" s="271"/>
      <c r="S102" s="271"/>
      <c r="T102" s="271"/>
      <c r="U102" s="250"/>
      <c r="V102" s="271"/>
      <c r="W102" s="271"/>
      <c r="X102" s="271"/>
      <c r="Y102" s="250"/>
      <c r="Z102" s="250"/>
      <c r="AA102" s="250"/>
      <c r="AB102" s="250"/>
      <c r="AC102" s="250"/>
      <c r="AD102" s="271"/>
      <c r="AE102" s="271"/>
      <c r="AF102" s="271"/>
      <c r="AG102" s="271"/>
      <c r="AH102" s="271"/>
      <c r="AI102" s="271"/>
      <c r="AJ102" s="250"/>
      <c r="AK102" s="271"/>
      <c r="AL102" s="271"/>
      <c r="AM102" s="271"/>
      <c r="AN102" s="250"/>
      <c r="AO102" s="250"/>
      <c r="AP102" s="250"/>
      <c r="AQ102" s="250"/>
      <c r="AR102" s="250"/>
      <c r="AS102" s="271"/>
      <c r="AT102" s="271"/>
      <c r="AU102" s="271"/>
      <c r="AV102" s="250"/>
      <c r="AW102" s="271"/>
      <c r="AX102" s="271"/>
      <c r="AY102" s="271"/>
      <c r="AZ102" s="250"/>
      <c r="BA102" s="250"/>
      <c r="BB102" s="250"/>
      <c r="BC102" s="250"/>
      <c r="BD102" s="250"/>
    </row>
    <row r="103" spans="1:56" ht="24" hidden="1" customHeight="1" x14ac:dyDescent="0.3">
      <c r="A103" s="254">
        <f t="shared" si="103"/>
        <v>14</v>
      </c>
      <c r="B103" s="255" t="s">
        <v>125</v>
      </c>
      <c r="C103" s="256">
        <f t="shared" ca="1" si="0"/>
        <v>0</v>
      </c>
      <c r="D103" s="257">
        <f t="shared" ca="1" si="102"/>
        <v>0</v>
      </c>
      <c r="E103" s="258">
        <f ca="1">IFERROR(__xludf.DUMMYFUNCTION("IMPORTRANGE(""https://docs.google.com/spreadsheets/d/1MeEWN-I1oV_STSDYn1IFDPWt_1FKiwhDph83XaGc0o0/edit?usp=sharing"",""งบพรบ!EX103"")"),0)</f>
        <v>0</v>
      </c>
      <c r="F103" s="258">
        <f ca="1">IFERROR(__xludf.DUMMYFUNCTION("IMPORTRANGE(""https://docs.google.com/spreadsheets/d/1MeEWN-I1oV_STSDYn1IFDPWt_1FKiwhDph83XaGc0o0/edit?usp=sharing"",""งบพรบ!EY103"")"),0)</f>
        <v>0</v>
      </c>
      <c r="G103" s="258">
        <f ca="1">IFERROR(__xludf.DUMMYFUNCTION("IMPORTRANGE(""https://docs.google.com/spreadsheets/d/1MeEWN-I1oV_STSDYn1IFDPWt_1FKiwhDph83XaGc0o0/edit?usp=sharing"",""งบพรบ!EZ103"")"),0)</f>
        <v>0</v>
      </c>
      <c r="H103" s="258">
        <f ca="1">IFERROR(__xludf.DUMMYFUNCTION("IMPORTRANGE(""https://docs.google.com/spreadsheets/d/1MeEWN-I1oV_STSDYn1IFDPWt_1FKiwhDph83XaGc0o0/edit?usp=sharing"",""งบพรบ!FB103"")"),0)</f>
        <v>0</v>
      </c>
      <c r="I103" s="258">
        <f ca="1">IFERROR(__xludf.DUMMYFUNCTION("IMPORTRANGE(""https://docs.google.com/spreadsheets/d/1MeEWN-I1oV_STSDYn1IFDPWt_1FKiwhDph83XaGc0o0/edit?usp=sharing"",""งบพรบ!FC103"")"),0)</f>
        <v>0</v>
      </c>
      <c r="J103" s="258">
        <f t="shared" ca="1" si="3"/>
        <v>0</v>
      </c>
      <c r="K103" s="259">
        <f t="shared" ca="1" si="4"/>
        <v>0</v>
      </c>
      <c r="L103" s="258">
        <f ca="1">IFERROR(__xludf.DUMMYFUNCTION("IMPORTRANGE(""https://docs.google.com/spreadsheets/d/1MeEWN-I1oV_STSDYn1IFDPWt_1FKiwhDph83XaGc0o0/edit?usp=sharing"",""งบพรบ!FD103"")"),0)</f>
        <v>0</v>
      </c>
      <c r="M103" s="260">
        <f t="shared" ca="1" si="5"/>
        <v>0</v>
      </c>
      <c r="N103" s="260">
        <f t="shared" ca="1" si="6"/>
        <v>0</v>
      </c>
      <c r="O103" s="261">
        <f ca="1">IFERROR(__xludf.DUMMYFUNCTION("IMPORTRANGE(""https://docs.google.com/spreadsheets/d/1MeEWN-I1oV_STSDYn1IFDPWt_1FKiwhDph83XaGc0o0/edit?usp=sharing"",""งบพรบ!FE103"")"),0)</f>
        <v>0</v>
      </c>
      <c r="P103" s="260">
        <f t="shared" ca="1" si="53"/>
        <v>0</v>
      </c>
      <c r="Q103" s="260">
        <f t="shared" ca="1" si="8"/>
        <v>0</v>
      </c>
      <c r="R103" s="273"/>
      <c r="S103" s="273"/>
      <c r="T103" s="273"/>
      <c r="U103" s="260"/>
      <c r="V103" s="273"/>
      <c r="W103" s="273"/>
      <c r="X103" s="273"/>
      <c r="Y103" s="260"/>
      <c r="Z103" s="260"/>
      <c r="AA103" s="260"/>
      <c r="AB103" s="260"/>
      <c r="AC103" s="260"/>
      <c r="AD103" s="273"/>
      <c r="AE103" s="273"/>
      <c r="AF103" s="273"/>
      <c r="AG103" s="273"/>
      <c r="AH103" s="273"/>
      <c r="AI103" s="273"/>
      <c r="AJ103" s="260"/>
      <c r="AK103" s="273"/>
      <c r="AL103" s="273"/>
      <c r="AM103" s="273"/>
      <c r="AN103" s="260"/>
      <c r="AO103" s="260"/>
      <c r="AP103" s="260"/>
      <c r="AQ103" s="260"/>
      <c r="AR103" s="260"/>
      <c r="AS103" s="273"/>
      <c r="AT103" s="273"/>
      <c r="AU103" s="273"/>
      <c r="AV103" s="260"/>
      <c r="AW103" s="273"/>
      <c r="AX103" s="273"/>
      <c r="AY103" s="273"/>
      <c r="AZ103" s="260"/>
      <c r="BA103" s="260"/>
      <c r="BB103" s="260"/>
      <c r="BC103" s="260"/>
      <c r="BD103" s="260"/>
    </row>
    <row r="104" spans="1:56" ht="21" hidden="1" customHeight="1" x14ac:dyDescent="0.3">
      <c r="A104" s="441" t="s">
        <v>126</v>
      </c>
      <c r="B104" s="414"/>
      <c r="C104" s="230">
        <f t="shared" ca="1" si="0"/>
        <v>3081100</v>
      </c>
      <c r="D104" s="230">
        <f ca="1">SUM(D105:D116)</f>
        <v>3081100</v>
      </c>
      <c r="E104" s="230">
        <f ca="1">IFERROR(__xludf.DUMMYFUNCTION("IMPORTRANGE(""https://docs.google.com/spreadsheets/d/1MeEWN-I1oV_STSDYn1IFDPWt_1FKiwhDph83XaGc0o0/edit?usp=sharing"",""งบพรบ!EX104"")"),3081100)</f>
        <v>3081100</v>
      </c>
      <c r="F104" s="230">
        <f ca="1">IFERROR(__xludf.DUMMYFUNCTION("IMPORTRANGE(""https://docs.google.com/spreadsheets/d/1MeEWN-I1oV_STSDYn1IFDPWt_1FKiwhDph83XaGc0o0/edit?usp=sharing"",""งบพรบ!EY104"")"),0)</f>
        <v>0</v>
      </c>
      <c r="G104" s="230">
        <f ca="1">IFERROR(__xludf.DUMMYFUNCTION("IMPORTRANGE(""https://docs.google.com/spreadsheets/d/1MeEWN-I1oV_STSDYn1IFDPWt_1FKiwhDph83XaGc0o0/edit?usp=sharing"",""งบพรบ!EZ104"")"),0)</f>
        <v>0</v>
      </c>
      <c r="H104" s="230">
        <f ca="1">IFERROR(__xludf.DUMMYFUNCTION("IMPORTRANGE(""https://docs.google.com/spreadsheets/d/1MeEWN-I1oV_STSDYn1IFDPWt_1FKiwhDph83XaGc0o0/edit?usp=sharing"",""งบพรบ!FB104"")"),3247500)</f>
        <v>3247500</v>
      </c>
      <c r="I104" s="230">
        <f ca="1">IFERROR(__xludf.DUMMYFUNCTION("IMPORTRANGE(""https://docs.google.com/spreadsheets/d/1MeEWN-I1oV_STSDYn1IFDPWt_1FKiwhDph83XaGc0o0/edit?usp=sharing"",""งบพรบ!FC104"")"),12000.73)</f>
        <v>12000.73</v>
      </c>
      <c r="J104" s="230">
        <f t="shared" ca="1" si="3"/>
        <v>3049800.23</v>
      </c>
      <c r="K104" s="231">
        <f t="shared" ca="1" si="4"/>
        <v>98.984136509688099</v>
      </c>
      <c r="L104" s="230">
        <f ca="1">IFERROR(__xludf.DUMMYFUNCTION("IMPORTRANGE(""https://docs.google.com/spreadsheets/d/1MeEWN-I1oV_STSDYn1IFDPWt_1FKiwhDph83XaGc0o0/edit?usp=sharing"",""งบพรบ!FD104"")"),3049800.23)</f>
        <v>3049800.23</v>
      </c>
      <c r="M104" s="231">
        <f t="shared" ca="1" si="5"/>
        <v>98.984136509688099</v>
      </c>
      <c r="N104" s="231">
        <f t="shared" ca="1" si="6"/>
        <v>93.912247267128564</v>
      </c>
      <c r="O104" s="230">
        <f ca="1">IFERROR(__xludf.DUMMYFUNCTION("IMPORTRANGE(""https://docs.google.com/spreadsheets/d/1MeEWN-I1oV_STSDYn1IFDPWt_1FKiwhDph83XaGc0o0/edit?usp=sharing"",""งบพรบ!FE104"")"),0)</f>
        <v>0</v>
      </c>
      <c r="P104" s="230">
        <f t="shared" ca="1" si="53"/>
        <v>0</v>
      </c>
      <c r="Q104" s="230">
        <f t="shared" ca="1" si="8"/>
        <v>0</v>
      </c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</row>
    <row r="105" spans="1:56" ht="24" hidden="1" customHeight="1" x14ac:dyDescent="0.3">
      <c r="A105" s="243">
        <v>1</v>
      </c>
      <c r="B105" s="275" t="s">
        <v>127</v>
      </c>
      <c r="C105" s="245">
        <f t="shared" ca="1" si="0"/>
        <v>87800</v>
      </c>
      <c r="D105" s="246">
        <f t="shared" ref="D105:D116" ca="1" si="104">+E105+F105</f>
        <v>87800</v>
      </c>
      <c r="E105" s="247">
        <f ca="1">IFERROR(__xludf.DUMMYFUNCTION("IMPORTRANGE(""https://docs.google.com/spreadsheets/d/1MeEWN-I1oV_STSDYn1IFDPWt_1FKiwhDph83XaGc0o0/edit?usp=sharing"",""งบพรบ!EX105"")"),87800)</f>
        <v>87800</v>
      </c>
      <c r="F105" s="247">
        <f ca="1">IFERROR(__xludf.DUMMYFUNCTION("IMPORTRANGE(""https://docs.google.com/spreadsheets/d/1MeEWN-I1oV_STSDYn1IFDPWt_1FKiwhDph83XaGc0o0/edit?usp=sharing"",""งบพรบ!EY105"")"),0)</f>
        <v>0</v>
      </c>
      <c r="G105" s="247">
        <f ca="1">IFERROR(__xludf.DUMMYFUNCTION("IMPORTRANGE(""https://docs.google.com/spreadsheets/d/1MeEWN-I1oV_STSDYn1IFDPWt_1FKiwhDph83XaGc0o0/edit?usp=sharing"",""งบพรบ!EZ105"")"),0)</f>
        <v>0</v>
      </c>
      <c r="H105" s="247">
        <f ca="1">IFERROR(__xludf.DUMMYFUNCTION("IMPORTRANGE(""https://docs.google.com/spreadsheets/d/1MeEWN-I1oV_STSDYn1IFDPWt_1FKiwhDph83XaGc0o0/edit?usp=sharing"",""งบพรบ!FB105"")"),2000)</f>
        <v>2000</v>
      </c>
      <c r="I105" s="247">
        <f ca="1">IFERROR(__xludf.DUMMYFUNCTION("IMPORTRANGE(""https://docs.google.com/spreadsheets/d/1MeEWN-I1oV_STSDYn1IFDPWt_1FKiwhDph83XaGc0o0/edit?usp=sharing"",""งบพรบ!FC105"")"),0)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IFERROR(__xludf.DUMMYFUNCTION("IMPORTRANGE(""https://docs.google.com/spreadsheets/d/1MeEWN-I1oV_STSDYn1IFDPWt_1FKiwhDph83XaGc0o0/edit?usp=sharing"",""งบพรบ!FD105"")"),0)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IFERROR(__xludf.DUMMYFUNCTION("IMPORTRANGE(""https://docs.google.com/spreadsheets/d/1MeEWN-I1oV_STSDYn1IFDPWt_1FKiwhDph83XaGc0o0/edit?usp=sharing"",""งบพรบ!FE105"")"),0)</f>
        <v>0</v>
      </c>
      <c r="P105" s="250">
        <f t="shared" ca="1" si="53"/>
        <v>0</v>
      </c>
      <c r="Q105" s="250">
        <f t="shared" ca="1" si="8"/>
        <v>0</v>
      </c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  <c r="AF105" s="271"/>
      <c r="AG105" s="271"/>
      <c r="AH105" s="271"/>
      <c r="AI105" s="271"/>
      <c r="AJ105" s="271"/>
      <c r="AK105" s="271"/>
      <c r="AL105" s="271"/>
      <c r="AM105" s="271"/>
      <c r="AN105" s="271"/>
      <c r="AO105" s="271"/>
      <c r="AP105" s="271"/>
      <c r="AQ105" s="271"/>
      <c r="AR105" s="271"/>
      <c r="AS105" s="271"/>
      <c r="AT105" s="271"/>
      <c r="AU105" s="271"/>
      <c r="AV105" s="271"/>
      <c r="AW105" s="271"/>
      <c r="AX105" s="271"/>
      <c r="AY105" s="271"/>
      <c r="AZ105" s="271"/>
      <c r="BA105" s="271"/>
      <c r="BB105" s="271"/>
      <c r="BC105" s="271"/>
      <c r="BD105" s="271"/>
    </row>
    <row r="106" spans="1:56" ht="24" hidden="1" customHeight="1" x14ac:dyDescent="0.3">
      <c r="A106" s="243">
        <v>2</v>
      </c>
      <c r="B106" s="275" t="s">
        <v>128</v>
      </c>
      <c r="C106" s="245">
        <f t="shared" ca="1" si="0"/>
        <v>0</v>
      </c>
      <c r="D106" s="246">
        <f t="shared" ca="1" si="104"/>
        <v>0</v>
      </c>
      <c r="E106" s="247">
        <f ca="1">IFERROR(__xludf.DUMMYFUNCTION("IMPORTRANGE(""https://docs.google.com/spreadsheets/d/1MeEWN-I1oV_STSDYn1IFDPWt_1FKiwhDph83XaGc0o0/edit?usp=sharing"",""งบพรบ!EX106"")"),0)</f>
        <v>0</v>
      </c>
      <c r="F106" s="247">
        <f ca="1">IFERROR(__xludf.DUMMYFUNCTION("IMPORTRANGE(""https://docs.google.com/spreadsheets/d/1MeEWN-I1oV_STSDYn1IFDPWt_1FKiwhDph83XaGc0o0/edit?usp=sharing"",""งบพรบ!EY106"")"),0)</f>
        <v>0</v>
      </c>
      <c r="G106" s="247">
        <f ca="1">IFERROR(__xludf.DUMMYFUNCTION("IMPORTRANGE(""https://docs.google.com/spreadsheets/d/1MeEWN-I1oV_STSDYn1IFDPWt_1FKiwhDph83XaGc0o0/edit?usp=sharing"",""งบพรบ!EZ106"")"),0)</f>
        <v>0</v>
      </c>
      <c r="H106" s="247">
        <f ca="1">IFERROR(__xludf.DUMMYFUNCTION("IMPORTRANGE(""https://docs.google.com/spreadsheets/d/1MeEWN-I1oV_STSDYn1IFDPWt_1FKiwhDph83XaGc0o0/edit?usp=sharing"",""งบพรบ!FB106"")"),0)</f>
        <v>0</v>
      </c>
      <c r="I106" s="247">
        <f ca="1">IFERROR(__xludf.DUMMYFUNCTION("IMPORTRANGE(""https://docs.google.com/spreadsheets/d/1MeEWN-I1oV_STSDYn1IFDPWt_1FKiwhDph83XaGc0o0/edit?usp=sharing"",""งบพรบ!FC106"")"),0)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IFERROR(__xludf.DUMMYFUNCTION("IMPORTRANGE(""https://docs.google.com/spreadsheets/d/1MeEWN-I1oV_STSDYn1IFDPWt_1FKiwhDph83XaGc0o0/edit?usp=sharing"",""งบพรบ!FD106"")"),0)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IFERROR(__xludf.DUMMYFUNCTION("IMPORTRANGE(""https://docs.google.com/spreadsheets/d/1MeEWN-I1oV_STSDYn1IFDPWt_1FKiwhDph83XaGc0o0/edit?usp=sharing"",""งบพรบ!FE106"")"),0)</f>
        <v>0</v>
      </c>
      <c r="P106" s="250">
        <f t="shared" ca="1" si="53"/>
        <v>0</v>
      </c>
      <c r="Q106" s="250">
        <f t="shared" ca="1" si="8"/>
        <v>0</v>
      </c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  <c r="AB106" s="271"/>
      <c r="AC106" s="271"/>
      <c r="AD106" s="271"/>
      <c r="AE106" s="271"/>
      <c r="AF106" s="271"/>
      <c r="AG106" s="271"/>
      <c r="AH106" s="271"/>
      <c r="AI106" s="271"/>
      <c r="AJ106" s="271"/>
      <c r="AK106" s="271"/>
      <c r="AL106" s="271"/>
      <c r="AM106" s="271"/>
      <c r="AN106" s="271"/>
      <c r="AO106" s="271"/>
      <c r="AP106" s="271"/>
      <c r="AQ106" s="271"/>
      <c r="AR106" s="271"/>
      <c r="AS106" s="271"/>
      <c r="AT106" s="271"/>
      <c r="AU106" s="271"/>
      <c r="AV106" s="271"/>
      <c r="AW106" s="271"/>
      <c r="AX106" s="271"/>
      <c r="AY106" s="271"/>
      <c r="AZ106" s="271"/>
      <c r="BA106" s="271"/>
      <c r="BB106" s="271"/>
      <c r="BC106" s="271"/>
      <c r="BD106" s="271"/>
    </row>
    <row r="107" spans="1:56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104"/>
        <v>0</v>
      </c>
      <c r="E107" s="247">
        <f ca="1">IFERROR(__xludf.DUMMYFUNCTION("IMPORTRANGE(""https://docs.google.com/spreadsheets/d/1MeEWN-I1oV_STSDYn1IFDPWt_1FKiwhDph83XaGc0o0/edit?usp=sharing"",""งบพรบ!EX107"")"),0)</f>
        <v>0</v>
      </c>
      <c r="F107" s="247">
        <f ca="1">IFERROR(__xludf.DUMMYFUNCTION("IMPORTRANGE(""https://docs.google.com/spreadsheets/d/1MeEWN-I1oV_STSDYn1IFDPWt_1FKiwhDph83XaGc0o0/edit?usp=sharing"",""งบพรบ!EY107"")"),0)</f>
        <v>0</v>
      </c>
      <c r="G107" s="247">
        <f ca="1">IFERROR(__xludf.DUMMYFUNCTION("IMPORTRANGE(""https://docs.google.com/spreadsheets/d/1MeEWN-I1oV_STSDYn1IFDPWt_1FKiwhDph83XaGc0o0/edit?usp=sharing"",""งบพรบ!EZ107"")"),0)</f>
        <v>0</v>
      </c>
      <c r="H107" s="247">
        <f ca="1">IFERROR(__xludf.DUMMYFUNCTION("IMPORTRANGE(""https://docs.google.com/spreadsheets/d/1MeEWN-I1oV_STSDYn1IFDPWt_1FKiwhDph83XaGc0o0/edit?usp=sharing"",""งบพรบ!FB107"")"),0)</f>
        <v>0</v>
      </c>
      <c r="I107" s="247">
        <f ca="1">IFERROR(__xludf.DUMMYFUNCTION("IMPORTRANGE(""https://docs.google.com/spreadsheets/d/1MeEWN-I1oV_STSDYn1IFDPWt_1FKiwhDph83XaGc0o0/edit?usp=sharing"",""งบพรบ!FC107"")"),0)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IFERROR(__xludf.DUMMYFUNCTION("IMPORTRANGE(""https://docs.google.com/spreadsheets/d/1MeEWN-I1oV_STSDYn1IFDPWt_1FKiwhDph83XaGc0o0/edit?usp=sharing"",""งบพรบ!FD107"")"),0)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IFERROR(__xludf.DUMMYFUNCTION("IMPORTRANGE(""https://docs.google.com/spreadsheets/d/1MeEWN-I1oV_STSDYn1IFDPWt_1FKiwhDph83XaGc0o0/edit?usp=sharing"",""งบพรบ!FE107"")"),0)</f>
        <v>0</v>
      </c>
      <c r="P107" s="250">
        <f t="shared" ca="1" si="53"/>
        <v>0</v>
      </c>
      <c r="Q107" s="250">
        <f t="shared" ca="1" si="8"/>
        <v>0</v>
      </c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AM107" s="271"/>
      <c r="AN107" s="271"/>
      <c r="AO107" s="271"/>
      <c r="AP107" s="271"/>
      <c r="AQ107" s="271"/>
      <c r="AR107" s="271"/>
      <c r="AS107" s="271"/>
      <c r="AT107" s="271"/>
      <c r="AU107" s="271"/>
      <c r="AV107" s="271"/>
      <c r="AW107" s="271"/>
      <c r="AX107" s="271"/>
      <c r="AY107" s="271"/>
      <c r="AZ107" s="271"/>
      <c r="BA107" s="271"/>
      <c r="BB107" s="271"/>
      <c r="BC107" s="271"/>
      <c r="BD107" s="271"/>
    </row>
    <row r="108" spans="1:56" ht="24" hidden="1" customHeight="1" x14ac:dyDescent="0.3">
      <c r="A108" s="276">
        <v>4</v>
      </c>
      <c r="B108" s="275" t="s">
        <v>130</v>
      </c>
      <c r="C108" s="245">
        <f t="shared" ca="1" si="0"/>
        <v>0</v>
      </c>
      <c r="D108" s="246">
        <f t="shared" ca="1" si="104"/>
        <v>0</v>
      </c>
      <c r="E108" s="247">
        <f ca="1">IFERROR(__xludf.DUMMYFUNCTION("IMPORTRANGE(""https://docs.google.com/spreadsheets/d/1MeEWN-I1oV_STSDYn1IFDPWt_1FKiwhDph83XaGc0o0/edit?usp=sharing"",""งบพรบ!EX108"")"),0)</f>
        <v>0</v>
      </c>
      <c r="F108" s="247">
        <f ca="1">IFERROR(__xludf.DUMMYFUNCTION("IMPORTRANGE(""https://docs.google.com/spreadsheets/d/1MeEWN-I1oV_STSDYn1IFDPWt_1FKiwhDph83XaGc0o0/edit?usp=sharing"",""งบพรบ!EY108"")"),0)</f>
        <v>0</v>
      </c>
      <c r="G108" s="247">
        <f ca="1">IFERROR(__xludf.DUMMYFUNCTION("IMPORTRANGE(""https://docs.google.com/spreadsheets/d/1MeEWN-I1oV_STSDYn1IFDPWt_1FKiwhDph83XaGc0o0/edit?usp=sharing"",""งบพรบ!EZ108"")"),0)</f>
        <v>0</v>
      </c>
      <c r="H108" s="247">
        <f ca="1">IFERROR(__xludf.DUMMYFUNCTION("IMPORTRANGE(""https://docs.google.com/spreadsheets/d/1MeEWN-I1oV_STSDYn1IFDPWt_1FKiwhDph83XaGc0o0/edit?usp=sharing"",""งบพรบ!FB108"")"),0)</f>
        <v>0</v>
      </c>
      <c r="I108" s="247">
        <f ca="1">IFERROR(__xludf.DUMMYFUNCTION("IMPORTRANGE(""https://docs.google.com/spreadsheets/d/1MeEWN-I1oV_STSDYn1IFDPWt_1FKiwhDph83XaGc0o0/edit?usp=sharing"",""งบพรบ!FC108"")"),0)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IFERROR(__xludf.DUMMYFUNCTION("IMPORTRANGE(""https://docs.google.com/spreadsheets/d/1MeEWN-I1oV_STSDYn1IFDPWt_1FKiwhDph83XaGc0o0/edit?usp=sharing"",""งบพรบ!FD108"")"),0)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IFERROR(__xludf.DUMMYFUNCTION("IMPORTRANGE(""https://docs.google.com/spreadsheets/d/1MeEWN-I1oV_STSDYn1IFDPWt_1FKiwhDph83XaGc0o0/edit?usp=sharing"",""งบพรบ!FE108"")"),0)</f>
        <v>0</v>
      </c>
      <c r="P108" s="250">
        <f t="shared" ca="1" si="53"/>
        <v>0</v>
      </c>
      <c r="Q108" s="250">
        <f t="shared" ca="1" si="8"/>
        <v>0</v>
      </c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AM108" s="271"/>
      <c r="AN108" s="271"/>
      <c r="AO108" s="271"/>
      <c r="AP108" s="271"/>
      <c r="AQ108" s="271"/>
      <c r="AR108" s="271"/>
      <c r="AS108" s="271"/>
      <c r="AT108" s="271"/>
      <c r="AU108" s="271"/>
      <c r="AV108" s="271"/>
      <c r="AW108" s="271"/>
      <c r="AX108" s="271"/>
      <c r="AY108" s="271"/>
      <c r="AZ108" s="271"/>
      <c r="BA108" s="271"/>
      <c r="BB108" s="271"/>
      <c r="BC108" s="271"/>
      <c r="BD108" s="271"/>
    </row>
    <row r="109" spans="1:56" ht="24" hidden="1" customHeight="1" x14ac:dyDescent="0.3">
      <c r="A109" s="276">
        <v>5</v>
      </c>
      <c r="B109" s="275" t="s">
        <v>131</v>
      </c>
      <c r="C109" s="245">
        <f t="shared" ca="1" si="0"/>
        <v>0</v>
      </c>
      <c r="D109" s="246">
        <f t="shared" ca="1" si="104"/>
        <v>0</v>
      </c>
      <c r="E109" s="247">
        <f ca="1">IFERROR(__xludf.DUMMYFUNCTION("IMPORTRANGE(""https://docs.google.com/spreadsheets/d/1MeEWN-I1oV_STSDYn1IFDPWt_1FKiwhDph83XaGc0o0/edit?usp=sharing"",""งบพรบ!EX109"")"),0)</f>
        <v>0</v>
      </c>
      <c r="F109" s="247">
        <f ca="1">IFERROR(__xludf.DUMMYFUNCTION("IMPORTRANGE(""https://docs.google.com/spreadsheets/d/1MeEWN-I1oV_STSDYn1IFDPWt_1FKiwhDph83XaGc0o0/edit?usp=sharing"",""งบพรบ!EY109"")"),0)</f>
        <v>0</v>
      </c>
      <c r="G109" s="247">
        <f ca="1">IFERROR(__xludf.DUMMYFUNCTION("IMPORTRANGE(""https://docs.google.com/spreadsheets/d/1MeEWN-I1oV_STSDYn1IFDPWt_1FKiwhDph83XaGc0o0/edit?usp=sharing"",""งบพรบ!EZ109"")"),0)</f>
        <v>0</v>
      </c>
      <c r="H109" s="247">
        <f ca="1">IFERROR(__xludf.DUMMYFUNCTION("IMPORTRANGE(""https://docs.google.com/spreadsheets/d/1MeEWN-I1oV_STSDYn1IFDPWt_1FKiwhDph83XaGc0o0/edit?usp=sharing"",""งบพรบ!FB109"")"),0)</f>
        <v>0</v>
      </c>
      <c r="I109" s="247">
        <f ca="1">IFERROR(__xludf.DUMMYFUNCTION("IMPORTRANGE(""https://docs.google.com/spreadsheets/d/1MeEWN-I1oV_STSDYn1IFDPWt_1FKiwhDph83XaGc0o0/edit?usp=sharing"",""งบพรบ!FC109"")"),0)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IFERROR(__xludf.DUMMYFUNCTION("IMPORTRANGE(""https://docs.google.com/spreadsheets/d/1MeEWN-I1oV_STSDYn1IFDPWt_1FKiwhDph83XaGc0o0/edit?usp=sharing"",""งบพรบ!FD109"")"),0)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IFERROR(__xludf.DUMMYFUNCTION("IMPORTRANGE(""https://docs.google.com/spreadsheets/d/1MeEWN-I1oV_STSDYn1IFDPWt_1FKiwhDph83XaGc0o0/edit?usp=sharing"",""งบพรบ!FE109"")"),0)</f>
        <v>0</v>
      </c>
      <c r="P109" s="250">
        <f t="shared" ca="1" si="53"/>
        <v>0</v>
      </c>
      <c r="Q109" s="250">
        <f t="shared" ca="1" si="8"/>
        <v>0</v>
      </c>
      <c r="R109" s="271"/>
      <c r="S109" s="271"/>
      <c r="T109" s="271"/>
      <c r="U109" s="271"/>
      <c r="V109" s="271"/>
      <c r="W109" s="271"/>
      <c r="X109" s="271"/>
      <c r="Y109" s="271"/>
      <c r="Z109" s="271"/>
      <c r="AA109" s="271"/>
      <c r="AB109" s="271"/>
      <c r="AC109" s="271"/>
      <c r="AD109" s="271"/>
      <c r="AE109" s="271"/>
      <c r="AF109" s="271"/>
      <c r="AG109" s="271"/>
      <c r="AH109" s="271"/>
      <c r="AI109" s="271"/>
      <c r="AJ109" s="271"/>
      <c r="AK109" s="271"/>
      <c r="AL109" s="271"/>
      <c r="AM109" s="271"/>
      <c r="AN109" s="271"/>
      <c r="AO109" s="271"/>
      <c r="AP109" s="271"/>
      <c r="AQ109" s="271"/>
      <c r="AR109" s="271"/>
      <c r="AS109" s="271"/>
      <c r="AT109" s="271"/>
      <c r="AU109" s="271"/>
      <c r="AV109" s="271"/>
      <c r="AW109" s="271"/>
      <c r="AX109" s="271"/>
      <c r="AY109" s="271"/>
      <c r="AZ109" s="271"/>
      <c r="BA109" s="271"/>
      <c r="BB109" s="271"/>
      <c r="BC109" s="271"/>
      <c r="BD109" s="271"/>
    </row>
    <row r="110" spans="1:56" ht="24" hidden="1" customHeight="1" x14ac:dyDescent="0.3">
      <c r="A110" s="276">
        <v>6</v>
      </c>
      <c r="B110" s="275" t="s">
        <v>132</v>
      </c>
      <c r="C110" s="245">
        <f t="shared" ca="1" si="0"/>
        <v>1846700</v>
      </c>
      <c r="D110" s="246">
        <f t="shared" ca="1" si="104"/>
        <v>1846700</v>
      </c>
      <c r="E110" s="247">
        <f ca="1">IFERROR(__xludf.DUMMYFUNCTION("IMPORTRANGE(""https://docs.google.com/spreadsheets/d/1MeEWN-I1oV_STSDYn1IFDPWt_1FKiwhDph83XaGc0o0/edit?usp=sharing"",""งบพรบ!EX110"")"),1846700)</f>
        <v>1846700</v>
      </c>
      <c r="F110" s="247">
        <f ca="1">IFERROR(__xludf.DUMMYFUNCTION("IMPORTRANGE(""https://docs.google.com/spreadsheets/d/1MeEWN-I1oV_STSDYn1IFDPWt_1FKiwhDph83XaGc0o0/edit?usp=sharing"",""งบพรบ!EY110"")"),0)</f>
        <v>0</v>
      </c>
      <c r="G110" s="247">
        <f ca="1">IFERROR(__xludf.DUMMYFUNCTION("IMPORTRANGE(""https://docs.google.com/spreadsheets/d/1MeEWN-I1oV_STSDYn1IFDPWt_1FKiwhDph83XaGc0o0/edit?usp=sharing"",""งบพรบ!EZ110"")"),0)</f>
        <v>0</v>
      </c>
      <c r="H110" s="247">
        <f ca="1">IFERROR(__xludf.DUMMYFUNCTION("IMPORTRANGE(""https://docs.google.com/spreadsheets/d/1MeEWN-I1oV_STSDYn1IFDPWt_1FKiwhDph83XaGc0o0/edit?usp=sharing"",""งบพรบ!FB110"")"),2026700)</f>
        <v>2026700</v>
      </c>
      <c r="I110" s="247">
        <f ca="1">IFERROR(__xludf.DUMMYFUNCTION("IMPORTRANGE(""https://docs.google.com/spreadsheets/d/1MeEWN-I1oV_STSDYn1IFDPWt_1FKiwhDph83XaGc0o0/edit?usp=sharing"",""งบพรบ!FC110"")"),0)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IFERROR(__xludf.DUMMYFUNCTION("IMPORTRANGE(""https://docs.google.com/spreadsheets/d/1MeEWN-I1oV_STSDYn1IFDPWt_1FKiwhDph83XaGc0o0/edit?usp=sharing"",""งบพรบ!FD110"")"),0)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IFERROR(__xludf.DUMMYFUNCTION("IMPORTRANGE(""https://docs.google.com/spreadsheets/d/1MeEWN-I1oV_STSDYn1IFDPWt_1FKiwhDph83XaGc0o0/edit?usp=sharing"",""งบพรบ!FE110"")"),0)</f>
        <v>0</v>
      </c>
      <c r="P110" s="250">
        <f t="shared" ca="1" si="53"/>
        <v>0</v>
      </c>
      <c r="Q110" s="250">
        <f t="shared" ca="1" si="8"/>
        <v>0</v>
      </c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AM110" s="271"/>
      <c r="AN110" s="271"/>
      <c r="AO110" s="271"/>
      <c r="AP110" s="271"/>
      <c r="AQ110" s="271"/>
      <c r="AR110" s="271"/>
      <c r="AS110" s="271"/>
      <c r="AT110" s="271"/>
      <c r="AU110" s="271"/>
      <c r="AV110" s="271"/>
      <c r="AW110" s="271"/>
      <c r="AX110" s="271"/>
      <c r="AY110" s="271"/>
      <c r="AZ110" s="271"/>
      <c r="BA110" s="271"/>
      <c r="BB110" s="271"/>
      <c r="BC110" s="271"/>
      <c r="BD110" s="271"/>
    </row>
    <row r="111" spans="1:56" ht="24" hidden="1" customHeight="1" x14ac:dyDescent="0.3">
      <c r="A111" s="276">
        <v>7</v>
      </c>
      <c r="B111" s="275" t="s">
        <v>133</v>
      </c>
      <c r="C111" s="245">
        <f t="shared" ca="1" si="0"/>
        <v>1146600</v>
      </c>
      <c r="D111" s="246">
        <f t="shared" ca="1" si="104"/>
        <v>1146600</v>
      </c>
      <c r="E111" s="247">
        <f ca="1">IFERROR(__xludf.DUMMYFUNCTION("IMPORTRANGE(""https://docs.google.com/spreadsheets/d/1MeEWN-I1oV_STSDYn1IFDPWt_1FKiwhDph83XaGc0o0/edit?usp=sharing"",""งบพรบ!EX111"")"),1146600)</f>
        <v>1146600</v>
      </c>
      <c r="F111" s="247">
        <f ca="1">IFERROR(__xludf.DUMMYFUNCTION("IMPORTRANGE(""https://docs.google.com/spreadsheets/d/1MeEWN-I1oV_STSDYn1IFDPWt_1FKiwhDph83XaGc0o0/edit?usp=sharing"",""งบพรบ!EY111"")"),0)</f>
        <v>0</v>
      </c>
      <c r="G111" s="247">
        <f ca="1">IFERROR(__xludf.DUMMYFUNCTION("IMPORTRANGE(""https://docs.google.com/spreadsheets/d/1MeEWN-I1oV_STSDYn1IFDPWt_1FKiwhDph83XaGc0o0/edit?usp=sharing"",""งบพรบ!EZ111"")"),0)</f>
        <v>0</v>
      </c>
      <c r="H111" s="247">
        <f ca="1">IFERROR(__xludf.DUMMYFUNCTION("IMPORTRANGE(""https://docs.google.com/spreadsheets/d/1MeEWN-I1oV_STSDYn1IFDPWt_1FKiwhDph83XaGc0o0/edit?usp=sharing"",""งบพรบ!FB111"")"),1218800)</f>
        <v>1218800</v>
      </c>
      <c r="I111" s="247">
        <f ca="1">IFERROR(__xludf.DUMMYFUNCTION("IMPORTRANGE(""https://docs.google.com/spreadsheets/d/1MeEWN-I1oV_STSDYn1IFDPWt_1FKiwhDph83XaGc0o0/edit?usp=sharing"",""งบพรบ!FC111"")"),0)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IFERROR(__xludf.DUMMYFUNCTION("IMPORTRANGE(""https://docs.google.com/spreadsheets/d/1MeEWN-I1oV_STSDYn1IFDPWt_1FKiwhDph83XaGc0o0/edit?usp=sharing"",""งบพรบ!FD111"")"),0)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IFERROR(__xludf.DUMMYFUNCTION("IMPORTRANGE(""https://docs.google.com/spreadsheets/d/1MeEWN-I1oV_STSDYn1IFDPWt_1FKiwhDph83XaGc0o0/edit?usp=sharing"",""งบพรบ!FE111"")"),0)</f>
        <v>0</v>
      </c>
      <c r="P111" s="250">
        <f t="shared" ca="1" si="53"/>
        <v>0</v>
      </c>
      <c r="Q111" s="250">
        <f t="shared" ca="1" si="8"/>
        <v>0</v>
      </c>
      <c r="R111" s="271"/>
      <c r="S111" s="271"/>
      <c r="T111" s="271"/>
      <c r="U111" s="271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  <c r="AP111" s="271"/>
      <c r="AQ111" s="271"/>
      <c r="AR111" s="271"/>
      <c r="AS111" s="271"/>
      <c r="AT111" s="271"/>
      <c r="AU111" s="271"/>
      <c r="AV111" s="271"/>
      <c r="AW111" s="271"/>
      <c r="AX111" s="271"/>
      <c r="AY111" s="271"/>
      <c r="AZ111" s="271"/>
      <c r="BA111" s="271"/>
      <c r="BB111" s="271"/>
      <c r="BC111" s="271"/>
      <c r="BD111" s="271"/>
    </row>
    <row r="112" spans="1:56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104"/>
        <v>0</v>
      </c>
      <c r="E112" s="247">
        <f ca="1">IFERROR(__xludf.DUMMYFUNCTION("IMPORTRANGE(""https://docs.google.com/spreadsheets/d/1MeEWN-I1oV_STSDYn1IFDPWt_1FKiwhDph83XaGc0o0/edit?usp=sharing"",""งบพรบ!EX112"")"),0)</f>
        <v>0</v>
      </c>
      <c r="F112" s="247">
        <f ca="1">IFERROR(__xludf.DUMMYFUNCTION("IMPORTRANGE(""https://docs.google.com/spreadsheets/d/1MeEWN-I1oV_STSDYn1IFDPWt_1FKiwhDph83XaGc0o0/edit?usp=sharing"",""งบพรบ!EY112"")"),0)</f>
        <v>0</v>
      </c>
      <c r="G112" s="247">
        <f ca="1">IFERROR(__xludf.DUMMYFUNCTION("IMPORTRANGE(""https://docs.google.com/spreadsheets/d/1MeEWN-I1oV_STSDYn1IFDPWt_1FKiwhDph83XaGc0o0/edit?usp=sharing"",""งบพรบ!EZ112"")"),0)</f>
        <v>0</v>
      </c>
      <c r="H112" s="247">
        <f ca="1">IFERROR(__xludf.DUMMYFUNCTION("IMPORTRANGE(""https://docs.google.com/spreadsheets/d/1MeEWN-I1oV_STSDYn1IFDPWt_1FKiwhDph83XaGc0o0/edit?usp=sharing"",""งบพรบ!FB112"")"),0)</f>
        <v>0</v>
      </c>
      <c r="I112" s="247">
        <f ca="1">IFERROR(__xludf.DUMMYFUNCTION("IMPORTRANGE(""https://docs.google.com/spreadsheets/d/1MeEWN-I1oV_STSDYn1IFDPWt_1FKiwhDph83XaGc0o0/edit?usp=sharing"",""งบพรบ!FC112"")"),0)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IFERROR(__xludf.DUMMYFUNCTION("IMPORTRANGE(""https://docs.google.com/spreadsheets/d/1MeEWN-I1oV_STSDYn1IFDPWt_1FKiwhDph83XaGc0o0/edit?usp=sharing"",""งบพรบ!FD112"")"),0)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IFERROR(__xludf.DUMMYFUNCTION("IMPORTRANGE(""https://docs.google.com/spreadsheets/d/1MeEWN-I1oV_STSDYn1IFDPWt_1FKiwhDph83XaGc0o0/edit?usp=sharing"",""งบพรบ!FE112"")"),0)</f>
        <v>0</v>
      </c>
      <c r="P112" s="250">
        <f t="shared" ca="1" si="53"/>
        <v>0</v>
      </c>
      <c r="Q112" s="250">
        <f t="shared" ca="1" si="8"/>
        <v>0</v>
      </c>
      <c r="R112" s="271"/>
      <c r="S112" s="271"/>
      <c r="T112" s="271"/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  <c r="AP112" s="271"/>
      <c r="AQ112" s="271"/>
      <c r="AR112" s="271"/>
      <c r="AS112" s="271"/>
      <c r="AT112" s="271"/>
      <c r="AU112" s="271"/>
      <c r="AV112" s="271"/>
      <c r="AW112" s="271"/>
      <c r="AX112" s="271"/>
      <c r="AY112" s="271"/>
      <c r="AZ112" s="271"/>
      <c r="BA112" s="271"/>
      <c r="BB112" s="271"/>
      <c r="BC112" s="271"/>
      <c r="BD112" s="271"/>
    </row>
    <row r="113" spans="1:56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104"/>
        <v>0</v>
      </c>
      <c r="E113" s="247">
        <f ca="1">IFERROR(__xludf.DUMMYFUNCTION("IMPORTRANGE(""https://docs.google.com/spreadsheets/d/1MeEWN-I1oV_STSDYn1IFDPWt_1FKiwhDph83XaGc0o0/edit?usp=sharing"",""งบพรบ!EX113"")"),0)</f>
        <v>0</v>
      </c>
      <c r="F113" s="247">
        <f ca="1">IFERROR(__xludf.DUMMYFUNCTION("IMPORTRANGE(""https://docs.google.com/spreadsheets/d/1MeEWN-I1oV_STSDYn1IFDPWt_1FKiwhDph83XaGc0o0/edit?usp=sharing"",""งบพรบ!EY113"")"),0)</f>
        <v>0</v>
      </c>
      <c r="G113" s="247">
        <f ca="1">IFERROR(__xludf.DUMMYFUNCTION("IMPORTRANGE(""https://docs.google.com/spreadsheets/d/1MeEWN-I1oV_STSDYn1IFDPWt_1FKiwhDph83XaGc0o0/edit?usp=sharing"",""งบพรบ!EZ113"")"),0)</f>
        <v>0</v>
      </c>
      <c r="H113" s="247">
        <f ca="1">IFERROR(__xludf.DUMMYFUNCTION("IMPORTRANGE(""https://docs.google.com/spreadsheets/d/1MeEWN-I1oV_STSDYn1IFDPWt_1FKiwhDph83XaGc0o0/edit?usp=sharing"",""งบพรบ!FB113"")"),0)</f>
        <v>0</v>
      </c>
      <c r="I113" s="247">
        <f ca="1">IFERROR(__xludf.DUMMYFUNCTION("IMPORTRANGE(""https://docs.google.com/spreadsheets/d/1MeEWN-I1oV_STSDYn1IFDPWt_1FKiwhDph83XaGc0o0/edit?usp=sharing"",""งบพรบ!FC113"")"),0)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IFERROR(__xludf.DUMMYFUNCTION("IMPORTRANGE(""https://docs.google.com/spreadsheets/d/1MeEWN-I1oV_STSDYn1IFDPWt_1FKiwhDph83XaGc0o0/edit?usp=sharing"",""งบพรบ!FD113"")"),0)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IFERROR(__xludf.DUMMYFUNCTION("IMPORTRANGE(""https://docs.google.com/spreadsheets/d/1MeEWN-I1oV_STSDYn1IFDPWt_1FKiwhDph83XaGc0o0/edit?usp=sharing"",""งบพรบ!FE113"")"),0)</f>
        <v>0</v>
      </c>
      <c r="P113" s="250">
        <f t="shared" ca="1" si="53"/>
        <v>0</v>
      </c>
      <c r="Q113" s="250">
        <f t="shared" ca="1" si="8"/>
        <v>0</v>
      </c>
      <c r="R113" s="271"/>
      <c r="S113" s="271"/>
      <c r="T113" s="271"/>
      <c r="U113" s="271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1"/>
      <c r="AL113" s="271"/>
      <c r="AM113" s="271"/>
      <c r="AN113" s="271"/>
      <c r="AO113" s="271"/>
      <c r="AP113" s="271"/>
      <c r="AQ113" s="271"/>
      <c r="AR113" s="271"/>
      <c r="AS113" s="271"/>
      <c r="AT113" s="271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</row>
    <row r="114" spans="1:56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104"/>
        <v>0</v>
      </c>
      <c r="E114" s="247">
        <f ca="1">IFERROR(__xludf.DUMMYFUNCTION("IMPORTRANGE(""https://docs.google.com/spreadsheets/d/1MeEWN-I1oV_STSDYn1IFDPWt_1FKiwhDph83XaGc0o0/edit?usp=sharing"",""งบพรบ!EX114"")"),0)</f>
        <v>0</v>
      </c>
      <c r="F114" s="247">
        <f ca="1">IFERROR(__xludf.DUMMYFUNCTION("IMPORTRANGE(""https://docs.google.com/spreadsheets/d/1MeEWN-I1oV_STSDYn1IFDPWt_1FKiwhDph83XaGc0o0/edit?usp=sharing"",""งบพรบ!EY114"")"),0)</f>
        <v>0</v>
      </c>
      <c r="G114" s="247">
        <f ca="1">IFERROR(__xludf.DUMMYFUNCTION("IMPORTRANGE(""https://docs.google.com/spreadsheets/d/1MeEWN-I1oV_STSDYn1IFDPWt_1FKiwhDph83XaGc0o0/edit?usp=sharing"",""งบพรบ!EZ114"")"),0)</f>
        <v>0</v>
      </c>
      <c r="H114" s="247">
        <f ca="1">IFERROR(__xludf.DUMMYFUNCTION("IMPORTRANGE(""https://docs.google.com/spreadsheets/d/1MeEWN-I1oV_STSDYn1IFDPWt_1FKiwhDph83XaGc0o0/edit?usp=sharing"",""งบพรบ!FB114"")"),0)</f>
        <v>0</v>
      </c>
      <c r="I114" s="247">
        <f ca="1">IFERROR(__xludf.DUMMYFUNCTION("IMPORTRANGE(""https://docs.google.com/spreadsheets/d/1MeEWN-I1oV_STSDYn1IFDPWt_1FKiwhDph83XaGc0o0/edit?usp=sharing"",""งบพรบ!FC114"")"),0)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IFERROR(__xludf.DUMMYFUNCTION("IMPORTRANGE(""https://docs.google.com/spreadsheets/d/1MeEWN-I1oV_STSDYn1IFDPWt_1FKiwhDph83XaGc0o0/edit?usp=sharing"",""งบพรบ!FD114"")"),0)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IFERROR(__xludf.DUMMYFUNCTION("IMPORTRANGE(""https://docs.google.com/spreadsheets/d/1MeEWN-I1oV_STSDYn1IFDPWt_1FKiwhDph83XaGc0o0/edit?usp=sharing"",""งบพรบ!FE114"")"),0)</f>
        <v>0</v>
      </c>
      <c r="P114" s="250">
        <f t="shared" ca="1" si="53"/>
        <v>0</v>
      </c>
      <c r="Q114" s="250">
        <f t="shared" ca="1" si="8"/>
        <v>0</v>
      </c>
      <c r="R114" s="271"/>
      <c r="S114" s="271"/>
      <c r="T114" s="271"/>
      <c r="U114" s="271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</row>
    <row r="115" spans="1:56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104"/>
        <v>0</v>
      </c>
      <c r="E115" s="247">
        <f ca="1">IFERROR(__xludf.DUMMYFUNCTION("IMPORTRANGE(""https://docs.google.com/spreadsheets/d/1MeEWN-I1oV_STSDYn1IFDPWt_1FKiwhDph83XaGc0o0/edit?usp=sharing"",""งบพรบ!EX115"")"),0)</f>
        <v>0</v>
      </c>
      <c r="F115" s="247">
        <f ca="1">IFERROR(__xludf.DUMMYFUNCTION("IMPORTRANGE(""https://docs.google.com/spreadsheets/d/1MeEWN-I1oV_STSDYn1IFDPWt_1FKiwhDph83XaGc0o0/edit?usp=sharing"",""งบพรบ!EY115"")"),0)</f>
        <v>0</v>
      </c>
      <c r="G115" s="247">
        <f ca="1">IFERROR(__xludf.DUMMYFUNCTION("IMPORTRANGE(""https://docs.google.com/spreadsheets/d/1MeEWN-I1oV_STSDYn1IFDPWt_1FKiwhDph83XaGc0o0/edit?usp=sharing"",""งบพรบ!EZ115"")"),0)</f>
        <v>0</v>
      </c>
      <c r="H115" s="247">
        <f ca="1">IFERROR(__xludf.DUMMYFUNCTION("IMPORTRANGE(""https://docs.google.com/spreadsheets/d/1MeEWN-I1oV_STSDYn1IFDPWt_1FKiwhDph83XaGc0o0/edit?usp=sharing"",""งบพรบ!FB115"")"),0)</f>
        <v>0</v>
      </c>
      <c r="I115" s="247">
        <f ca="1">IFERROR(__xludf.DUMMYFUNCTION("IMPORTRANGE(""https://docs.google.com/spreadsheets/d/1MeEWN-I1oV_STSDYn1IFDPWt_1FKiwhDph83XaGc0o0/edit?usp=sharing"",""งบพรบ!FC115"")"),0)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IFERROR(__xludf.DUMMYFUNCTION("IMPORTRANGE(""https://docs.google.com/spreadsheets/d/1MeEWN-I1oV_STSDYn1IFDPWt_1FKiwhDph83XaGc0o0/edit?usp=sharing"",""งบพรบ!FD115"")"),0)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IFERROR(__xludf.DUMMYFUNCTION("IMPORTRANGE(""https://docs.google.com/spreadsheets/d/1MeEWN-I1oV_STSDYn1IFDPWt_1FKiwhDph83XaGc0o0/edit?usp=sharing"",""งบพรบ!FE115"")"),0)</f>
        <v>0</v>
      </c>
      <c r="P115" s="250">
        <f t="shared" ca="1" si="53"/>
        <v>0</v>
      </c>
      <c r="Q115" s="250">
        <f t="shared" ca="1" si="8"/>
        <v>0</v>
      </c>
      <c r="R115" s="271"/>
      <c r="S115" s="271"/>
      <c r="T115" s="271"/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1"/>
      <c r="AL115" s="271"/>
      <c r="AM115" s="271"/>
      <c r="AN115" s="271"/>
      <c r="AO115" s="271"/>
      <c r="AP115" s="271"/>
      <c r="AQ115" s="271"/>
      <c r="AR115" s="271"/>
      <c r="AS115" s="271"/>
      <c r="AT115" s="271"/>
      <c r="AU115" s="271"/>
      <c r="AV115" s="271"/>
      <c r="AW115" s="271"/>
      <c r="AX115" s="271"/>
      <c r="AY115" s="271"/>
      <c r="AZ115" s="271"/>
      <c r="BA115" s="271"/>
      <c r="BB115" s="271"/>
      <c r="BC115" s="271"/>
      <c r="BD115" s="271"/>
    </row>
    <row r="116" spans="1:56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104"/>
        <v>0</v>
      </c>
      <c r="E116" s="277">
        <f ca="1">IFERROR(__xludf.DUMMYFUNCTION("IMPORTRANGE(""https://docs.google.com/spreadsheets/d/1MeEWN-I1oV_STSDYn1IFDPWt_1FKiwhDph83XaGc0o0/edit?usp=sharing"",""งบพรบ!EX116"")"),0)</f>
        <v>0</v>
      </c>
      <c r="F116" s="277">
        <f ca="1">IFERROR(__xludf.DUMMYFUNCTION("IMPORTRANGE(""https://docs.google.com/spreadsheets/d/1MeEWN-I1oV_STSDYn1IFDPWt_1FKiwhDph83XaGc0o0/edit?usp=sharing"",""งบพรบ!EY116"")"),0)</f>
        <v>0</v>
      </c>
      <c r="G116" s="277">
        <f ca="1">IFERROR(__xludf.DUMMYFUNCTION("IMPORTRANGE(""https://docs.google.com/spreadsheets/d/1MeEWN-I1oV_STSDYn1IFDPWt_1FKiwhDph83XaGc0o0/edit?usp=sharing"",""งบพรบ!EZ116"")"),0)</f>
        <v>0</v>
      </c>
      <c r="H116" s="277">
        <f ca="1">IFERROR(__xludf.DUMMYFUNCTION("IMPORTRANGE(""https://docs.google.com/spreadsheets/d/1MeEWN-I1oV_STSDYn1IFDPWt_1FKiwhDph83XaGc0o0/edit?usp=sharing"",""งบพรบ!FB116"")"),0)</f>
        <v>0</v>
      </c>
      <c r="I116" s="277">
        <f ca="1">IFERROR(__xludf.DUMMYFUNCTION("IMPORTRANGE(""https://docs.google.com/spreadsheets/d/1MeEWN-I1oV_STSDYn1IFDPWt_1FKiwhDph83XaGc0o0/edit?usp=sharing"",""งบพรบ!FC116"")"),0)</f>
        <v>0</v>
      </c>
      <c r="J116" s="247">
        <f t="shared" ca="1" si="3"/>
        <v>0</v>
      </c>
      <c r="K116" s="253">
        <f t="shared" ca="1" si="4"/>
        <v>0</v>
      </c>
      <c r="L116" s="277">
        <f ca="1">IFERROR(__xludf.DUMMYFUNCTION("IMPORTRANGE(""https://docs.google.com/spreadsheets/d/1MeEWN-I1oV_STSDYn1IFDPWt_1FKiwhDph83XaGc0o0/edit?usp=sharing"",""งบพรบ!FD116"")"),0)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IFERROR(__xludf.DUMMYFUNCTION("IMPORTRANGE(""https://docs.google.com/spreadsheets/d/1MeEWN-I1oV_STSDYn1IFDPWt_1FKiwhDph83XaGc0o0/edit?usp=sharing"",""งบพรบ!FE116"")"),0)</f>
        <v>0</v>
      </c>
      <c r="P116" s="250">
        <f t="shared" ca="1" si="53"/>
        <v>0</v>
      </c>
      <c r="Q116" s="250">
        <f t="shared" ca="1" si="8"/>
        <v>0</v>
      </c>
      <c r="R116" s="271"/>
      <c r="S116" s="271"/>
      <c r="T116" s="271"/>
      <c r="U116" s="271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  <c r="AP116" s="271"/>
      <c r="AQ116" s="271"/>
      <c r="AR116" s="271"/>
      <c r="AS116" s="271"/>
      <c r="AT116" s="271"/>
      <c r="AU116" s="271"/>
      <c r="AV116" s="271"/>
      <c r="AW116" s="271"/>
      <c r="AX116" s="271"/>
      <c r="AY116" s="271"/>
      <c r="AZ116" s="271"/>
      <c r="BA116" s="271"/>
      <c r="BB116" s="271"/>
      <c r="BC116" s="271"/>
      <c r="BD116" s="271"/>
    </row>
    <row r="117" spans="1:56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196"/>
      <c r="S117" s="196"/>
      <c r="T117" s="196"/>
      <c r="U117" s="278"/>
      <c r="V117" s="278"/>
      <c r="W117" s="278"/>
      <c r="X117" s="278"/>
      <c r="Y117" s="278"/>
      <c r="Z117" s="278"/>
      <c r="AA117" s="278"/>
      <c r="AB117" s="278"/>
      <c r="AC117" s="278"/>
      <c r="AD117" s="278"/>
      <c r="AE117" s="278"/>
      <c r="AF117" s="278"/>
      <c r="AG117" s="278"/>
      <c r="AH117" s="278"/>
      <c r="AI117" s="278"/>
      <c r="AJ117" s="278"/>
      <c r="AK117" s="278"/>
      <c r="AL117" s="278"/>
      <c r="AM117" s="278"/>
      <c r="AN117" s="278"/>
      <c r="AO117" s="278"/>
      <c r="AP117" s="278"/>
      <c r="AQ117" s="278"/>
      <c r="AR117" s="278"/>
      <c r="AS117" s="278"/>
      <c r="AT117" s="278"/>
      <c r="AU117" s="278"/>
      <c r="AV117" s="278"/>
      <c r="AW117" s="278"/>
      <c r="AX117" s="278"/>
      <c r="AY117" s="278"/>
      <c r="AZ117" s="278"/>
      <c r="BA117" s="278"/>
      <c r="BB117" s="278"/>
      <c r="BC117" s="278"/>
      <c r="BD117" s="278"/>
    </row>
    <row r="118" spans="1:56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196"/>
      <c r="S118" s="196"/>
      <c r="T118" s="196"/>
      <c r="U118" s="278"/>
      <c r="V118" s="278"/>
      <c r="W118" s="278"/>
      <c r="X118" s="278"/>
      <c r="Y118" s="278"/>
      <c r="Z118" s="278"/>
      <c r="AA118" s="278"/>
      <c r="AB118" s="278"/>
      <c r="AC118" s="278"/>
      <c r="AD118" s="278"/>
      <c r="AE118" s="278"/>
      <c r="AF118" s="278"/>
      <c r="AG118" s="278"/>
      <c r="AH118" s="278"/>
      <c r="AI118" s="278"/>
      <c r="AJ118" s="278"/>
      <c r="AK118" s="278"/>
      <c r="AL118" s="278"/>
      <c r="AM118" s="278"/>
      <c r="AN118" s="278"/>
      <c r="AO118" s="278"/>
      <c r="AP118" s="278"/>
      <c r="AQ118" s="278"/>
      <c r="AR118" s="278"/>
      <c r="AS118" s="278"/>
      <c r="AT118" s="278"/>
      <c r="AU118" s="278"/>
      <c r="AV118" s="278"/>
      <c r="AW118" s="278"/>
      <c r="AX118" s="278"/>
      <c r="AY118" s="278"/>
      <c r="AZ118" s="278"/>
      <c r="BA118" s="278"/>
      <c r="BB118" s="278"/>
      <c r="BC118" s="278"/>
      <c r="BD118" s="278"/>
    </row>
    <row r="119" spans="1:56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196"/>
      <c r="S119" s="196"/>
      <c r="T119" s="196"/>
      <c r="U119" s="278"/>
      <c r="V119" s="278"/>
      <c r="W119" s="278"/>
      <c r="X119" s="278"/>
      <c r="Y119" s="278"/>
      <c r="Z119" s="278"/>
      <c r="AA119" s="278"/>
      <c r="AB119" s="278"/>
      <c r="AC119" s="278"/>
      <c r="AD119" s="278"/>
      <c r="AE119" s="278"/>
      <c r="AF119" s="278"/>
      <c r="AG119" s="278"/>
      <c r="AH119" s="278"/>
      <c r="AI119" s="278"/>
      <c r="AJ119" s="278"/>
      <c r="AK119" s="278"/>
      <c r="AL119" s="278"/>
      <c r="AM119" s="278"/>
      <c r="AN119" s="278"/>
      <c r="AO119" s="278"/>
      <c r="AP119" s="278"/>
      <c r="AQ119" s="278"/>
      <c r="AR119" s="278"/>
      <c r="AS119" s="278"/>
      <c r="AT119" s="278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</row>
    <row r="120" spans="1:56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196"/>
      <c r="S120" s="196"/>
      <c r="T120" s="196"/>
      <c r="U120" s="278"/>
      <c r="V120" s="278"/>
      <c r="W120" s="278"/>
      <c r="X120" s="278"/>
      <c r="Y120" s="278"/>
      <c r="Z120" s="278"/>
      <c r="AA120" s="278"/>
      <c r="AB120" s="278"/>
      <c r="AC120" s="278"/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  <c r="AN120" s="278"/>
      <c r="AO120" s="278"/>
      <c r="AP120" s="278"/>
      <c r="AQ120" s="278"/>
      <c r="AR120" s="278"/>
      <c r="AS120" s="278"/>
      <c r="AT120" s="278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</row>
    <row r="121" spans="1:56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196"/>
      <c r="S121" s="196"/>
      <c r="T121" s="19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278"/>
      <c r="AE121" s="278"/>
      <c r="AF121" s="278"/>
      <c r="AG121" s="278"/>
      <c r="AH121" s="278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</row>
    <row r="122" spans="1:56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196"/>
      <c r="S122" s="196"/>
      <c r="T122" s="196"/>
      <c r="U122" s="278"/>
      <c r="V122" s="278"/>
      <c r="W122" s="278"/>
      <c r="X122" s="278"/>
      <c r="Y122" s="278"/>
      <c r="Z122" s="278"/>
      <c r="AA122" s="278"/>
      <c r="AB122" s="278"/>
      <c r="AC122" s="278"/>
      <c r="AD122" s="278"/>
      <c r="AE122" s="278"/>
      <c r="AF122" s="278"/>
      <c r="AG122" s="278"/>
      <c r="AH122" s="278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</row>
    <row r="123" spans="1:56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196"/>
      <c r="S123" s="196"/>
      <c r="T123" s="196"/>
      <c r="U123" s="278"/>
      <c r="V123" s="278"/>
      <c r="W123" s="278"/>
      <c r="X123" s="278"/>
      <c r="Y123" s="278"/>
      <c r="Z123" s="278"/>
      <c r="AA123" s="278"/>
      <c r="AB123" s="278"/>
      <c r="AC123" s="278"/>
      <c r="AD123" s="278"/>
      <c r="AE123" s="278"/>
      <c r="AF123" s="278"/>
      <c r="AG123" s="278"/>
      <c r="AH123" s="278"/>
      <c r="AI123" s="278"/>
      <c r="AJ123" s="278"/>
      <c r="AK123" s="278"/>
      <c r="AL123" s="278"/>
      <c r="AM123" s="278"/>
      <c r="AN123" s="278"/>
      <c r="AO123" s="278"/>
      <c r="AP123" s="278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8"/>
    </row>
    <row r="124" spans="1:56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196"/>
      <c r="S124" s="196"/>
      <c r="T124" s="196"/>
      <c r="U124" s="278"/>
      <c r="V124" s="278"/>
      <c r="W124" s="278"/>
      <c r="X124" s="278"/>
      <c r="Y124" s="278"/>
      <c r="Z124" s="278"/>
      <c r="AA124" s="278"/>
      <c r="AB124" s="278"/>
      <c r="AC124" s="278"/>
      <c r="AD124" s="278"/>
      <c r="AE124" s="278"/>
      <c r="AF124" s="278"/>
      <c r="AG124" s="278"/>
      <c r="AH124" s="278"/>
      <c r="AI124" s="278"/>
      <c r="AJ124" s="278"/>
      <c r="AK124" s="278"/>
      <c r="AL124" s="278"/>
      <c r="AM124" s="278"/>
      <c r="AN124" s="278"/>
      <c r="AO124" s="278"/>
      <c r="AP124" s="278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8"/>
    </row>
    <row r="125" spans="1:56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196"/>
      <c r="S125" s="196"/>
      <c r="T125" s="196"/>
      <c r="U125" s="278"/>
      <c r="V125" s="278"/>
      <c r="W125" s="278"/>
      <c r="X125" s="278"/>
      <c r="Y125" s="278"/>
      <c r="Z125" s="278"/>
      <c r="AA125" s="278"/>
      <c r="AB125" s="278"/>
      <c r="AC125" s="278"/>
      <c r="AD125" s="278"/>
      <c r="AE125" s="278"/>
      <c r="AF125" s="278"/>
      <c r="AG125" s="278"/>
      <c r="AH125" s="278"/>
      <c r="AI125" s="278"/>
      <c r="AJ125" s="278"/>
      <c r="AK125" s="278"/>
      <c r="AL125" s="278"/>
      <c r="AM125" s="278"/>
      <c r="AN125" s="278"/>
      <c r="AO125" s="278"/>
      <c r="AP125" s="278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8"/>
    </row>
    <row r="126" spans="1:56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196"/>
      <c r="S126" s="196"/>
      <c r="T126" s="196"/>
      <c r="U126" s="278"/>
      <c r="V126" s="278"/>
      <c r="W126" s="278"/>
      <c r="X126" s="278"/>
      <c r="Y126" s="278"/>
      <c r="Z126" s="278"/>
      <c r="AA126" s="278"/>
      <c r="AB126" s="278"/>
      <c r="AC126" s="278"/>
      <c r="AD126" s="278"/>
      <c r="AE126" s="278"/>
      <c r="AF126" s="278"/>
      <c r="AG126" s="278"/>
      <c r="AH126" s="278"/>
      <c r="AI126" s="278"/>
      <c r="AJ126" s="278"/>
      <c r="AK126" s="278"/>
      <c r="AL126" s="278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8"/>
    </row>
    <row r="127" spans="1:56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196"/>
      <c r="S127" s="196"/>
      <c r="T127" s="196"/>
      <c r="U127" s="278"/>
      <c r="V127" s="278"/>
      <c r="W127" s="278"/>
      <c r="X127" s="278"/>
      <c r="Y127" s="278"/>
      <c r="Z127" s="278"/>
      <c r="AA127" s="278"/>
      <c r="AB127" s="278"/>
      <c r="AC127" s="278"/>
      <c r="AD127" s="278"/>
      <c r="AE127" s="278"/>
      <c r="AF127" s="278"/>
      <c r="AG127" s="278"/>
      <c r="AH127" s="278"/>
      <c r="AI127" s="278"/>
      <c r="AJ127" s="278"/>
      <c r="AK127" s="278"/>
      <c r="AL127" s="278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8"/>
    </row>
    <row r="128" spans="1:56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196"/>
      <c r="S128" s="196"/>
      <c r="T128" s="196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  <c r="AM128" s="278"/>
      <c r="AN128" s="278"/>
      <c r="AO128" s="278"/>
      <c r="AP128" s="278"/>
      <c r="AQ128" s="278"/>
      <c r="AR128" s="278"/>
      <c r="AS128" s="278"/>
      <c r="AT128" s="278"/>
      <c r="AU128" s="278"/>
      <c r="AV128" s="278"/>
      <c r="AW128" s="278"/>
      <c r="AX128" s="278"/>
      <c r="AY128" s="278"/>
      <c r="AZ128" s="278"/>
      <c r="BA128" s="278"/>
      <c r="BB128" s="278"/>
      <c r="BC128" s="278"/>
      <c r="BD128" s="278"/>
    </row>
    <row r="129" spans="1:56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196"/>
      <c r="S129" s="196"/>
      <c r="T129" s="196"/>
      <c r="U129" s="278"/>
      <c r="V129" s="278"/>
      <c r="W129" s="278"/>
      <c r="X129" s="278"/>
      <c r="Y129" s="278"/>
      <c r="Z129" s="278"/>
      <c r="AA129" s="278"/>
      <c r="AB129" s="278"/>
      <c r="AC129" s="278"/>
      <c r="AD129" s="278"/>
      <c r="AE129" s="278"/>
      <c r="AF129" s="278"/>
      <c r="AG129" s="278"/>
      <c r="AH129" s="278"/>
      <c r="AI129" s="278"/>
      <c r="AJ129" s="278"/>
      <c r="AK129" s="278"/>
      <c r="AL129" s="278"/>
      <c r="AM129" s="278"/>
      <c r="AN129" s="278"/>
      <c r="AO129" s="278"/>
      <c r="AP129" s="278"/>
      <c r="AQ129" s="278"/>
      <c r="AR129" s="278"/>
      <c r="AS129" s="278"/>
      <c r="AT129" s="278"/>
      <c r="AU129" s="278"/>
      <c r="AV129" s="278"/>
      <c r="AW129" s="278"/>
      <c r="AX129" s="278"/>
      <c r="AY129" s="278"/>
      <c r="AZ129" s="278"/>
      <c r="BA129" s="278"/>
      <c r="BB129" s="278"/>
      <c r="BC129" s="278"/>
      <c r="BD129" s="278"/>
    </row>
    <row r="130" spans="1:56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196"/>
      <c r="S130" s="196"/>
      <c r="T130" s="196"/>
      <c r="U130" s="278"/>
      <c r="V130" s="278"/>
      <c r="W130" s="278"/>
      <c r="X130" s="278"/>
      <c r="Y130" s="278"/>
      <c r="Z130" s="278"/>
      <c r="AA130" s="278"/>
      <c r="AB130" s="278"/>
      <c r="AC130" s="278"/>
      <c r="AD130" s="278"/>
      <c r="AE130" s="278"/>
      <c r="AF130" s="278"/>
      <c r="AG130" s="278"/>
      <c r="AH130" s="278"/>
      <c r="AI130" s="278"/>
      <c r="AJ130" s="278"/>
      <c r="AK130" s="278"/>
      <c r="AL130" s="278"/>
      <c r="AM130" s="278"/>
      <c r="AN130" s="278"/>
      <c r="AO130" s="278"/>
      <c r="AP130" s="278"/>
      <c r="AQ130" s="278"/>
      <c r="AR130" s="278"/>
      <c r="AS130" s="278"/>
      <c r="AT130" s="278"/>
      <c r="AU130" s="278"/>
      <c r="AV130" s="278"/>
      <c r="AW130" s="278"/>
      <c r="AX130" s="278"/>
      <c r="AY130" s="278"/>
      <c r="AZ130" s="278"/>
      <c r="BA130" s="278"/>
      <c r="BB130" s="278"/>
      <c r="BC130" s="278"/>
      <c r="BD130" s="278"/>
    </row>
    <row r="131" spans="1:56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196"/>
      <c r="S131" s="196"/>
      <c r="T131" s="196"/>
      <c r="U131" s="278"/>
      <c r="V131" s="278"/>
      <c r="W131" s="278"/>
      <c r="X131" s="278"/>
      <c r="Y131" s="278"/>
      <c r="Z131" s="278"/>
      <c r="AA131" s="278"/>
      <c r="AB131" s="278"/>
      <c r="AC131" s="278"/>
      <c r="AD131" s="278"/>
      <c r="AE131" s="278"/>
      <c r="AF131" s="278"/>
      <c r="AG131" s="278"/>
      <c r="AH131" s="278"/>
      <c r="AI131" s="278"/>
      <c r="AJ131" s="278"/>
      <c r="AK131" s="278"/>
      <c r="AL131" s="278"/>
      <c r="AM131" s="278"/>
      <c r="AN131" s="278"/>
      <c r="AO131" s="278"/>
      <c r="AP131" s="278"/>
      <c r="AQ131" s="278"/>
      <c r="AR131" s="278"/>
      <c r="AS131" s="278"/>
      <c r="AT131" s="278"/>
      <c r="AU131" s="278"/>
      <c r="AV131" s="278"/>
      <c r="AW131" s="278"/>
      <c r="AX131" s="278"/>
      <c r="AY131" s="278"/>
      <c r="AZ131" s="278"/>
      <c r="BA131" s="278"/>
      <c r="BB131" s="278"/>
      <c r="BC131" s="278"/>
      <c r="BD131" s="278"/>
    </row>
    <row r="132" spans="1:56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196"/>
      <c r="S132" s="196"/>
      <c r="T132" s="196"/>
      <c r="U132" s="278"/>
      <c r="V132" s="278"/>
      <c r="W132" s="278"/>
      <c r="X132" s="278"/>
      <c r="Y132" s="278"/>
      <c r="Z132" s="278"/>
      <c r="AA132" s="278"/>
      <c r="AB132" s="278"/>
      <c r="AC132" s="278"/>
      <c r="AD132" s="278"/>
      <c r="AE132" s="278"/>
      <c r="AF132" s="278"/>
      <c r="AG132" s="278"/>
      <c r="AH132" s="278"/>
      <c r="AI132" s="278"/>
      <c r="AJ132" s="278"/>
      <c r="AK132" s="278"/>
      <c r="AL132" s="278"/>
      <c r="AM132" s="278"/>
      <c r="AN132" s="278"/>
      <c r="AO132" s="278"/>
      <c r="AP132" s="278"/>
      <c r="AQ132" s="278"/>
      <c r="AR132" s="278"/>
      <c r="AS132" s="278"/>
      <c r="AT132" s="278"/>
      <c r="AU132" s="278"/>
      <c r="AV132" s="278"/>
      <c r="AW132" s="278"/>
      <c r="AX132" s="278"/>
      <c r="AY132" s="278"/>
      <c r="AZ132" s="278"/>
      <c r="BA132" s="278"/>
      <c r="BB132" s="278"/>
      <c r="BC132" s="278"/>
      <c r="BD132" s="278"/>
    </row>
    <row r="133" spans="1:56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196"/>
      <c r="S133" s="196"/>
      <c r="T133" s="196"/>
      <c r="U133" s="278"/>
      <c r="V133" s="278"/>
      <c r="W133" s="278"/>
      <c r="X133" s="278"/>
      <c r="Y133" s="278"/>
      <c r="Z133" s="278"/>
      <c r="AA133" s="278"/>
      <c r="AB133" s="278"/>
      <c r="AC133" s="278"/>
      <c r="AD133" s="278"/>
      <c r="AE133" s="278"/>
      <c r="AF133" s="278"/>
      <c r="AG133" s="278"/>
      <c r="AH133" s="278"/>
      <c r="AI133" s="278"/>
      <c r="AJ133" s="278"/>
      <c r="AK133" s="278"/>
      <c r="AL133" s="278"/>
      <c r="AM133" s="278"/>
      <c r="AN133" s="278"/>
      <c r="AO133" s="278"/>
      <c r="AP133" s="278"/>
      <c r="AQ133" s="278"/>
      <c r="AR133" s="278"/>
      <c r="AS133" s="278"/>
      <c r="AT133" s="278"/>
      <c r="AU133" s="278"/>
      <c r="AV133" s="278"/>
      <c r="AW133" s="278"/>
      <c r="AX133" s="278"/>
      <c r="AY133" s="278"/>
      <c r="AZ133" s="278"/>
      <c r="BA133" s="278"/>
      <c r="BB133" s="278"/>
      <c r="BC133" s="278"/>
      <c r="BD133" s="278"/>
    </row>
    <row r="134" spans="1:56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196"/>
      <c r="S134" s="196"/>
      <c r="T134" s="196"/>
      <c r="U134" s="278"/>
      <c r="V134" s="278"/>
      <c r="W134" s="278"/>
      <c r="X134" s="278"/>
      <c r="Y134" s="278"/>
      <c r="Z134" s="278"/>
      <c r="AA134" s="278"/>
      <c r="AB134" s="278"/>
      <c r="AC134" s="278"/>
      <c r="AD134" s="278"/>
      <c r="AE134" s="278"/>
      <c r="AF134" s="278"/>
      <c r="AG134" s="278"/>
      <c r="AH134" s="278"/>
      <c r="AI134" s="278"/>
      <c r="AJ134" s="278"/>
      <c r="AK134" s="278"/>
      <c r="AL134" s="278"/>
      <c r="AM134" s="278"/>
      <c r="AN134" s="278"/>
      <c r="AO134" s="278"/>
      <c r="AP134" s="278"/>
      <c r="AQ134" s="278"/>
      <c r="AR134" s="278"/>
      <c r="AS134" s="278"/>
      <c r="AT134" s="278"/>
      <c r="AU134" s="278"/>
      <c r="AV134" s="278"/>
      <c r="AW134" s="278"/>
      <c r="AX134" s="278"/>
      <c r="AY134" s="278"/>
      <c r="AZ134" s="278"/>
      <c r="BA134" s="278"/>
      <c r="BB134" s="278"/>
      <c r="BC134" s="278"/>
      <c r="BD134" s="278"/>
    </row>
    <row r="135" spans="1:56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196"/>
      <c r="S135" s="196"/>
      <c r="T135" s="196"/>
      <c r="U135" s="278"/>
      <c r="V135" s="278"/>
      <c r="W135" s="278"/>
      <c r="X135" s="278"/>
      <c r="Y135" s="278"/>
      <c r="Z135" s="278"/>
      <c r="AA135" s="278"/>
      <c r="AB135" s="278"/>
      <c r="AC135" s="278"/>
      <c r="AD135" s="278"/>
      <c r="AE135" s="278"/>
      <c r="AF135" s="278"/>
      <c r="AG135" s="278"/>
      <c r="AH135" s="278"/>
      <c r="AI135" s="278"/>
      <c r="AJ135" s="278"/>
      <c r="AK135" s="278"/>
      <c r="AL135" s="278"/>
      <c r="AM135" s="278"/>
      <c r="AN135" s="278"/>
      <c r="AO135" s="278"/>
      <c r="AP135" s="278"/>
      <c r="AQ135" s="278"/>
      <c r="AR135" s="278"/>
      <c r="AS135" s="278"/>
      <c r="AT135" s="278"/>
      <c r="AU135" s="278"/>
      <c r="AV135" s="278"/>
      <c r="AW135" s="278"/>
      <c r="AX135" s="278"/>
      <c r="AY135" s="278"/>
      <c r="AZ135" s="278"/>
      <c r="BA135" s="278"/>
      <c r="BB135" s="278"/>
      <c r="BC135" s="278"/>
      <c r="BD135" s="278"/>
    </row>
    <row r="136" spans="1:56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196"/>
      <c r="S136" s="196"/>
      <c r="T136" s="196"/>
      <c r="U136" s="278"/>
      <c r="V136" s="278"/>
      <c r="W136" s="278"/>
      <c r="X136" s="278"/>
      <c r="Y136" s="278"/>
      <c r="Z136" s="278"/>
      <c r="AA136" s="278"/>
      <c r="AB136" s="278"/>
      <c r="AC136" s="278"/>
      <c r="AD136" s="278"/>
      <c r="AE136" s="278"/>
      <c r="AF136" s="278"/>
      <c r="AG136" s="278"/>
      <c r="AH136" s="278"/>
      <c r="AI136" s="278"/>
      <c r="AJ136" s="278"/>
      <c r="AK136" s="278"/>
      <c r="AL136" s="278"/>
      <c r="AM136" s="278"/>
      <c r="AN136" s="278"/>
      <c r="AO136" s="278"/>
      <c r="AP136" s="278"/>
      <c r="AQ136" s="278"/>
      <c r="AR136" s="278"/>
      <c r="AS136" s="278"/>
      <c r="AT136" s="278"/>
      <c r="AU136" s="278"/>
      <c r="AV136" s="278"/>
      <c r="AW136" s="278"/>
      <c r="AX136" s="278"/>
      <c r="AY136" s="278"/>
      <c r="AZ136" s="278"/>
      <c r="BA136" s="278"/>
      <c r="BB136" s="278"/>
      <c r="BC136" s="278"/>
      <c r="BD136" s="278"/>
    </row>
    <row r="137" spans="1:56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196"/>
      <c r="S137" s="196"/>
      <c r="T137" s="196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  <c r="AT137" s="278"/>
      <c r="AU137" s="278"/>
      <c r="AV137" s="278"/>
      <c r="AW137" s="278"/>
      <c r="AX137" s="278"/>
      <c r="AY137" s="278"/>
      <c r="AZ137" s="278"/>
      <c r="BA137" s="278"/>
      <c r="BB137" s="278"/>
      <c r="BC137" s="278"/>
      <c r="BD137" s="278"/>
    </row>
    <row r="138" spans="1:56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196"/>
      <c r="S138" s="196"/>
      <c r="T138" s="196"/>
      <c r="U138" s="278"/>
      <c r="V138" s="278"/>
      <c r="W138" s="278"/>
      <c r="X138" s="278"/>
      <c r="Y138" s="278"/>
      <c r="Z138" s="278"/>
      <c r="AA138" s="278"/>
      <c r="AB138" s="278"/>
      <c r="AC138" s="278"/>
      <c r="AD138" s="278"/>
      <c r="AE138" s="278"/>
      <c r="AF138" s="278"/>
      <c r="AG138" s="278"/>
      <c r="AH138" s="278"/>
      <c r="AI138" s="278"/>
      <c r="AJ138" s="278"/>
      <c r="AK138" s="278"/>
      <c r="AL138" s="278"/>
      <c r="AM138" s="278"/>
      <c r="AN138" s="278"/>
      <c r="AO138" s="278"/>
      <c r="AP138" s="278"/>
      <c r="AQ138" s="278"/>
      <c r="AR138" s="278"/>
      <c r="AS138" s="278"/>
      <c r="AT138" s="278"/>
      <c r="AU138" s="278"/>
      <c r="AV138" s="278"/>
      <c r="AW138" s="278"/>
      <c r="AX138" s="278"/>
      <c r="AY138" s="278"/>
      <c r="AZ138" s="278"/>
      <c r="BA138" s="278"/>
      <c r="BB138" s="278"/>
      <c r="BC138" s="278"/>
      <c r="BD138" s="278"/>
    </row>
    <row r="139" spans="1:56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196"/>
      <c r="S139" s="196"/>
      <c r="T139" s="196"/>
      <c r="U139" s="278"/>
      <c r="V139" s="278"/>
      <c r="W139" s="278"/>
      <c r="X139" s="278"/>
      <c r="Y139" s="278"/>
      <c r="Z139" s="278"/>
      <c r="AA139" s="278"/>
      <c r="AB139" s="278"/>
      <c r="AC139" s="278"/>
      <c r="AD139" s="278"/>
      <c r="AE139" s="278"/>
      <c r="AF139" s="278"/>
      <c r="AG139" s="278"/>
      <c r="AH139" s="278"/>
      <c r="AI139" s="278"/>
      <c r="AJ139" s="278"/>
      <c r="AK139" s="278"/>
      <c r="AL139" s="278"/>
      <c r="AM139" s="278"/>
      <c r="AN139" s="278"/>
      <c r="AO139" s="278"/>
      <c r="AP139" s="278"/>
      <c r="AQ139" s="278"/>
      <c r="AR139" s="278"/>
      <c r="AS139" s="278"/>
      <c r="AT139" s="278"/>
      <c r="AU139" s="278"/>
      <c r="AV139" s="278"/>
      <c r="AW139" s="278"/>
      <c r="AX139" s="278"/>
      <c r="AY139" s="278"/>
      <c r="AZ139" s="278"/>
      <c r="BA139" s="278"/>
      <c r="BB139" s="278"/>
      <c r="BC139" s="278"/>
      <c r="BD139" s="278"/>
    </row>
    <row r="140" spans="1:56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196"/>
      <c r="S140" s="196"/>
      <c r="T140" s="196"/>
      <c r="U140" s="278"/>
      <c r="V140" s="278"/>
      <c r="W140" s="278"/>
      <c r="X140" s="278"/>
      <c r="Y140" s="278"/>
      <c r="Z140" s="278"/>
      <c r="AA140" s="278"/>
      <c r="AB140" s="278"/>
      <c r="AC140" s="278"/>
      <c r="AD140" s="278"/>
      <c r="AE140" s="278"/>
      <c r="AF140" s="278"/>
      <c r="AG140" s="278"/>
      <c r="AH140" s="278"/>
      <c r="AI140" s="278"/>
      <c r="AJ140" s="278"/>
      <c r="AK140" s="278"/>
      <c r="AL140" s="278"/>
      <c r="AM140" s="278"/>
      <c r="AN140" s="278"/>
      <c r="AO140" s="278"/>
      <c r="AP140" s="278"/>
      <c r="AQ140" s="278"/>
      <c r="AR140" s="278"/>
      <c r="AS140" s="278"/>
      <c r="AT140" s="278"/>
      <c r="AU140" s="278"/>
      <c r="AV140" s="278"/>
      <c r="AW140" s="278"/>
      <c r="AX140" s="278"/>
      <c r="AY140" s="278"/>
      <c r="AZ140" s="278"/>
      <c r="BA140" s="278"/>
      <c r="BB140" s="278"/>
      <c r="BC140" s="278"/>
      <c r="BD140" s="278"/>
    </row>
    <row r="141" spans="1:56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196"/>
      <c r="S141" s="196"/>
      <c r="T141" s="196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</row>
    <row r="142" spans="1:56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196"/>
      <c r="S142" s="196"/>
      <c r="T142" s="196"/>
      <c r="U142" s="278"/>
      <c r="V142" s="278"/>
      <c r="W142" s="278"/>
      <c r="X142" s="278"/>
      <c r="Y142" s="278"/>
      <c r="Z142" s="278"/>
      <c r="AA142" s="278"/>
      <c r="AB142" s="278"/>
      <c r="AC142" s="278"/>
      <c r="AD142" s="278"/>
      <c r="AE142" s="278"/>
      <c r="AF142" s="278"/>
      <c r="AG142" s="278"/>
      <c r="AH142" s="278"/>
      <c r="AI142" s="278"/>
      <c r="AJ142" s="278"/>
      <c r="AK142" s="278"/>
      <c r="AL142" s="278"/>
      <c r="AM142" s="278"/>
      <c r="AN142" s="278"/>
      <c r="AO142" s="278"/>
      <c r="AP142" s="278"/>
      <c r="AQ142" s="278"/>
      <c r="AR142" s="278"/>
      <c r="AS142" s="278"/>
      <c r="AT142" s="278"/>
      <c r="AU142" s="278"/>
      <c r="AV142" s="278"/>
      <c r="AW142" s="278"/>
      <c r="AX142" s="278"/>
      <c r="AY142" s="278"/>
      <c r="AZ142" s="278"/>
      <c r="BA142" s="278"/>
      <c r="BB142" s="278"/>
      <c r="BC142" s="278"/>
      <c r="BD142" s="278"/>
    </row>
    <row r="143" spans="1:56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196"/>
      <c r="S143" s="196"/>
      <c r="T143" s="196"/>
      <c r="U143" s="278"/>
      <c r="V143" s="278"/>
      <c r="W143" s="278"/>
      <c r="X143" s="278"/>
      <c r="Y143" s="278"/>
      <c r="Z143" s="278"/>
      <c r="AA143" s="278"/>
      <c r="AB143" s="278"/>
      <c r="AC143" s="278"/>
      <c r="AD143" s="278"/>
      <c r="AE143" s="278"/>
      <c r="AF143" s="278"/>
      <c r="AG143" s="278"/>
      <c r="AH143" s="278"/>
      <c r="AI143" s="278"/>
      <c r="AJ143" s="278"/>
      <c r="AK143" s="278"/>
      <c r="AL143" s="278"/>
      <c r="AM143" s="278"/>
      <c r="AN143" s="278"/>
      <c r="AO143" s="278"/>
      <c r="AP143" s="278"/>
      <c r="AQ143" s="278"/>
      <c r="AR143" s="278"/>
      <c r="AS143" s="278"/>
      <c r="AT143" s="278"/>
      <c r="AU143" s="278"/>
      <c r="AV143" s="278"/>
      <c r="AW143" s="278"/>
      <c r="AX143" s="278"/>
      <c r="AY143" s="278"/>
      <c r="AZ143" s="278"/>
      <c r="BA143" s="278"/>
      <c r="BB143" s="278"/>
      <c r="BC143" s="278"/>
      <c r="BD143" s="278"/>
    </row>
    <row r="144" spans="1:56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196"/>
      <c r="S144" s="196"/>
      <c r="T144" s="196"/>
      <c r="U144" s="278"/>
      <c r="V144" s="278"/>
      <c r="W144" s="278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AW144" s="278"/>
      <c r="AX144" s="278"/>
      <c r="AY144" s="278"/>
      <c r="AZ144" s="278"/>
      <c r="BA144" s="278"/>
      <c r="BB144" s="278"/>
      <c r="BC144" s="278"/>
      <c r="BD144" s="278"/>
    </row>
    <row r="145" spans="1:56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196"/>
      <c r="S145" s="196"/>
      <c r="T145" s="196"/>
      <c r="U145" s="278"/>
      <c r="V145" s="278"/>
      <c r="W145" s="278"/>
      <c r="X145" s="278"/>
      <c r="Y145" s="278"/>
      <c r="Z145" s="278"/>
      <c r="AA145" s="278"/>
      <c r="AB145" s="278"/>
      <c r="AC145" s="278"/>
      <c r="AD145" s="278"/>
      <c r="AE145" s="278"/>
      <c r="AF145" s="278"/>
      <c r="AG145" s="278"/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  <c r="AT145" s="278"/>
      <c r="AU145" s="278"/>
      <c r="AV145" s="278"/>
      <c r="AW145" s="278"/>
      <c r="AX145" s="278"/>
      <c r="AY145" s="278"/>
      <c r="AZ145" s="278"/>
      <c r="BA145" s="278"/>
      <c r="BB145" s="278"/>
      <c r="BC145" s="278"/>
      <c r="BD145" s="278"/>
    </row>
    <row r="146" spans="1:56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196"/>
      <c r="S146" s="196"/>
      <c r="T146" s="196"/>
      <c r="U146" s="278"/>
      <c r="V146" s="278"/>
      <c r="W146" s="278"/>
      <c r="X146" s="278"/>
      <c r="Y146" s="278"/>
      <c r="Z146" s="278"/>
      <c r="AA146" s="278"/>
      <c r="AB146" s="278"/>
      <c r="AC146" s="278"/>
      <c r="AD146" s="278"/>
      <c r="AE146" s="278"/>
      <c r="AF146" s="278"/>
      <c r="AG146" s="278"/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  <c r="AT146" s="278"/>
      <c r="AU146" s="278"/>
      <c r="AV146" s="278"/>
      <c r="AW146" s="278"/>
      <c r="AX146" s="278"/>
      <c r="AY146" s="278"/>
      <c r="AZ146" s="278"/>
      <c r="BA146" s="278"/>
      <c r="BB146" s="278"/>
      <c r="BC146" s="278"/>
      <c r="BD146" s="278"/>
    </row>
    <row r="147" spans="1:56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196"/>
      <c r="S147" s="196"/>
      <c r="T147" s="196"/>
      <c r="U147" s="278"/>
      <c r="V147" s="278"/>
      <c r="W147" s="278"/>
      <c r="X147" s="278"/>
      <c r="Y147" s="278"/>
      <c r="Z147" s="278"/>
      <c r="AA147" s="278"/>
      <c r="AB147" s="278"/>
      <c r="AC147" s="278"/>
      <c r="AD147" s="278"/>
      <c r="AE147" s="278"/>
      <c r="AF147" s="278"/>
      <c r="AG147" s="278"/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278"/>
      <c r="AX147" s="278"/>
      <c r="AY147" s="278"/>
      <c r="AZ147" s="278"/>
      <c r="BA147" s="278"/>
      <c r="BB147" s="278"/>
      <c r="BC147" s="278"/>
      <c r="BD147" s="278"/>
    </row>
    <row r="148" spans="1:56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196"/>
      <c r="S148" s="196"/>
      <c r="T148" s="196"/>
      <c r="U148" s="278"/>
      <c r="V148" s="278"/>
      <c r="W148" s="278"/>
      <c r="X148" s="278"/>
      <c r="Y148" s="278"/>
      <c r="Z148" s="278"/>
      <c r="AA148" s="278"/>
      <c r="AB148" s="278"/>
      <c r="AC148" s="278"/>
      <c r="AD148" s="278"/>
      <c r="AE148" s="278"/>
      <c r="AF148" s="278"/>
      <c r="AG148" s="278"/>
      <c r="AH148" s="278"/>
      <c r="AI148" s="278"/>
      <c r="AJ148" s="278"/>
      <c r="AK148" s="278"/>
      <c r="AL148" s="278"/>
      <c r="AM148" s="278"/>
      <c r="AN148" s="278"/>
      <c r="AO148" s="278"/>
      <c r="AP148" s="278"/>
      <c r="AQ148" s="278"/>
      <c r="AR148" s="278"/>
      <c r="AS148" s="278"/>
      <c r="AT148" s="278"/>
      <c r="AU148" s="278"/>
      <c r="AV148" s="278"/>
      <c r="AW148" s="278"/>
      <c r="AX148" s="278"/>
      <c r="AY148" s="278"/>
      <c r="AZ148" s="278"/>
      <c r="BA148" s="278"/>
      <c r="BB148" s="278"/>
      <c r="BC148" s="278"/>
      <c r="BD148" s="278"/>
    </row>
    <row r="149" spans="1:56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196"/>
      <c r="S149" s="196"/>
      <c r="T149" s="196"/>
      <c r="U149" s="278"/>
      <c r="V149" s="278"/>
      <c r="W149" s="278"/>
      <c r="X149" s="278"/>
      <c r="Y149" s="278"/>
      <c r="Z149" s="278"/>
      <c r="AA149" s="278"/>
      <c r="AB149" s="278"/>
      <c r="AC149" s="278"/>
      <c r="AD149" s="278"/>
      <c r="AE149" s="278"/>
      <c r="AF149" s="278"/>
      <c r="AG149" s="278"/>
      <c r="AH149" s="278"/>
      <c r="AI149" s="278"/>
      <c r="AJ149" s="278"/>
      <c r="AK149" s="278"/>
      <c r="AL149" s="278"/>
      <c r="AM149" s="278"/>
      <c r="AN149" s="278"/>
      <c r="AO149" s="278"/>
      <c r="AP149" s="278"/>
      <c r="AQ149" s="278"/>
      <c r="AR149" s="278"/>
      <c r="AS149" s="278"/>
      <c r="AT149" s="278"/>
      <c r="AU149" s="278"/>
      <c r="AV149" s="278"/>
      <c r="AW149" s="278"/>
      <c r="AX149" s="278"/>
      <c r="AY149" s="278"/>
      <c r="AZ149" s="278"/>
      <c r="BA149" s="278"/>
      <c r="BB149" s="278"/>
      <c r="BC149" s="278"/>
      <c r="BD149" s="278"/>
    </row>
    <row r="150" spans="1:56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196"/>
      <c r="S150" s="196"/>
      <c r="T150" s="196"/>
      <c r="U150" s="278"/>
      <c r="V150" s="278"/>
      <c r="W150" s="278"/>
      <c r="X150" s="278"/>
      <c r="Y150" s="278"/>
      <c r="Z150" s="278"/>
      <c r="AA150" s="278"/>
      <c r="AB150" s="278"/>
      <c r="AC150" s="278"/>
      <c r="AD150" s="278"/>
      <c r="AE150" s="278"/>
      <c r="AF150" s="278"/>
      <c r="AG150" s="278"/>
      <c r="AH150" s="278"/>
      <c r="AI150" s="278"/>
      <c r="AJ150" s="278"/>
      <c r="AK150" s="278"/>
      <c r="AL150" s="278"/>
      <c r="AM150" s="278"/>
      <c r="AN150" s="278"/>
      <c r="AO150" s="278"/>
      <c r="AP150" s="278"/>
      <c r="AQ150" s="278"/>
      <c r="AR150" s="278"/>
      <c r="AS150" s="278"/>
      <c r="AT150" s="278"/>
      <c r="AU150" s="278"/>
      <c r="AV150" s="278"/>
      <c r="AW150" s="278"/>
      <c r="AX150" s="278"/>
      <c r="AY150" s="278"/>
      <c r="AZ150" s="278"/>
      <c r="BA150" s="278"/>
      <c r="BB150" s="278"/>
      <c r="BC150" s="278"/>
      <c r="BD150" s="278"/>
    </row>
    <row r="151" spans="1:56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196"/>
      <c r="S151" s="196"/>
      <c r="T151" s="196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</row>
    <row r="152" spans="1:56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196"/>
      <c r="S152" s="196"/>
      <c r="T152" s="196"/>
      <c r="U152" s="278"/>
      <c r="V152" s="278"/>
      <c r="W152" s="278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278"/>
      <c r="AS152" s="278"/>
      <c r="AT152" s="278"/>
      <c r="AU152" s="278"/>
      <c r="AV152" s="278"/>
      <c r="AW152" s="278"/>
      <c r="AX152" s="278"/>
      <c r="AY152" s="278"/>
      <c r="AZ152" s="278"/>
      <c r="BA152" s="278"/>
      <c r="BB152" s="278"/>
      <c r="BC152" s="278"/>
      <c r="BD152" s="278"/>
    </row>
    <row r="153" spans="1:56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196"/>
      <c r="S153" s="196"/>
      <c r="T153" s="196"/>
      <c r="U153" s="278"/>
      <c r="V153" s="278"/>
      <c r="W153" s="278"/>
      <c r="X153" s="278"/>
      <c r="Y153" s="278"/>
      <c r="Z153" s="278"/>
      <c r="AA153" s="278"/>
      <c r="AB153" s="278"/>
      <c r="AC153" s="278"/>
      <c r="AD153" s="278"/>
      <c r="AE153" s="278"/>
      <c r="AF153" s="278"/>
      <c r="AG153" s="278"/>
      <c r="AH153" s="278"/>
      <c r="AI153" s="278"/>
      <c r="AJ153" s="278"/>
      <c r="AK153" s="278"/>
      <c r="AL153" s="278"/>
      <c r="AM153" s="278"/>
      <c r="AN153" s="278"/>
      <c r="AO153" s="278"/>
      <c r="AP153" s="278"/>
      <c r="AQ153" s="278"/>
      <c r="AR153" s="278"/>
      <c r="AS153" s="278"/>
      <c r="AT153" s="278"/>
      <c r="AU153" s="278"/>
      <c r="AV153" s="278"/>
      <c r="AW153" s="278"/>
      <c r="AX153" s="278"/>
      <c r="AY153" s="278"/>
      <c r="AZ153" s="278"/>
      <c r="BA153" s="278"/>
      <c r="BB153" s="278"/>
      <c r="BC153" s="278"/>
      <c r="BD153" s="278"/>
    </row>
    <row r="154" spans="1:56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196"/>
      <c r="S154" s="196"/>
      <c r="T154" s="196"/>
      <c r="U154" s="278"/>
      <c r="V154" s="278"/>
      <c r="W154" s="278"/>
      <c r="X154" s="278"/>
      <c r="Y154" s="278"/>
      <c r="Z154" s="278"/>
      <c r="AA154" s="278"/>
      <c r="AB154" s="278"/>
      <c r="AC154" s="278"/>
      <c r="AD154" s="278"/>
      <c r="AE154" s="278"/>
      <c r="AF154" s="278"/>
      <c r="AG154" s="278"/>
      <c r="AH154" s="278"/>
      <c r="AI154" s="278"/>
      <c r="AJ154" s="278"/>
      <c r="AK154" s="278"/>
      <c r="AL154" s="278"/>
      <c r="AM154" s="278"/>
      <c r="AN154" s="278"/>
      <c r="AO154" s="278"/>
      <c r="AP154" s="278"/>
      <c r="AQ154" s="278"/>
      <c r="AR154" s="278"/>
      <c r="AS154" s="278"/>
      <c r="AT154" s="278"/>
      <c r="AU154" s="278"/>
      <c r="AV154" s="278"/>
      <c r="AW154" s="278"/>
      <c r="AX154" s="278"/>
      <c r="AY154" s="278"/>
      <c r="AZ154" s="278"/>
      <c r="BA154" s="278"/>
      <c r="BB154" s="278"/>
      <c r="BC154" s="278"/>
      <c r="BD154" s="278"/>
    </row>
    <row r="155" spans="1:56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196"/>
      <c r="S155" s="196"/>
      <c r="T155" s="196"/>
      <c r="U155" s="278"/>
      <c r="V155" s="278"/>
      <c r="W155" s="278"/>
      <c r="X155" s="278"/>
      <c r="Y155" s="278"/>
      <c r="Z155" s="278"/>
      <c r="AA155" s="278"/>
      <c r="AB155" s="278"/>
      <c r="AC155" s="278"/>
      <c r="AD155" s="278"/>
      <c r="AE155" s="278"/>
      <c r="AF155" s="278"/>
      <c r="AG155" s="278"/>
      <c r="AH155" s="278"/>
      <c r="AI155" s="278"/>
      <c r="AJ155" s="278"/>
      <c r="AK155" s="278"/>
      <c r="AL155" s="278"/>
      <c r="AM155" s="278"/>
      <c r="AN155" s="278"/>
      <c r="AO155" s="278"/>
      <c r="AP155" s="278"/>
      <c r="AQ155" s="278"/>
      <c r="AR155" s="278"/>
      <c r="AS155" s="278"/>
      <c r="AT155" s="278"/>
      <c r="AU155" s="278"/>
      <c r="AV155" s="278"/>
      <c r="AW155" s="278"/>
      <c r="AX155" s="278"/>
      <c r="AY155" s="278"/>
      <c r="AZ155" s="278"/>
      <c r="BA155" s="278"/>
      <c r="BB155" s="278"/>
      <c r="BC155" s="278"/>
      <c r="BD155" s="278"/>
    </row>
    <row r="156" spans="1:56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196"/>
      <c r="S156" s="196"/>
      <c r="T156" s="196"/>
      <c r="U156" s="278"/>
      <c r="V156" s="278"/>
      <c r="W156" s="278"/>
      <c r="X156" s="278"/>
      <c r="Y156" s="278"/>
      <c r="Z156" s="278"/>
      <c r="AA156" s="278"/>
      <c r="AB156" s="278"/>
      <c r="AC156" s="278"/>
      <c r="AD156" s="278"/>
      <c r="AE156" s="278"/>
      <c r="AF156" s="278"/>
      <c r="AG156" s="278"/>
      <c r="AH156" s="278"/>
      <c r="AI156" s="278"/>
      <c r="AJ156" s="278"/>
      <c r="AK156" s="278"/>
      <c r="AL156" s="278"/>
      <c r="AM156" s="278"/>
      <c r="AN156" s="278"/>
      <c r="AO156" s="278"/>
      <c r="AP156" s="278"/>
      <c r="AQ156" s="278"/>
      <c r="AR156" s="278"/>
      <c r="AS156" s="278"/>
      <c r="AT156" s="278"/>
      <c r="AU156" s="278"/>
      <c r="AV156" s="278"/>
      <c r="AW156" s="278"/>
      <c r="AX156" s="278"/>
      <c r="AY156" s="278"/>
      <c r="AZ156" s="278"/>
      <c r="BA156" s="278"/>
      <c r="BB156" s="278"/>
      <c r="BC156" s="278"/>
      <c r="BD156" s="278"/>
    </row>
    <row r="157" spans="1:56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196"/>
      <c r="S157" s="196"/>
      <c r="T157" s="196"/>
      <c r="U157" s="278"/>
      <c r="V157" s="278"/>
      <c r="W157" s="278"/>
      <c r="X157" s="278"/>
      <c r="Y157" s="278"/>
      <c r="Z157" s="278"/>
      <c r="AA157" s="278"/>
      <c r="AB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  <c r="AM157" s="278"/>
      <c r="AN157" s="278"/>
      <c r="AO157" s="278"/>
      <c r="AP157" s="278"/>
      <c r="AQ157" s="278"/>
      <c r="AR157" s="278"/>
      <c r="AS157" s="278"/>
      <c r="AT157" s="278"/>
      <c r="AU157" s="278"/>
      <c r="AV157" s="278"/>
      <c r="AW157" s="278"/>
      <c r="AX157" s="278"/>
      <c r="AY157" s="278"/>
      <c r="AZ157" s="278"/>
      <c r="BA157" s="278"/>
      <c r="BB157" s="278"/>
      <c r="BC157" s="278"/>
      <c r="BD157" s="278"/>
    </row>
    <row r="158" spans="1:56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196"/>
      <c r="S158" s="196"/>
      <c r="T158" s="196"/>
      <c r="U158" s="278"/>
      <c r="V158" s="278"/>
      <c r="W158" s="278"/>
      <c r="X158" s="278"/>
      <c r="Y158" s="278"/>
      <c r="Z158" s="278"/>
      <c r="AA158" s="278"/>
      <c r="AB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  <c r="AM158" s="278"/>
      <c r="AN158" s="278"/>
      <c r="AO158" s="278"/>
      <c r="AP158" s="278"/>
      <c r="AQ158" s="278"/>
      <c r="AR158" s="278"/>
      <c r="AS158" s="278"/>
      <c r="AT158" s="278"/>
      <c r="AU158" s="278"/>
      <c r="AV158" s="278"/>
      <c r="AW158" s="278"/>
      <c r="AX158" s="278"/>
      <c r="AY158" s="278"/>
      <c r="AZ158" s="278"/>
      <c r="BA158" s="278"/>
      <c r="BB158" s="278"/>
      <c r="BC158" s="278"/>
      <c r="BD158" s="278"/>
    </row>
    <row r="159" spans="1:56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196"/>
      <c r="S159" s="196"/>
      <c r="T159" s="196"/>
      <c r="U159" s="278"/>
      <c r="V159" s="278"/>
      <c r="W159" s="278"/>
      <c r="X159" s="278"/>
      <c r="Y159" s="278"/>
      <c r="Z159" s="278"/>
      <c r="AA159" s="278"/>
      <c r="AB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  <c r="AM159" s="278"/>
      <c r="AN159" s="278"/>
      <c r="AO159" s="278"/>
      <c r="AP159" s="278"/>
      <c r="AQ159" s="278"/>
      <c r="AR159" s="278"/>
      <c r="AS159" s="278"/>
      <c r="AT159" s="278"/>
      <c r="AU159" s="278"/>
      <c r="AV159" s="278"/>
      <c r="AW159" s="278"/>
      <c r="AX159" s="278"/>
      <c r="AY159" s="278"/>
      <c r="AZ159" s="278"/>
      <c r="BA159" s="278"/>
      <c r="BB159" s="278"/>
      <c r="BC159" s="278"/>
      <c r="BD159" s="278"/>
    </row>
    <row r="160" spans="1:56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196"/>
      <c r="S160" s="196"/>
      <c r="T160" s="196"/>
      <c r="U160" s="278"/>
      <c r="V160" s="278"/>
      <c r="W160" s="278"/>
      <c r="X160" s="278"/>
      <c r="Y160" s="278"/>
      <c r="Z160" s="278"/>
      <c r="AA160" s="278"/>
      <c r="AB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  <c r="AM160" s="278"/>
      <c r="AN160" s="278"/>
      <c r="AO160" s="278"/>
      <c r="AP160" s="278"/>
      <c r="AQ160" s="278"/>
      <c r="AR160" s="278"/>
      <c r="AS160" s="278"/>
      <c r="AT160" s="278"/>
      <c r="AU160" s="278"/>
      <c r="AV160" s="278"/>
      <c r="AW160" s="278"/>
      <c r="AX160" s="278"/>
      <c r="AY160" s="278"/>
      <c r="AZ160" s="278"/>
      <c r="BA160" s="278"/>
      <c r="BB160" s="278"/>
      <c r="BC160" s="278"/>
      <c r="BD160" s="278"/>
    </row>
    <row r="161" spans="1:56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196"/>
      <c r="S161" s="196"/>
      <c r="T161" s="196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</row>
    <row r="162" spans="1:56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196"/>
      <c r="S162" s="196"/>
      <c r="T162" s="196"/>
      <c r="U162" s="278"/>
      <c r="V162" s="278"/>
      <c r="W162" s="278"/>
      <c r="X162" s="278"/>
      <c r="Y162" s="278"/>
      <c r="Z162" s="278"/>
      <c r="AA162" s="278"/>
      <c r="AB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  <c r="AM162" s="278"/>
      <c r="AN162" s="278"/>
      <c r="AO162" s="278"/>
      <c r="AP162" s="278"/>
      <c r="AQ162" s="278"/>
      <c r="AR162" s="278"/>
      <c r="AS162" s="278"/>
      <c r="AT162" s="278"/>
      <c r="AU162" s="278"/>
      <c r="AV162" s="278"/>
      <c r="AW162" s="278"/>
      <c r="AX162" s="278"/>
      <c r="AY162" s="278"/>
      <c r="AZ162" s="278"/>
      <c r="BA162" s="278"/>
      <c r="BB162" s="278"/>
      <c r="BC162" s="278"/>
      <c r="BD162" s="278"/>
    </row>
    <row r="163" spans="1:56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196"/>
      <c r="S163" s="196"/>
      <c r="T163" s="196"/>
      <c r="U163" s="278"/>
      <c r="V163" s="278"/>
      <c r="W163" s="278"/>
      <c r="X163" s="278"/>
      <c r="Y163" s="278"/>
      <c r="Z163" s="278"/>
      <c r="AA163" s="278"/>
      <c r="AB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  <c r="AT163" s="278"/>
      <c r="AU163" s="278"/>
      <c r="AV163" s="278"/>
      <c r="AW163" s="278"/>
      <c r="AX163" s="278"/>
      <c r="AY163" s="278"/>
      <c r="AZ163" s="278"/>
      <c r="BA163" s="278"/>
      <c r="BB163" s="278"/>
      <c r="BC163" s="278"/>
      <c r="BD163" s="278"/>
    </row>
    <row r="164" spans="1:56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196"/>
      <c r="S164" s="196"/>
      <c r="T164" s="196"/>
      <c r="U164" s="278"/>
      <c r="V164" s="278"/>
      <c r="W164" s="278"/>
      <c r="X164" s="278"/>
      <c r="Y164" s="278"/>
      <c r="Z164" s="278"/>
      <c r="AA164" s="278"/>
      <c r="AB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  <c r="AM164" s="278"/>
      <c r="AN164" s="278"/>
      <c r="AO164" s="278"/>
      <c r="AP164" s="278"/>
      <c r="AQ164" s="278"/>
      <c r="AR164" s="278"/>
      <c r="AS164" s="278"/>
      <c r="AT164" s="278"/>
      <c r="AU164" s="278"/>
      <c r="AV164" s="278"/>
      <c r="AW164" s="278"/>
      <c r="AX164" s="278"/>
      <c r="AY164" s="278"/>
      <c r="AZ164" s="278"/>
      <c r="BA164" s="278"/>
      <c r="BB164" s="278"/>
      <c r="BC164" s="278"/>
      <c r="BD164" s="278"/>
    </row>
    <row r="165" spans="1:56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196"/>
      <c r="S165" s="196"/>
      <c r="T165" s="196"/>
      <c r="U165" s="278"/>
      <c r="V165" s="278"/>
      <c r="W165" s="278"/>
      <c r="X165" s="278"/>
      <c r="Y165" s="278"/>
      <c r="Z165" s="278"/>
      <c r="AA165" s="278"/>
      <c r="AB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  <c r="AM165" s="278"/>
      <c r="AN165" s="278"/>
      <c r="AO165" s="278"/>
      <c r="AP165" s="278"/>
      <c r="AQ165" s="278"/>
      <c r="AR165" s="278"/>
      <c r="AS165" s="278"/>
      <c r="AT165" s="278"/>
      <c r="AU165" s="278"/>
      <c r="AV165" s="278"/>
      <c r="AW165" s="278"/>
      <c r="AX165" s="278"/>
      <c r="AY165" s="278"/>
      <c r="AZ165" s="278"/>
      <c r="BA165" s="278"/>
      <c r="BB165" s="278"/>
      <c r="BC165" s="278"/>
      <c r="BD165" s="278"/>
    </row>
    <row r="166" spans="1:56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196"/>
      <c r="S166" s="196"/>
      <c r="T166" s="196"/>
      <c r="U166" s="278"/>
      <c r="V166" s="278"/>
      <c r="W166" s="278"/>
      <c r="X166" s="278"/>
      <c r="Y166" s="278"/>
      <c r="Z166" s="278"/>
      <c r="AA166" s="278"/>
      <c r="AB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  <c r="AM166" s="278"/>
      <c r="AN166" s="278"/>
      <c r="AO166" s="278"/>
      <c r="AP166" s="278"/>
      <c r="AQ166" s="278"/>
      <c r="AR166" s="278"/>
      <c r="AS166" s="278"/>
      <c r="AT166" s="278"/>
      <c r="AU166" s="278"/>
      <c r="AV166" s="278"/>
      <c r="AW166" s="278"/>
      <c r="AX166" s="278"/>
      <c r="AY166" s="278"/>
      <c r="AZ166" s="278"/>
      <c r="BA166" s="278"/>
      <c r="BB166" s="278"/>
      <c r="BC166" s="278"/>
      <c r="BD166" s="278"/>
    </row>
    <row r="167" spans="1:56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196"/>
      <c r="S167" s="196"/>
      <c r="T167" s="196"/>
      <c r="U167" s="278"/>
      <c r="V167" s="278"/>
      <c r="W167" s="278"/>
      <c r="X167" s="278"/>
      <c r="Y167" s="278"/>
      <c r="Z167" s="278"/>
      <c r="AA167" s="278"/>
      <c r="AB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  <c r="AM167" s="278"/>
      <c r="AN167" s="278"/>
      <c r="AO167" s="278"/>
      <c r="AP167" s="278"/>
      <c r="AQ167" s="278"/>
      <c r="AR167" s="278"/>
      <c r="AS167" s="278"/>
      <c r="AT167" s="278"/>
      <c r="AU167" s="278"/>
      <c r="AV167" s="278"/>
      <c r="AW167" s="278"/>
      <c r="AX167" s="278"/>
      <c r="AY167" s="278"/>
      <c r="AZ167" s="278"/>
      <c r="BA167" s="278"/>
      <c r="BB167" s="278"/>
      <c r="BC167" s="278"/>
      <c r="BD167" s="278"/>
    </row>
    <row r="168" spans="1:56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196"/>
      <c r="S168" s="196"/>
      <c r="T168" s="196"/>
      <c r="U168" s="278"/>
      <c r="V168" s="278"/>
      <c r="W168" s="278"/>
      <c r="X168" s="278"/>
      <c r="Y168" s="278"/>
      <c r="Z168" s="278"/>
      <c r="AA168" s="278"/>
      <c r="AB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  <c r="AM168" s="278"/>
      <c r="AN168" s="278"/>
      <c r="AO168" s="278"/>
      <c r="AP168" s="278"/>
      <c r="AQ168" s="278"/>
      <c r="AR168" s="278"/>
      <c r="AS168" s="278"/>
      <c r="AT168" s="278"/>
      <c r="AU168" s="278"/>
      <c r="AV168" s="278"/>
      <c r="AW168" s="278"/>
      <c r="AX168" s="278"/>
      <c r="AY168" s="278"/>
      <c r="AZ168" s="278"/>
      <c r="BA168" s="278"/>
      <c r="BB168" s="278"/>
      <c r="BC168" s="278"/>
      <c r="BD168" s="278"/>
    </row>
    <row r="169" spans="1:56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196"/>
      <c r="S169" s="196"/>
      <c r="T169" s="196"/>
      <c r="U169" s="278"/>
      <c r="V169" s="278"/>
      <c r="W169" s="278"/>
      <c r="X169" s="278"/>
      <c r="Y169" s="278"/>
      <c r="Z169" s="278"/>
      <c r="AA169" s="278"/>
      <c r="AB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8"/>
      <c r="AN169" s="278"/>
      <c r="AO169" s="278"/>
      <c r="AP169" s="278"/>
      <c r="AQ169" s="278"/>
      <c r="AR169" s="278"/>
      <c r="AS169" s="278"/>
      <c r="AT169" s="278"/>
      <c r="AU169" s="278"/>
      <c r="AV169" s="278"/>
      <c r="AW169" s="278"/>
      <c r="AX169" s="278"/>
      <c r="AY169" s="278"/>
      <c r="AZ169" s="278"/>
      <c r="BA169" s="278"/>
      <c r="BB169" s="278"/>
      <c r="BC169" s="278"/>
      <c r="BD169" s="278"/>
    </row>
    <row r="170" spans="1:56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196"/>
      <c r="S170" s="196"/>
      <c r="T170" s="196"/>
      <c r="U170" s="278"/>
      <c r="V170" s="278"/>
      <c r="W170" s="278"/>
      <c r="X170" s="278"/>
      <c r="Y170" s="278"/>
      <c r="Z170" s="278"/>
      <c r="AA170" s="278"/>
      <c r="AB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  <c r="AM170" s="278"/>
      <c r="AN170" s="278"/>
      <c r="AO170" s="278"/>
      <c r="AP170" s="278"/>
      <c r="AQ170" s="278"/>
      <c r="AR170" s="278"/>
      <c r="AS170" s="278"/>
      <c r="AT170" s="278"/>
      <c r="AU170" s="278"/>
      <c r="AV170" s="278"/>
      <c r="AW170" s="278"/>
      <c r="AX170" s="278"/>
      <c r="AY170" s="278"/>
      <c r="AZ170" s="278"/>
      <c r="BA170" s="278"/>
      <c r="BB170" s="278"/>
      <c r="BC170" s="278"/>
      <c r="BD170" s="278"/>
    </row>
    <row r="171" spans="1:56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196"/>
      <c r="S171" s="196"/>
      <c r="T171" s="196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</row>
    <row r="172" spans="1:56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196"/>
      <c r="S172" s="196"/>
      <c r="T172" s="196"/>
      <c r="U172" s="278"/>
      <c r="V172" s="278"/>
      <c r="W172" s="278"/>
      <c r="X172" s="278"/>
      <c r="Y172" s="278"/>
      <c r="Z172" s="278"/>
      <c r="AA172" s="278"/>
      <c r="AB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278"/>
      <c r="AX172" s="278"/>
      <c r="AY172" s="278"/>
      <c r="AZ172" s="278"/>
      <c r="BA172" s="278"/>
      <c r="BB172" s="278"/>
      <c r="BC172" s="278"/>
      <c r="BD172" s="278"/>
    </row>
    <row r="173" spans="1:56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196"/>
      <c r="S173" s="196"/>
      <c r="T173" s="196"/>
      <c r="U173" s="278"/>
      <c r="V173" s="278"/>
      <c r="W173" s="278"/>
      <c r="X173" s="278"/>
      <c r="Y173" s="278"/>
      <c r="Z173" s="278"/>
      <c r="AA173" s="278"/>
      <c r="AB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  <c r="AM173" s="278"/>
      <c r="AN173" s="278"/>
      <c r="AO173" s="278"/>
      <c r="AP173" s="278"/>
      <c r="AQ173" s="278"/>
      <c r="AR173" s="278"/>
      <c r="AS173" s="278"/>
      <c r="AT173" s="278"/>
      <c r="AU173" s="278"/>
      <c r="AV173" s="278"/>
      <c r="AW173" s="278"/>
      <c r="AX173" s="278"/>
      <c r="AY173" s="278"/>
      <c r="AZ173" s="278"/>
      <c r="BA173" s="278"/>
      <c r="BB173" s="278"/>
      <c r="BC173" s="278"/>
      <c r="BD173" s="278"/>
    </row>
    <row r="174" spans="1:56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196"/>
      <c r="S174" s="196"/>
      <c r="T174" s="196"/>
      <c r="U174" s="278"/>
      <c r="V174" s="278"/>
      <c r="W174" s="278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/>
    </row>
    <row r="175" spans="1:56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196"/>
      <c r="S175" s="196"/>
      <c r="T175" s="196"/>
      <c r="U175" s="278"/>
      <c r="V175" s="278"/>
      <c r="W175" s="278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/>
    </row>
    <row r="176" spans="1:56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196"/>
      <c r="S176" s="196"/>
      <c r="T176" s="196"/>
      <c r="U176" s="278"/>
      <c r="V176" s="278"/>
      <c r="W176" s="278"/>
      <c r="X176" s="278"/>
      <c r="Y176" s="278"/>
      <c r="Z176" s="278"/>
      <c r="AA176" s="278"/>
      <c r="AB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  <c r="AT176" s="278"/>
      <c r="AU176" s="278"/>
      <c r="AV176" s="278"/>
      <c r="AW176" s="278"/>
      <c r="AX176" s="278"/>
      <c r="AY176" s="278"/>
      <c r="AZ176" s="278"/>
      <c r="BA176" s="278"/>
      <c r="BB176" s="278"/>
      <c r="BC176" s="278"/>
      <c r="BD176" s="278"/>
    </row>
    <row r="177" spans="1:56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196"/>
      <c r="S177" s="196"/>
      <c r="T177" s="196"/>
      <c r="U177" s="278"/>
      <c r="V177" s="278"/>
      <c r="W177" s="278"/>
      <c r="X177" s="278"/>
      <c r="Y177" s="278"/>
      <c r="Z177" s="278"/>
      <c r="AA177" s="278"/>
      <c r="AB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  <c r="AM177" s="278"/>
      <c r="AN177" s="278"/>
      <c r="AO177" s="278"/>
      <c r="AP177" s="278"/>
      <c r="AQ177" s="278"/>
      <c r="AR177" s="278"/>
      <c r="AS177" s="278"/>
      <c r="AT177" s="278"/>
      <c r="AU177" s="278"/>
      <c r="AV177" s="278"/>
      <c r="AW177" s="278"/>
      <c r="AX177" s="278"/>
      <c r="AY177" s="278"/>
      <c r="AZ177" s="278"/>
      <c r="BA177" s="278"/>
      <c r="BB177" s="278"/>
      <c r="BC177" s="278"/>
      <c r="BD177" s="278"/>
    </row>
    <row r="178" spans="1:56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196"/>
      <c r="S178" s="196"/>
      <c r="T178" s="196"/>
      <c r="U178" s="278"/>
      <c r="V178" s="278"/>
      <c r="W178" s="278"/>
      <c r="X178" s="278"/>
      <c r="Y178" s="278"/>
      <c r="Z178" s="278"/>
      <c r="AA178" s="278"/>
      <c r="AB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  <c r="AM178" s="278"/>
      <c r="AN178" s="278"/>
      <c r="AO178" s="278"/>
      <c r="AP178" s="278"/>
      <c r="AQ178" s="278"/>
      <c r="AR178" s="278"/>
      <c r="AS178" s="278"/>
      <c r="AT178" s="278"/>
      <c r="AU178" s="278"/>
      <c r="AV178" s="278"/>
      <c r="AW178" s="278"/>
      <c r="AX178" s="278"/>
      <c r="AY178" s="278"/>
      <c r="AZ178" s="278"/>
      <c r="BA178" s="278"/>
      <c r="BB178" s="278"/>
      <c r="BC178" s="278"/>
      <c r="BD178" s="278"/>
    </row>
    <row r="179" spans="1:56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196"/>
      <c r="S179" s="196"/>
      <c r="T179" s="196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</row>
    <row r="180" spans="1:56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196"/>
      <c r="S180" s="196"/>
      <c r="T180" s="196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/>
    </row>
    <row r="181" spans="1:56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196"/>
      <c r="S181" s="196"/>
      <c r="T181" s="196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</row>
    <row r="182" spans="1:56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196"/>
      <c r="S182" s="196"/>
      <c r="T182" s="196"/>
      <c r="U182" s="278"/>
      <c r="V182" s="278"/>
      <c r="W182" s="278"/>
      <c r="X182" s="278"/>
      <c r="Y182" s="278"/>
      <c r="Z182" s="278"/>
      <c r="AA182" s="278"/>
      <c r="AB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  <c r="AM182" s="278"/>
      <c r="AN182" s="278"/>
      <c r="AO182" s="278"/>
      <c r="AP182" s="278"/>
      <c r="AQ182" s="278"/>
      <c r="AR182" s="278"/>
      <c r="AS182" s="278"/>
      <c r="AT182" s="278"/>
      <c r="AU182" s="278"/>
      <c r="AV182" s="278"/>
      <c r="AW182" s="278"/>
      <c r="AX182" s="278"/>
      <c r="AY182" s="278"/>
      <c r="AZ182" s="278"/>
      <c r="BA182" s="278"/>
      <c r="BB182" s="278"/>
      <c r="BC182" s="278"/>
      <c r="BD182" s="278"/>
    </row>
    <row r="183" spans="1:56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196"/>
      <c r="S183" s="196"/>
      <c r="T183" s="196"/>
      <c r="U183" s="278"/>
      <c r="V183" s="278"/>
      <c r="W183" s="278"/>
      <c r="X183" s="278"/>
      <c r="Y183" s="278"/>
      <c r="Z183" s="278"/>
      <c r="AA183" s="278"/>
      <c r="AB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278"/>
      <c r="AX183" s="278"/>
      <c r="AY183" s="278"/>
      <c r="AZ183" s="278"/>
      <c r="BA183" s="278"/>
      <c r="BB183" s="278"/>
      <c r="BC183" s="278"/>
      <c r="BD183" s="278"/>
    </row>
    <row r="184" spans="1:56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196"/>
      <c r="S184" s="196"/>
      <c r="T184" s="196"/>
      <c r="U184" s="278"/>
      <c r="V184" s="278"/>
      <c r="W184" s="278"/>
      <c r="X184" s="278"/>
      <c r="Y184" s="278"/>
      <c r="Z184" s="278"/>
      <c r="AA184" s="278"/>
      <c r="AB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  <c r="AT184" s="278"/>
      <c r="AU184" s="278"/>
      <c r="AV184" s="278"/>
      <c r="AW184" s="278"/>
      <c r="AX184" s="278"/>
      <c r="AY184" s="278"/>
      <c r="AZ184" s="278"/>
      <c r="BA184" s="278"/>
      <c r="BB184" s="278"/>
      <c r="BC184" s="278"/>
      <c r="BD184" s="278"/>
    </row>
    <row r="185" spans="1:56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196"/>
      <c r="S185" s="196"/>
      <c r="T185" s="196"/>
      <c r="U185" s="278"/>
      <c r="V185" s="278"/>
      <c r="W185" s="278"/>
      <c r="X185" s="278"/>
      <c r="Y185" s="278"/>
      <c r="Z185" s="278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  <c r="AM185" s="278"/>
      <c r="AN185" s="278"/>
      <c r="AO185" s="278"/>
      <c r="AP185" s="278"/>
      <c r="AQ185" s="278"/>
      <c r="AR185" s="278"/>
      <c r="AS185" s="278"/>
      <c r="AT185" s="278"/>
      <c r="AU185" s="278"/>
      <c r="AV185" s="278"/>
      <c r="AW185" s="278"/>
      <c r="AX185" s="278"/>
      <c r="AY185" s="278"/>
      <c r="AZ185" s="278"/>
      <c r="BA185" s="278"/>
      <c r="BB185" s="278"/>
      <c r="BC185" s="278"/>
      <c r="BD185" s="278"/>
    </row>
    <row r="186" spans="1:56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196"/>
      <c r="S186" s="196"/>
      <c r="T186" s="196"/>
      <c r="U186" s="278"/>
      <c r="V186" s="278"/>
      <c r="W186" s="278"/>
      <c r="X186" s="278"/>
      <c r="Y186" s="278"/>
      <c r="Z186" s="278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  <c r="AM186" s="278"/>
      <c r="AN186" s="278"/>
      <c r="AO186" s="278"/>
      <c r="AP186" s="278"/>
      <c r="AQ186" s="278"/>
      <c r="AR186" s="278"/>
      <c r="AS186" s="278"/>
      <c r="AT186" s="278"/>
      <c r="AU186" s="278"/>
      <c r="AV186" s="278"/>
      <c r="AW186" s="278"/>
      <c r="AX186" s="278"/>
      <c r="AY186" s="278"/>
      <c r="AZ186" s="278"/>
      <c r="BA186" s="278"/>
      <c r="BB186" s="278"/>
      <c r="BC186" s="278"/>
      <c r="BD186" s="278"/>
    </row>
    <row r="187" spans="1:56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196"/>
      <c r="S187" s="196"/>
      <c r="T187" s="196"/>
      <c r="U187" s="278"/>
      <c r="V187" s="278"/>
      <c r="W187" s="278"/>
      <c r="X187" s="278"/>
      <c r="Y187" s="278"/>
      <c r="Z187" s="278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  <c r="AM187" s="278"/>
      <c r="AN187" s="278"/>
      <c r="AO187" s="278"/>
      <c r="AP187" s="278"/>
      <c r="AQ187" s="278"/>
      <c r="AR187" s="278"/>
      <c r="AS187" s="278"/>
      <c r="AT187" s="278"/>
      <c r="AU187" s="278"/>
      <c r="AV187" s="278"/>
      <c r="AW187" s="278"/>
      <c r="AX187" s="278"/>
      <c r="AY187" s="278"/>
      <c r="AZ187" s="278"/>
      <c r="BA187" s="278"/>
      <c r="BB187" s="278"/>
      <c r="BC187" s="278"/>
      <c r="BD187" s="278"/>
    </row>
    <row r="188" spans="1:56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196"/>
      <c r="S188" s="196"/>
      <c r="T188" s="196"/>
      <c r="U188" s="278"/>
      <c r="V188" s="278"/>
      <c r="W188" s="278"/>
      <c r="X188" s="278"/>
      <c r="Y188" s="278"/>
      <c r="Z188" s="278"/>
      <c r="AA188" s="278"/>
      <c r="AB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  <c r="AM188" s="278"/>
      <c r="AN188" s="278"/>
      <c r="AO188" s="278"/>
      <c r="AP188" s="278"/>
      <c r="AQ188" s="278"/>
      <c r="AR188" s="278"/>
      <c r="AS188" s="278"/>
      <c r="AT188" s="278"/>
      <c r="AU188" s="278"/>
      <c r="AV188" s="278"/>
      <c r="AW188" s="278"/>
      <c r="AX188" s="278"/>
      <c r="AY188" s="278"/>
      <c r="AZ188" s="278"/>
      <c r="BA188" s="278"/>
      <c r="BB188" s="278"/>
      <c r="BC188" s="278"/>
      <c r="BD188" s="278"/>
    </row>
    <row r="189" spans="1:56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196"/>
      <c r="S189" s="196"/>
      <c r="T189" s="196"/>
      <c r="U189" s="278"/>
      <c r="V189" s="278"/>
      <c r="W189" s="278"/>
      <c r="X189" s="278"/>
      <c r="Y189" s="278"/>
      <c r="Z189" s="278"/>
      <c r="AA189" s="278"/>
      <c r="AB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  <c r="AM189" s="278"/>
      <c r="AN189" s="278"/>
      <c r="AO189" s="278"/>
      <c r="AP189" s="278"/>
      <c r="AQ189" s="278"/>
      <c r="AR189" s="278"/>
      <c r="AS189" s="278"/>
      <c r="AT189" s="278"/>
      <c r="AU189" s="278"/>
      <c r="AV189" s="278"/>
      <c r="AW189" s="278"/>
      <c r="AX189" s="278"/>
      <c r="AY189" s="278"/>
      <c r="AZ189" s="278"/>
      <c r="BA189" s="278"/>
      <c r="BB189" s="278"/>
      <c r="BC189" s="278"/>
      <c r="BD189" s="278"/>
    </row>
    <row r="190" spans="1:56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196"/>
      <c r="S190" s="196"/>
      <c r="T190" s="196"/>
      <c r="U190" s="278"/>
      <c r="V190" s="278"/>
      <c r="W190" s="278"/>
      <c r="X190" s="278"/>
      <c r="Y190" s="278"/>
      <c r="Z190" s="278"/>
      <c r="AA190" s="278"/>
      <c r="AB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  <c r="AM190" s="278"/>
      <c r="AN190" s="278"/>
      <c r="AO190" s="278"/>
      <c r="AP190" s="278"/>
      <c r="AQ190" s="278"/>
      <c r="AR190" s="278"/>
      <c r="AS190" s="278"/>
      <c r="AT190" s="278"/>
      <c r="AU190" s="278"/>
      <c r="AV190" s="278"/>
      <c r="AW190" s="278"/>
      <c r="AX190" s="278"/>
      <c r="AY190" s="278"/>
      <c r="AZ190" s="278"/>
      <c r="BA190" s="278"/>
      <c r="BB190" s="278"/>
      <c r="BC190" s="278"/>
      <c r="BD190" s="278"/>
    </row>
    <row r="191" spans="1:56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196"/>
      <c r="S191" s="196"/>
      <c r="T191" s="196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</row>
    <row r="192" spans="1:56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196"/>
      <c r="S192" s="196"/>
      <c r="T192" s="196"/>
      <c r="U192" s="278"/>
      <c r="V192" s="278"/>
      <c r="W192" s="278"/>
      <c r="X192" s="278"/>
      <c r="Y192" s="278"/>
      <c r="Z192" s="278"/>
      <c r="AA192" s="278"/>
      <c r="AB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  <c r="AM192" s="278"/>
      <c r="AN192" s="278"/>
      <c r="AO192" s="278"/>
      <c r="AP192" s="278"/>
      <c r="AQ192" s="278"/>
      <c r="AR192" s="278"/>
      <c r="AS192" s="278"/>
      <c r="AT192" s="278"/>
      <c r="AU192" s="278"/>
      <c r="AV192" s="278"/>
      <c r="AW192" s="278"/>
      <c r="AX192" s="278"/>
      <c r="AY192" s="278"/>
      <c r="AZ192" s="278"/>
      <c r="BA192" s="278"/>
      <c r="BB192" s="278"/>
      <c r="BC192" s="278"/>
      <c r="BD192" s="278"/>
    </row>
    <row r="193" spans="1:56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196"/>
      <c r="S193" s="196"/>
      <c r="T193" s="196"/>
      <c r="U193" s="278"/>
      <c r="V193" s="278"/>
      <c r="W193" s="278"/>
      <c r="X193" s="278"/>
      <c r="Y193" s="278"/>
      <c r="Z193" s="278"/>
      <c r="AA193" s="278"/>
      <c r="AB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  <c r="AM193" s="278"/>
      <c r="AN193" s="278"/>
      <c r="AO193" s="278"/>
      <c r="AP193" s="278"/>
      <c r="AQ193" s="278"/>
      <c r="AR193" s="278"/>
      <c r="AS193" s="278"/>
      <c r="AT193" s="278"/>
      <c r="AU193" s="278"/>
      <c r="AV193" s="278"/>
      <c r="AW193" s="278"/>
      <c r="AX193" s="278"/>
      <c r="AY193" s="278"/>
      <c r="AZ193" s="278"/>
      <c r="BA193" s="278"/>
      <c r="BB193" s="278"/>
      <c r="BC193" s="278"/>
      <c r="BD193" s="278"/>
    </row>
    <row r="194" spans="1:56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196"/>
      <c r="S194" s="196"/>
      <c r="T194" s="196"/>
      <c r="U194" s="278"/>
      <c r="V194" s="278"/>
      <c r="W194" s="278"/>
      <c r="X194" s="278"/>
      <c r="Y194" s="278"/>
      <c r="Z194" s="278"/>
      <c r="AA194" s="278"/>
      <c r="AB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278"/>
      <c r="AX194" s="278"/>
      <c r="AY194" s="278"/>
      <c r="AZ194" s="278"/>
      <c r="BA194" s="278"/>
      <c r="BB194" s="278"/>
      <c r="BC194" s="278"/>
      <c r="BD194" s="278"/>
    </row>
    <row r="195" spans="1:56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196"/>
      <c r="S195" s="196"/>
      <c r="T195" s="196"/>
      <c r="U195" s="278"/>
      <c r="V195" s="278"/>
      <c r="W195" s="278"/>
      <c r="X195" s="278"/>
      <c r="Y195" s="278"/>
      <c r="Z195" s="278"/>
      <c r="AA195" s="278"/>
      <c r="AB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  <c r="AM195" s="278"/>
      <c r="AN195" s="278"/>
      <c r="AO195" s="278"/>
      <c r="AP195" s="278"/>
      <c r="AQ195" s="278"/>
      <c r="AR195" s="278"/>
      <c r="AS195" s="278"/>
      <c r="AT195" s="278"/>
      <c r="AU195" s="278"/>
      <c r="AV195" s="278"/>
      <c r="AW195" s="278"/>
      <c r="AX195" s="278"/>
      <c r="AY195" s="278"/>
      <c r="AZ195" s="278"/>
      <c r="BA195" s="278"/>
      <c r="BB195" s="278"/>
      <c r="BC195" s="278"/>
      <c r="BD195" s="278"/>
    </row>
    <row r="196" spans="1:56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196"/>
      <c r="S196" s="196"/>
      <c r="T196" s="196"/>
      <c r="U196" s="278"/>
      <c r="V196" s="278"/>
      <c r="W196" s="278"/>
      <c r="X196" s="278"/>
      <c r="Y196" s="278"/>
      <c r="Z196" s="278"/>
      <c r="AA196" s="278"/>
      <c r="AB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  <c r="AM196" s="278"/>
      <c r="AN196" s="278"/>
      <c r="AO196" s="278"/>
      <c r="AP196" s="278"/>
      <c r="AQ196" s="278"/>
      <c r="AR196" s="278"/>
      <c r="AS196" s="278"/>
      <c r="AT196" s="278"/>
      <c r="AU196" s="278"/>
      <c r="AV196" s="278"/>
      <c r="AW196" s="278"/>
      <c r="AX196" s="278"/>
      <c r="AY196" s="278"/>
      <c r="AZ196" s="278"/>
      <c r="BA196" s="278"/>
      <c r="BB196" s="278"/>
      <c r="BC196" s="278"/>
      <c r="BD196" s="278"/>
    </row>
    <row r="197" spans="1:56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196"/>
      <c r="S197" s="196"/>
      <c r="T197" s="196"/>
      <c r="U197" s="278"/>
      <c r="V197" s="278"/>
      <c r="W197" s="278"/>
      <c r="X197" s="278"/>
      <c r="Y197" s="278"/>
      <c r="Z197" s="278"/>
      <c r="AA197" s="278"/>
      <c r="AB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  <c r="AM197" s="278"/>
      <c r="AN197" s="278"/>
      <c r="AO197" s="278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</row>
    <row r="198" spans="1:56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196"/>
      <c r="S198" s="196"/>
      <c r="T198" s="196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</row>
    <row r="199" spans="1:56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196"/>
      <c r="S199" s="196"/>
      <c r="T199" s="196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</row>
    <row r="200" spans="1:56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196"/>
      <c r="S200" s="196"/>
      <c r="T200" s="196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</row>
    <row r="201" spans="1:56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196"/>
      <c r="S201" s="196"/>
      <c r="T201" s="196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</row>
    <row r="202" spans="1:56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196"/>
      <c r="S202" s="196"/>
      <c r="T202" s="196"/>
      <c r="U202" s="278"/>
      <c r="V202" s="278"/>
      <c r="W202" s="278"/>
      <c r="X202" s="278"/>
      <c r="Y202" s="278"/>
      <c r="Z202" s="278"/>
      <c r="AA202" s="278"/>
      <c r="AB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  <c r="AM202" s="278"/>
      <c r="AN202" s="278"/>
      <c r="AO202" s="278"/>
      <c r="AP202" s="278"/>
      <c r="AQ202" s="278"/>
      <c r="AR202" s="278"/>
      <c r="AS202" s="278"/>
      <c r="AT202" s="278"/>
      <c r="AU202" s="278"/>
      <c r="AV202" s="278"/>
      <c r="AW202" s="278"/>
      <c r="AX202" s="278"/>
      <c r="AY202" s="278"/>
      <c r="AZ202" s="278"/>
      <c r="BA202" s="278"/>
      <c r="BB202" s="278"/>
      <c r="BC202" s="278"/>
      <c r="BD202" s="278"/>
    </row>
    <row r="203" spans="1:56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196"/>
      <c r="S203" s="196"/>
      <c r="T203" s="196"/>
      <c r="U203" s="278"/>
      <c r="V203" s="278"/>
      <c r="W203" s="278"/>
      <c r="X203" s="278"/>
      <c r="Y203" s="278"/>
      <c r="Z203" s="278"/>
      <c r="AA203" s="278"/>
      <c r="AB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  <c r="AM203" s="278"/>
      <c r="AN203" s="278"/>
      <c r="AO203" s="278"/>
      <c r="AP203" s="278"/>
      <c r="AQ203" s="278"/>
      <c r="AR203" s="278"/>
      <c r="AS203" s="278"/>
      <c r="AT203" s="278"/>
      <c r="AU203" s="278"/>
      <c r="AV203" s="278"/>
      <c r="AW203" s="278"/>
      <c r="AX203" s="278"/>
      <c r="AY203" s="278"/>
      <c r="AZ203" s="278"/>
      <c r="BA203" s="278"/>
      <c r="BB203" s="278"/>
      <c r="BC203" s="278"/>
      <c r="BD203" s="278"/>
    </row>
    <row r="204" spans="1:56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196"/>
      <c r="S204" s="196"/>
      <c r="T204" s="196"/>
      <c r="U204" s="278"/>
      <c r="V204" s="278"/>
      <c r="W204" s="278"/>
      <c r="X204" s="278"/>
      <c r="Y204" s="278"/>
      <c r="Z204" s="278"/>
      <c r="AA204" s="278"/>
      <c r="AB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  <c r="AM204" s="278"/>
      <c r="AN204" s="278"/>
      <c r="AO204" s="278"/>
      <c r="AP204" s="278"/>
      <c r="AQ204" s="278"/>
      <c r="AR204" s="278"/>
      <c r="AS204" s="278"/>
      <c r="AT204" s="278"/>
      <c r="AU204" s="278"/>
      <c r="AV204" s="278"/>
      <c r="AW204" s="278"/>
      <c r="AX204" s="278"/>
      <c r="AY204" s="278"/>
      <c r="AZ204" s="278"/>
      <c r="BA204" s="278"/>
      <c r="BB204" s="278"/>
      <c r="BC204" s="278"/>
      <c r="BD204" s="278"/>
    </row>
    <row r="205" spans="1:56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196"/>
      <c r="S205" s="196"/>
      <c r="T205" s="196"/>
      <c r="U205" s="278"/>
      <c r="V205" s="278"/>
      <c r="W205" s="278"/>
      <c r="X205" s="278"/>
      <c r="Y205" s="278"/>
      <c r="Z205" s="278"/>
      <c r="AA205" s="278"/>
      <c r="AB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  <c r="AM205" s="278"/>
      <c r="AN205" s="278"/>
      <c r="AO205" s="278"/>
      <c r="AP205" s="278"/>
      <c r="AQ205" s="278"/>
      <c r="AR205" s="278"/>
      <c r="AS205" s="278"/>
      <c r="AT205" s="278"/>
      <c r="AU205" s="278"/>
      <c r="AV205" s="278"/>
      <c r="AW205" s="278"/>
      <c r="AX205" s="278"/>
      <c r="AY205" s="278"/>
      <c r="AZ205" s="278"/>
      <c r="BA205" s="278"/>
      <c r="BB205" s="278"/>
      <c r="BC205" s="278"/>
      <c r="BD205" s="278"/>
    </row>
    <row r="206" spans="1:56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196"/>
      <c r="S206" s="196"/>
      <c r="T206" s="196"/>
      <c r="U206" s="278"/>
      <c r="V206" s="278"/>
      <c r="W206" s="278"/>
      <c r="X206" s="278"/>
      <c r="Y206" s="278"/>
      <c r="Z206" s="278"/>
      <c r="AA206" s="278"/>
      <c r="AB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  <c r="AM206" s="278"/>
      <c r="AN206" s="278"/>
      <c r="AO206" s="278"/>
      <c r="AP206" s="278"/>
      <c r="AQ206" s="278"/>
      <c r="AR206" s="278"/>
      <c r="AS206" s="278"/>
      <c r="AT206" s="278"/>
      <c r="AU206" s="278"/>
      <c r="AV206" s="278"/>
      <c r="AW206" s="278"/>
      <c r="AX206" s="278"/>
      <c r="AY206" s="278"/>
      <c r="AZ206" s="278"/>
      <c r="BA206" s="278"/>
      <c r="BB206" s="278"/>
      <c r="BC206" s="278"/>
      <c r="BD206" s="278"/>
    </row>
    <row r="207" spans="1:56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196"/>
      <c r="S207" s="196"/>
      <c r="T207" s="196"/>
      <c r="U207" s="278"/>
      <c r="V207" s="278"/>
      <c r="W207" s="278"/>
      <c r="X207" s="278"/>
      <c r="Y207" s="278"/>
      <c r="Z207" s="278"/>
      <c r="AA207" s="278"/>
      <c r="AB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  <c r="AT207" s="278"/>
      <c r="AU207" s="278"/>
      <c r="AV207" s="278"/>
      <c r="AW207" s="278"/>
      <c r="AX207" s="278"/>
      <c r="AY207" s="278"/>
      <c r="AZ207" s="278"/>
      <c r="BA207" s="278"/>
      <c r="BB207" s="278"/>
      <c r="BC207" s="278"/>
      <c r="BD207" s="278"/>
    </row>
    <row r="208" spans="1:56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196"/>
      <c r="S208" s="196"/>
      <c r="T208" s="196"/>
      <c r="U208" s="278"/>
      <c r="V208" s="278"/>
      <c r="W208" s="278"/>
      <c r="X208" s="278"/>
      <c r="Y208" s="278"/>
      <c r="Z208" s="278"/>
      <c r="AA208" s="278"/>
      <c r="AB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  <c r="AT208" s="278"/>
      <c r="AU208" s="278"/>
      <c r="AV208" s="278"/>
      <c r="AW208" s="278"/>
      <c r="AX208" s="278"/>
      <c r="AY208" s="278"/>
      <c r="AZ208" s="278"/>
      <c r="BA208" s="278"/>
      <c r="BB208" s="278"/>
      <c r="BC208" s="278"/>
      <c r="BD208" s="278"/>
    </row>
    <row r="209" spans="1:56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196"/>
      <c r="S209" s="196"/>
      <c r="T209" s="196"/>
      <c r="U209" s="278"/>
      <c r="V209" s="278"/>
      <c r="W209" s="278"/>
      <c r="X209" s="278"/>
      <c r="Y209" s="278"/>
      <c r="Z209" s="278"/>
      <c r="AA209" s="278"/>
      <c r="AB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  <c r="AM209" s="278"/>
      <c r="AN209" s="278"/>
      <c r="AO209" s="278"/>
      <c r="AP209" s="278"/>
      <c r="AQ209" s="278"/>
      <c r="AR209" s="278"/>
      <c r="AS209" s="278"/>
      <c r="AT209" s="278"/>
      <c r="AU209" s="278"/>
      <c r="AV209" s="278"/>
      <c r="AW209" s="278"/>
      <c r="AX209" s="278"/>
      <c r="AY209" s="278"/>
      <c r="AZ209" s="278"/>
      <c r="BA209" s="278"/>
      <c r="BB209" s="278"/>
      <c r="BC209" s="278"/>
      <c r="BD209" s="278"/>
    </row>
    <row r="210" spans="1:56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196"/>
      <c r="S210" s="196"/>
      <c r="T210" s="196"/>
      <c r="U210" s="278"/>
      <c r="V210" s="278"/>
      <c r="W210" s="278"/>
      <c r="X210" s="278"/>
      <c r="Y210" s="278"/>
      <c r="Z210" s="278"/>
      <c r="AA210" s="278"/>
      <c r="AB210" s="278"/>
      <c r="AC210" s="278"/>
      <c r="AD210" s="278"/>
      <c r="AE210" s="278"/>
      <c r="AF210" s="278"/>
      <c r="AG210" s="278"/>
      <c r="AH210" s="278"/>
      <c r="AI210" s="278"/>
      <c r="AJ210" s="278"/>
      <c r="AK210" s="278"/>
      <c r="AL210" s="278"/>
      <c r="AM210" s="278"/>
      <c r="AN210" s="278"/>
      <c r="AO210" s="278"/>
      <c r="AP210" s="278"/>
      <c r="AQ210" s="278"/>
      <c r="AR210" s="278"/>
      <c r="AS210" s="278"/>
      <c r="AT210" s="278"/>
      <c r="AU210" s="278"/>
      <c r="AV210" s="278"/>
      <c r="AW210" s="278"/>
      <c r="AX210" s="278"/>
      <c r="AY210" s="278"/>
      <c r="AZ210" s="278"/>
      <c r="BA210" s="278"/>
      <c r="BB210" s="278"/>
      <c r="BC210" s="278"/>
      <c r="BD210" s="278"/>
    </row>
    <row r="211" spans="1:56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196"/>
      <c r="S211" s="196"/>
      <c r="T211" s="196"/>
      <c r="U211" s="278"/>
      <c r="V211" s="278"/>
      <c r="W211" s="278"/>
      <c r="X211" s="278"/>
      <c r="Y211" s="278"/>
      <c r="Z211" s="278"/>
      <c r="AA211" s="278"/>
      <c r="AB211" s="278"/>
      <c r="AC211" s="278"/>
      <c r="AD211" s="278"/>
      <c r="AE211" s="278"/>
      <c r="AF211" s="278"/>
      <c r="AG211" s="278"/>
      <c r="AH211" s="278"/>
      <c r="AI211" s="278"/>
      <c r="AJ211" s="278"/>
      <c r="AK211" s="278"/>
      <c r="AL211" s="278"/>
      <c r="AM211" s="278"/>
      <c r="AN211" s="278"/>
      <c r="AO211" s="278"/>
      <c r="AP211" s="278"/>
      <c r="AQ211" s="278"/>
      <c r="AR211" s="278"/>
      <c r="AS211" s="278"/>
      <c r="AT211" s="278"/>
      <c r="AU211" s="278"/>
      <c r="AV211" s="278"/>
      <c r="AW211" s="278"/>
      <c r="AX211" s="278"/>
      <c r="AY211" s="278"/>
      <c r="AZ211" s="278"/>
      <c r="BA211" s="278"/>
      <c r="BB211" s="278"/>
      <c r="BC211" s="278"/>
      <c r="BD211" s="278"/>
    </row>
    <row r="212" spans="1:56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196"/>
      <c r="S212" s="196"/>
      <c r="T212" s="196"/>
      <c r="U212" s="278"/>
      <c r="V212" s="278"/>
      <c r="W212" s="278"/>
      <c r="X212" s="278"/>
      <c r="Y212" s="278"/>
      <c r="Z212" s="278"/>
      <c r="AA212" s="278"/>
      <c r="AB212" s="278"/>
      <c r="AC212" s="278"/>
      <c r="AD212" s="278"/>
      <c r="AE212" s="278"/>
      <c r="AF212" s="278"/>
      <c r="AG212" s="278"/>
      <c r="AH212" s="278"/>
      <c r="AI212" s="278"/>
      <c r="AJ212" s="278"/>
      <c r="AK212" s="278"/>
      <c r="AL212" s="278"/>
      <c r="AM212" s="278"/>
      <c r="AN212" s="278"/>
      <c r="AO212" s="278"/>
      <c r="AP212" s="278"/>
      <c r="AQ212" s="278"/>
      <c r="AR212" s="278"/>
      <c r="AS212" s="278"/>
      <c r="AT212" s="278"/>
      <c r="AU212" s="278"/>
      <c r="AV212" s="278"/>
      <c r="AW212" s="278"/>
      <c r="AX212" s="278"/>
      <c r="AY212" s="278"/>
      <c r="AZ212" s="278"/>
      <c r="BA212" s="278"/>
      <c r="BB212" s="278"/>
      <c r="BC212" s="278"/>
      <c r="BD212" s="278"/>
    </row>
    <row r="213" spans="1:56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196"/>
      <c r="S213" s="196"/>
      <c r="T213" s="196"/>
      <c r="U213" s="278"/>
      <c r="V213" s="278"/>
      <c r="W213" s="278"/>
      <c r="X213" s="278"/>
      <c r="Y213" s="278"/>
      <c r="Z213" s="278"/>
      <c r="AA213" s="278"/>
      <c r="AB213" s="278"/>
      <c r="AC213" s="278"/>
      <c r="AD213" s="278"/>
      <c r="AE213" s="278"/>
      <c r="AF213" s="278"/>
      <c r="AG213" s="278"/>
      <c r="AH213" s="278"/>
      <c r="AI213" s="278"/>
      <c r="AJ213" s="278"/>
      <c r="AK213" s="278"/>
      <c r="AL213" s="278"/>
      <c r="AM213" s="278"/>
      <c r="AN213" s="278"/>
      <c r="AO213" s="278"/>
      <c r="AP213" s="278"/>
      <c r="AQ213" s="278"/>
      <c r="AR213" s="278"/>
      <c r="AS213" s="278"/>
      <c r="AT213" s="278"/>
      <c r="AU213" s="278"/>
      <c r="AV213" s="278"/>
      <c r="AW213" s="278"/>
      <c r="AX213" s="278"/>
      <c r="AY213" s="278"/>
      <c r="AZ213" s="278"/>
      <c r="BA213" s="278"/>
      <c r="BB213" s="278"/>
      <c r="BC213" s="278"/>
      <c r="BD213" s="278"/>
    </row>
    <row r="214" spans="1:56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196"/>
      <c r="S214" s="196"/>
      <c r="T214" s="196"/>
      <c r="U214" s="278"/>
      <c r="V214" s="278"/>
      <c r="W214" s="278"/>
      <c r="X214" s="278"/>
      <c r="Y214" s="278"/>
      <c r="Z214" s="278"/>
      <c r="AA214" s="278"/>
      <c r="AB214" s="278"/>
      <c r="AC214" s="278"/>
      <c r="AD214" s="278"/>
      <c r="AE214" s="278"/>
      <c r="AF214" s="278"/>
      <c r="AG214" s="278"/>
      <c r="AH214" s="278"/>
      <c r="AI214" s="278"/>
      <c r="AJ214" s="278"/>
      <c r="AK214" s="278"/>
      <c r="AL214" s="278"/>
      <c r="AM214" s="278"/>
      <c r="AN214" s="278"/>
      <c r="AO214" s="278"/>
      <c r="AP214" s="278"/>
      <c r="AQ214" s="278"/>
      <c r="AR214" s="278"/>
      <c r="AS214" s="278"/>
      <c r="AT214" s="278"/>
      <c r="AU214" s="278"/>
      <c r="AV214" s="278"/>
      <c r="AW214" s="278"/>
      <c r="AX214" s="278"/>
      <c r="AY214" s="278"/>
      <c r="AZ214" s="278"/>
      <c r="BA214" s="278"/>
      <c r="BB214" s="278"/>
      <c r="BC214" s="278"/>
      <c r="BD214" s="278"/>
    </row>
    <row r="215" spans="1:56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196"/>
      <c r="S215" s="196"/>
      <c r="T215" s="196"/>
      <c r="U215" s="278"/>
      <c r="V215" s="278"/>
      <c r="W215" s="278"/>
      <c r="X215" s="278"/>
      <c r="Y215" s="278"/>
      <c r="Z215" s="278"/>
      <c r="AA215" s="278"/>
      <c r="AB215" s="278"/>
      <c r="AC215" s="278"/>
      <c r="AD215" s="278"/>
      <c r="AE215" s="278"/>
      <c r="AF215" s="278"/>
      <c r="AG215" s="278"/>
      <c r="AH215" s="278"/>
      <c r="AI215" s="278"/>
      <c r="AJ215" s="278"/>
      <c r="AK215" s="278"/>
      <c r="AL215" s="278"/>
      <c r="AM215" s="278"/>
      <c r="AN215" s="278"/>
      <c r="AO215" s="278"/>
      <c r="AP215" s="278"/>
      <c r="AQ215" s="278"/>
      <c r="AR215" s="278"/>
      <c r="AS215" s="278"/>
      <c r="AT215" s="278"/>
      <c r="AU215" s="278"/>
      <c r="AV215" s="278"/>
      <c r="AW215" s="278"/>
      <c r="AX215" s="278"/>
      <c r="AY215" s="278"/>
      <c r="AZ215" s="278"/>
      <c r="BA215" s="278"/>
      <c r="BB215" s="278"/>
      <c r="BC215" s="278"/>
      <c r="BD215" s="278"/>
    </row>
    <row r="216" spans="1:56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196"/>
      <c r="S216" s="196"/>
      <c r="T216" s="196"/>
      <c r="U216" s="278"/>
      <c r="V216" s="278"/>
      <c r="W216" s="278"/>
      <c r="X216" s="278"/>
      <c r="Y216" s="278"/>
      <c r="Z216" s="278"/>
      <c r="AA216" s="278"/>
      <c r="AB216" s="278"/>
      <c r="AC216" s="278"/>
      <c r="AD216" s="278"/>
      <c r="AE216" s="278"/>
      <c r="AF216" s="278"/>
      <c r="AG216" s="278"/>
      <c r="AH216" s="278"/>
      <c r="AI216" s="278"/>
      <c r="AJ216" s="278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278"/>
      <c r="AX216" s="278"/>
      <c r="AY216" s="278"/>
      <c r="AZ216" s="278"/>
      <c r="BA216" s="278"/>
      <c r="BB216" s="278"/>
      <c r="BC216" s="278"/>
      <c r="BD216" s="278"/>
    </row>
    <row r="217" spans="1:56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196"/>
      <c r="S217" s="196"/>
      <c r="T217" s="196"/>
      <c r="U217" s="278"/>
      <c r="V217" s="278"/>
      <c r="W217" s="278"/>
      <c r="X217" s="278"/>
      <c r="Y217" s="278"/>
      <c r="Z217" s="278"/>
      <c r="AA217" s="278"/>
      <c r="AB217" s="278"/>
      <c r="AC217" s="278"/>
      <c r="AD217" s="278"/>
      <c r="AE217" s="278"/>
      <c r="AF217" s="278"/>
      <c r="AG217" s="278"/>
      <c r="AH217" s="278"/>
      <c r="AI217" s="278"/>
      <c r="AJ217" s="278"/>
      <c r="AK217" s="278"/>
      <c r="AL217" s="278"/>
      <c r="AM217" s="278"/>
      <c r="AN217" s="278"/>
      <c r="AO217" s="278"/>
      <c r="AP217" s="278"/>
      <c r="AQ217" s="278"/>
      <c r="AR217" s="278"/>
      <c r="AS217" s="278"/>
      <c r="AT217" s="278"/>
      <c r="AU217" s="278"/>
      <c r="AV217" s="278"/>
      <c r="AW217" s="278"/>
      <c r="AX217" s="278"/>
      <c r="AY217" s="278"/>
      <c r="AZ217" s="278"/>
      <c r="BA217" s="278"/>
      <c r="BB217" s="278"/>
      <c r="BC217" s="278"/>
      <c r="BD217" s="278"/>
    </row>
    <row r="218" spans="1:56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196"/>
      <c r="S218" s="196"/>
      <c r="T218" s="196"/>
      <c r="U218" s="278"/>
      <c r="V218" s="278"/>
      <c r="W218" s="278"/>
      <c r="X218" s="278"/>
      <c r="Y218" s="278"/>
      <c r="Z218" s="278"/>
      <c r="AA218" s="278"/>
      <c r="AB218" s="278"/>
      <c r="AC218" s="278"/>
      <c r="AD218" s="278"/>
      <c r="AE218" s="278"/>
      <c r="AF218" s="278"/>
      <c r="AG218" s="278"/>
      <c r="AH218" s="278"/>
      <c r="AI218" s="278"/>
      <c r="AJ218" s="278"/>
      <c r="AK218" s="278"/>
      <c r="AL218" s="278"/>
      <c r="AM218" s="278"/>
      <c r="AN218" s="278"/>
      <c r="AO218" s="278"/>
      <c r="AP218" s="278"/>
      <c r="AQ218" s="278"/>
      <c r="AR218" s="278"/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</row>
    <row r="219" spans="1:56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196"/>
      <c r="S219" s="196"/>
      <c r="T219" s="196"/>
      <c r="U219" s="278"/>
      <c r="V219" s="278"/>
      <c r="W219" s="278"/>
      <c r="X219" s="278"/>
      <c r="Y219" s="278"/>
      <c r="Z219" s="278"/>
      <c r="AA219" s="278"/>
      <c r="AB219" s="278"/>
      <c r="AC219" s="278"/>
      <c r="AD219" s="278"/>
      <c r="AE219" s="278"/>
      <c r="AF219" s="278"/>
      <c r="AG219" s="278"/>
      <c r="AH219" s="278"/>
      <c r="AI219" s="278"/>
      <c r="AJ219" s="278"/>
      <c r="AK219" s="278"/>
      <c r="AL219" s="278"/>
      <c r="AM219" s="278"/>
      <c r="AN219" s="278"/>
      <c r="AO219" s="278"/>
      <c r="AP219" s="278"/>
      <c r="AQ219" s="278"/>
      <c r="AR219" s="278"/>
      <c r="AS219" s="278"/>
      <c r="AT219" s="278"/>
      <c r="AU219" s="278"/>
      <c r="AV219" s="278"/>
      <c r="AW219" s="278"/>
      <c r="AX219" s="278"/>
      <c r="AY219" s="278"/>
      <c r="AZ219" s="278"/>
      <c r="BA219" s="278"/>
      <c r="BB219" s="278"/>
      <c r="BC219" s="278"/>
      <c r="BD219" s="278"/>
    </row>
    <row r="220" spans="1:56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196"/>
      <c r="S220" s="196"/>
      <c r="T220" s="196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</row>
    <row r="221" spans="1:56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196"/>
      <c r="S221" s="196"/>
      <c r="T221" s="196"/>
      <c r="U221" s="278"/>
      <c r="V221" s="278"/>
      <c r="W221" s="278"/>
      <c r="X221" s="278"/>
      <c r="Y221" s="278"/>
      <c r="Z221" s="278"/>
      <c r="AA221" s="278"/>
      <c r="AB221" s="278"/>
      <c r="AC221" s="278"/>
      <c r="AD221" s="278"/>
      <c r="AE221" s="278"/>
      <c r="AF221" s="278"/>
      <c r="AG221" s="278"/>
      <c r="AH221" s="278"/>
      <c r="AI221" s="278"/>
      <c r="AJ221" s="278"/>
      <c r="AK221" s="278"/>
      <c r="AL221" s="278"/>
      <c r="AM221" s="278"/>
      <c r="AN221" s="278"/>
      <c r="AO221" s="278"/>
      <c r="AP221" s="278"/>
      <c r="AQ221" s="278"/>
      <c r="AR221" s="278"/>
      <c r="AS221" s="278"/>
      <c r="AT221" s="278"/>
      <c r="AU221" s="278"/>
      <c r="AV221" s="278"/>
      <c r="AW221" s="278"/>
      <c r="AX221" s="278"/>
      <c r="AY221" s="278"/>
      <c r="AZ221" s="278"/>
      <c r="BA221" s="278"/>
      <c r="BB221" s="278"/>
      <c r="BC221" s="278"/>
      <c r="BD221" s="278"/>
    </row>
    <row r="222" spans="1:56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196"/>
      <c r="S222" s="196"/>
      <c r="T222" s="196"/>
      <c r="U222" s="278"/>
      <c r="V222" s="278"/>
      <c r="W222" s="278"/>
      <c r="X222" s="278"/>
      <c r="Y222" s="278"/>
      <c r="Z222" s="278"/>
      <c r="AA222" s="278"/>
      <c r="AB222" s="278"/>
      <c r="AC222" s="278"/>
      <c r="AD222" s="278"/>
      <c r="AE222" s="278"/>
      <c r="AF222" s="278"/>
      <c r="AG222" s="278"/>
      <c r="AH222" s="278"/>
      <c r="AI222" s="278"/>
      <c r="AJ222" s="278"/>
      <c r="AK222" s="278"/>
      <c r="AL222" s="278"/>
      <c r="AM222" s="278"/>
      <c r="AN222" s="278"/>
      <c r="AO222" s="278"/>
      <c r="AP222" s="278"/>
      <c r="AQ222" s="278"/>
      <c r="AR222" s="278"/>
      <c r="AS222" s="278"/>
      <c r="AT222" s="278"/>
      <c r="AU222" s="278"/>
      <c r="AV222" s="278"/>
      <c r="AW222" s="278"/>
      <c r="AX222" s="278"/>
      <c r="AY222" s="278"/>
      <c r="AZ222" s="278"/>
      <c r="BA222" s="278"/>
      <c r="BB222" s="278"/>
      <c r="BC222" s="278"/>
      <c r="BD222" s="278"/>
    </row>
    <row r="223" spans="1:56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196"/>
      <c r="S223" s="196"/>
      <c r="T223" s="196"/>
      <c r="U223" s="278"/>
      <c r="V223" s="278"/>
      <c r="W223" s="278"/>
      <c r="X223" s="278"/>
      <c r="Y223" s="278"/>
      <c r="Z223" s="278"/>
      <c r="AA223" s="278"/>
      <c r="AB223" s="278"/>
      <c r="AC223" s="278"/>
      <c r="AD223" s="278"/>
      <c r="AE223" s="278"/>
      <c r="AF223" s="278"/>
      <c r="AG223" s="278"/>
      <c r="AH223" s="278"/>
      <c r="AI223" s="278"/>
      <c r="AJ223" s="278"/>
      <c r="AK223" s="278"/>
      <c r="AL223" s="278"/>
      <c r="AM223" s="278"/>
      <c r="AN223" s="278"/>
      <c r="AO223" s="278"/>
      <c r="AP223" s="278"/>
      <c r="AQ223" s="278"/>
      <c r="AR223" s="278"/>
      <c r="AS223" s="278"/>
      <c r="AT223" s="278"/>
      <c r="AU223" s="278"/>
      <c r="AV223" s="278"/>
      <c r="AW223" s="278"/>
      <c r="AX223" s="278"/>
      <c r="AY223" s="278"/>
      <c r="AZ223" s="278"/>
      <c r="BA223" s="278"/>
      <c r="BB223" s="278"/>
      <c r="BC223" s="278"/>
      <c r="BD223" s="278"/>
    </row>
    <row r="224" spans="1:56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196"/>
      <c r="S224" s="196"/>
      <c r="T224" s="196"/>
      <c r="U224" s="278"/>
      <c r="V224" s="278"/>
      <c r="W224" s="278"/>
      <c r="X224" s="278"/>
      <c r="Y224" s="278"/>
      <c r="Z224" s="278"/>
      <c r="AA224" s="278"/>
      <c r="AB224" s="278"/>
      <c r="AC224" s="278"/>
      <c r="AD224" s="278"/>
      <c r="AE224" s="278"/>
      <c r="AF224" s="278"/>
      <c r="AG224" s="278"/>
      <c r="AH224" s="278"/>
      <c r="AI224" s="278"/>
      <c r="AJ224" s="278"/>
      <c r="AK224" s="278"/>
      <c r="AL224" s="278"/>
      <c r="AM224" s="278"/>
      <c r="AN224" s="278"/>
      <c r="AO224" s="278"/>
      <c r="AP224" s="278"/>
      <c r="AQ224" s="278"/>
      <c r="AR224" s="278"/>
      <c r="AS224" s="278"/>
      <c r="AT224" s="278"/>
      <c r="AU224" s="278"/>
      <c r="AV224" s="278"/>
      <c r="AW224" s="278"/>
      <c r="AX224" s="278"/>
      <c r="AY224" s="278"/>
      <c r="AZ224" s="278"/>
      <c r="BA224" s="278"/>
      <c r="BB224" s="278"/>
      <c r="BC224" s="278"/>
      <c r="BD224" s="278"/>
    </row>
    <row r="225" spans="1:56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196"/>
      <c r="S225" s="196"/>
      <c r="T225" s="196"/>
      <c r="U225" s="278"/>
      <c r="V225" s="278"/>
      <c r="W225" s="278"/>
      <c r="X225" s="278"/>
      <c r="Y225" s="278"/>
      <c r="Z225" s="278"/>
      <c r="AA225" s="278"/>
      <c r="AB225" s="278"/>
      <c r="AC225" s="278"/>
      <c r="AD225" s="278"/>
      <c r="AE225" s="278"/>
      <c r="AF225" s="278"/>
      <c r="AG225" s="278"/>
      <c r="AH225" s="278"/>
      <c r="AI225" s="278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</row>
    <row r="226" spans="1:56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196"/>
      <c r="S226" s="196"/>
      <c r="T226" s="196"/>
      <c r="U226" s="278"/>
      <c r="V226" s="278"/>
      <c r="W226" s="278"/>
      <c r="X226" s="278"/>
      <c r="Y226" s="278"/>
      <c r="Z226" s="278"/>
      <c r="AA226" s="278"/>
      <c r="AB226" s="278"/>
      <c r="AC226" s="278"/>
      <c r="AD226" s="278"/>
      <c r="AE226" s="278"/>
      <c r="AF226" s="278"/>
      <c r="AG226" s="278"/>
      <c r="AH226" s="278"/>
      <c r="AI226" s="278"/>
      <c r="AJ226" s="278"/>
      <c r="AK226" s="278"/>
      <c r="AL226" s="278"/>
      <c r="AM226" s="278"/>
      <c r="AN226" s="278"/>
      <c r="AO226" s="278"/>
      <c r="AP226" s="278"/>
      <c r="AQ226" s="278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</row>
    <row r="227" spans="1:56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196"/>
      <c r="S227" s="196"/>
      <c r="T227" s="196"/>
      <c r="U227" s="278"/>
      <c r="V227" s="278"/>
      <c r="W227" s="278"/>
      <c r="X227" s="278"/>
      <c r="Y227" s="278"/>
      <c r="Z227" s="278"/>
      <c r="AA227" s="278"/>
      <c r="AB227" s="278"/>
      <c r="AC227" s="278"/>
      <c r="AD227" s="278"/>
      <c r="AE227" s="278"/>
      <c r="AF227" s="278"/>
      <c r="AG227" s="278"/>
      <c r="AH227" s="278"/>
      <c r="AI227" s="278"/>
      <c r="AJ227" s="278"/>
      <c r="AK227" s="278"/>
      <c r="AL227" s="278"/>
      <c r="AM227" s="278"/>
      <c r="AN227" s="278"/>
      <c r="AO227" s="278"/>
      <c r="AP227" s="278"/>
      <c r="AQ227" s="278"/>
      <c r="AR227" s="278"/>
      <c r="AS227" s="278"/>
      <c r="AT227" s="278"/>
      <c r="AU227" s="278"/>
      <c r="AV227" s="278"/>
      <c r="AW227" s="278"/>
      <c r="AX227" s="278"/>
      <c r="AY227" s="278"/>
      <c r="AZ227" s="278"/>
      <c r="BA227" s="278"/>
      <c r="BB227" s="278"/>
      <c r="BC227" s="278"/>
      <c r="BD227" s="278"/>
    </row>
    <row r="228" spans="1:56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196"/>
      <c r="S228" s="196"/>
      <c r="T228" s="196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/>
    </row>
    <row r="229" spans="1:56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196"/>
      <c r="S229" s="196"/>
      <c r="T229" s="196"/>
      <c r="U229" s="278"/>
      <c r="V229" s="278"/>
      <c r="W229" s="278"/>
      <c r="X229" s="278"/>
      <c r="Y229" s="278"/>
      <c r="Z229" s="278"/>
      <c r="AA229" s="278"/>
      <c r="AB229" s="278"/>
      <c r="AC229" s="278"/>
      <c r="AD229" s="278"/>
      <c r="AE229" s="278"/>
      <c r="AF229" s="278"/>
      <c r="AG229" s="278"/>
      <c r="AH229" s="278"/>
      <c r="AI229" s="278"/>
      <c r="AJ229" s="278"/>
      <c r="AK229" s="278"/>
      <c r="AL229" s="278"/>
      <c r="AM229" s="278"/>
      <c r="AN229" s="278"/>
      <c r="AO229" s="278"/>
      <c r="AP229" s="278"/>
      <c r="AQ229" s="278"/>
      <c r="AR229" s="278"/>
      <c r="AS229" s="278"/>
      <c r="AT229" s="278"/>
      <c r="AU229" s="278"/>
      <c r="AV229" s="278"/>
      <c r="AW229" s="278"/>
      <c r="AX229" s="278"/>
      <c r="AY229" s="278"/>
      <c r="AZ229" s="278"/>
      <c r="BA229" s="278"/>
      <c r="BB229" s="278"/>
      <c r="BC229" s="278"/>
      <c r="BD229" s="278"/>
    </row>
    <row r="230" spans="1:56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196"/>
      <c r="S230" s="196"/>
      <c r="T230" s="196"/>
      <c r="U230" s="278"/>
      <c r="V230" s="278"/>
      <c r="W230" s="278"/>
      <c r="X230" s="278"/>
      <c r="Y230" s="278"/>
      <c r="Z230" s="278"/>
      <c r="AA230" s="278"/>
      <c r="AB230" s="278"/>
      <c r="AC230" s="278"/>
      <c r="AD230" s="278"/>
      <c r="AE230" s="278"/>
      <c r="AF230" s="278"/>
      <c r="AG230" s="278"/>
      <c r="AH230" s="278"/>
      <c r="AI230" s="278"/>
      <c r="AJ230" s="278"/>
      <c r="AK230" s="278"/>
      <c r="AL230" s="278"/>
      <c r="AM230" s="278"/>
      <c r="AN230" s="278"/>
      <c r="AO230" s="278"/>
      <c r="AP230" s="278"/>
      <c r="AQ230" s="278"/>
      <c r="AR230" s="278"/>
      <c r="AS230" s="278"/>
      <c r="AT230" s="278"/>
      <c r="AU230" s="278"/>
      <c r="AV230" s="278"/>
      <c r="AW230" s="278"/>
      <c r="AX230" s="278"/>
      <c r="AY230" s="278"/>
      <c r="AZ230" s="278"/>
      <c r="BA230" s="278"/>
      <c r="BB230" s="278"/>
      <c r="BC230" s="278"/>
      <c r="BD230" s="278"/>
    </row>
    <row r="231" spans="1:56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196"/>
      <c r="S231" s="196"/>
      <c r="T231" s="196"/>
      <c r="U231" s="278"/>
      <c r="V231" s="278"/>
      <c r="W231" s="278"/>
      <c r="X231" s="278"/>
      <c r="Y231" s="278"/>
      <c r="Z231" s="278"/>
      <c r="AA231" s="278"/>
      <c r="AB231" s="278"/>
      <c r="AC231" s="278"/>
      <c r="AD231" s="278"/>
      <c r="AE231" s="278"/>
      <c r="AF231" s="278"/>
      <c r="AG231" s="278"/>
      <c r="AH231" s="278"/>
      <c r="AI231" s="278"/>
      <c r="AJ231" s="278"/>
      <c r="AK231" s="278"/>
      <c r="AL231" s="278"/>
      <c r="AM231" s="278"/>
      <c r="AN231" s="278"/>
      <c r="AO231" s="278"/>
      <c r="AP231" s="278"/>
      <c r="AQ231" s="278"/>
      <c r="AR231" s="278"/>
      <c r="AS231" s="278"/>
      <c r="AT231" s="278"/>
      <c r="AU231" s="278"/>
      <c r="AV231" s="278"/>
      <c r="AW231" s="278"/>
      <c r="AX231" s="278"/>
      <c r="AY231" s="278"/>
      <c r="AZ231" s="278"/>
      <c r="BA231" s="278"/>
      <c r="BB231" s="278"/>
      <c r="BC231" s="278"/>
      <c r="BD231" s="278"/>
    </row>
    <row r="232" spans="1:56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196"/>
      <c r="S232" s="196"/>
      <c r="T232" s="196"/>
      <c r="U232" s="278"/>
      <c r="V232" s="278"/>
      <c r="W232" s="278"/>
      <c r="X232" s="278"/>
      <c r="Y232" s="278"/>
      <c r="Z232" s="278"/>
      <c r="AA232" s="278"/>
      <c r="AB232" s="278"/>
      <c r="AC232" s="278"/>
      <c r="AD232" s="278"/>
      <c r="AE232" s="278"/>
      <c r="AF232" s="278"/>
      <c r="AG232" s="278"/>
      <c r="AH232" s="278"/>
      <c r="AI232" s="278"/>
      <c r="AJ232" s="278"/>
      <c r="AK232" s="278"/>
      <c r="AL232" s="278"/>
      <c r="AM232" s="278"/>
      <c r="AN232" s="278"/>
      <c r="AO232" s="278"/>
      <c r="AP232" s="278"/>
      <c r="AQ232" s="278"/>
      <c r="AR232" s="278"/>
      <c r="AS232" s="278"/>
      <c r="AT232" s="278"/>
      <c r="AU232" s="278"/>
      <c r="AV232" s="278"/>
      <c r="AW232" s="278"/>
      <c r="AX232" s="278"/>
      <c r="AY232" s="278"/>
      <c r="AZ232" s="278"/>
      <c r="BA232" s="278"/>
      <c r="BB232" s="278"/>
      <c r="BC232" s="278"/>
      <c r="BD232" s="278"/>
    </row>
    <row r="233" spans="1:56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196"/>
      <c r="S233" s="196"/>
      <c r="T233" s="196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/>
    </row>
    <row r="234" spans="1:56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196"/>
      <c r="S234" s="196"/>
      <c r="T234" s="196"/>
      <c r="U234" s="278"/>
      <c r="V234" s="278"/>
      <c r="W234" s="278"/>
      <c r="X234" s="278"/>
      <c r="Y234" s="278"/>
      <c r="Z234" s="278"/>
      <c r="AA234" s="278"/>
      <c r="AB234" s="278"/>
      <c r="AC234" s="278"/>
      <c r="AD234" s="278"/>
      <c r="AE234" s="278"/>
      <c r="AF234" s="278"/>
      <c r="AG234" s="278"/>
      <c r="AH234" s="278"/>
      <c r="AI234" s="278"/>
      <c r="AJ234" s="278"/>
      <c r="AK234" s="278"/>
      <c r="AL234" s="278"/>
      <c r="AM234" s="278"/>
      <c r="AN234" s="278"/>
      <c r="AO234" s="278"/>
      <c r="AP234" s="278"/>
      <c r="AQ234" s="278"/>
      <c r="AR234" s="278"/>
      <c r="AS234" s="278"/>
      <c r="AT234" s="278"/>
      <c r="AU234" s="278"/>
      <c r="AV234" s="278"/>
      <c r="AW234" s="278"/>
      <c r="AX234" s="278"/>
      <c r="AY234" s="278"/>
      <c r="AZ234" s="278"/>
      <c r="BA234" s="278"/>
      <c r="BB234" s="278"/>
      <c r="BC234" s="278"/>
      <c r="BD234" s="278"/>
    </row>
    <row r="235" spans="1:56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196"/>
      <c r="S235" s="196"/>
      <c r="T235" s="196"/>
      <c r="U235" s="278"/>
      <c r="V235" s="278"/>
      <c r="W235" s="278"/>
      <c r="X235" s="278"/>
      <c r="Y235" s="278"/>
      <c r="Z235" s="278"/>
      <c r="AA235" s="278"/>
      <c r="AB235" s="278"/>
      <c r="AC235" s="278"/>
      <c r="AD235" s="278"/>
      <c r="AE235" s="278"/>
      <c r="AF235" s="278"/>
      <c r="AG235" s="278"/>
      <c r="AH235" s="278"/>
      <c r="AI235" s="278"/>
      <c r="AJ235" s="278"/>
      <c r="AK235" s="278"/>
      <c r="AL235" s="278"/>
      <c r="AM235" s="278"/>
      <c r="AN235" s="278"/>
      <c r="AO235" s="278"/>
      <c r="AP235" s="278"/>
      <c r="AQ235" s="278"/>
      <c r="AR235" s="278"/>
      <c r="AS235" s="278"/>
      <c r="AT235" s="278"/>
      <c r="AU235" s="278"/>
      <c r="AV235" s="278"/>
      <c r="AW235" s="278"/>
      <c r="AX235" s="278"/>
      <c r="AY235" s="278"/>
      <c r="AZ235" s="278"/>
      <c r="BA235" s="278"/>
      <c r="BB235" s="278"/>
      <c r="BC235" s="278"/>
      <c r="BD235" s="278"/>
    </row>
    <row r="236" spans="1:56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196"/>
      <c r="S236" s="196"/>
      <c r="T236" s="196"/>
      <c r="U236" s="278"/>
      <c r="V236" s="278"/>
      <c r="W236" s="278"/>
      <c r="X236" s="278"/>
      <c r="Y236" s="278"/>
      <c r="Z236" s="278"/>
      <c r="AA236" s="278"/>
      <c r="AB236" s="278"/>
      <c r="AC236" s="278"/>
      <c r="AD236" s="278"/>
      <c r="AE236" s="278"/>
      <c r="AF236" s="278"/>
      <c r="AG236" s="278"/>
      <c r="AH236" s="278"/>
      <c r="AI236" s="278"/>
      <c r="AJ236" s="278"/>
      <c r="AK236" s="278"/>
      <c r="AL236" s="278"/>
      <c r="AM236" s="278"/>
      <c r="AN236" s="278"/>
      <c r="AO236" s="278"/>
      <c r="AP236" s="278"/>
      <c r="AQ236" s="278"/>
      <c r="AR236" s="278"/>
      <c r="AS236" s="278"/>
      <c r="AT236" s="278"/>
      <c r="AU236" s="278"/>
      <c r="AV236" s="278"/>
      <c r="AW236" s="278"/>
      <c r="AX236" s="278"/>
      <c r="AY236" s="278"/>
      <c r="AZ236" s="278"/>
      <c r="BA236" s="278"/>
      <c r="BB236" s="278"/>
      <c r="BC236" s="278"/>
      <c r="BD236" s="278"/>
    </row>
    <row r="237" spans="1:56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196"/>
      <c r="S237" s="196"/>
      <c r="T237" s="196"/>
      <c r="U237" s="278"/>
      <c r="V237" s="278"/>
      <c r="W237" s="278"/>
      <c r="X237" s="278"/>
      <c r="Y237" s="278"/>
      <c r="Z237" s="278"/>
      <c r="AA237" s="278"/>
      <c r="AB237" s="278"/>
      <c r="AC237" s="278"/>
      <c r="AD237" s="278"/>
      <c r="AE237" s="278"/>
      <c r="AF237" s="278"/>
      <c r="AG237" s="278"/>
      <c r="AH237" s="278"/>
      <c r="AI237" s="278"/>
      <c r="AJ237" s="278"/>
      <c r="AK237" s="278"/>
      <c r="AL237" s="278"/>
      <c r="AM237" s="278"/>
      <c r="AN237" s="278"/>
      <c r="AO237" s="278"/>
      <c r="AP237" s="278"/>
      <c r="AQ237" s="278"/>
      <c r="AR237" s="278"/>
      <c r="AS237" s="278"/>
      <c r="AT237" s="278"/>
      <c r="AU237" s="278"/>
      <c r="AV237" s="278"/>
      <c r="AW237" s="278"/>
      <c r="AX237" s="278"/>
      <c r="AY237" s="278"/>
      <c r="AZ237" s="278"/>
      <c r="BA237" s="278"/>
      <c r="BB237" s="278"/>
      <c r="BC237" s="278"/>
      <c r="BD237" s="278"/>
    </row>
    <row r="238" spans="1:56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196"/>
      <c r="S238" s="196"/>
      <c r="T238" s="196"/>
      <c r="U238" s="278"/>
      <c r="V238" s="278"/>
      <c r="W238" s="278"/>
      <c r="X238" s="278"/>
      <c r="Y238" s="278"/>
      <c r="Z238" s="278"/>
      <c r="AA238" s="278"/>
      <c r="AB238" s="278"/>
      <c r="AC238" s="278"/>
      <c r="AD238" s="278"/>
      <c r="AE238" s="278"/>
      <c r="AF238" s="278"/>
      <c r="AG238" s="278"/>
      <c r="AH238" s="278"/>
      <c r="AI238" s="278"/>
      <c r="AJ238" s="278"/>
      <c r="AK238" s="278"/>
      <c r="AL238" s="278"/>
      <c r="AM238" s="278"/>
      <c r="AN238" s="278"/>
      <c r="AO238" s="278"/>
      <c r="AP238" s="278"/>
      <c r="AQ238" s="278"/>
      <c r="AR238" s="278"/>
      <c r="AS238" s="278"/>
      <c r="AT238" s="278"/>
      <c r="AU238" s="278"/>
      <c r="AV238" s="278"/>
      <c r="AW238" s="278"/>
      <c r="AX238" s="278"/>
      <c r="AY238" s="278"/>
      <c r="AZ238" s="278"/>
      <c r="BA238" s="278"/>
      <c r="BB238" s="278"/>
      <c r="BC238" s="278"/>
      <c r="BD238" s="278"/>
    </row>
    <row r="239" spans="1:56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196"/>
      <c r="S239" s="196"/>
      <c r="T239" s="196"/>
      <c r="U239" s="278"/>
      <c r="V239" s="278"/>
      <c r="W239" s="278"/>
      <c r="X239" s="278"/>
      <c r="Y239" s="278"/>
      <c r="Z239" s="278"/>
      <c r="AA239" s="278"/>
      <c r="AB239" s="278"/>
      <c r="AC239" s="278"/>
      <c r="AD239" s="278"/>
      <c r="AE239" s="278"/>
      <c r="AF239" s="278"/>
      <c r="AG239" s="278"/>
      <c r="AH239" s="278"/>
      <c r="AI239" s="278"/>
      <c r="AJ239" s="278"/>
      <c r="AK239" s="278"/>
      <c r="AL239" s="278"/>
      <c r="AM239" s="278"/>
      <c r="AN239" s="278"/>
      <c r="AO239" s="278"/>
      <c r="AP239" s="278"/>
      <c r="AQ239" s="278"/>
      <c r="AR239" s="278"/>
      <c r="AS239" s="278"/>
      <c r="AT239" s="278"/>
      <c r="AU239" s="278"/>
      <c r="AV239" s="278"/>
      <c r="AW239" s="278"/>
      <c r="AX239" s="278"/>
      <c r="AY239" s="278"/>
      <c r="AZ239" s="278"/>
      <c r="BA239" s="278"/>
      <c r="BB239" s="278"/>
      <c r="BC239" s="278"/>
      <c r="BD239" s="278"/>
    </row>
    <row r="240" spans="1:56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196"/>
      <c r="S240" s="196"/>
      <c r="T240" s="196"/>
      <c r="U240" s="278"/>
      <c r="V240" s="278"/>
      <c r="W240" s="278"/>
      <c r="X240" s="278"/>
      <c r="Y240" s="278"/>
      <c r="Z240" s="278"/>
      <c r="AA240" s="278"/>
      <c r="AB240" s="278"/>
      <c r="AC240" s="278"/>
      <c r="AD240" s="278"/>
      <c r="AE240" s="278"/>
      <c r="AF240" s="278"/>
      <c r="AG240" s="278"/>
      <c r="AH240" s="278"/>
      <c r="AI240" s="278"/>
      <c r="AJ240" s="278"/>
      <c r="AK240" s="278"/>
      <c r="AL240" s="278"/>
      <c r="AM240" s="278"/>
      <c r="AN240" s="278"/>
      <c r="AO240" s="278"/>
      <c r="AP240" s="278"/>
      <c r="AQ240" s="278"/>
      <c r="AR240" s="278"/>
      <c r="AS240" s="278"/>
      <c r="AT240" s="278"/>
      <c r="AU240" s="278"/>
      <c r="AV240" s="278"/>
      <c r="AW240" s="278"/>
      <c r="AX240" s="278"/>
      <c r="AY240" s="278"/>
      <c r="AZ240" s="278"/>
      <c r="BA240" s="278"/>
      <c r="BB240" s="278"/>
      <c r="BC240" s="278"/>
      <c r="BD240" s="278"/>
    </row>
    <row r="241" spans="1:56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196"/>
      <c r="S241" s="196"/>
      <c r="T241" s="196"/>
      <c r="U241" s="278"/>
      <c r="V241" s="278"/>
      <c r="W241" s="278"/>
      <c r="X241" s="278"/>
      <c r="Y241" s="278"/>
      <c r="Z241" s="278"/>
      <c r="AA241" s="278"/>
      <c r="AB241" s="278"/>
      <c r="AC241" s="278"/>
      <c r="AD241" s="278"/>
      <c r="AE241" s="278"/>
      <c r="AF241" s="278"/>
      <c r="AG241" s="278"/>
      <c r="AH241" s="278"/>
      <c r="AI241" s="278"/>
      <c r="AJ241" s="278"/>
      <c r="AK241" s="278"/>
      <c r="AL241" s="278"/>
      <c r="AM241" s="278"/>
      <c r="AN241" s="278"/>
      <c r="AO241" s="278"/>
      <c r="AP241" s="278"/>
      <c r="AQ241" s="278"/>
      <c r="AR241" s="278"/>
      <c r="AS241" s="278"/>
      <c r="AT241" s="278"/>
      <c r="AU241" s="278"/>
      <c r="AV241" s="278"/>
      <c r="AW241" s="278"/>
      <c r="AX241" s="278"/>
      <c r="AY241" s="278"/>
      <c r="AZ241" s="278"/>
      <c r="BA241" s="278"/>
      <c r="BB241" s="278"/>
      <c r="BC241" s="278"/>
      <c r="BD241" s="278"/>
    </row>
    <row r="242" spans="1:56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196"/>
      <c r="S242" s="196"/>
      <c r="T242" s="196"/>
      <c r="U242" s="278"/>
      <c r="V242" s="278"/>
      <c r="W242" s="278"/>
      <c r="X242" s="278"/>
      <c r="Y242" s="278"/>
      <c r="Z242" s="278"/>
      <c r="AA242" s="278"/>
      <c r="AB242" s="278"/>
      <c r="AC242" s="278"/>
      <c r="AD242" s="278"/>
      <c r="AE242" s="278"/>
      <c r="AF242" s="278"/>
      <c r="AG242" s="278"/>
      <c r="AH242" s="278"/>
      <c r="AI242" s="278"/>
      <c r="AJ242" s="278"/>
      <c r="AK242" s="278"/>
      <c r="AL242" s="278"/>
      <c r="AM242" s="278"/>
      <c r="AN242" s="278"/>
      <c r="AO242" s="278"/>
      <c r="AP242" s="278"/>
      <c r="AQ242" s="278"/>
      <c r="AR242" s="278"/>
      <c r="AS242" s="278"/>
      <c r="AT242" s="278"/>
      <c r="AU242" s="278"/>
      <c r="AV242" s="278"/>
      <c r="AW242" s="278"/>
      <c r="AX242" s="278"/>
      <c r="AY242" s="278"/>
      <c r="AZ242" s="278"/>
      <c r="BA242" s="278"/>
      <c r="BB242" s="278"/>
      <c r="BC242" s="278"/>
      <c r="BD242" s="278"/>
    </row>
    <row r="243" spans="1:56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196"/>
      <c r="S243" s="196"/>
      <c r="T243" s="196"/>
      <c r="U243" s="278"/>
      <c r="V243" s="278"/>
      <c r="W243" s="278"/>
      <c r="X243" s="278"/>
      <c r="Y243" s="278"/>
      <c r="Z243" s="278"/>
      <c r="AA243" s="278"/>
      <c r="AB243" s="278"/>
      <c r="AC243" s="278"/>
      <c r="AD243" s="278"/>
      <c r="AE243" s="278"/>
      <c r="AF243" s="278"/>
      <c r="AG243" s="278"/>
      <c r="AH243" s="278"/>
      <c r="AI243" s="278"/>
      <c r="AJ243" s="278"/>
      <c r="AK243" s="278"/>
      <c r="AL243" s="278"/>
      <c r="AM243" s="278"/>
      <c r="AN243" s="278"/>
      <c r="AO243" s="278"/>
      <c r="AP243" s="278"/>
      <c r="AQ243" s="278"/>
      <c r="AR243" s="278"/>
      <c r="AS243" s="278"/>
      <c r="AT243" s="278"/>
      <c r="AU243" s="278"/>
      <c r="AV243" s="278"/>
      <c r="AW243" s="278"/>
      <c r="AX243" s="278"/>
      <c r="AY243" s="278"/>
      <c r="AZ243" s="278"/>
      <c r="BA243" s="278"/>
      <c r="BB243" s="278"/>
      <c r="BC243" s="278"/>
      <c r="BD243" s="278"/>
    </row>
    <row r="244" spans="1:56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196"/>
      <c r="S244" s="196"/>
      <c r="T244" s="196"/>
      <c r="U244" s="278"/>
      <c r="V244" s="278"/>
      <c r="W244" s="278"/>
      <c r="X244" s="278"/>
      <c r="Y244" s="278"/>
      <c r="Z244" s="278"/>
      <c r="AA244" s="278"/>
      <c r="AB244" s="278"/>
      <c r="AC244" s="278"/>
      <c r="AD244" s="278"/>
      <c r="AE244" s="278"/>
      <c r="AF244" s="278"/>
      <c r="AG244" s="278"/>
      <c r="AH244" s="278"/>
      <c r="AI244" s="278"/>
      <c r="AJ244" s="278"/>
      <c r="AK244" s="278"/>
      <c r="AL244" s="278"/>
      <c r="AM244" s="278"/>
      <c r="AN244" s="278"/>
      <c r="AO244" s="278"/>
      <c r="AP244" s="278"/>
      <c r="AQ244" s="278"/>
      <c r="AR244" s="278"/>
      <c r="AS244" s="278"/>
      <c r="AT244" s="278"/>
      <c r="AU244" s="278"/>
      <c r="AV244" s="278"/>
      <c r="AW244" s="278"/>
      <c r="AX244" s="278"/>
      <c r="AY244" s="278"/>
      <c r="AZ244" s="278"/>
      <c r="BA244" s="278"/>
      <c r="BB244" s="278"/>
      <c r="BC244" s="278"/>
      <c r="BD244" s="278"/>
    </row>
    <row r="245" spans="1:56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196"/>
      <c r="S245" s="196"/>
      <c r="T245" s="196"/>
      <c r="U245" s="278"/>
      <c r="V245" s="278"/>
      <c r="W245" s="278"/>
      <c r="X245" s="278"/>
      <c r="Y245" s="278"/>
      <c r="Z245" s="278"/>
      <c r="AA245" s="278"/>
      <c r="AB245" s="278"/>
      <c r="AC245" s="278"/>
      <c r="AD245" s="278"/>
      <c r="AE245" s="278"/>
      <c r="AF245" s="278"/>
      <c r="AG245" s="278"/>
      <c r="AH245" s="278"/>
      <c r="AI245" s="278"/>
      <c r="AJ245" s="278"/>
      <c r="AK245" s="278"/>
      <c r="AL245" s="278"/>
      <c r="AM245" s="278"/>
      <c r="AN245" s="278"/>
      <c r="AO245" s="278"/>
      <c r="AP245" s="278"/>
      <c r="AQ245" s="278"/>
      <c r="AR245" s="278"/>
      <c r="AS245" s="278"/>
      <c r="AT245" s="278"/>
      <c r="AU245" s="278"/>
      <c r="AV245" s="278"/>
      <c r="AW245" s="278"/>
      <c r="AX245" s="278"/>
      <c r="AY245" s="278"/>
      <c r="AZ245" s="278"/>
      <c r="BA245" s="278"/>
      <c r="BB245" s="278"/>
      <c r="BC245" s="278"/>
      <c r="BD245" s="278"/>
    </row>
    <row r="246" spans="1:56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196"/>
      <c r="S246" s="196"/>
      <c r="T246" s="196"/>
      <c r="U246" s="278"/>
      <c r="V246" s="278"/>
      <c r="W246" s="278"/>
      <c r="X246" s="278"/>
      <c r="Y246" s="278"/>
      <c r="Z246" s="278"/>
      <c r="AA246" s="278"/>
      <c r="AB246" s="278"/>
      <c r="AC246" s="278"/>
      <c r="AD246" s="278"/>
      <c r="AE246" s="278"/>
      <c r="AF246" s="278"/>
      <c r="AG246" s="278"/>
      <c r="AH246" s="278"/>
      <c r="AI246" s="278"/>
      <c r="AJ246" s="278"/>
      <c r="AK246" s="278"/>
      <c r="AL246" s="278"/>
      <c r="AM246" s="278"/>
      <c r="AN246" s="278"/>
      <c r="AO246" s="278"/>
      <c r="AP246" s="278"/>
      <c r="AQ246" s="278"/>
      <c r="AR246" s="278"/>
      <c r="AS246" s="278"/>
      <c r="AT246" s="278"/>
      <c r="AU246" s="278"/>
      <c r="AV246" s="278"/>
      <c r="AW246" s="278"/>
      <c r="AX246" s="278"/>
      <c r="AY246" s="278"/>
      <c r="AZ246" s="278"/>
      <c r="BA246" s="278"/>
      <c r="BB246" s="278"/>
      <c r="BC246" s="278"/>
      <c r="BD246" s="278"/>
    </row>
    <row r="247" spans="1:56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196"/>
      <c r="S247" s="196"/>
      <c r="T247" s="196"/>
      <c r="U247" s="278"/>
      <c r="V247" s="278"/>
      <c r="W247" s="278"/>
      <c r="X247" s="278"/>
      <c r="Y247" s="278"/>
      <c r="Z247" s="278"/>
      <c r="AA247" s="278"/>
      <c r="AB247" s="278"/>
      <c r="AC247" s="278"/>
      <c r="AD247" s="278"/>
      <c r="AE247" s="278"/>
      <c r="AF247" s="278"/>
      <c r="AG247" s="278"/>
      <c r="AH247" s="278"/>
      <c r="AI247" s="278"/>
      <c r="AJ247" s="278"/>
      <c r="AK247" s="278"/>
      <c r="AL247" s="278"/>
      <c r="AM247" s="278"/>
      <c r="AN247" s="278"/>
      <c r="AO247" s="278"/>
      <c r="AP247" s="278"/>
      <c r="AQ247" s="278"/>
      <c r="AR247" s="278"/>
      <c r="AS247" s="278"/>
      <c r="AT247" s="278"/>
      <c r="AU247" s="278"/>
      <c r="AV247" s="278"/>
      <c r="AW247" s="278"/>
      <c r="AX247" s="278"/>
      <c r="AY247" s="278"/>
      <c r="AZ247" s="278"/>
      <c r="BA247" s="278"/>
      <c r="BB247" s="278"/>
      <c r="BC247" s="278"/>
      <c r="BD247" s="278"/>
    </row>
    <row r="248" spans="1:56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196"/>
      <c r="S248" s="196"/>
      <c r="T248" s="196"/>
      <c r="U248" s="278"/>
      <c r="V248" s="278"/>
      <c r="W248" s="278"/>
      <c r="X248" s="278"/>
      <c r="Y248" s="278"/>
      <c r="Z248" s="278"/>
      <c r="AA248" s="278"/>
      <c r="AB248" s="278"/>
      <c r="AC248" s="278"/>
      <c r="AD248" s="278"/>
      <c r="AE248" s="278"/>
      <c r="AF248" s="278"/>
      <c r="AG248" s="278"/>
      <c r="AH248" s="278"/>
      <c r="AI248" s="278"/>
      <c r="AJ248" s="278"/>
      <c r="AK248" s="278"/>
      <c r="AL248" s="278"/>
      <c r="AM248" s="278"/>
      <c r="AN248" s="278"/>
      <c r="AO248" s="278"/>
      <c r="AP248" s="278"/>
      <c r="AQ248" s="278"/>
      <c r="AR248" s="278"/>
      <c r="AS248" s="278"/>
      <c r="AT248" s="278"/>
      <c r="AU248" s="278"/>
      <c r="AV248" s="278"/>
      <c r="AW248" s="278"/>
      <c r="AX248" s="278"/>
      <c r="AY248" s="278"/>
      <c r="AZ248" s="278"/>
      <c r="BA248" s="278"/>
      <c r="BB248" s="278"/>
      <c r="BC248" s="278"/>
      <c r="BD248" s="278"/>
    </row>
    <row r="249" spans="1:56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196"/>
      <c r="S249" s="196"/>
      <c r="T249" s="196"/>
      <c r="U249" s="278"/>
      <c r="V249" s="278"/>
      <c r="W249" s="278"/>
      <c r="X249" s="278"/>
      <c r="Y249" s="278"/>
      <c r="Z249" s="278"/>
      <c r="AA249" s="278"/>
      <c r="AB249" s="278"/>
      <c r="AC249" s="278"/>
      <c r="AD249" s="278"/>
      <c r="AE249" s="278"/>
      <c r="AF249" s="278"/>
      <c r="AG249" s="278"/>
      <c r="AH249" s="278"/>
      <c r="AI249" s="278"/>
      <c r="AJ249" s="278"/>
      <c r="AK249" s="278"/>
      <c r="AL249" s="278"/>
      <c r="AM249" s="278"/>
      <c r="AN249" s="278"/>
      <c r="AO249" s="278"/>
      <c r="AP249" s="278"/>
      <c r="AQ249" s="278"/>
      <c r="AR249" s="278"/>
      <c r="AS249" s="278"/>
      <c r="AT249" s="278"/>
      <c r="AU249" s="278"/>
      <c r="AV249" s="278"/>
      <c r="AW249" s="278"/>
      <c r="AX249" s="278"/>
      <c r="AY249" s="278"/>
      <c r="AZ249" s="278"/>
      <c r="BA249" s="278"/>
      <c r="BB249" s="278"/>
      <c r="BC249" s="278"/>
      <c r="BD249" s="278"/>
    </row>
    <row r="250" spans="1:56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196"/>
      <c r="S250" s="196"/>
      <c r="T250" s="196"/>
      <c r="U250" s="278"/>
      <c r="V250" s="278"/>
      <c r="W250" s="278"/>
      <c r="X250" s="278"/>
      <c r="Y250" s="278"/>
      <c r="Z250" s="278"/>
      <c r="AA250" s="278"/>
      <c r="AB250" s="278"/>
      <c r="AC250" s="278"/>
      <c r="AD250" s="278"/>
      <c r="AE250" s="278"/>
      <c r="AF250" s="278"/>
      <c r="AG250" s="278"/>
      <c r="AH250" s="278"/>
      <c r="AI250" s="278"/>
      <c r="AJ250" s="278"/>
      <c r="AK250" s="278"/>
      <c r="AL250" s="278"/>
      <c r="AM250" s="278"/>
      <c r="AN250" s="278"/>
      <c r="AO250" s="278"/>
      <c r="AP250" s="278"/>
      <c r="AQ250" s="278"/>
      <c r="AR250" s="278"/>
      <c r="AS250" s="278"/>
      <c r="AT250" s="278"/>
      <c r="AU250" s="278"/>
      <c r="AV250" s="278"/>
      <c r="AW250" s="278"/>
      <c r="AX250" s="278"/>
      <c r="AY250" s="278"/>
      <c r="AZ250" s="278"/>
      <c r="BA250" s="278"/>
      <c r="BB250" s="278"/>
      <c r="BC250" s="278"/>
      <c r="BD250" s="278"/>
    </row>
    <row r="251" spans="1:56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196"/>
      <c r="S251" s="196"/>
      <c r="T251" s="196"/>
      <c r="U251" s="278"/>
      <c r="V251" s="278"/>
      <c r="W251" s="278"/>
      <c r="X251" s="278"/>
      <c r="Y251" s="278"/>
      <c r="Z251" s="278"/>
      <c r="AA251" s="278"/>
      <c r="AB251" s="278"/>
      <c r="AC251" s="278"/>
      <c r="AD251" s="278"/>
      <c r="AE251" s="278"/>
      <c r="AF251" s="278"/>
      <c r="AG251" s="278"/>
      <c r="AH251" s="278"/>
      <c r="AI251" s="278"/>
      <c r="AJ251" s="278"/>
      <c r="AK251" s="278"/>
      <c r="AL251" s="278"/>
      <c r="AM251" s="278"/>
      <c r="AN251" s="278"/>
      <c r="AO251" s="278"/>
      <c r="AP251" s="278"/>
      <c r="AQ251" s="278"/>
      <c r="AR251" s="278"/>
      <c r="AS251" s="278"/>
      <c r="AT251" s="278"/>
      <c r="AU251" s="278"/>
      <c r="AV251" s="278"/>
      <c r="AW251" s="278"/>
      <c r="AX251" s="278"/>
      <c r="AY251" s="278"/>
      <c r="AZ251" s="278"/>
      <c r="BA251" s="278"/>
      <c r="BB251" s="278"/>
      <c r="BC251" s="278"/>
      <c r="BD251" s="278"/>
    </row>
    <row r="252" spans="1:56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196"/>
      <c r="S252" s="196"/>
      <c r="T252" s="196"/>
      <c r="U252" s="278"/>
      <c r="V252" s="278"/>
      <c r="W252" s="278"/>
      <c r="X252" s="278"/>
      <c r="Y252" s="278"/>
      <c r="Z252" s="278"/>
      <c r="AA252" s="278"/>
      <c r="AB252" s="278"/>
      <c r="AC252" s="278"/>
      <c r="AD252" s="278"/>
      <c r="AE252" s="278"/>
      <c r="AF252" s="278"/>
      <c r="AG252" s="278"/>
      <c r="AH252" s="278"/>
      <c r="AI252" s="278"/>
      <c r="AJ252" s="278"/>
      <c r="AK252" s="278"/>
      <c r="AL252" s="278"/>
      <c r="AM252" s="278"/>
      <c r="AN252" s="278"/>
      <c r="AO252" s="278"/>
      <c r="AP252" s="278"/>
      <c r="AQ252" s="278"/>
      <c r="AR252" s="278"/>
      <c r="AS252" s="278"/>
      <c r="AT252" s="278"/>
      <c r="AU252" s="278"/>
      <c r="AV252" s="278"/>
      <c r="AW252" s="278"/>
      <c r="AX252" s="278"/>
      <c r="AY252" s="278"/>
      <c r="AZ252" s="278"/>
      <c r="BA252" s="278"/>
      <c r="BB252" s="278"/>
      <c r="BC252" s="278"/>
      <c r="BD252" s="278"/>
    </row>
    <row r="253" spans="1:56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196"/>
      <c r="S253" s="196"/>
      <c r="T253" s="196"/>
      <c r="U253" s="278"/>
      <c r="V253" s="278"/>
      <c r="W253" s="278"/>
      <c r="X253" s="278"/>
      <c r="Y253" s="278"/>
      <c r="Z253" s="278"/>
      <c r="AA253" s="278"/>
      <c r="AB253" s="278"/>
      <c r="AC253" s="278"/>
      <c r="AD253" s="278"/>
      <c r="AE253" s="278"/>
      <c r="AF253" s="278"/>
      <c r="AG253" s="278"/>
      <c r="AH253" s="278"/>
      <c r="AI253" s="278"/>
      <c r="AJ253" s="278"/>
      <c r="AK253" s="278"/>
      <c r="AL253" s="278"/>
      <c r="AM253" s="278"/>
      <c r="AN253" s="278"/>
      <c r="AO253" s="278"/>
      <c r="AP253" s="278"/>
      <c r="AQ253" s="278"/>
      <c r="AR253" s="278"/>
      <c r="AS253" s="278"/>
      <c r="AT253" s="278"/>
      <c r="AU253" s="278"/>
      <c r="AV253" s="278"/>
      <c r="AW253" s="278"/>
      <c r="AX253" s="278"/>
      <c r="AY253" s="278"/>
      <c r="AZ253" s="278"/>
      <c r="BA253" s="278"/>
      <c r="BB253" s="278"/>
      <c r="BC253" s="278"/>
      <c r="BD253" s="278"/>
    </row>
    <row r="254" spans="1:56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196"/>
      <c r="S254" s="196"/>
      <c r="T254" s="196"/>
      <c r="U254" s="278"/>
      <c r="V254" s="278"/>
      <c r="W254" s="278"/>
      <c r="X254" s="278"/>
      <c r="Y254" s="278"/>
      <c r="Z254" s="278"/>
      <c r="AA254" s="278"/>
      <c r="AB254" s="278"/>
      <c r="AC254" s="278"/>
      <c r="AD254" s="278"/>
      <c r="AE254" s="278"/>
      <c r="AF254" s="278"/>
      <c r="AG254" s="278"/>
      <c r="AH254" s="278"/>
      <c r="AI254" s="278"/>
      <c r="AJ254" s="278"/>
      <c r="AK254" s="278"/>
      <c r="AL254" s="278"/>
      <c r="AM254" s="278"/>
      <c r="AN254" s="278"/>
      <c r="AO254" s="278"/>
      <c r="AP254" s="278"/>
      <c r="AQ254" s="278"/>
      <c r="AR254" s="278"/>
      <c r="AS254" s="278"/>
      <c r="AT254" s="278"/>
      <c r="AU254" s="278"/>
      <c r="AV254" s="278"/>
      <c r="AW254" s="278"/>
      <c r="AX254" s="278"/>
      <c r="AY254" s="278"/>
      <c r="AZ254" s="278"/>
      <c r="BA254" s="278"/>
      <c r="BB254" s="278"/>
      <c r="BC254" s="278"/>
      <c r="BD254" s="278"/>
    </row>
    <row r="255" spans="1:56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196"/>
      <c r="S255" s="196"/>
      <c r="T255" s="196"/>
      <c r="U255" s="278"/>
      <c r="V255" s="278"/>
      <c r="W255" s="278"/>
      <c r="X255" s="278"/>
      <c r="Y255" s="278"/>
      <c r="Z255" s="278"/>
      <c r="AA255" s="278"/>
      <c r="AB255" s="278"/>
      <c r="AC255" s="278"/>
      <c r="AD255" s="278"/>
      <c r="AE255" s="278"/>
      <c r="AF255" s="278"/>
      <c r="AG255" s="278"/>
      <c r="AH255" s="278"/>
      <c r="AI255" s="278"/>
      <c r="AJ255" s="278"/>
      <c r="AK255" s="278"/>
      <c r="AL255" s="278"/>
      <c r="AM255" s="278"/>
      <c r="AN255" s="278"/>
      <c r="AO255" s="278"/>
      <c r="AP255" s="278"/>
      <c r="AQ255" s="278"/>
      <c r="AR255" s="278"/>
      <c r="AS255" s="278"/>
      <c r="AT255" s="278"/>
      <c r="AU255" s="278"/>
      <c r="AV255" s="278"/>
      <c r="AW255" s="278"/>
      <c r="AX255" s="278"/>
      <c r="AY255" s="278"/>
      <c r="AZ255" s="278"/>
      <c r="BA255" s="278"/>
      <c r="BB255" s="278"/>
      <c r="BC255" s="278"/>
      <c r="BD255" s="278"/>
    </row>
    <row r="256" spans="1:56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196"/>
      <c r="S256" s="196"/>
      <c r="T256" s="196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</row>
    <row r="257" spans="1:56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196"/>
      <c r="S257" s="196"/>
      <c r="T257" s="196"/>
      <c r="U257" s="278"/>
      <c r="V257" s="278"/>
      <c r="W257" s="278"/>
      <c r="X257" s="278"/>
      <c r="Y257" s="278"/>
      <c r="Z257" s="278"/>
      <c r="AA257" s="278"/>
      <c r="AB257" s="278"/>
      <c r="AC257" s="278"/>
      <c r="AD257" s="278"/>
      <c r="AE257" s="278"/>
      <c r="AF257" s="278"/>
      <c r="AG257" s="278"/>
      <c r="AH257" s="278"/>
      <c r="AI257" s="278"/>
      <c r="AJ257" s="278"/>
      <c r="AK257" s="278"/>
      <c r="AL257" s="278"/>
      <c r="AM257" s="278"/>
      <c r="AN257" s="278"/>
      <c r="AO257" s="278"/>
      <c r="AP257" s="278"/>
      <c r="AQ257" s="278"/>
      <c r="AR257" s="278"/>
      <c r="AS257" s="278"/>
      <c r="AT257" s="278"/>
      <c r="AU257" s="278"/>
      <c r="AV257" s="278"/>
      <c r="AW257" s="278"/>
      <c r="AX257" s="278"/>
      <c r="AY257" s="278"/>
      <c r="AZ257" s="278"/>
      <c r="BA257" s="278"/>
      <c r="BB257" s="278"/>
      <c r="BC257" s="278"/>
      <c r="BD257" s="278"/>
    </row>
    <row r="258" spans="1:56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196"/>
      <c r="S258" s="196"/>
      <c r="T258" s="196"/>
      <c r="U258" s="278"/>
      <c r="V258" s="278"/>
      <c r="W258" s="278"/>
      <c r="X258" s="278"/>
      <c r="Y258" s="278"/>
      <c r="Z258" s="278"/>
      <c r="AA258" s="278"/>
      <c r="AB258" s="278"/>
      <c r="AC258" s="278"/>
      <c r="AD258" s="278"/>
      <c r="AE258" s="278"/>
      <c r="AF258" s="278"/>
      <c r="AG258" s="278"/>
      <c r="AH258" s="278"/>
      <c r="AI258" s="278"/>
      <c r="AJ258" s="278"/>
      <c r="AK258" s="278"/>
      <c r="AL258" s="278"/>
      <c r="AM258" s="278"/>
      <c r="AN258" s="278"/>
      <c r="AO258" s="278"/>
      <c r="AP258" s="278"/>
      <c r="AQ258" s="278"/>
      <c r="AR258" s="278"/>
      <c r="AS258" s="278"/>
      <c r="AT258" s="278"/>
      <c r="AU258" s="278"/>
      <c r="AV258" s="278"/>
      <c r="AW258" s="278"/>
      <c r="AX258" s="278"/>
      <c r="AY258" s="278"/>
      <c r="AZ258" s="278"/>
      <c r="BA258" s="278"/>
      <c r="BB258" s="278"/>
      <c r="BC258" s="278"/>
      <c r="BD258" s="278"/>
    </row>
    <row r="259" spans="1:56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196"/>
      <c r="S259" s="196"/>
      <c r="T259" s="196"/>
      <c r="U259" s="278"/>
      <c r="V259" s="278"/>
      <c r="W259" s="278"/>
      <c r="X259" s="278"/>
      <c r="Y259" s="278"/>
      <c r="Z259" s="278"/>
      <c r="AA259" s="278"/>
      <c r="AB259" s="278"/>
      <c r="AC259" s="278"/>
      <c r="AD259" s="278"/>
      <c r="AE259" s="278"/>
      <c r="AF259" s="278"/>
      <c r="AG259" s="278"/>
      <c r="AH259" s="278"/>
      <c r="AI259" s="278"/>
      <c r="AJ259" s="278"/>
      <c r="AK259" s="278"/>
      <c r="AL259" s="278"/>
      <c r="AM259" s="278"/>
      <c r="AN259" s="278"/>
      <c r="AO259" s="278"/>
      <c r="AP259" s="278"/>
      <c r="AQ259" s="278"/>
      <c r="AR259" s="278"/>
      <c r="AS259" s="278"/>
      <c r="AT259" s="278"/>
      <c r="AU259" s="278"/>
      <c r="AV259" s="278"/>
      <c r="AW259" s="278"/>
      <c r="AX259" s="278"/>
      <c r="AY259" s="278"/>
      <c r="AZ259" s="278"/>
      <c r="BA259" s="278"/>
      <c r="BB259" s="278"/>
      <c r="BC259" s="278"/>
      <c r="BD259" s="278"/>
    </row>
    <row r="260" spans="1:56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196"/>
      <c r="S260" s="196"/>
      <c r="T260" s="196"/>
      <c r="U260" s="278"/>
      <c r="V260" s="278"/>
      <c r="W260" s="278"/>
      <c r="X260" s="278"/>
      <c r="Y260" s="278"/>
      <c r="Z260" s="278"/>
      <c r="AA260" s="278"/>
      <c r="AB260" s="278"/>
      <c r="AC260" s="278"/>
      <c r="AD260" s="278"/>
      <c r="AE260" s="278"/>
      <c r="AF260" s="278"/>
      <c r="AG260" s="278"/>
      <c r="AH260" s="278"/>
      <c r="AI260" s="278"/>
      <c r="AJ260" s="278"/>
      <c r="AK260" s="278"/>
      <c r="AL260" s="278"/>
      <c r="AM260" s="278"/>
      <c r="AN260" s="278"/>
      <c r="AO260" s="278"/>
      <c r="AP260" s="278"/>
      <c r="AQ260" s="278"/>
      <c r="AR260" s="278"/>
      <c r="AS260" s="278"/>
      <c r="AT260" s="278"/>
      <c r="AU260" s="278"/>
      <c r="AV260" s="278"/>
      <c r="AW260" s="278"/>
      <c r="AX260" s="278"/>
      <c r="AY260" s="278"/>
      <c r="AZ260" s="278"/>
      <c r="BA260" s="278"/>
      <c r="BB260" s="278"/>
      <c r="BC260" s="278"/>
      <c r="BD260" s="278"/>
    </row>
    <row r="261" spans="1:56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196"/>
      <c r="S261" s="196"/>
      <c r="T261" s="196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</row>
    <row r="262" spans="1:56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196"/>
      <c r="S262" s="196"/>
      <c r="T262" s="196"/>
      <c r="U262" s="278"/>
      <c r="V262" s="278"/>
      <c r="W262" s="278"/>
      <c r="X262" s="278"/>
      <c r="Y262" s="278"/>
      <c r="Z262" s="278"/>
      <c r="AA262" s="278"/>
      <c r="AB262" s="278"/>
      <c r="AC262" s="278"/>
      <c r="AD262" s="278"/>
      <c r="AE262" s="278"/>
      <c r="AF262" s="278"/>
      <c r="AG262" s="278"/>
      <c r="AH262" s="278"/>
      <c r="AI262" s="278"/>
      <c r="AJ262" s="278"/>
      <c r="AK262" s="278"/>
      <c r="AL262" s="278"/>
      <c r="AM262" s="278"/>
      <c r="AN262" s="278"/>
      <c r="AO262" s="278"/>
      <c r="AP262" s="278"/>
      <c r="AQ262" s="278"/>
      <c r="AR262" s="278"/>
      <c r="AS262" s="278"/>
      <c r="AT262" s="278"/>
      <c r="AU262" s="278"/>
      <c r="AV262" s="278"/>
      <c r="AW262" s="278"/>
      <c r="AX262" s="278"/>
      <c r="AY262" s="278"/>
      <c r="AZ262" s="278"/>
      <c r="BA262" s="278"/>
      <c r="BB262" s="278"/>
      <c r="BC262" s="278"/>
      <c r="BD262" s="278"/>
    </row>
    <row r="263" spans="1:56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196"/>
      <c r="S263" s="196"/>
      <c r="T263" s="196"/>
      <c r="U263" s="278"/>
      <c r="V263" s="278"/>
      <c r="W263" s="278"/>
      <c r="X263" s="278"/>
      <c r="Y263" s="278"/>
      <c r="Z263" s="278"/>
      <c r="AA263" s="278"/>
      <c r="AB263" s="278"/>
      <c r="AC263" s="278"/>
      <c r="AD263" s="278"/>
      <c r="AE263" s="278"/>
      <c r="AF263" s="278"/>
      <c r="AG263" s="278"/>
      <c r="AH263" s="278"/>
      <c r="AI263" s="278"/>
      <c r="AJ263" s="278"/>
      <c r="AK263" s="278"/>
      <c r="AL263" s="278"/>
      <c r="AM263" s="278"/>
      <c r="AN263" s="278"/>
      <c r="AO263" s="278"/>
      <c r="AP263" s="278"/>
      <c r="AQ263" s="278"/>
      <c r="AR263" s="278"/>
      <c r="AS263" s="278"/>
      <c r="AT263" s="278"/>
      <c r="AU263" s="278"/>
      <c r="AV263" s="278"/>
      <c r="AW263" s="278"/>
      <c r="AX263" s="278"/>
      <c r="AY263" s="278"/>
      <c r="AZ263" s="278"/>
      <c r="BA263" s="278"/>
      <c r="BB263" s="278"/>
      <c r="BC263" s="278"/>
      <c r="BD263" s="278"/>
    </row>
    <row r="264" spans="1:56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196"/>
      <c r="S264" s="196"/>
      <c r="T264" s="196"/>
      <c r="U264" s="278"/>
      <c r="V264" s="278"/>
      <c r="W264" s="278"/>
      <c r="X264" s="278"/>
      <c r="Y264" s="278"/>
      <c r="Z264" s="278"/>
      <c r="AA264" s="278"/>
      <c r="AB264" s="278"/>
      <c r="AC264" s="278"/>
      <c r="AD264" s="278"/>
      <c r="AE264" s="278"/>
      <c r="AF264" s="278"/>
      <c r="AG264" s="278"/>
      <c r="AH264" s="278"/>
      <c r="AI264" s="278"/>
      <c r="AJ264" s="278"/>
      <c r="AK264" s="278"/>
      <c r="AL264" s="278"/>
      <c r="AM264" s="278"/>
      <c r="AN264" s="278"/>
      <c r="AO264" s="278"/>
      <c r="AP264" s="278"/>
      <c r="AQ264" s="278"/>
      <c r="AR264" s="278"/>
      <c r="AS264" s="278"/>
      <c r="AT264" s="278"/>
      <c r="AU264" s="278"/>
      <c r="AV264" s="278"/>
      <c r="AW264" s="278"/>
      <c r="AX264" s="278"/>
      <c r="AY264" s="278"/>
      <c r="AZ264" s="278"/>
      <c r="BA264" s="278"/>
      <c r="BB264" s="278"/>
      <c r="BC264" s="278"/>
      <c r="BD264" s="278"/>
    </row>
    <row r="265" spans="1:56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196"/>
      <c r="S265" s="196"/>
      <c r="T265" s="196"/>
      <c r="U265" s="278"/>
      <c r="V265" s="278"/>
      <c r="W265" s="278"/>
      <c r="X265" s="278"/>
      <c r="Y265" s="278"/>
      <c r="Z265" s="278"/>
      <c r="AA265" s="278"/>
      <c r="AB265" s="278"/>
      <c r="AC265" s="278"/>
      <c r="AD265" s="278"/>
      <c r="AE265" s="278"/>
      <c r="AF265" s="278"/>
      <c r="AG265" s="278"/>
      <c r="AH265" s="278"/>
      <c r="AI265" s="278"/>
      <c r="AJ265" s="278"/>
      <c r="AK265" s="278"/>
      <c r="AL265" s="278"/>
      <c r="AM265" s="278"/>
      <c r="AN265" s="278"/>
      <c r="AO265" s="278"/>
      <c r="AP265" s="278"/>
      <c r="AQ265" s="278"/>
      <c r="AR265" s="278"/>
      <c r="AS265" s="278"/>
      <c r="AT265" s="278"/>
      <c r="AU265" s="278"/>
      <c r="AV265" s="278"/>
      <c r="AW265" s="278"/>
      <c r="AX265" s="278"/>
      <c r="AY265" s="278"/>
      <c r="AZ265" s="278"/>
      <c r="BA265" s="278"/>
      <c r="BB265" s="278"/>
      <c r="BC265" s="278"/>
      <c r="BD265" s="278"/>
    </row>
    <row r="266" spans="1:56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196"/>
      <c r="S266" s="196"/>
      <c r="T266" s="196"/>
      <c r="U266" s="278"/>
      <c r="V266" s="278"/>
      <c r="W266" s="278"/>
      <c r="X266" s="278"/>
      <c r="Y266" s="278"/>
      <c r="Z266" s="278"/>
      <c r="AA266" s="278"/>
      <c r="AB266" s="278"/>
      <c r="AC266" s="278"/>
      <c r="AD266" s="278"/>
      <c r="AE266" s="278"/>
      <c r="AF266" s="278"/>
      <c r="AG266" s="278"/>
      <c r="AH266" s="278"/>
      <c r="AI266" s="278"/>
      <c r="AJ266" s="278"/>
      <c r="AK266" s="278"/>
      <c r="AL266" s="278"/>
      <c r="AM266" s="278"/>
      <c r="AN266" s="278"/>
      <c r="AO266" s="278"/>
      <c r="AP266" s="278"/>
      <c r="AQ266" s="278"/>
      <c r="AR266" s="278"/>
      <c r="AS266" s="278"/>
      <c r="AT266" s="278"/>
      <c r="AU266" s="278"/>
      <c r="AV266" s="278"/>
      <c r="AW266" s="278"/>
      <c r="AX266" s="278"/>
      <c r="AY266" s="278"/>
      <c r="AZ266" s="278"/>
      <c r="BA266" s="278"/>
      <c r="BB266" s="278"/>
      <c r="BC266" s="278"/>
      <c r="BD266" s="278"/>
    </row>
    <row r="267" spans="1:56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196"/>
      <c r="S267" s="196"/>
      <c r="T267" s="196"/>
      <c r="U267" s="278"/>
      <c r="V267" s="278"/>
      <c r="W267" s="278"/>
      <c r="X267" s="278"/>
      <c r="Y267" s="278"/>
      <c r="Z267" s="278"/>
      <c r="AA267" s="278"/>
      <c r="AB267" s="278"/>
      <c r="AC267" s="278"/>
      <c r="AD267" s="278"/>
      <c r="AE267" s="278"/>
      <c r="AF267" s="278"/>
      <c r="AG267" s="278"/>
      <c r="AH267" s="278"/>
      <c r="AI267" s="278"/>
      <c r="AJ267" s="278"/>
      <c r="AK267" s="278"/>
      <c r="AL267" s="278"/>
      <c r="AM267" s="278"/>
      <c r="AN267" s="278"/>
      <c r="AO267" s="278"/>
      <c r="AP267" s="278"/>
      <c r="AQ267" s="278"/>
      <c r="AR267" s="278"/>
      <c r="AS267" s="278"/>
      <c r="AT267" s="278"/>
      <c r="AU267" s="278"/>
      <c r="AV267" s="278"/>
      <c r="AW267" s="278"/>
      <c r="AX267" s="278"/>
      <c r="AY267" s="278"/>
      <c r="AZ267" s="278"/>
      <c r="BA267" s="278"/>
      <c r="BB267" s="278"/>
      <c r="BC267" s="278"/>
      <c r="BD267" s="278"/>
    </row>
    <row r="268" spans="1:56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196"/>
      <c r="S268" s="196"/>
      <c r="T268" s="196"/>
      <c r="U268" s="278"/>
      <c r="V268" s="278"/>
      <c r="W268" s="278"/>
      <c r="X268" s="278"/>
      <c r="Y268" s="278"/>
      <c r="Z268" s="278"/>
      <c r="AA268" s="278"/>
      <c r="AB268" s="278"/>
      <c r="AC268" s="278"/>
      <c r="AD268" s="278"/>
      <c r="AE268" s="278"/>
      <c r="AF268" s="278"/>
      <c r="AG268" s="278"/>
      <c r="AH268" s="278"/>
      <c r="AI268" s="278"/>
      <c r="AJ268" s="278"/>
      <c r="AK268" s="278"/>
      <c r="AL268" s="278"/>
      <c r="AM268" s="278"/>
      <c r="AN268" s="278"/>
      <c r="AO268" s="278"/>
      <c r="AP268" s="278"/>
      <c r="AQ268" s="278"/>
      <c r="AR268" s="278"/>
      <c r="AS268" s="278"/>
      <c r="AT268" s="278"/>
      <c r="AU268" s="278"/>
      <c r="AV268" s="278"/>
      <c r="AW268" s="278"/>
      <c r="AX268" s="278"/>
      <c r="AY268" s="278"/>
      <c r="AZ268" s="278"/>
      <c r="BA268" s="278"/>
      <c r="BB268" s="278"/>
      <c r="BC268" s="278"/>
      <c r="BD268" s="278"/>
    </row>
    <row r="269" spans="1:56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196"/>
      <c r="S269" s="196"/>
      <c r="T269" s="196"/>
      <c r="U269" s="278"/>
      <c r="V269" s="278"/>
      <c r="W269" s="278"/>
      <c r="X269" s="278"/>
      <c r="Y269" s="278"/>
      <c r="Z269" s="278"/>
      <c r="AA269" s="278"/>
      <c r="AB269" s="278"/>
      <c r="AC269" s="278"/>
      <c r="AD269" s="278"/>
      <c r="AE269" s="278"/>
      <c r="AF269" s="278"/>
      <c r="AG269" s="278"/>
      <c r="AH269" s="278"/>
      <c r="AI269" s="278"/>
      <c r="AJ269" s="278"/>
      <c r="AK269" s="278"/>
      <c r="AL269" s="278"/>
      <c r="AM269" s="278"/>
      <c r="AN269" s="278"/>
      <c r="AO269" s="278"/>
      <c r="AP269" s="278"/>
      <c r="AQ269" s="278"/>
      <c r="AR269" s="278"/>
      <c r="AS269" s="278"/>
      <c r="AT269" s="278"/>
      <c r="AU269" s="278"/>
      <c r="AV269" s="278"/>
      <c r="AW269" s="278"/>
      <c r="AX269" s="278"/>
      <c r="AY269" s="278"/>
      <c r="AZ269" s="278"/>
      <c r="BA269" s="278"/>
      <c r="BB269" s="278"/>
      <c r="BC269" s="278"/>
      <c r="BD269" s="278"/>
    </row>
    <row r="270" spans="1:56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196"/>
      <c r="S270" s="196"/>
      <c r="T270" s="196"/>
      <c r="U270" s="278"/>
      <c r="V270" s="278"/>
      <c r="W270" s="278"/>
      <c r="X270" s="278"/>
      <c r="Y270" s="278"/>
      <c r="Z270" s="278"/>
      <c r="AA270" s="278"/>
      <c r="AB270" s="278"/>
      <c r="AC270" s="278"/>
      <c r="AD270" s="278"/>
      <c r="AE270" s="278"/>
      <c r="AF270" s="278"/>
      <c r="AG270" s="278"/>
      <c r="AH270" s="278"/>
      <c r="AI270" s="278"/>
      <c r="AJ270" s="278"/>
      <c r="AK270" s="278"/>
      <c r="AL270" s="278"/>
      <c r="AM270" s="278"/>
      <c r="AN270" s="278"/>
      <c r="AO270" s="278"/>
      <c r="AP270" s="278"/>
      <c r="AQ270" s="278"/>
      <c r="AR270" s="278"/>
      <c r="AS270" s="278"/>
      <c r="AT270" s="278"/>
      <c r="AU270" s="278"/>
      <c r="AV270" s="278"/>
      <c r="AW270" s="278"/>
      <c r="AX270" s="278"/>
      <c r="AY270" s="278"/>
      <c r="AZ270" s="278"/>
      <c r="BA270" s="278"/>
      <c r="BB270" s="278"/>
      <c r="BC270" s="278"/>
      <c r="BD270" s="278"/>
    </row>
    <row r="271" spans="1:56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196"/>
      <c r="S271" s="196"/>
      <c r="T271" s="196"/>
      <c r="U271" s="278"/>
      <c r="V271" s="278"/>
      <c r="W271" s="278"/>
      <c r="X271" s="278"/>
      <c r="Y271" s="278"/>
      <c r="Z271" s="278"/>
      <c r="AA271" s="278"/>
      <c r="AB271" s="278"/>
      <c r="AC271" s="278"/>
      <c r="AD271" s="278"/>
      <c r="AE271" s="278"/>
      <c r="AF271" s="278"/>
      <c r="AG271" s="278"/>
      <c r="AH271" s="278"/>
      <c r="AI271" s="278"/>
      <c r="AJ271" s="278"/>
      <c r="AK271" s="278"/>
      <c r="AL271" s="278"/>
      <c r="AM271" s="278"/>
      <c r="AN271" s="278"/>
      <c r="AO271" s="278"/>
      <c r="AP271" s="278"/>
      <c r="AQ271" s="278"/>
      <c r="AR271" s="278"/>
      <c r="AS271" s="278"/>
      <c r="AT271" s="278"/>
      <c r="AU271" s="278"/>
      <c r="AV271" s="278"/>
      <c r="AW271" s="278"/>
      <c r="AX271" s="278"/>
      <c r="AY271" s="278"/>
      <c r="AZ271" s="278"/>
      <c r="BA271" s="278"/>
      <c r="BB271" s="278"/>
      <c r="BC271" s="278"/>
      <c r="BD271" s="278"/>
    </row>
    <row r="272" spans="1:56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196"/>
      <c r="S272" s="196"/>
      <c r="T272" s="196"/>
      <c r="U272" s="278"/>
      <c r="V272" s="278"/>
      <c r="W272" s="278"/>
      <c r="X272" s="278"/>
      <c r="Y272" s="278"/>
      <c r="Z272" s="278"/>
      <c r="AA272" s="278"/>
      <c r="AB272" s="278"/>
      <c r="AC272" s="278"/>
      <c r="AD272" s="278"/>
      <c r="AE272" s="278"/>
      <c r="AF272" s="278"/>
      <c r="AG272" s="278"/>
      <c r="AH272" s="278"/>
      <c r="AI272" s="278"/>
      <c r="AJ272" s="278"/>
      <c r="AK272" s="278"/>
      <c r="AL272" s="278"/>
      <c r="AM272" s="278"/>
      <c r="AN272" s="278"/>
      <c r="AO272" s="278"/>
      <c r="AP272" s="278"/>
      <c r="AQ272" s="278"/>
      <c r="AR272" s="278"/>
      <c r="AS272" s="278"/>
      <c r="AT272" s="278"/>
      <c r="AU272" s="278"/>
      <c r="AV272" s="278"/>
      <c r="AW272" s="278"/>
      <c r="AX272" s="278"/>
      <c r="AY272" s="278"/>
      <c r="AZ272" s="278"/>
      <c r="BA272" s="278"/>
      <c r="BB272" s="278"/>
      <c r="BC272" s="278"/>
      <c r="BD272" s="278"/>
    </row>
    <row r="273" spans="1:56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196"/>
      <c r="S273" s="196"/>
      <c r="T273" s="196"/>
      <c r="U273" s="278"/>
      <c r="V273" s="278"/>
      <c r="W273" s="278"/>
      <c r="X273" s="278"/>
      <c r="Y273" s="278"/>
      <c r="Z273" s="278"/>
      <c r="AA273" s="278"/>
      <c r="AB273" s="278"/>
      <c r="AC273" s="278"/>
      <c r="AD273" s="278"/>
      <c r="AE273" s="278"/>
      <c r="AF273" s="278"/>
      <c r="AG273" s="278"/>
      <c r="AH273" s="278"/>
      <c r="AI273" s="278"/>
      <c r="AJ273" s="278"/>
      <c r="AK273" s="278"/>
      <c r="AL273" s="278"/>
      <c r="AM273" s="278"/>
      <c r="AN273" s="278"/>
      <c r="AO273" s="278"/>
      <c r="AP273" s="278"/>
      <c r="AQ273" s="278"/>
      <c r="AR273" s="278"/>
      <c r="AS273" s="278"/>
      <c r="AT273" s="278"/>
      <c r="AU273" s="278"/>
      <c r="AV273" s="278"/>
      <c r="AW273" s="278"/>
      <c r="AX273" s="278"/>
      <c r="AY273" s="278"/>
      <c r="AZ273" s="278"/>
      <c r="BA273" s="278"/>
      <c r="BB273" s="278"/>
      <c r="BC273" s="278"/>
      <c r="BD273" s="278"/>
    </row>
    <row r="274" spans="1:56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196"/>
      <c r="S274" s="196"/>
      <c r="T274" s="196"/>
      <c r="U274" s="278"/>
      <c r="V274" s="278"/>
      <c r="W274" s="278"/>
      <c r="X274" s="278"/>
      <c r="Y274" s="278"/>
      <c r="Z274" s="278"/>
      <c r="AA274" s="278"/>
      <c r="AB274" s="278"/>
      <c r="AC274" s="278"/>
      <c r="AD274" s="278"/>
      <c r="AE274" s="278"/>
      <c r="AF274" s="278"/>
      <c r="AG274" s="278"/>
      <c r="AH274" s="278"/>
      <c r="AI274" s="278"/>
      <c r="AJ274" s="278"/>
      <c r="AK274" s="278"/>
      <c r="AL274" s="278"/>
      <c r="AM274" s="278"/>
      <c r="AN274" s="278"/>
      <c r="AO274" s="278"/>
      <c r="AP274" s="278"/>
      <c r="AQ274" s="278"/>
      <c r="AR274" s="278"/>
      <c r="AS274" s="278"/>
      <c r="AT274" s="278"/>
      <c r="AU274" s="278"/>
      <c r="AV274" s="278"/>
      <c r="AW274" s="278"/>
      <c r="AX274" s="278"/>
      <c r="AY274" s="278"/>
      <c r="AZ274" s="278"/>
      <c r="BA274" s="278"/>
      <c r="BB274" s="278"/>
      <c r="BC274" s="278"/>
      <c r="BD274" s="278"/>
    </row>
    <row r="275" spans="1:56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196"/>
      <c r="S275" s="196"/>
      <c r="T275" s="196"/>
      <c r="U275" s="278"/>
      <c r="V275" s="278"/>
      <c r="W275" s="278"/>
      <c r="X275" s="278"/>
      <c r="Y275" s="278"/>
      <c r="Z275" s="278"/>
      <c r="AA275" s="278"/>
      <c r="AB275" s="278"/>
      <c r="AC275" s="278"/>
      <c r="AD275" s="278"/>
      <c r="AE275" s="278"/>
      <c r="AF275" s="278"/>
      <c r="AG275" s="278"/>
      <c r="AH275" s="278"/>
      <c r="AI275" s="278"/>
      <c r="AJ275" s="278"/>
      <c r="AK275" s="278"/>
      <c r="AL275" s="278"/>
      <c r="AM275" s="278"/>
      <c r="AN275" s="278"/>
      <c r="AO275" s="278"/>
      <c r="AP275" s="278"/>
      <c r="AQ275" s="278"/>
      <c r="AR275" s="278"/>
      <c r="AS275" s="278"/>
      <c r="AT275" s="278"/>
      <c r="AU275" s="278"/>
      <c r="AV275" s="278"/>
      <c r="AW275" s="278"/>
      <c r="AX275" s="278"/>
      <c r="AY275" s="278"/>
      <c r="AZ275" s="278"/>
      <c r="BA275" s="278"/>
      <c r="BB275" s="278"/>
      <c r="BC275" s="278"/>
      <c r="BD275" s="278"/>
    </row>
    <row r="276" spans="1:56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196"/>
      <c r="S276" s="196"/>
      <c r="T276" s="196"/>
      <c r="U276" s="278"/>
      <c r="V276" s="278"/>
      <c r="W276" s="278"/>
      <c r="X276" s="278"/>
      <c r="Y276" s="278"/>
      <c r="Z276" s="278"/>
      <c r="AA276" s="278"/>
      <c r="AB276" s="278"/>
      <c r="AC276" s="278"/>
      <c r="AD276" s="278"/>
      <c r="AE276" s="278"/>
      <c r="AF276" s="278"/>
      <c r="AG276" s="278"/>
      <c r="AH276" s="278"/>
      <c r="AI276" s="278"/>
      <c r="AJ276" s="278"/>
      <c r="AK276" s="278"/>
      <c r="AL276" s="278"/>
      <c r="AM276" s="278"/>
      <c r="AN276" s="278"/>
      <c r="AO276" s="278"/>
      <c r="AP276" s="278"/>
      <c r="AQ276" s="278"/>
      <c r="AR276" s="278"/>
      <c r="AS276" s="278"/>
      <c r="AT276" s="278"/>
      <c r="AU276" s="278"/>
      <c r="AV276" s="278"/>
      <c r="AW276" s="278"/>
      <c r="AX276" s="278"/>
      <c r="AY276" s="278"/>
      <c r="AZ276" s="278"/>
      <c r="BA276" s="278"/>
      <c r="BB276" s="278"/>
      <c r="BC276" s="278"/>
      <c r="BD276" s="278"/>
    </row>
    <row r="277" spans="1:56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196"/>
      <c r="S277" s="196"/>
      <c r="T277" s="196"/>
      <c r="U277" s="278"/>
      <c r="V277" s="278"/>
      <c r="W277" s="278"/>
      <c r="X277" s="278"/>
      <c r="Y277" s="278"/>
      <c r="Z277" s="278"/>
      <c r="AA277" s="278"/>
      <c r="AB277" s="278"/>
      <c r="AC277" s="278"/>
      <c r="AD277" s="278"/>
      <c r="AE277" s="278"/>
      <c r="AF277" s="278"/>
      <c r="AG277" s="278"/>
      <c r="AH277" s="278"/>
      <c r="AI277" s="278"/>
      <c r="AJ277" s="278"/>
      <c r="AK277" s="278"/>
      <c r="AL277" s="278"/>
      <c r="AM277" s="278"/>
      <c r="AN277" s="278"/>
      <c r="AO277" s="278"/>
      <c r="AP277" s="278"/>
      <c r="AQ277" s="278"/>
      <c r="AR277" s="278"/>
      <c r="AS277" s="278"/>
      <c r="AT277" s="278"/>
      <c r="AU277" s="278"/>
      <c r="AV277" s="278"/>
      <c r="AW277" s="278"/>
      <c r="AX277" s="278"/>
      <c r="AY277" s="278"/>
      <c r="AZ277" s="278"/>
      <c r="BA277" s="278"/>
      <c r="BB277" s="278"/>
      <c r="BC277" s="278"/>
      <c r="BD277" s="278"/>
    </row>
    <row r="278" spans="1:56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196"/>
      <c r="S278" s="196"/>
      <c r="T278" s="196"/>
      <c r="U278" s="278"/>
      <c r="V278" s="278"/>
      <c r="W278" s="278"/>
      <c r="X278" s="278"/>
      <c r="Y278" s="278"/>
      <c r="Z278" s="278"/>
      <c r="AA278" s="278"/>
      <c r="AB278" s="278"/>
      <c r="AC278" s="278"/>
      <c r="AD278" s="278"/>
      <c r="AE278" s="278"/>
      <c r="AF278" s="278"/>
      <c r="AG278" s="278"/>
      <c r="AH278" s="278"/>
      <c r="AI278" s="278"/>
      <c r="AJ278" s="278"/>
      <c r="AK278" s="278"/>
      <c r="AL278" s="278"/>
      <c r="AM278" s="278"/>
      <c r="AN278" s="278"/>
      <c r="AO278" s="278"/>
      <c r="AP278" s="278"/>
      <c r="AQ278" s="278"/>
      <c r="AR278" s="278"/>
      <c r="AS278" s="278"/>
      <c r="AT278" s="278"/>
      <c r="AU278" s="278"/>
      <c r="AV278" s="278"/>
      <c r="AW278" s="278"/>
      <c r="AX278" s="278"/>
      <c r="AY278" s="278"/>
      <c r="AZ278" s="278"/>
      <c r="BA278" s="278"/>
      <c r="BB278" s="278"/>
      <c r="BC278" s="278"/>
      <c r="BD278" s="278"/>
    </row>
    <row r="279" spans="1:56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196"/>
      <c r="S279" s="196"/>
      <c r="T279" s="196"/>
      <c r="U279" s="278"/>
      <c r="V279" s="278"/>
      <c r="W279" s="278"/>
      <c r="X279" s="278"/>
      <c r="Y279" s="278"/>
      <c r="Z279" s="278"/>
      <c r="AA279" s="278"/>
      <c r="AB279" s="278"/>
      <c r="AC279" s="278"/>
      <c r="AD279" s="278"/>
      <c r="AE279" s="278"/>
      <c r="AF279" s="278"/>
      <c r="AG279" s="278"/>
      <c r="AH279" s="278"/>
      <c r="AI279" s="278"/>
      <c r="AJ279" s="278"/>
      <c r="AK279" s="278"/>
      <c r="AL279" s="278"/>
      <c r="AM279" s="278"/>
      <c r="AN279" s="278"/>
      <c r="AO279" s="278"/>
      <c r="AP279" s="278"/>
      <c r="AQ279" s="278"/>
      <c r="AR279" s="278"/>
      <c r="AS279" s="278"/>
      <c r="AT279" s="278"/>
      <c r="AU279" s="278"/>
      <c r="AV279" s="278"/>
      <c r="AW279" s="278"/>
      <c r="AX279" s="278"/>
      <c r="AY279" s="278"/>
      <c r="AZ279" s="278"/>
      <c r="BA279" s="278"/>
      <c r="BB279" s="278"/>
      <c r="BC279" s="278"/>
      <c r="BD279" s="278"/>
    </row>
    <row r="280" spans="1:56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196"/>
      <c r="S280" s="196"/>
      <c r="T280" s="196"/>
      <c r="U280" s="278"/>
      <c r="V280" s="278"/>
      <c r="W280" s="278"/>
      <c r="X280" s="278"/>
      <c r="Y280" s="278"/>
      <c r="Z280" s="278"/>
      <c r="AA280" s="278"/>
      <c r="AB280" s="278"/>
      <c r="AC280" s="278"/>
      <c r="AD280" s="278"/>
      <c r="AE280" s="278"/>
      <c r="AF280" s="278"/>
      <c r="AG280" s="278"/>
      <c r="AH280" s="278"/>
      <c r="AI280" s="278"/>
      <c r="AJ280" s="278"/>
      <c r="AK280" s="278"/>
      <c r="AL280" s="278"/>
      <c r="AM280" s="278"/>
      <c r="AN280" s="278"/>
      <c r="AO280" s="278"/>
      <c r="AP280" s="278"/>
      <c r="AQ280" s="278"/>
      <c r="AR280" s="278"/>
      <c r="AS280" s="278"/>
      <c r="AT280" s="278"/>
      <c r="AU280" s="278"/>
      <c r="AV280" s="278"/>
      <c r="AW280" s="278"/>
      <c r="AX280" s="278"/>
      <c r="AY280" s="278"/>
      <c r="AZ280" s="278"/>
      <c r="BA280" s="278"/>
      <c r="BB280" s="278"/>
      <c r="BC280" s="278"/>
      <c r="BD280" s="278"/>
    </row>
    <row r="281" spans="1:56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196"/>
      <c r="S281" s="196"/>
      <c r="T281" s="196"/>
      <c r="U281" s="278"/>
      <c r="V281" s="278"/>
      <c r="W281" s="278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/>
    </row>
    <row r="282" spans="1:56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196"/>
      <c r="S282" s="196"/>
      <c r="T282" s="196"/>
      <c r="U282" s="278"/>
      <c r="V282" s="278"/>
      <c r="W282" s="278"/>
      <c r="X282" s="278"/>
      <c r="Y282" s="278"/>
      <c r="Z282" s="278"/>
      <c r="AA282" s="278"/>
      <c r="AB282" s="278"/>
      <c r="AC282" s="278"/>
      <c r="AD282" s="278"/>
      <c r="AE282" s="278"/>
      <c r="AF282" s="278"/>
      <c r="AG282" s="278"/>
      <c r="AH282" s="278"/>
      <c r="AI282" s="278"/>
      <c r="AJ282" s="278"/>
      <c r="AK282" s="278"/>
      <c r="AL282" s="278"/>
      <c r="AM282" s="278"/>
      <c r="AN282" s="278"/>
      <c r="AO282" s="278"/>
      <c r="AP282" s="278"/>
      <c r="AQ282" s="278"/>
      <c r="AR282" s="278"/>
      <c r="AS282" s="278"/>
      <c r="AT282" s="278"/>
      <c r="AU282" s="278"/>
      <c r="AV282" s="278"/>
      <c r="AW282" s="278"/>
      <c r="AX282" s="278"/>
      <c r="AY282" s="278"/>
      <c r="AZ282" s="278"/>
      <c r="BA282" s="278"/>
      <c r="BB282" s="278"/>
      <c r="BC282" s="278"/>
      <c r="BD282" s="278"/>
    </row>
    <row r="283" spans="1:56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196"/>
      <c r="S283" s="196"/>
      <c r="T283" s="196"/>
      <c r="U283" s="278"/>
      <c r="V283" s="278"/>
      <c r="W283" s="278"/>
      <c r="X283" s="278"/>
      <c r="Y283" s="278"/>
      <c r="Z283" s="278"/>
      <c r="AA283" s="278"/>
      <c r="AB283" s="278"/>
      <c r="AC283" s="278"/>
      <c r="AD283" s="278"/>
      <c r="AE283" s="278"/>
      <c r="AF283" s="278"/>
      <c r="AG283" s="278"/>
      <c r="AH283" s="278"/>
      <c r="AI283" s="278"/>
      <c r="AJ283" s="278"/>
      <c r="AK283" s="278"/>
      <c r="AL283" s="278"/>
      <c r="AM283" s="278"/>
      <c r="AN283" s="278"/>
      <c r="AO283" s="278"/>
      <c r="AP283" s="278"/>
      <c r="AQ283" s="278"/>
      <c r="AR283" s="278"/>
      <c r="AS283" s="278"/>
      <c r="AT283" s="278"/>
      <c r="AU283" s="278"/>
      <c r="AV283" s="278"/>
      <c r="AW283" s="278"/>
      <c r="AX283" s="278"/>
      <c r="AY283" s="278"/>
      <c r="AZ283" s="278"/>
      <c r="BA283" s="278"/>
      <c r="BB283" s="278"/>
      <c r="BC283" s="278"/>
      <c r="BD283" s="278"/>
    </row>
    <row r="284" spans="1:56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196"/>
      <c r="S284" s="196"/>
      <c r="T284" s="196"/>
      <c r="U284" s="278"/>
      <c r="V284" s="278"/>
      <c r="W284" s="278"/>
      <c r="X284" s="278"/>
      <c r="Y284" s="278"/>
      <c r="Z284" s="278"/>
      <c r="AA284" s="278"/>
      <c r="AB284" s="278"/>
      <c r="AC284" s="278"/>
      <c r="AD284" s="278"/>
      <c r="AE284" s="278"/>
      <c r="AF284" s="278"/>
      <c r="AG284" s="278"/>
      <c r="AH284" s="278"/>
      <c r="AI284" s="278"/>
      <c r="AJ284" s="278"/>
      <c r="AK284" s="278"/>
      <c r="AL284" s="278"/>
      <c r="AM284" s="278"/>
      <c r="AN284" s="278"/>
      <c r="AO284" s="278"/>
      <c r="AP284" s="278"/>
      <c r="AQ284" s="278"/>
      <c r="AR284" s="278"/>
      <c r="AS284" s="278"/>
      <c r="AT284" s="278"/>
      <c r="AU284" s="278"/>
      <c r="AV284" s="278"/>
      <c r="AW284" s="278"/>
      <c r="AX284" s="278"/>
      <c r="AY284" s="278"/>
      <c r="AZ284" s="278"/>
      <c r="BA284" s="278"/>
      <c r="BB284" s="278"/>
      <c r="BC284" s="278"/>
      <c r="BD284" s="278"/>
    </row>
    <row r="285" spans="1:56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196"/>
      <c r="S285" s="196"/>
      <c r="T285" s="196"/>
      <c r="U285" s="278"/>
      <c r="V285" s="278"/>
      <c r="W285" s="278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  <c r="AJ285" s="278"/>
      <c r="AK285" s="278"/>
      <c r="AL285" s="278"/>
      <c r="AM285" s="278"/>
      <c r="AN285" s="278"/>
      <c r="AO285" s="278"/>
      <c r="AP285" s="278"/>
      <c r="AQ285" s="278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/>
    </row>
    <row r="286" spans="1:56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196"/>
      <c r="S286" s="196"/>
      <c r="T286" s="196"/>
      <c r="U286" s="278"/>
      <c r="V286" s="278"/>
      <c r="W286" s="278"/>
      <c r="X286" s="278"/>
      <c r="Y286" s="278"/>
      <c r="Z286" s="278"/>
      <c r="AA286" s="278"/>
      <c r="AB286" s="278"/>
      <c r="AC286" s="278"/>
      <c r="AD286" s="278"/>
      <c r="AE286" s="278"/>
      <c r="AF286" s="278"/>
      <c r="AG286" s="278"/>
      <c r="AH286" s="278"/>
      <c r="AI286" s="278"/>
      <c r="AJ286" s="278"/>
      <c r="AK286" s="278"/>
      <c r="AL286" s="278"/>
      <c r="AM286" s="278"/>
      <c r="AN286" s="278"/>
      <c r="AO286" s="278"/>
      <c r="AP286" s="278"/>
      <c r="AQ286" s="278"/>
      <c r="AR286" s="278"/>
      <c r="AS286" s="278"/>
      <c r="AT286" s="278"/>
      <c r="AU286" s="278"/>
      <c r="AV286" s="278"/>
      <c r="AW286" s="278"/>
      <c r="AX286" s="278"/>
      <c r="AY286" s="278"/>
      <c r="AZ286" s="278"/>
      <c r="BA286" s="278"/>
      <c r="BB286" s="278"/>
      <c r="BC286" s="278"/>
      <c r="BD286" s="278"/>
    </row>
    <row r="287" spans="1:56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196"/>
      <c r="S287" s="196"/>
      <c r="T287" s="196"/>
      <c r="U287" s="278"/>
      <c r="V287" s="278"/>
      <c r="W287" s="278"/>
      <c r="X287" s="278"/>
      <c r="Y287" s="278"/>
      <c r="Z287" s="278"/>
      <c r="AA287" s="278"/>
      <c r="AB287" s="278"/>
      <c r="AC287" s="278"/>
      <c r="AD287" s="278"/>
      <c r="AE287" s="278"/>
      <c r="AF287" s="278"/>
      <c r="AG287" s="278"/>
      <c r="AH287" s="278"/>
      <c r="AI287" s="278"/>
      <c r="AJ287" s="278"/>
      <c r="AK287" s="278"/>
      <c r="AL287" s="278"/>
      <c r="AM287" s="278"/>
      <c r="AN287" s="278"/>
      <c r="AO287" s="278"/>
      <c r="AP287" s="278"/>
      <c r="AQ287" s="278"/>
      <c r="AR287" s="278"/>
      <c r="AS287" s="278"/>
      <c r="AT287" s="278"/>
      <c r="AU287" s="278"/>
      <c r="AV287" s="278"/>
      <c r="AW287" s="278"/>
      <c r="AX287" s="278"/>
      <c r="AY287" s="278"/>
      <c r="AZ287" s="278"/>
      <c r="BA287" s="278"/>
      <c r="BB287" s="278"/>
      <c r="BC287" s="278"/>
      <c r="BD287" s="278"/>
    </row>
    <row r="288" spans="1:56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196"/>
      <c r="S288" s="196"/>
      <c r="T288" s="196"/>
      <c r="U288" s="278"/>
      <c r="V288" s="278"/>
      <c r="W288" s="278"/>
      <c r="X288" s="278"/>
      <c r="Y288" s="278"/>
      <c r="Z288" s="278"/>
      <c r="AA288" s="278"/>
      <c r="AB288" s="278"/>
      <c r="AC288" s="278"/>
      <c r="AD288" s="278"/>
      <c r="AE288" s="278"/>
      <c r="AF288" s="278"/>
      <c r="AG288" s="278"/>
      <c r="AH288" s="278"/>
      <c r="AI288" s="278"/>
      <c r="AJ288" s="278"/>
      <c r="AK288" s="278"/>
      <c r="AL288" s="278"/>
      <c r="AM288" s="278"/>
      <c r="AN288" s="278"/>
      <c r="AO288" s="278"/>
      <c r="AP288" s="278"/>
      <c r="AQ288" s="278"/>
      <c r="AR288" s="278"/>
      <c r="AS288" s="278"/>
      <c r="AT288" s="278"/>
      <c r="AU288" s="278"/>
      <c r="AV288" s="278"/>
      <c r="AW288" s="278"/>
      <c r="AX288" s="278"/>
      <c r="AY288" s="278"/>
      <c r="AZ288" s="278"/>
      <c r="BA288" s="278"/>
      <c r="BB288" s="278"/>
      <c r="BC288" s="278"/>
      <c r="BD288" s="278"/>
    </row>
    <row r="289" spans="1:56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196"/>
      <c r="S289" s="196"/>
      <c r="T289" s="196"/>
      <c r="U289" s="278"/>
      <c r="V289" s="278"/>
      <c r="W289" s="278"/>
      <c r="X289" s="278"/>
      <c r="Y289" s="278"/>
      <c r="Z289" s="278"/>
      <c r="AA289" s="278"/>
      <c r="AB289" s="278"/>
      <c r="AC289" s="278"/>
      <c r="AD289" s="278"/>
      <c r="AE289" s="278"/>
      <c r="AF289" s="278"/>
      <c r="AG289" s="278"/>
      <c r="AH289" s="278"/>
      <c r="AI289" s="278"/>
      <c r="AJ289" s="278"/>
      <c r="AK289" s="278"/>
      <c r="AL289" s="278"/>
      <c r="AM289" s="278"/>
      <c r="AN289" s="278"/>
      <c r="AO289" s="278"/>
      <c r="AP289" s="278"/>
      <c r="AQ289" s="278"/>
      <c r="AR289" s="278"/>
      <c r="AS289" s="278"/>
      <c r="AT289" s="278"/>
      <c r="AU289" s="278"/>
      <c r="AV289" s="278"/>
      <c r="AW289" s="278"/>
      <c r="AX289" s="278"/>
      <c r="AY289" s="278"/>
      <c r="AZ289" s="278"/>
      <c r="BA289" s="278"/>
      <c r="BB289" s="278"/>
      <c r="BC289" s="278"/>
      <c r="BD289" s="278"/>
    </row>
    <row r="290" spans="1:56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196"/>
      <c r="S290" s="196"/>
      <c r="T290" s="196"/>
      <c r="U290" s="278"/>
      <c r="V290" s="278"/>
      <c r="W290" s="278"/>
      <c r="X290" s="278"/>
      <c r="Y290" s="278"/>
      <c r="Z290" s="278"/>
      <c r="AA290" s="278"/>
      <c r="AB290" s="278"/>
      <c r="AC290" s="278"/>
      <c r="AD290" s="278"/>
      <c r="AE290" s="278"/>
      <c r="AF290" s="278"/>
      <c r="AG290" s="278"/>
      <c r="AH290" s="278"/>
      <c r="AI290" s="278"/>
      <c r="AJ290" s="278"/>
      <c r="AK290" s="278"/>
      <c r="AL290" s="278"/>
      <c r="AM290" s="278"/>
      <c r="AN290" s="278"/>
      <c r="AO290" s="278"/>
      <c r="AP290" s="278"/>
      <c r="AQ290" s="278"/>
      <c r="AR290" s="278"/>
      <c r="AS290" s="278"/>
      <c r="AT290" s="278"/>
      <c r="AU290" s="278"/>
      <c r="AV290" s="278"/>
      <c r="AW290" s="278"/>
      <c r="AX290" s="278"/>
      <c r="AY290" s="278"/>
      <c r="AZ290" s="278"/>
      <c r="BA290" s="278"/>
      <c r="BB290" s="278"/>
      <c r="BC290" s="278"/>
      <c r="BD290" s="278"/>
    </row>
    <row r="291" spans="1:56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196"/>
      <c r="S291" s="196"/>
      <c r="T291" s="196"/>
      <c r="U291" s="278"/>
      <c r="V291" s="278"/>
      <c r="W291" s="278"/>
      <c r="X291" s="278"/>
      <c r="Y291" s="278"/>
      <c r="Z291" s="278"/>
      <c r="AA291" s="278"/>
      <c r="AB291" s="278"/>
      <c r="AC291" s="278"/>
      <c r="AD291" s="278"/>
      <c r="AE291" s="278"/>
      <c r="AF291" s="278"/>
      <c r="AG291" s="278"/>
      <c r="AH291" s="278"/>
      <c r="AI291" s="278"/>
      <c r="AJ291" s="278"/>
      <c r="AK291" s="278"/>
      <c r="AL291" s="278"/>
      <c r="AM291" s="278"/>
      <c r="AN291" s="278"/>
      <c r="AO291" s="278"/>
      <c r="AP291" s="278"/>
      <c r="AQ291" s="278"/>
      <c r="AR291" s="278"/>
      <c r="AS291" s="278"/>
      <c r="AT291" s="278"/>
      <c r="AU291" s="278"/>
      <c r="AV291" s="278"/>
      <c r="AW291" s="278"/>
      <c r="AX291" s="278"/>
      <c r="AY291" s="278"/>
      <c r="AZ291" s="278"/>
      <c r="BA291" s="278"/>
      <c r="BB291" s="278"/>
      <c r="BC291" s="278"/>
      <c r="BD291" s="278"/>
    </row>
    <row r="292" spans="1:56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196"/>
      <c r="S292" s="196"/>
      <c r="T292" s="196"/>
      <c r="U292" s="278"/>
      <c r="V292" s="278"/>
      <c r="W292" s="278"/>
      <c r="X292" s="278"/>
      <c r="Y292" s="278"/>
      <c r="Z292" s="278"/>
      <c r="AA292" s="278"/>
      <c r="AB292" s="278"/>
      <c r="AC292" s="278"/>
      <c r="AD292" s="278"/>
      <c r="AE292" s="278"/>
      <c r="AF292" s="278"/>
      <c r="AG292" s="278"/>
      <c r="AH292" s="278"/>
      <c r="AI292" s="278"/>
      <c r="AJ292" s="278"/>
      <c r="AK292" s="278"/>
      <c r="AL292" s="278"/>
      <c r="AM292" s="278"/>
      <c r="AN292" s="278"/>
      <c r="AO292" s="278"/>
      <c r="AP292" s="278"/>
      <c r="AQ292" s="278"/>
      <c r="AR292" s="278"/>
      <c r="AS292" s="278"/>
      <c r="AT292" s="278"/>
      <c r="AU292" s="278"/>
      <c r="AV292" s="278"/>
      <c r="AW292" s="278"/>
      <c r="AX292" s="278"/>
      <c r="AY292" s="278"/>
      <c r="AZ292" s="278"/>
      <c r="BA292" s="278"/>
      <c r="BB292" s="278"/>
      <c r="BC292" s="278"/>
      <c r="BD292" s="278"/>
    </row>
    <row r="293" spans="1:56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196"/>
      <c r="S293" s="196"/>
      <c r="T293" s="196"/>
      <c r="U293" s="278"/>
      <c r="V293" s="278"/>
      <c r="W293" s="278"/>
      <c r="X293" s="278"/>
      <c r="Y293" s="278"/>
      <c r="Z293" s="278"/>
      <c r="AA293" s="278"/>
      <c r="AB293" s="278"/>
      <c r="AC293" s="278"/>
      <c r="AD293" s="278"/>
      <c r="AE293" s="278"/>
      <c r="AF293" s="278"/>
      <c r="AG293" s="278"/>
      <c r="AH293" s="278"/>
      <c r="AI293" s="278"/>
      <c r="AJ293" s="278"/>
      <c r="AK293" s="278"/>
      <c r="AL293" s="278"/>
      <c r="AM293" s="278"/>
      <c r="AN293" s="278"/>
      <c r="AO293" s="278"/>
      <c r="AP293" s="278"/>
      <c r="AQ293" s="278"/>
      <c r="AR293" s="278"/>
      <c r="AS293" s="278"/>
      <c r="AT293" s="278"/>
      <c r="AU293" s="278"/>
      <c r="AV293" s="278"/>
      <c r="AW293" s="278"/>
      <c r="AX293" s="278"/>
      <c r="AY293" s="278"/>
      <c r="AZ293" s="278"/>
      <c r="BA293" s="278"/>
      <c r="BB293" s="278"/>
      <c r="BC293" s="278"/>
      <c r="BD293" s="278"/>
    </row>
    <row r="294" spans="1:56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196"/>
      <c r="S294" s="196"/>
      <c r="T294" s="196"/>
      <c r="U294" s="278"/>
      <c r="V294" s="278"/>
      <c r="W294" s="278"/>
      <c r="X294" s="278"/>
      <c r="Y294" s="278"/>
      <c r="Z294" s="278"/>
      <c r="AA294" s="278"/>
      <c r="AB294" s="278"/>
      <c r="AC294" s="278"/>
      <c r="AD294" s="278"/>
      <c r="AE294" s="278"/>
      <c r="AF294" s="278"/>
      <c r="AG294" s="278"/>
      <c r="AH294" s="278"/>
      <c r="AI294" s="278"/>
      <c r="AJ294" s="278"/>
      <c r="AK294" s="278"/>
      <c r="AL294" s="278"/>
      <c r="AM294" s="278"/>
      <c r="AN294" s="278"/>
      <c r="AO294" s="278"/>
      <c r="AP294" s="278"/>
      <c r="AQ294" s="278"/>
      <c r="AR294" s="278"/>
      <c r="AS294" s="278"/>
      <c r="AT294" s="278"/>
      <c r="AU294" s="278"/>
      <c r="AV294" s="278"/>
      <c r="AW294" s="278"/>
      <c r="AX294" s="278"/>
      <c r="AY294" s="278"/>
      <c r="AZ294" s="278"/>
      <c r="BA294" s="278"/>
      <c r="BB294" s="278"/>
      <c r="BC294" s="278"/>
      <c r="BD294" s="278"/>
    </row>
    <row r="295" spans="1:56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196"/>
      <c r="S295" s="196"/>
      <c r="T295" s="196"/>
      <c r="U295" s="278"/>
      <c r="V295" s="278"/>
      <c r="W295" s="278"/>
      <c r="X295" s="278"/>
      <c r="Y295" s="278"/>
      <c r="Z295" s="278"/>
      <c r="AA295" s="278"/>
      <c r="AB295" s="278"/>
      <c r="AC295" s="278"/>
      <c r="AD295" s="278"/>
      <c r="AE295" s="278"/>
      <c r="AF295" s="278"/>
      <c r="AG295" s="278"/>
      <c r="AH295" s="278"/>
      <c r="AI295" s="278"/>
      <c r="AJ295" s="278"/>
      <c r="AK295" s="278"/>
      <c r="AL295" s="278"/>
      <c r="AM295" s="278"/>
      <c r="AN295" s="278"/>
      <c r="AO295" s="278"/>
      <c r="AP295" s="278"/>
      <c r="AQ295" s="278"/>
      <c r="AR295" s="278"/>
      <c r="AS295" s="278"/>
      <c r="AT295" s="278"/>
      <c r="AU295" s="278"/>
      <c r="AV295" s="278"/>
      <c r="AW295" s="278"/>
      <c r="AX295" s="278"/>
      <c r="AY295" s="278"/>
      <c r="AZ295" s="278"/>
      <c r="BA295" s="278"/>
      <c r="BB295" s="278"/>
      <c r="BC295" s="278"/>
      <c r="BD295" s="278"/>
    </row>
    <row r="296" spans="1:56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196"/>
      <c r="S296" s="196"/>
      <c r="T296" s="196"/>
      <c r="U296" s="278"/>
      <c r="V296" s="278"/>
      <c r="W296" s="278"/>
      <c r="X296" s="278"/>
      <c r="Y296" s="278"/>
      <c r="Z296" s="278"/>
      <c r="AA296" s="278"/>
      <c r="AB296" s="278"/>
      <c r="AC296" s="278"/>
      <c r="AD296" s="278"/>
      <c r="AE296" s="278"/>
      <c r="AF296" s="278"/>
      <c r="AG296" s="278"/>
      <c r="AH296" s="278"/>
      <c r="AI296" s="278"/>
      <c r="AJ296" s="278"/>
      <c r="AK296" s="278"/>
      <c r="AL296" s="278"/>
      <c r="AM296" s="278"/>
      <c r="AN296" s="278"/>
      <c r="AO296" s="278"/>
      <c r="AP296" s="278"/>
      <c r="AQ296" s="278"/>
      <c r="AR296" s="278"/>
      <c r="AS296" s="278"/>
      <c r="AT296" s="278"/>
      <c r="AU296" s="278"/>
      <c r="AV296" s="278"/>
      <c r="AW296" s="278"/>
      <c r="AX296" s="278"/>
      <c r="AY296" s="278"/>
      <c r="AZ296" s="278"/>
      <c r="BA296" s="278"/>
      <c r="BB296" s="278"/>
      <c r="BC296" s="278"/>
      <c r="BD296" s="278"/>
    </row>
    <row r="297" spans="1:56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196"/>
      <c r="S297" s="196"/>
      <c r="T297" s="196"/>
      <c r="U297" s="278"/>
      <c r="V297" s="278"/>
      <c r="W297" s="278"/>
      <c r="X297" s="278"/>
      <c r="Y297" s="278"/>
      <c r="Z297" s="278"/>
      <c r="AA297" s="278"/>
      <c r="AB297" s="278"/>
      <c r="AC297" s="278"/>
      <c r="AD297" s="278"/>
      <c r="AE297" s="278"/>
      <c r="AF297" s="278"/>
      <c r="AG297" s="278"/>
      <c r="AH297" s="278"/>
      <c r="AI297" s="278"/>
      <c r="AJ297" s="278"/>
      <c r="AK297" s="278"/>
      <c r="AL297" s="278"/>
      <c r="AM297" s="278"/>
      <c r="AN297" s="278"/>
      <c r="AO297" s="278"/>
      <c r="AP297" s="278"/>
      <c r="AQ297" s="278"/>
      <c r="AR297" s="278"/>
      <c r="AS297" s="278"/>
      <c r="AT297" s="278"/>
      <c r="AU297" s="278"/>
      <c r="AV297" s="278"/>
      <c r="AW297" s="278"/>
      <c r="AX297" s="278"/>
      <c r="AY297" s="278"/>
      <c r="AZ297" s="278"/>
      <c r="BA297" s="278"/>
      <c r="BB297" s="278"/>
      <c r="BC297" s="278"/>
      <c r="BD297" s="278"/>
    </row>
    <row r="298" spans="1:56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196"/>
      <c r="S298" s="196"/>
      <c r="T298" s="196"/>
      <c r="U298" s="278"/>
      <c r="V298" s="278"/>
      <c r="W298" s="278"/>
      <c r="X298" s="278"/>
      <c r="Y298" s="278"/>
      <c r="Z298" s="278"/>
      <c r="AA298" s="278"/>
      <c r="AB298" s="278"/>
      <c r="AC298" s="278"/>
      <c r="AD298" s="278"/>
      <c r="AE298" s="278"/>
      <c r="AF298" s="278"/>
      <c r="AG298" s="278"/>
      <c r="AH298" s="278"/>
      <c r="AI298" s="278"/>
      <c r="AJ298" s="278"/>
      <c r="AK298" s="278"/>
      <c r="AL298" s="278"/>
      <c r="AM298" s="278"/>
      <c r="AN298" s="278"/>
      <c r="AO298" s="278"/>
      <c r="AP298" s="278"/>
      <c r="AQ298" s="278"/>
      <c r="AR298" s="278"/>
      <c r="AS298" s="278"/>
      <c r="AT298" s="278"/>
      <c r="AU298" s="278"/>
      <c r="AV298" s="278"/>
      <c r="AW298" s="278"/>
      <c r="AX298" s="278"/>
      <c r="AY298" s="278"/>
      <c r="AZ298" s="278"/>
      <c r="BA298" s="278"/>
      <c r="BB298" s="278"/>
      <c r="BC298" s="278"/>
      <c r="BD298" s="278"/>
    </row>
    <row r="299" spans="1:56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196"/>
      <c r="S299" s="196"/>
      <c r="T299" s="196"/>
      <c r="U299" s="278"/>
      <c r="V299" s="278"/>
      <c r="W299" s="278"/>
      <c r="X299" s="278"/>
      <c r="Y299" s="278"/>
      <c r="Z299" s="278"/>
      <c r="AA299" s="278"/>
      <c r="AB299" s="278"/>
      <c r="AC299" s="278"/>
      <c r="AD299" s="278"/>
      <c r="AE299" s="278"/>
      <c r="AF299" s="278"/>
      <c r="AG299" s="278"/>
      <c r="AH299" s="278"/>
      <c r="AI299" s="278"/>
      <c r="AJ299" s="278"/>
      <c r="AK299" s="278"/>
      <c r="AL299" s="278"/>
      <c r="AM299" s="278"/>
      <c r="AN299" s="278"/>
      <c r="AO299" s="278"/>
      <c r="AP299" s="278"/>
      <c r="AQ299" s="278"/>
      <c r="AR299" s="278"/>
      <c r="AS299" s="278"/>
      <c r="AT299" s="278"/>
      <c r="AU299" s="278"/>
      <c r="AV299" s="278"/>
      <c r="AW299" s="278"/>
      <c r="AX299" s="278"/>
      <c r="AY299" s="278"/>
      <c r="AZ299" s="278"/>
      <c r="BA299" s="278"/>
      <c r="BB299" s="278"/>
      <c r="BC299" s="278"/>
      <c r="BD299" s="278"/>
    </row>
    <row r="300" spans="1:56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196"/>
      <c r="S300" s="196"/>
      <c r="T300" s="196"/>
      <c r="U300" s="278"/>
      <c r="V300" s="278"/>
      <c r="W300" s="278"/>
      <c r="X300" s="278"/>
      <c r="Y300" s="278"/>
      <c r="Z300" s="278"/>
      <c r="AA300" s="278"/>
      <c r="AB300" s="278"/>
      <c r="AC300" s="278"/>
      <c r="AD300" s="278"/>
      <c r="AE300" s="278"/>
      <c r="AF300" s="278"/>
      <c r="AG300" s="278"/>
      <c r="AH300" s="278"/>
      <c r="AI300" s="278"/>
      <c r="AJ300" s="278"/>
      <c r="AK300" s="278"/>
      <c r="AL300" s="278"/>
      <c r="AM300" s="278"/>
      <c r="AN300" s="278"/>
      <c r="AO300" s="278"/>
      <c r="AP300" s="278"/>
      <c r="AQ300" s="278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</row>
    <row r="301" spans="1:56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196"/>
      <c r="S301" s="196"/>
      <c r="T301" s="196"/>
      <c r="U301" s="278"/>
      <c r="V301" s="278"/>
      <c r="W301" s="278"/>
      <c r="X301" s="278"/>
      <c r="Y301" s="278"/>
      <c r="Z301" s="278"/>
      <c r="AA301" s="278"/>
      <c r="AB301" s="278"/>
      <c r="AC301" s="278"/>
      <c r="AD301" s="278"/>
      <c r="AE301" s="278"/>
      <c r="AF301" s="278"/>
      <c r="AG301" s="278"/>
      <c r="AH301" s="278"/>
      <c r="AI301" s="278"/>
      <c r="AJ301" s="278"/>
      <c r="AK301" s="278"/>
      <c r="AL301" s="278"/>
      <c r="AM301" s="278"/>
      <c r="AN301" s="278"/>
      <c r="AO301" s="278"/>
      <c r="AP301" s="278"/>
      <c r="AQ301" s="278"/>
      <c r="AR301" s="278"/>
      <c r="AS301" s="278"/>
      <c r="AT301" s="278"/>
      <c r="AU301" s="278"/>
      <c r="AV301" s="278"/>
      <c r="AW301" s="278"/>
      <c r="AX301" s="278"/>
      <c r="AY301" s="278"/>
      <c r="AZ301" s="278"/>
      <c r="BA301" s="278"/>
      <c r="BB301" s="278"/>
      <c r="BC301" s="278"/>
      <c r="BD301" s="278"/>
    </row>
    <row r="302" spans="1:56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196"/>
      <c r="S302" s="196"/>
      <c r="T302" s="196"/>
      <c r="U302" s="278"/>
      <c r="V302" s="278"/>
      <c r="W302" s="278"/>
      <c r="X302" s="278"/>
      <c r="Y302" s="278"/>
      <c r="Z302" s="278"/>
      <c r="AA302" s="278"/>
      <c r="AB302" s="278"/>
      <c r="AC302" s="278"/>
      <c r="AD302" s="278"/>
      <c r="AE302" s="278"/>
      <c r="AF302" s="278"/>
      <c r="AG302" s="278"/>
      <c r="AH302" s="278"/>
      <c r="AI302" s="278"/>
      <c r="AJ302" s="278"/>
      <c r="AK302" s="278"/>
      <c r="AL302" s="278"/>
      <c r="AM302" s="278"/>
      <c r="AN302" s="278"/>
      <c r="AO302" s="278"/>
      <c r="AP302" s="278"/>
      <c r="AQ302" s="278"/>
      <c r="AR302" s="278"/>
      <c r="AS302" s="278"/>
      <c r="AT302" s="278"/>
      <c r="AU302" s="278"/>
      <c r="AV302" s="278"/>
      <c r="AW302" s="278"/>
      <c r="AX302" s="278"/>
      <c r="AY302" s="278"/>
      <c r="AZ302" s="278"/>
      <c r="BA302" s="278"/>
      <c r="BB302" s="278"/>
      <c r="BC302" s="278"/>
      <c r="BD302" s="278"/>
    </row>
    <row r="303" spans="1:56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196"/>
      <c r="S303" s="196"/>
      <c r="T303" s="196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</row>
    <row r="304" spans="1:56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196"/>
      <c r="S304" s="196"/>
      <c r="T304" s="196"/>
      <c r="U304" s="278"/>
      <c r="V304" s="278"/>
      <c r="W304" s="278"/>
      <c r="X304" s="278"/>
      <c r="Y304" s="278"/>
      <c r="Z304" s="278"/>
      <c r="AA304" s="278"/>
      <c r="AB304" s="278"/>
      <c r="AC304" s="278"/>
      <c r="AD304" s="278"/>
      <c r="AE304" s="278"/>
      <c r="AF304" s="278"/>
      <c r="AG304" s="278"/>
      <c r="AH304" s="278"/>
      <c r="AI304" s="278"/>
      <c r="AJ304" s="278"/>
      <c r="AK304" s="278"/>
      <c r="AL304" s="278"/>
      <c r="AM304" s="278"/>
      <c r="AN304" s="278"/>
      <c r="AO304" s="278"/>
      <c r="AP304" s="278"/>
      <c r="AQ304" s="278"/>
      <c r="AR304" s="278"/>
      <c r="AS304" s="278"/>
      <c r="AT304" s="278"/>
      <c r="AU304" s="278"/>
      <c r="AV304" s="278"/>
      <c r="AW304" s="278"/>
      <c r="AX304" s="278"/>
      <c r="AY304" s="278"/>
      <c r="AZ304" s="278"/>
      <c r="BA304" s="278"/>
      <c r="BB304" s="278"/>
      <c r="BC304" s="278"/>
      <c r="BD304" s="278"/>
    </row>
    <row r="305" spans="1:56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196"/>
      <c r="S305" s="196"/>
      <c r="T305" s="196"/>
      <c r="U305" s="278"/>
      <c r="V305" s="278"/>
      <c r="W305" s="278"/>
      <c r="X305" s="278"/>
      <c r="Y305" s="278"/>
      <c r="Z305" s="278"/>
      <c r="AA305" s="278"/>
      <c r="AB305" s="278"/>
      <c r="AC305" s="278"/>
      <c r="AD305" s="278"/>
      <c r="AE305" s="278"/>
      <c r="AF305" s="278"/>
      <c r="AG305" s="278"/>
      <c r="AH305" s="278"/>
      <c r="AI305" s="278"/>
      <c r="AJ305" s="278"/>
      <c r="AK305" s="278"/>
      <c r="AL305" s="278"/>
      <c r="AM305" s="278"/>
      <c r="AN305" s="278"/>
      <c r="AO305" s="278"/>
      <c r="AP305" s="278"/>
      <c r="AQ305" s="278"/>
      <c r="AR305" s="278"/>
      <c r="AS305" s="278"/>
      <c r="AT305" s="278"/>
      <c r="AU305" s="278"/>
      <c r="AV305" s="278"/>
      <c r="AW305" s="278"/>
      <c r="AX305" s="278"/>
      <c r="AY305" s="278"/>
      <c r="AZ305" s="278"/>
      <c r="BA305" s="278"/>
      <c r="BB305" s="278"/>
      <c r="BC305" s="278"/>
      <c r="BD305" s="278"/>
    </row>
    <row r="306" spans="1:56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196"/>
      <c r="S306" s="196"/>
      <c r="T306" s="196"/>
      <c r="U306" s="278"/>
      <c r="V306" s="278"/>
      <c r="W306" s="278"/>
      <c r="X306" s="278"/>
      <c r="Y306" s="278"/>
      <c r="Z306" s="278"/>
      <c r="AA306" s="278"/>
      <c r="AB306" s="278"/>
      <c r="AC306" s="278"/>
      <c r="AD306" s="278"/>
      <c r="AE306" s="278"/>
      <c r="AF306" s="278"/>
      <c r="AG306" s="278"/>
      <c r="AH306" s="278"/>
      <c r="AI306" s="278"/>
      <c r="AJ306" s="278"/>
      <c r="AK306" s="278"/>
      <c r="AL306" s="278"/>
      <c r="AM306" s="278"/>
      <c r="AN306" s="278"/>
      <c r="AO306" s="278"/>
      <c r="AP306" s="278"/>
      <c r="AQ306" s="278"/>
      <c r="AR306" s="278"/>
      <c r="AS306" s="278"/>
      <c r="AT306" s="278"/>
      <c r="AU306" s="278"/>
      <c r="AV306" s="278"/>
      <c r="AW306" s="278"/>
      <c r="AX306" s="278"/>
      <c r="AY306" s="278"/>
      <c r="AZ306" s="278"/>
      <c r="BA306" s="278"/>
      <c r="BB306" s="278"/>
      <c r="BC306" s="278"/>
      <c r="BD306" s="278"/>
    </row>
    <row r="307" spans="1:56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196"/>
      <c r="S307" s="196"/>
      <c r="T307" s="196"/>
      <c r="U307" s="278"/>
      <c r="V307" s="278"/>
      <c r="W307" s="278"/>
      <c r="X307" s="278"/>
      <c r="Y307" s="278"/>
      <c r="Z307" s="278"/>
      <c r="AA307" s="278"/>
      <c r="AB307" s="278"/>
      <c r="AC307" s="278"/>
      <c r="AD307" s="278"/>
      <c r="AE307" s="278"/>
      <c r="AF307" s="278"/>
      <c r="AG307" s="278"/>
      <c r="AH307" s="278"/>
      <c r="AI307" s="278"/>
      <c r="AJ307" s="278"/>
      <c r="AK307" s="278"/>
      <c r="AL307" s="278"/>
      <c r="AM307" s="278"/>
      <c r="AN307" s="278"/>
      <c r="AO307" s="278"/>
      <c r="AP307" s="278"/>
      <c r="AQ307" s="278"/>
      <c r="AR307" s="278"/>
      <c r="AS307" s="278"/>
      <c r="AT307" s="278"/>
      <c r="AU307" s="278"/>
      <c r="AV307" s="278"/>
      <c r="AW307" s="278"/>
      <c r="AX307" s="278"/>
      <c r="AY307" s="278"/>
      <c r="AZ307" s="278"/>
      <c r="BA307" s="278"/>
      <c r="BB307" s="278"/>
      <c r="BC307" s="278"/>
      <c r="BD307" s="278"/>
    </row>
    <row r="308" spans="1:56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196"/>
      <c r="S308" s="196"/>
      <c r="T308" s="196"/>
      <c r="U308" s="278"/>
      <c r="V308" s="278"/>
      <c r="W308" s="278"/>
      <c r="X308" s="278"/>
      <c r="Y308" s="278"/>
      <c r="Z308" s="278"/>
      <c r="AA308" s="278"/>
      <c r="AB308" s="278"/>
      <c r="AC308" s="278"/>
      <c r="AD308" s="278"/>
      <c r="AE308" s="278"/>
      <c r="AF308" s="278"/>
      <c r="AG308" s="278"/>
      <c r="AH308" s="278"/>
      <c r="AI308" s="278"/>
      <c r="AJ308" s="278"/>
      <c r="AK308" s="278"/>
      <c r="AL308" s="278"/>
      <c r="AM308" s="278"/>
      <c r="AN308" s="278"/>
      <c r="AO308" s="278"/>
      <c r="AP308" s="278"/>
      <c r="AQ308" s="278"/>
      <c r="AR308" s="278"/>
      <c r="AS308" s="278"/>
      <c r="AT308" s="278"/>
      <c r="AU308" s="278"/>
      <c r="AV308" s="278"/>
      <c r="AW308" s="278"/>
      <c r="AX308" s="278"/>
      <c r="AY308" s="278"/>
      <c r="AZ308" s="278"/>
      <c r="BA308" s="278"/>
      <c r="BB308" s="278"/>
      <c r="BC308" s="278"/>
      <c r="BD308" s="278"/>
    </row>
    <row r="309" spans="1:56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196"/>
      <c r="S309" s="196"/>
      <c r="T309" s="196"/>
      <c r="U309" s="278"/>
      <c r="V309" s="278"/>
      <c r="W309" s="278"/>
      <c r="X309" s="278"/>
      <c r="Y309" s="278"/>
      <c r="Z309" s="278"/>
      <c r="AA309" s="278"/>
      <c r="AB309" s="278"/>
      <c r="AC309" s="278"/>
      <c r="AD309" s="278"/>
      <c r="AE309" s="278"/>
      <c r="AF309" s="278"/>
      <c r="AG309" s="278"/>
      <c r="AH309" s="278"/>
      <c r="AI309" s="278"/>
      <c r="AJ309" s="278"/>
      <c r="AK309" s="278"/>
      <c r="AL309" s="278"/>
      <c r="AM309" s="278"/>
      <c r="AN309" s="278"/>
      <c r="AO309" s="278"/>
      <c r="AP309" s="278"/>
      <c r="AQ309" s="278"/>
      <c r="AR309" s="278"/>
      <c r="AS309" s="278"/>
      <c r="AT309" s="278"/>
      <c r="AU309" s="278"/>
      <c r="AV309" s="278"/>
      <c r="AW309" s="278"/>
      <c r="AX309" s="278"/>
      <c r="AY309" s="278"/>
      <c r="AZ309" s="278"/>
      <c r="BA309" s="278"/>
      <c r="BB309" s="278"/>
      <c r="BC309" s="278"/>
      <c r="BD309" s="278"/>
    </row>
    <row r="310" spans="1:56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196"/>
      <c r="S310" s="196"/>
      <c r="T310" s="196"/>
      <c r="U310" s="278"/>
      <c r="V310" s="278"/>
      <c r="W310" s="278"/>
      <c r="X310" s="278"/>
      <c r="Y310" s="278"/>
      <c r="Z310" s="278"/>
      <c r="AA310" s="278"/>
      <c r="AB310" s="278"/>
      <c r="AC310" s="278"/>
      <c r="AD310" s="278"/>
      <c r="AE310" s="278"/>
      <c r="AF310" s="278"/>
      <c r="AG310" s="278"/>
      <c r="AH310" s="278"/>
      <c r="AI310" s="278"/>
      <c r="AJ310" s="278"/>
      <c r="AK310" s="278"/>
      <c r="AL310" s="278"/>
      <c r="AM310" s="278"/>
      <c r="AN310" s="278"/>
      <c r="AO310" s="278"/>
      <c r="AP310" s="278"/>
      <c r="AQ310" s="278"/>
      <c r="AR310" s="278"/>
      <c r="AS310" s="278"/>
      <c r="AT310" s="278"/>
      <c r="AU310" s="278"/>
      <c r="AV310" s="278"/>
      <c r="AW310" s="278"/>
      <c r="AX310" s="278"/>
      <c r="AY310" s="278"/>
      <c r="AZ310" s="278"/>
      <c r="BA310" s="278"/>
      <c r="BB310" s="278"/>
      <c r="BC310" s="278"/>
      <c r="BD310" s="278"/>
    </row>
    <row r="311" spans="1:56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196"/>
      <c r="S311" s="196"/>
      <c r="T311" s="196"/>
      <c r="U311" s="278"/>
      <c r="V311" s="278"/>
      <c r="W311" s="278"/>
      <c r="X311" s="278"/>
      <c r="Y311" s="278"/>
      <c r="Z311" s="278"/>
      <c r="AA311" s="278"/>
      <c r="AB311" s="278"/>
      <c r="AC311" s="278"/>
      <c r="AD311" s="278"/>
      <c r="AE311" s="278"/>
      <c r="AF311" s="278"/>
      <c r="AG311" s="278"/>
      <c r="AH311" s="278"/>
      <c r="AI311" s="278"/>
      <c r="AJ311" s="278"/>
      <c r="AK311" s="278"/>
      <c r="AL311" s="278"/>
      <c r="AM311" s="278"/>
      <c r="AN311" s="278"/>
      <c r="AO311" s="278"/>
      <c r="AP311" s="278"/>
      <c r="AQ311" s="278"/>
      <c r="AR311" s="278"/>
      <c r="AS311" s="278"/>
      <c r="AT311" s="278"/>
      <c r="AU311" s="278"/>
      <c r="AV311" s="278"/>
      <c r="AW311" s="278"/>
      <c r="AX311" s="278"/>
      <c r="AY311" s="278"/>
      <c r="AZ311" s="278"/>
      <c r="BA311" s="278"/>
      <c r="BB311" s="278"/>
      <c r="BC311" s="278"/>
      <c r="BD311" s="278"/>
    </row>
    <row r="312" spans="1:56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196"/>
      <c r="S312" s="196"/>
      <c r="T312" s="196"/>
      <c r="U312" s="278"/>
      <c r="V312" s="278"/>
      <c r="W312" s="278"/>
      <c r="X312" s="278"/>
      <c r="Y312" s="278"/>
      <c r="Z312" s="278"/>
      <c r="AA312" s="278"/>
      <c r="AB312" s="278"/>
      <c r="AC312" s="278"/>
      <c r="AD312" s="278"/>
      <c r="AE312" s="278"/>
      <c r="AF312" s="278"/>
      <c r="AG312" s="278"/>
      <c r="AH312" s="278"/>
      <c r="AI312" s="278"/>
      <c r="AJ312" s="278"/>
      <c r="AK312" s="278"/>
      <c r="AL312" s="278"/>
      <c r="AM312" s="278"/>
      <c r="AN312" s="278"/>
      <c r="AO312" s="278"/>
      <c r="AP312" s="278"/>
      <c r="AQ312" s="278"/>
      <c r="AR312" s="278"/>
      <c r="AS312" s="278"/>
      <c r="AT312" s="278"/>
      <c r="AU312" s="278"/>
      <c r="AV312" s="278"/>
      <c r="AW312" s="278"/>
      <c r="AX312" s="278"/>
      <c r="AY312" s="278"/>
      <c r="AZ312" s="278"/>
      <c r="BA312" s="278"/>
      <c r="BB312" s="278"/>
      <c r="BC312" s="278"/>
      <c r="BD312" s="278"/>
    </row>
    <row r="313" spans="1:56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196"/>
      <c r="S313" s="196"/>
      <c r="T313" s="196"/>
      <c r="U313" s="278"/>
      <c r="V313" s="278"/>
      <c r="W313" s="278"/>
      <c r="X313" s="278"/>
      <c r="Y313" s="278"/>
      <c r="Z313" s="278"/>
      <c r="AA313" s="278"/>
      <c r="AB313" s="278"/>
      <c r="AC313" s="278"/>
      <c r="AD313" s="278"/>
      <c r="AE313" s="278"/>
      <c r="AF313" s="278"/>
      <c r="AG313" s="278"/>
      <c r="AH313" s="278"/>
      <c r="AI313" s="278"/>
      <c r="AJ313" s="278"/>
      <c r="AK313" s="278"/>
      <c r="AL313" s="278"/>
      <c r="AM313" s="278"/>
      <c r="AN313" s="278"/>
      <c r="AO313" s="278"/>
      <c r="AP313" s="278"/>
      <c r="AQ313" s="278"/>
      <c r="AR313" s="278"/>
      <c r="AS313" s="278"/>
      <c r="AT313" s="278"/>
      <c r="AU313" s="278"/>
      <c r="AV313" s="278"/>
      <c r="AW313" s="278"/>
      <c r="AX313" s="278"/>
      <c r="AY313" s="278"/>
      <c r="AZ313" s="278"/>
      <c r="BA313" s="278"/>
      <c r="BB313" s="278"/>
      <c r="BC313" s="278"/>
      <c r="BD313" s="278"/>
    </row>
    <row r="314" spans="1:56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196"/>
      <c r="S314" s="196"/>
      <c r="T314" s="196"/>
      <c r="U314" s="278"/>
      <c r="V314" s="278"/>
      <c r="W314" s="278"/>
      <c r="X314" s="278"/>
      <c r="Y314" s="278"/>
      <c r="Z314" s="278"/>
      <c r="AA314" s="278"/>
      <c r="AB314" s="278"/>
      <c r="AC314" s="278"/>
      <c r="AD314" s="278"/>
      <c r="AE314" s="278"/>
      <c r="AF314" s="278"/>
      <c r="AG314" s="278"/>
      <c r="AH314" s="278"/>
      <c r="AI314" s="278"/>
      <c r="AJ314" s="278"/>
      <c r="AK314" s="278"/>
      <c r="AL314" s="278"/>
      <c r="AM314" s="278"/>
      <c r="AN314" s="278"/>
      <c r="AO314" s="278"/>
      <c r="AP314" s="278"/>
      <c r="AQ314" s="278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78"/>
      <c r="BD314" s="278"/>
    </row>
    <row r="315" spans="1:56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196"/>
      <c r="S315" s="196"/>
      <c r="T315" s="196"/>
      <c r="U315" s="278"/>
      <c r="V315" s="278"/>
      <c r="W315" s="278"/>
      <c r="X315" s="278"/>
      <c r="Y315" s="278"/>
      <c r="Z315" s="278"/>
      <c r="AA315" s="278"/>
      <c r="AB315" s="278"/>
      <c r="AC315" s="278"/>
      <c r="AD315" s="278"/>
      <c r="AE315" s="278"/>
      <c r="AF315" s="278"/>
      <c r="AG315" s="278"/>
      <c r="AH315" s="278"/>
      <c r="AI315" s="278"/>
      <c r="AJ315" s="278"/>
      <c r="AK315" s="278"/>
      <c r="AL315" s="278"/>
      <c r="AM315" s="278"/>
      <c r="AN315" s="278"/>
      <c r="AO315" s="278"/>
      <c r="AP315" s="278"/>
      <c r="AQ315" s="278"/>
      <c r="AR315" s="278"/>
      <c r="AS315" s="278"/>
      <c r="AT315" s="278"/>
      <c r="AU315" s="278"/>
      <c r="AV315" s="278"/>
      <c r="AW315" s="278"/>
      <c r="AX315" s="278"/>
      <c r="AY315" s="278"/>
      <c r="AZ315" s="278"/>
      <c r="BA315" s="278"/>
      <c r="BB315" s="278"/>
      <c r="BC315" s="278"/>
      <c r="BD315" s="278"/>
    </row>
    <row r="316" spans="1:56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196"/>
      <c r="S316" s="196"/>
      <c r="T316" s="196"/>
      <c r="U316" s="278"/>
      <c r="V316" s="278"/>
      <c r="W316" s="278"/>
      <c r="X316" s="278"/>
      <c r="Y316" s="278"/>
      <c r="Z316" s="278"/>
      <c r="AA316" s="278"/>
      <c r="AB316" s="278"/>
      <c r="AC316" s="278"/>
      <c r="AD316" s="278"/>
      <c r="AE316" s="278"/>
      <c r="AF316" s="278"/>
      <c r="AG316" s="278"/>
      <c r="AH316" s="278"/>
      <c r="AI316" s="278"/>
      <c r="AJ316" s="278"/>
      <c r="AK316" s="278"/>
      <c r="AL316" s="278"/>
      <c r="AM316" s="278"/>
      <c r="AN316" s="278"/>
      <c r="AO316" s="278"/>
      <c r="AP316" s="278"/>
      <c r="AQ316" s="278"/>
      <c r="AR316" s="278"/>
      <c r="AS316" s="278"/>
      <c r="AT316" s="278"/>
      <c r="AU316" s="278"/>
      <c r="AV316" s="278"/>
      <c r="AW316" s="278"/>
      <c r="AX316" s="278"/>
      <c r="AY316" s="278"/>
      <c r="AZ316" s="278"/>
      <c r="BA316" s="278"/>
      <c r="BB316" s="278"/>
      <c r="BC316" s="278"/>
      <c r="BD316" s="278"/>
    </row>
    <row r="317" spans="1:56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196"/>
      <c r="S317" s="196"/>
      <c r="T317" s="196"/>
      <c r="U317" s="278"/>
      <c r="V317" s="278"/>
      <c r="W317" s="278"/>
      <c r="X317" s="278"/>
      <c r="Y317" s="278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  <c r="AO317" s="278"/>
      <c r="AP317" s="278"/>
      <c r="AQ317" s="278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/>
      <c r="BB317" s="278"/>
      <c r="BC317" s="278"/>
      <c r="BD317" s="278"/>
    </row>
    <row r="318" spans="1:56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196"/>
      <c r="S318" s="196"/>
      <c r="T318" s="196"/>
      <c r="U318" s="278"/>
      <c r="V318" s="278"/>
      <c r="W318" s="278"/>
      <c r="X318" s="278"/>
      <c r="Y318" s="278"/>
      <c r="Z318" s="278"/>
      <c r="AA318" s="278"/>
      <c r="AB318" s="278"/>
      <c r="AC318" s="278"/>
      <c r="AD318" s="278"/>
      <c r="AE318" s="278"/>
      <c r="AF318" s="278"/>
      <c r="AG318" s="278"/>
      <c r="AH318" s="278"/>
      <c r="AI318" s="278"/>
      <c r="AJ318" s="278"/>
      <c r="AK318" s="278"/>
      <c r="AL318" s="278"/>
      <c r="AM318" s="278"/>
      <c r="AN318" s="278"/>
      <c r="AO318" s="278"/>
      <c r="AP318" s="278"/>
      <c r="AQ318" s="278"/>
      <c r="AR318" s="278"/>
      <c r="AS318" s="278"/>
      <c r="AT318" s="278"/>
      <c r="AU318" s="278"/>
      <c r="AV318" s="278"/>
      <c r="AW318" s="278"/>
      <c r="AX318" s="278"/>
      <c r="AY318" s="278"/>
      <c r="AZ318" s="278"/>
      <c r="BA318" s="278"/>
      <c r="BB318" s="278"/>
      <c r="BC318" s="278"/>
      <c r="BD318" s="278"/>
    </row>
    <row r="319" spans="1:56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196"/>
      <c r="S319" s="196"/>
      <c r="T319" s="196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</row>
    <row r="320" spans="1:56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196"/>
      <c r="S320" s="196"/>
      <c r="T320" s="196"/>
      <c r="U320" s="278"/>
      <c r="V320" s="278"/>
      <c r="W320" s="278"/>
      <c r="X320" s="278"/>
      <c r="Y320" s="278"/>
      <c r="Z320" s="278"/>
      <c r="AA320" s="278"/>
      <c r="AB320" s="278"/>
      <c r="AC320" s="278"/>
      <c r="AD320" s="278"/>
      <c r="AE320" s="278"/>
      <c r="AF320" s="278"/>
      <c r="AG320" s="278"/>
      <c r="AH320" s="278"/>
      <c r="AI320" s="278"/>
      <c r="AJ320" s="278"/>
      <c r="AK320" s="278"/>
      <c r="AL320" s="278"/>
      <c r="AM320" s="278"/>
      <c r="AN320" s="278"/>
      <c r="AO320" s="278"/>
      <c r="AP320" s="278"/>
      <c r="AQ320" s="278"/>
      <c r="AR320" s="278"/>
      <c r="AS320" s="278"/>
      <c r="AT320" s="278"/>
      <c r="AU320" s="278"/>
      <c r="AV320" s="278"/>
      <c r="AW320" s="278"/>
      <c r="AX320" s="278"/>
      <c r="AY320" s="278"/>
      <c r="AZ320" s="278"/>
      <c r="BA320" s="278"/>
      <c r="BB320" s="278"/>
      <c r="BC320" s="278"/>
      <c r="BD320" s="278"/>
    </row>
    <row r="321" spans="1:56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196"/>
      <c r="S321" s="196"/>
      <c r="T321" s="196"/>
      <c r="U321" s="278"/>
      <c r="V321" s="278"/>
      <c r="W321" s="278"/>
      <c r="X321" s="278"/>
      <c r="Y321" s="278"/>
      <c r="Z321" s="278"/>
      <c r="AA321" s="278"/>
      <c r="AB321" s="278"/>
      <c r="AC321" s="278"/>
      <c r="AD321" s="278"/>
      <c r="AE321" s="278"/>
      <c r="AF321" s="278"/>
      <c r="AG321" s="278"/>
      <c r="AH321" s="278"/>
      <c r="AI321" s="278"/>
      <c r="AJ321" s="278"/>
      <c r="AK321" s="278"/>
      <c r="AL321" s="278"/>
      <c r="AM321" s="278"/>
      <c r="AN321" s="278"/>
      <c r="AO321" s="278"/>
      <c r="AP321" s="278"/>
      <c r="AQ321" s="278"/>
      <c r="AR321" s="278"/>
      <c r="AS321" s="278"/>
      <c r="AT321" s="278"/>
      <c r="AU321" s="278"/>
      <c r="AV321" s="278"/>
      <c r="AW321" s="278"/>
      <c r="AX321" s="278"/>
      <c r="AY321" s="278"/>
      <c r="AZ321" s="278"/>
      <c r="BA321" s="278"/>
      <c r="BB321" s="278"/>
      <c r="BC321" s="278"/>
      <c r="BD321" s="278"/>
    </row>
    <row r="322" spans="1:56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196"/>
      <c r="S322" s="196"/>
      <c r="T322" s="196"/>
      <c r="U322" s="278"/>
      <c r="V322" s="278"/>
      <c r="W322" s="278"/>
      <c r="X322" s="278"/>
      <c r="Y322" s="278"/>
      <c r="Z322" s="278"/>
      <c r="AA322" s="278"/>
      <c r="AB322" s="278"/>
      <c r="AC322" s="278"/>
      <c r="AD322" s="278"/>
      <c r="AE322" s="278"/>
      <c r="AF322" s="278"/>
      <c r="AG322" s="278"/>
      <c r="AH322" s="278"/>
      <c r="AI322" s="278"/>
      <c r="AJ322" s="278"/>
      <c r="AK322" s="278"/>
      <c r="AL322" s="278"/>
      <c r="AM322" s="278"/>
      <c r="AN322" s="278"/>
      <c r="AO322" s="278"/>
      <c r="AP322" s="278"/>
      <c r="AQ322" s="278"/>
      <c r="AR322" s="278"/>
      <c r="AS322" s="278"/>
      <c r="AT322" s="278"/>
      <c r="AU322" s="278"/>
      <c r="AV322" s="278"/>
      <c r="AW322" s="278"/>
      <c r="AX322" s="278"/>
      <c r="AY322" s="278"/>
      <c r="AZ322" s="278"/>
      <c r="BA322" s="278"/>
      <c r="BB322" s="278"/>
      <c r="BC322" s="278"/>
      <c r="BD322" s="278"/>
    </row>
    <row r="323" spans="1:56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196"/>
      <c r="S323" s="196"/>
      <c r="T323" s="196"/>
      <c r="U323" s="278"/>
      <c r="V323" s="278"/>
      <c r="W323" s="278"/>
      <c r="X323" s="278"/>
      <c r="Y323" s="278"/>
      <c r="Z323" s="278"/>
      <c r="AA323" s="278"/>
      <c r="AB323" s="278"/>
      <c r="AC323" s="278"/>
      <c r="AD323" s="278"/>
      <c r="AE323" s="278"/>
      <c r="AF323" s="278"/>
      <c r="AG323" s="278"/>
      <c r="AH323" s="278"/>
      <c r="AI323" s="278"/>
      <c r="AJ323" s="278"/>
      <c r="AK323" s="278"/>
      <c r="AL323" s="278"/>
      <c r="AM323" s="278"/>
      <c r="AN323" s="278"/>
      <c r="AO323" s="278"/>
      <c r="AP323" s="278"/>
      <c r="AQ323" s="278"/>
      <c r="AR323" s="278"/>
      <c r="AS323" s="278"/>
      <c r="AT323" s="278"/>
      <c r="AU323" s="278"/>
      <c r="AV323" s="278"/>
      <c r="AW323" s="278"/>
      <c r="AX323" s="278"/>
      <c r="AY323" s="278"/>
      <c r="AZ323" s="278"/>
      <c r="BA323" s="278"/>
      <c r="BB323" s="278"/>
      <c r="BC323" s="278"/>
      <c r="BD323" s="278"/>
    </row>
    <row r="324" spans="1:56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196"/>
      <c r="S324" s="196"/>
      <c r="T324" s="196"/>
      <c r="U324" s="278"/>
      <c r="V324" s="278"/>
      <c r="W324" s="278"/>
      <c r="X324" s="278"/>
      <c r="Y324" s="278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  <c r="AO324" s="278"/>
      <c r="AP324" s="278"/>
      <c r="AQ324" s="278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/>
    </row>
    <row r="325" spans="1:56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196"/>
      <c r="S325" s="196"/>
      <c r="T325" s="196"/>
      <c r="U325" s="278"/>
      <c r="V325" s="278"/>
      <c r="W325" s="278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/>
      <c r="BB325" s="278"/>
      <c r="BC325" s="278"/>
      <c r="BD325" s="278"/>
    </row>
    <row r="326" spans="1:56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196"/>
      <c r="S326" s="196"/>
      <c r="T326" s="196"/>
      <c r="U326" s="278"/>
      <c r="V326" s="278"/>
      <c r="W326" s="278"/>
      <c r="X326" s="278"/>
      <c r="Y326" s="278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  <c r="AO326" s="278"/>
      <c r="AP326" s="278"/>
      <c r="AQ326" s="278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/>
      <c r="BB326" s="278"/>
      <c r="BC326" s="278"/>
      <c r="BD326" s="278"/>
    </row>
    <row r="327" spans="1:56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196"/>
      <c r="S327" s="196"/>
      <c r="T327" s="196"/>
      <c r="U327" s="278"/>
      <c r="V327" s="278"/>
      <c r="W327" s="278"/>
      <c r="X327" s="278"/>
      <c r="Y327" s="278"/>
      <c r="Z327" s="278"/>
      <c r="AA327" s="278"/>
      <c r="AB327" s="278"/>
      <c r="AC327" s="278"/>
      <c r="AD327" s="278"/>
      <c r="AE327" s="278"/>
      <c r="AF327" s="278"/>
      <c r="AG327" s="278"/>
      <c r="AH327" s="278"/>
      <c r="AI327" s="278"/>
      <c r="AJ327" s="278"/>
      <c r="AK327" s="278"/>
      <c r="AL327" s="278"/>
      <c r="AM327" s="278"/>
      <c r="AN327" s="278"/>
      <c r="AO327" s="278"/>
      <c r="AP327" s="278"/>
      <c r="AQ327" s="278"/>
      <c r="AR327" s="278"/>
      <c r="AS327" s="278"/>
      <c r="AT327" s="278"/>
      <c r="AU327" s="278"/>
      <c r="AV327" s="278"/>
      <c r="AW327" s="278"/>
      <c r="AX327" s="278"/>
      <c r="AY327" s="278"/>
      <c r="AZ327" s="278"/>
      <c r="BA327" s="278"/>
      <c r="BB327" s="278"/>
      <c r="BC327" s="278"/>
      <c r="BD327" s="278"/>
    </row>
    <row r="328" spans="1:56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196"/>
      <c r="S328" s="196"/>
      <c r="T328" s="196"/>
      <c r="U328" s="278"/>
      <c r="V328" s="278"/>
      <c r="W328" s="278"/>
      <c r="X328" s="278"/>
      <c r="Y328" s="278"/>
      <c r="Z328" s="278"/>
      <c r="AA328" s="278"/>
      <c r="AB328" s="278"/>
      <c r="AC328" s="278"/>
      <c r="AD328" s="278"/>
      <c r="AE328" s="278"/>
      <c r="AF328" s="278"/>
      <c r="AG328" s="278"/>
      <c r="AH328" s="278"/>
      <c r="AI328" s="278"/>
      <c r="AJ328" s="278"/>
      <c r="AK328" s="278"/>
      <c r="AL328" s="278"/>
      <c r="AM328" s="278"/>
      <c r="AN328" s="278"/>
      <c r="AO328" s="278"/>
      <c r="AP328" s="278"/>
      <c r="AQ328" s="278"/>
      <c r="AR328" s="278"/>
      <c r="AS328" s="278"/>
      <c r="AT328" s="278"/>
      <c r="AU328" s="278"/>
      <c r="AV328" s="278"/>
      <c r="AW328" s="278"/>
      <c r="AX328" s="278"/>
      <c r="AY328" s="278"/>
      <c r="AZ328" s="278"/>
      <c r="BA328" s="278"/>
      <c r="BB328" s="278"/>
      <c r="BC328" s="278"/>
      <c r="BD328" s="278"/>
    </row>
    <row r="329" spans="1:56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196"/>
      <c r="S329" s="196"/>
      <c r="T329" s="196"/>
      <c r="U329" s="278"/>
      <c r="V329" s="278"/>
      <c r="W329" s="278"/>
      <c r="X329" s="278"/>
      <c r="Y329" s="278"/>
      <c r="Z329" s="278"/>
      <c r="AA329" s="278"/>
      <c r="AB329" s="278"/>
      <c r="AC329" s="278"/>
      <c r="AD329" s="278"/>
      <c r="AE329" s="278"/>
      <c r="AF329" s="278"/>
      <c r="AG329" s="278"/>
      <c r="AH329" s="278"/>
      <c r="AI329" s="278"/>
      <c r="AJ329" s="278"/>
      <c r="AK329" s="278"/>
      <c r="AL329" s="278"/>
      <c r="AM329" s="278"/>
      <c r="AN329" s="278"/>
      <c r="AO329" s="278"/>
      <c r="AP329" s="278"/>
      <c r="AQ329" s="278"/>
      <c r="AR329" s="278"/>
      <c r="AS329" s="278"/>
      <c r="AT329" s="278"/>
      <c r="AU329" s="278"/>
      <c r="AV329" s="278"/>
      <c r="AW329" s="278"/>
      <c r="AX329" s="278"/>
      <c r="AY329" s="278"/>
      <c r="AZ329" s="278"/>
      <c r="BA329" s="278"/>
      <c r="BB329" s="278"/>
      <c r="BC329" s="278"/>
      <c r="BD329" s="278"/>
    </row>
    <row r="330" spans="1:56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196"/>
      <c r="S330" s="196"/>
      <c r="T330" s="196"/>
      <c r="U330" s="278"/>
      <c r="V330" s="278"/>
      <c r="W330" s="278"/>
      <c r="X330" s="278"/>
      <c r="Y330" s="278"/>
      <c r="Z330" s="278"/>
      <c r="AA330" s="278"/>
      <c r="AB330" s="278"/>
      <c r="AC330" s="278"/>
      <c r="AD330" s="278"/>
      <c r="AE330" s="278"/>
      <c r="AF330" s="278"/>
      <c r="AG330" s="278"/>
      <c r="AH330" s="278"/>
      <c r="AI330" s="278"/>
      <c r="AJ330" s="278"/>
      <c r="AK330" s="278"/>
      <c r="AL330" s="278"/>
      <c r="AM330" s="278"/>
      <c r="AN330" s="278"/>
      <c r="AO330" s="278"/>
      <c r="AP330" s="278"/>
      <c r="AQ330" s="278"/>
      <c r="AR330" s="278"/>
      <c r="AS330" s="278"/>
      <c r="AT330" s="278"/>
      <c r="AU330" s="278"/>
      <c r="AV330" s="278"/>
      <c r="AW330" s="278"/>
      <c r="AX330" s="278"/>
      <c r="AY330" s="278"/>
      <c r="AZ330" s="278"/>
      <c r="BA330" s="278"/>
      <c r="BB330" s="278"/>
      <c r="BC330" s="278"/>
      <c r="BD330" s="278"/>
    </row>
    <row r="331" spans="1:56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196"/>
      <c r="S331" s="196"/>
      <c r="T331" s="196"/>
      <c r="U331" s="278"/>
      <c r="V331" s="278"/>
      <c r="W331" s="278"/>
      <c r="X331" s="278"/>
      <c r="Y331" s="278"/>
      <c r="Z331" s="278"/>
      <c r="AA331" s="278"/>
      <c r="AB331" s="278"/>
      <c r="AC331" s="278"/>
      <c r="AD331" s="278"/>
      <c r="AE331" s="278"/>
      <c r="AF331" s="278"/>
      <c r="AG331" s="278"/>
      <c r="AH331" s="278"/>
      <c r="AI331" s="278"/>
      <c r="AJ331" s="278"/>
      <c r="AK331" s="278"/>
      <c r="AL331" s="278"/>
      <c r="AM331" s="278"/>
      <c r="AN331" s="278"/>
      <c r="AO331" s="278"/>
      <c r="AP331" s="278"/>
      <c r="AQ331" s="278"/>
      <c r="AR331" s="278"/>
      <c r="AS331" s="278"/>
      <c r="AT331" s="278"/>
      <c r="AU331" s="278"/>
      <c r="AV331" s="278"/>
      <c r="AW331" s="278"/>
      <c r="AX331" s="278"/>
      <c r="AY331" s="278"/>
      <c r="AZ331" s="278"/>
      <c r="BA331" s="278"/>
      <c r="BB331" s="278"/>
      <c r="BC331" s="278"/>
      <c r="BD331" s="278"/>
    </row>
    <row r="332" spans="1:56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196"/>
      <c r="S332" s="196"/>
      <c r="T332" s="196"/>
      <c r="U332" s="278"/>
      <c r="V332" s="278"/>
      <c r="W332" s="278"/>
      <c r="X332" s="278"/>
      <c r="Y332" s="278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  <c r="AO332" s="278"/>
      <c r="AP332" s="278"/>
      <c r="AQ332" s="278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/>
    </row>
    <row r="333" spans="1:56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196"/>
      <c r="S333" s="196"/>
      <c r="T333" s="196"/>
      <c r="U333" s="278"/>
      <c r="V333" s="278"/>
      <c r="W333" s="278"/>
      <c r="X333" s="278"/>
      <c r="Y333" s="278"/>
      <c r="Z333" s="278"/>
      <c r="AA333" s="278"/>
      <c r="AB333" s="278"/>
      <c r="AC333" s="278"/>
      <c r="AD333" s="278"/>
      <c r="AE333" s="278"/>
      <c r="AF333" s="278"/>
      <c r="AG333" s="278"/>
      <c r="AH333" s="278"/>
      <c r="AI333" s="278"/>
      <c r="AJ333" s="278"/>
      <c r="AK333" s="278"/>
      <c r="AL333" s="278"/>
      <c r="AM333" s="278"/>
      <c r="AN333" s="278"/>
      <c r="AO333" s="278"/>
      <c r="AP333" s="278"/>
      <c r="AQ333" s="278"/>
      <c r="AR333" s="278"/>
      <c r="AS333" s="278"/>
      <c r="AT333" s="278"/>
      <c r="AU333" s="278"/>
      <c r="AV333" s="278"/>
      <c r="AW333" s="278"/>
      <c r="AX333" s="278"/>
      <c r="AY333" s="278"/>
      <c r="AZ333" s="278"/>
      <c r="BA333" s="278"/>
      <c r="BB333" s="278"/>
      <c r="BC333" s="278"/>
      <c r="BD333" s="278"/>
    </row>
    <row r="334" spans="1:56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196"/>
      <c r="S334" s="196"/>
      <c r="T334" s="196"/>
      <c r="U334" s="278"/>
      <c r="V334" s="278"/>
      <c r="W334" s="278"/>
      <c r="X334" s="278"/>
      <c r="Y334" s="278"/>
      <c r="Z334" s="278"/>
      <c r="AA334" s="278"/>
      <c r="AB334" s="278"/>
      <c r="AC334" s="278"/>
      <c r="AD334" s="278"/>
      <c r="AE334" s="278"/>
      <c r="AF334" s="278"/>
      <c r="AG334" s="278"/>
      <c r="AH334" s="278"/>
      <c r="AI334" s="278"/>
      <c r="AJ334" s="278"/>
      <c r="AK334" s="278"/>
      <c r="AL334" s="278"/>
      <c r="AM334" s="278"/>
      <c r="AN334" s="278"/>
      <c r="AO334" s="278"/>
      <c r="AP334" s="278"/>
      <c r="AQ334" s="278"/>
      <c r="AR334" s="278"/>
      <c r="AS334" s="278"/>
      <c r="AT334" s="278"/>
      <c r="AU334" s="278"/>
      <c r="AV334" s="278"/>
      <c r="AW334" s="278"/>
      <c r="AX334" s="278"/>
      <c r="AY334" s="278"/>
      <c r="AZ334" s="278"/>
      <c r="BA334" s="278"/>
      <c r="BB334" s="278"/>
      <c r="BC334" s="278"/>
      <c r="BD334" s="278"/>
    </row>
    <row r="335" spans="1:56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196"/>
      <c r="S335" s="196"/>
      <c r="T335" s="196"/>
      <c r="U335" s="278"/>
      <c r="V335" s="278"/>
      <c r="W335" s="278"/>
      <c r="X335" s="278"/>
      <c r="Y335" s="278"/>
      <c r="Z335" s="278"/>
      <c r="AA335" s="278"/>
      <c r="AB335" s="278"/>
      <c r="AC335" s="278"/>
      <c r="AD335" s="278"/>
      <c r="AE335" s="278"/>
      <c r="AF335" s="278"/>
      <c r="AG335" s="278"/>
      <c r="AH335" s="278"/>
      <c r="AI335" s="278"/>
      <c r="AJ335" s="278"/>
      <c r="AK335" s="278"/>
      <c r="AL335" s="278"/>
      <c r="AM335" s="278"/>
      <c r="AN335" s="278"/>
      <c r="AO335" s="278"/>
      <c r="AP335" s="278"/>
      <c r="AQ335" s="278"/>
      <c r="AR335" s="278"/>
      <c r="AS335" s="278"/>
      <c r="AT335" s="278"/>
      <c r="AU335" s="278"/>
      <c r="AV335" s="278"/>
      <c r="AW335" s="278"/>
      <c r="AX335" s="278"/>
      <c r="AY335" s="278"/>
      <c r="AZ335" s="278"/>
      <c r="BA335" s="278"/>
      <c r="BB335" s="278"/>
      <c r="BC335" s="278"/>
      <c r="BD335" s="278"/>
    </row>
    <row r="336" spans="1:56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196"/>
      <c r="S336" s="196"/>
      <c r="T336" s="196"/>
      <c r="U336" s="278"/>
      <c r="V336" s="278"/>
      <c r="W336" s="278"/>
      <c r="X336" s="278"/>
      <c r="Y336" s="278"/>
      <c r="Z336" s="278"/>
      <c r="AA336" s="278"/>
      <c r="AB336" s="278"/>
      <c r="AC336" s="278"/>
      <c r="AD336" s="278"/>
      <c r="AE336" s="278"/>
      <c r="AF336" s="278"/>
      <c r="AG336" s="278"/>
      <c r="AH336" s="278"/>
      <c r="AI336" s="278"/>
      <c r="AJ336" s="278"/>
      <c r="AK336" s="278"/>
      <c r="AL336" s="278"/>
      <c r="AM336" s="278"/>
      <c r="AN336" s="278"/>
      <c r="AO336" s="278"/>
      <c r="AP336" s="278"/>
      <c r="AQ336" s="278"/>
      <c r="AR336" s="278"/>
      <c r="AS336" s="278"/>
      <c r="AT336" s="278"/>
      <c r="AU336" s="278"/>
      <c r="AV336" s="278"/>
      <c r="AW336" s="278"/>
      <c r="AX336" s="278"/>
      <c r="AY336" s="278"/>
      <c r="AZ336" s="278"/>
      <c r="BA336" s="278"/>
      <c r="BB336" s="278"/>
      <c r="BC336" s="278"/>
      <c r="BD336" s="278"/>
    </row>
    <row r="337" spans="1:56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196"/>
      <c r="S337" s="196"/>
      <c r="T337" s="196"/>
      <c r="U337" s="278"/>
      <c r="V337" s="278"/>
      <c r="W337" s="278"/>
      <c r="X337" s="278"/>
      <c r="Y337" s="278"/>
      <c r="Z337" s="278"/>
      <c r="AA337" s="278"/>
      <c r="AB337" s="278"/>
      <c r="AC337" s="278"/>
      <c r="AD337" s="278"/>
      <c r="AE337" s="278"/>
      <c r="AF337" s="278"/>
      <c r="AG337" s="278"/>
      <c r="AH337" s="278"/>
      <c r="AI337" s="278"/>
      <c r="AJ337" s="278"/>
      <c r="AK337" s="278"/>
      <c r="AL337" s="278"/>
      <c r="AM337" s="278"/>
      <c r="AN337" s="278"/>
      <c r="AO337" s="278"/>
      <c r="AP337" s="278"/>
      <c r="AQ337" s="278"/>
      <c r="AR337" s="278"/>
      <c r="AS337" s="278"/>
      <c r="AT337" s="278"/>
      <c r="AU337" s="278"/>
      <c r="AV337" s="278"/>
      <c r="AW337" s="278"/>
      <c r="AX337" s="278"/>
      <c r="AY337" s="278"/>
      <c r="AZ337" s="278"/>
      <c r="BA337" s="278"/>
      <c r="BB337" s="278"/>
      <c r="BC337" s="278"/>
      <c r="BD337" s="278"/>
    </row>
    <row r="338" spans="1:56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196"/>
      <c r="S338" s="196"/>
      <c r="T338" s="196"/>
      <c r="U338" s="278"/>
      <c r="V338" s="278"/>
      <c r="W338" s="278"/>
      <c r="X338" s="278"/>
      <c r="Y338" s="278"/>
      <c r="Z338" s="278"/>
      <c r="AA338" s="278"/>
      <c r="AB338" s="278"/>
      <c r="AC338" s="278"/>
      <c r="AD338" s="278"/>
      <c r="AE338" s="278"/>
      <c r="AF338" s="278"/>
      <c r="AG338" s="278"/>
      <c r="AH338" s="278"/>
      <c r="AI338" s="278"/>
      <c r="AJ338" s="278"/>
      <c r="AK338" s="278"/>
      <c r="AL338" s="278"/>
      <c r="AM338" s="278"/>
      <c r="AN338" s="278"/>
      <c r="AO338" s="278"/>
      <c r="AP338" s="278"/>
      <c r="AQ338" s="278"/>
      <c r="AR338" s="278"/>
      <c r="AS338" s="278"/>
      <c r="AT338" s="278"/>
      <c r="AU338" s="278"/>
      <c r="AV338" s="278"/>
      <c r="AW338" s="278"/>
      <c r="AX338" s="278"/>
      <c r="AY338" s="278"/>
      <c r="AZ338" s="278"/>
      <c r="BA338" s="278"/>
      <c r="BB338" s="278"/>
      <c r="BC338" s="278"/>
      <c r="BD338" s="278"/>
    </row>
    <row r="339" spans="1:56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196"/>
      <c r="S339" s="196"/>
      <c r="T339" s="196"/>
      <c r="U339" s="278"/>
      <c r="V339" s="278"/>
      <c r="W339" s="278"/>
      <c r="X339" s="278"/>
      <c r="Y339" s="278"/>
      <c r="Z339" s="278"/>
      <c r="AA339" s="278"/>
      <c r="AB339" s="278"/>
      <c r="AC339" s="278"/>
      <c r="AD339" s="278"/>
      <c r="AE339" s="278"/>
      <c r="AF339" s="278"/>
      <c r="AG339" s="278"/>
      <c r="AH339" s="278"/>
      <c r="AI339" s="278"/>
      <c r="AJ339" s="278"/>
      <c r="AK339" s="278"/>
      <c r="AL339" s="278"/>
      <c r="AM339" s="278"/>
      <c r="AN339" s="278"/>
      <c r="AO339" s="278"/>
      <c r="AP339" s="278"/>
      <c r="AQ339" s="278"/>
      <c r="AR339" s="278"/>
      <c r="AS339" s="278"/>
      <c r="AT339" s="278"/>
      <c r="AU339" s="278"/>
      <c r="AV339" s="278"/>
      <c r="AW339" s="278"/>
      <c r="AX339" s="278"/>
      <c r="AY339" s="278"/>
      <c r="AZ339" s="278"/>
      <c r="BA339" s="278"/>
      <c r="BB339" s="278"/>
      <c r="BC339" s="278"/>
      <c r="BD339" s="278"/>
    </row>
    <row r="340" spans="1:56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196"/>
      <c r="S340" s="196"/>
      <c r="T340" s="196"/>
      <c r="U340" s="278"/>
      <c r="V340" s="278"/>
      <c r="W340" s="278"/>
      <c r="X340" s="278"/>
      <c r="Y340" s="278"/>
      <c r="Z340" s="278"/>
      <c r="AA340" s="278"/>
      <c r="AB340" s="278"/>
      <c r="AC340" s="278"/>
      <c r="AD340" s="278"/>
      <c r="AE340" s="278"/>
      <c r="AF340" s="278"/>
      <c r="AG340" s="278"/>
      <c r="AH340" s="278"/>
      <c r="AI340" s="278"/>
      <c r="AJ340" s="278"/>
      <c r="AK340" s="278"/>
      <c r="AL340" s="278"/>
      <c r="AM340" s="278"/>
      <c r="AN340" s="278"/>
      <c r="AO340" s="278"/>
      <c r="AP340" s="278"/>
      <c r="AQ340" s="278"/>
      <c r="AR340" s="278"/>
      <c r="AS340" s="278"/>
      <c r="AT340" s="278"/>
      <c r="AU340" s="278"/>
      <c r="AV340" s="278"/>
      <c r="AW340" s="278"/>
      <c r="AX340" s="278"/>
      <c r="AY340" s="278"/>
      <c r="AZ340" s="278"/>
      <c r="BA340" s="278"/>
      <c r="BB340" s="278"/>
      <c r="BC340" s="278"/>
      <c r="BD340" s="278"/>
    </row>
    <row r="341" spans="1:56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196"/>
      <c r="S341" s="196"/>
      <c r="T341" s="196"/>
      <c r="U341" s="278"/>
      <c r="V341" s="278"/>
      <c r="W341" s="278"/>
      <c r="X341" s="278"/>
      <c r="Y341" s="278"/>
      <c r="Z341" s="278"/>
      <c r="AA341" s="278"/>
      <c r="AB341" s="278"/>
      <c r="AC341" s="278"/>
      <c r="AD341" s="278"/>
      <c r="AE341" s="278"/>
      <c r="AF341" s="278"/>
      <c r="AG341" s="278"/>
      <c r="AH341" s="278"/>
      <c r="AI341" s="278"/>
      <c r="AJ341" s="278"/>
      <c r="AK341" s="278"/>
      <c r="AL341" s="278"/>
      <c r="AM341" s="278"/>
      <c r="AN341" s="278"/>
      <c r="AO341" s="278"/>
      <c r="AP341" s="278"/>
      <c r="AQ341" s="278"/>
      <c r="AR341" s="278"/>
      <c r="AS341" s="278"/>
      <c r="AT341" s="278"/>
      <c r="AU341" s="278"/>
      <c r="AV341" s="278"/>
      <c r="AW341" s="278"/>
      <c r="AX341" s="278"/>
      <c r="AY341" s="278"/>
      <c r="AZ341" s="278"/>
      <c r="BA341" s="278"/>
      <c r="BB341" s="278"/>
      <c r="BC341" s="278"/>
      <c r="BD341" s="278"/>
    </row>
    <row r="342" spans="1:56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196"/>
      <c r="S342" s="196"/>
      <c r="T342" s="196"/>
      <c r="U342" s="278"/>
      <c r="V342" s="278"/>
      <c r="W342" s="278"/>
      <c r="X342" s="278"/>
      <c r="Y342" s="278"/>
      <c r="Z342" s="278"/>
      <c r="AA342" s="278"/>
      <c r="AB342" s="278"/>
      <c r="AC342" s="278"/>
      <c r="AD342" s="278"/>
      <c r="AE342" s="278"/>
      <c r="AF342" s="278"/>
      <c r="AG342" s="278"/>
      <c r="AH342" s="278"/>
      <c r="AI342" s="278"/>
      <c r="AJ342" s="278"/>
      <c r="AK342" s="278"/>
      <c r="AL342" s="278"/>
      <c r="AM342" s="278"/>
      <c r="AN342" s="278"/>
      <c r="AO342" s="278"/>
      <c r="AP342" s="278"/>
      <c r="AQ342" s="278"/>
      <c r="AR342" s="278"/>
      <c r="AS342" s="278"/>
      <c r="AT342" s="278"/>
      <c r="AU342" s="278"/>
      <c r="AV342" s="278"/>
      <c r="AW342" s="278"/>
      <c r="AX342" s="278"/>
      <c r="AY342" s="278"/>
      <c r="AZ342" s="278"/>
      <c r="BA342" s="278"/>
      <c r="BB342" s="278"/>
      <c r="BC342" s="278"/>
      <c r="BD342" s="278"/>
    </row>
    <row r="343" spans="1:56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196"/>
      <c r="S343" s="196"/>
      <c r="T343" s="196"/>
      <c r="U343" s="278"/>
      <c r="V343" s="278"/>
      <c r="W343" s="278"/>
      <c r="X343" s="278"/>
      <c r="Y343" s="278"/>
      <c r="Z343" s="278"/>
      <c r="AA343" s="278"/>
      <c r="AB343" s="278"/>
      <c r="AC343" s="278"/>
      <c r="AD343" s="278"/>
      <c r="AE343" s="278"/>
      <c r="AF343" s="278"/>
      <c r="AG343" s="278"/>
      <c r="AH343" s="278"/>
      <c r="AI343" s="278"/>
      <c r="AJ343" s="278"/>
      <c r="AK343" s="278"/>
      <c r="AL343" s="278"/>
      <c r="AM343" s="278"/>
      <c r="AN343" s="278"/>
      <c r="AO343" s="278"/>
      <c r="AP343" s="278"/>
      <c r="AQ343" s="278"/>
      <c r="AR343" s="278"/>
      <c r="AS343" s="278"/>
      <c r="AT343" s="278"/>
      <c r="AU343" s="278"/>
      <c r="AV343" s="278"/>
      <c r="AW343" s="278"/>
      <c r="AX343" s="278"/>
      <c r="AY343" s="278"/>
      <c r="AZ343" s="278"/>
      <c r="BA343" s="278"/>
      <c r="BB343" s="278"/>
      <c r="BC343" s="278"/>
      <c r="BD343" s="278"/>
    </row>
    <row r="344" spans="1:56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196"/>
      <c r="S344" s="196"/>
      <c r="T344" s="196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</row>
    <row r="345" spans="1:56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196"/>
      <c r="S345" s="196"/>
      <c r="T345" s="196"/>
      <c r="U345" s="278"/>
      <c r="V345" s="278"/>
      <c r="W345" s="278"/>
      <c r="X345" s="278"/>
      <c r="Y345" s="278"/>
      <c r="Z345" s="278"/>
      <c r="AA345" s="278"/>
      <c r="AB345" s="278"/>
      <c r="AC345" s="278"/>
      <c r="AD345" s="278"/>
      <c r="AE345" s="278"/>
      <c r="AF345" s="278"/>
      <c r="AG345" s="278"/>
      <c r="AH345" s="278"/>
      <c r="AI345" s="278"/>
      <c r="AJ345" s="278"/>
      <c r="AK345" s="278"/>
      <c r="AL345" s="278"/>
      <c r="AM345" s="278"/>
      <c r="AN345" s="278"/>
      <c r="AO345" s="278"/>
      <c r="AP345" s="278"/>
      <c r="AQ345" s="278"/>
      <c r="AR345" s="278"/>
      <c r="AS345" s="278"/>
      <c r="AT345" s="278"/>
      <c r="AU345" s="278"/>
      <c r="AV345" s="278"/>
      <c r="AW345" s="278"/>
      <c r="AX345" s="278"/>
      <c r="AY345" s="278"/>
      <c r="AZ345" s="278"/>
      <c r="BA345" s="278"/>
      <c r="BB345" s="278"/>
      <c r="BC345" s="278"/>
      <c r="BD345" s="278"/>
    </row>
    <row r="346" spans="1:56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196"/>
      <c r="S346" s="196"/>
      <c r="T346" s="196"/>
      <c r="U346" s="278"/>
      <c r="V346" s="278"/>
      <c r="W346" s="278"/>
      <c r="X346" s="278"/>
      <c r="Y346" s="278"/>
      <c r="Z346" s="278"/>
      <c r="AA346" s="278"/>
      <c r="AB346" s="278"/>
      <c r="AC346" s="278"/>
      <c r="AD346" s="278"/>
      <c r="AE346" s="278"/>
      <c r="AF346" s="278"/>
      <c r="AG346" s="278"/>
      <c r="AH346" s="278"/>
      <c r="AI346" s="278"/>
      <c r="AJ346" s="278"/>
      <c r="AK346" s="278"/>
      <c r="AL346" s="278"/>
      <c r="AM346" s="278"/>
      <c r="AN346" s="278"/>
      <c r="AO346" s="278"/>
      <c r="AP346" s="278"/>
      <c r="AQ346" s="278"/>
      <c r="AR346" s="278"/>
      <c r="AS346" s="278"/>
      <c r="AT346" s="278"/>
      <c r="AU346" s="278"/>
      <c r="AV346" s="278"/>
      <c r="AW346" s="278"/>
      <c r="AX346" s="278"/>
      <c r="AY346" s="278"/>
      <c r="AZ346" s="278"/>
      <c r="BA346" s="278"/>
      <c r="BB346" s="278"/>
      <c r="BC346" s="278"/>
      <c r="BD346" s="278"/>
    </row>
    <row r="347" spans="1:56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196"/>
      <c r="S347" s="196"/>
      <c r="T347" s="196"/>
      <c r="U347" s="278"/>
      <c r="V347" s="278"/>
      <c r="W347" s="278"/>
      <c r="X347" s="278"/>
      <c r="Y347" s="278"/>
      <c r="Z347" s="278"/>
      <c r="AA347" s="278"/>
      <c r="AB347" s="278"/>
      <c r="AC347" s="278"/>
      <c r="AD347" s="278"/>
      <c r="AE347" s="278"/>
      <c r="AF347" s="278"/>
      <c r="AG347" s="278"/>
      <c r="AH347" s="278"/>
      <c r="AI347" s="278"/>
      <c r="AJ347" s="278"/>
      <c r="AK347" s="278"/>
      <c r="AL347" s="278"/>
      <c r="AM347" s="278"/>
      <c r="AN347" s="278"/>
      <c r="AO347" s="278"/>
      <c r="AP347" s="278"/>
      <c r="AQ347" s="278"/>
      <c r="AR347" s="278"/>
      <c r="AS347" s="278"/>
      <c r="AT347" s="278"/>
      <c r="AU347" s="278"/>
      <c r="AV347" s="278"/>
      <c r="AW347" s="278"/>
      <c r="AX347" s="278"/>
      <c r="AY347" s="278"/>
      <c r="AZ347" s="278"/>
      <c r="BA347" s="278"/>
      <c r="BB347" s="278"/>
      <c r="BC347" s="278"/>
      <c r="BD347" s="278"/>
    </row>
    <row r="348" spans="1:56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196"/>
      <c r="S348" s="196"/>
      <c r="T348" s="196"/>
      <c r="U348" s="278"/>
      <c r="V348" s="278"/>
      <c r="W348" s="278"/>
      <c r="X348" s="278"/>
      <c r="Y348" s="278"/>
      <c r="Z348" s="278"/>
      <c r="AA348" s="278"/>
      <c r="AB348" s="278"/>
      <c r="AC348" s="278"/>
      <c r="AD348" s="278"/>
      <c r="AE348" s="278"/>
      <c r="AF348" s="278"/>
      <c r="AG348" s="278"/>
      <c r="AH348" s="278"/>
      <c r="AI348" s="278"/>
      <c r="AJ348" s="278"/>
      <c r="AK348" s="278"/>
      <c r="AL348" s="278"/>
      <c r="AM348" s="278"/>
      <c r="AN348" s="278"/>
      <c r="AO348" s="278"/>
      <c r="AP348" s="278"/>
      <c r="AQ348" s="278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</row>
    <row r="349" spans="1:56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196"/>
      <c r="S349" s="196"/>
      <c r="T349" s="196"/>
      <c r="U349" s="278"/>
      <c r="V349" s="278"/>
      <c r="W349" s="278"/>
      <c r="X349" s="278"/>
      <c r="Y349" s="278"/>
      <c r="Z349" s="278"/>
      <c r="AA349" s="278"/>
      <c r="AB349" s="278"/>
      <c r="AC349" s="278"/>
      <c r="AD349" s="278"/>
      <c r="AE349" s="278"/>
      <c r="AF349" s="278"/>
      <c r="AG349" s="278"/>
      <c r="AH349" s="278"/>
      <c r="AI349" s="278"/>
      <c r="AJ349" s="278"/>
      <c r="AK349" s="278"/>
      <c r="AL349" s="278"/>
      <c r="AM349" s="278"/>
      <c r="AN349" s="278"/>
      <c r="AO349" s="278"/>
      <c r="AP349" s="278"/>
      <c r="AQ349" s="278"/>
      <c r="AR349" s="278"/>
      <c r="AS349" s="278"/>
      <c r="AT349" s="278"/>
      <c r="AU349" s="278"/>
      <c r="AV349" s="278"/>
      <c r="AW349" s="278"/>
      <c r="AX349" s="278"/>
      <c r="AY349" s="278"/>
      <c r="AZ349" s="278"/>
      <c r="BA349" s="278"/>
      <c r="BB349" s="278"/>
      <c r="BC349" s="278"/>
      <c r="BD349" s="278"/>
    </row>
    <row r="350" spans="1:56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196"/>
      <c r="S350" s="196"/>
      <c r="T350" s="196"/>
      <c r="U350" s="278"/>
      <c r="V350" s="278"/>
      <c r="W350" s="278"/>
      <c r="X350" s="278"/>
      <c r="Y350" s="278"/>
      <c r="Z350" s="278"/>
      <c r="AA350" s="278"/>
      <c r="AB350" s="278"/>
      <c r="AC350" s="278"/>
      <c r="AD350" s="278"/>
      <c r="AE350" s="278"/>
      <c r="AF350" s="278"/>
      <c r="AG350" s="278"/>
      <c r="AH350" s="278"/>
      <c r="AI350" s="278"/>
      <c r="AJ350" s="278"/>
      <c r="AK350" s="278"/>
      <c r="AL350" s="278"/>
      <c r="AM350" s="278"/>
      <c r="AN350" s="278"/>
      <c r="AO350" s="278"/>
      <c r="AP350" s="278"/>
      <c r="AQ350" s="278"/>
      <c r="AR350" s="278"/>
      <c r="AS350" s="278"/>
      <c r="AT350" s="278"/>
      <c r="AU350" s="278"/>
      <c r="AV350" s="278"/>
      <c r="AW350" s="278"/>
      <c r="AX350" s="278"/>
      <c r="AY350" s="278"/>
      <c r="AZ350" s="278"/>
      <c r="BA350" s="278"/>
      <c r="BB350" s="278"/>
      <c r="BC350" s="278"/>
      <c r="BD350" s="278"/>
    </row>
    <row r="351" spans="1:56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196"/>
      <c r="S351" s="196"/>
      <c r="T351" s="196"/>
      <c r="U351" s="278"/>
      <c r="V351" s="278"/>
      <c r="W351" s="278"/>
      <c r="X351" s="278"/>
      <c r="Y351" s="278"/>
      <c r="Z351" s="278"/>
      <c r="AA351" s="278"/>
      <c r="AB351" s="278"/>
      <c r="AC351" s="278"/>
      <c r="AD351" s="278"/>
      <c r="AE351" s="278"/>
      <c r="AF351" s="278"/>
      <c r="AG351" s="278"/>
      <c r="AH351" s="278"/>
      <c r="AI351" s="278"/>
      <c r="AJ351" s="278"/>
      <c r="AK351" s="278"/>
      <c r="AL351" s="278"/>
      <c r="AM351" s="278"/>
      <c r="AN351" s="278"/>
      <c r="AO351" s="278"/>
      <c r="AP351" s="278"/>
      <c r="AQ351" s="278"/>
      <c r="AR351" s="278"/>
      <c r="AS351" s="278"/>
      <c r="AT351" s="278"/>
      <c r="AU351" s="278"/>
      <c r="AV351" s="278"/>
      <c r="AW351" s="278"/>
      <c r="AX351" s="278"/>
      <c r="AY351" s="278"/>
      <c r="AZ351" s="278"/>
      <c r="BA351" s="278"/>
      <c r="BB351" s="278"/>
      <c r="BC351" s="278"/>
      <c r="BD351" s="278"/>
    </row>
    <row r="352" spans="1:56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196"/>
      <c r="S352" s="196"/>
      <c r="T352" s="196"/>
      <c r="U352" s="278"/>
      <c r="V352" s="278"/>
      <c r="W352" s="278"/>
      <c r="X352" s="278"/>
      <c r="Y352" s="278"/>
      <c r="Z352" s="278"/>
      <c r="AA352" s="278"/>
      <c r="AB352" s="278"/>
      <c r="AC352" s="278"/>
      <c r="AD352" s="278"/>
      <c r="AE352" s="278"/>
      <c r="AF352" s="278"/>
      <c r="AG352" s="278"/>
      <c r="AH352" s="278"/>
      <c r="AI352" s="278"/>
      <c r="AJ352" s="278"/>
      <c r="AK352" s="278"/>
      <c r="AL352" s="278"/>
      <c r="AM352" s="278"/>
      <c r="AN352" s="278"/>
      <c r="AO352" s="278"/>
      <c r="AP352" s="278"/>
      <c r="AQ352" s="278"/>
      <c r="AR352" s="278"/>
      <c r="AS352" s="278"/>
      <c r="AT352" s="278"/>
      <c r="AU352" s="278"/>
      <c r="AV352" s="278"/>
      <c r="AW352" s="278"/>
      <c r="AX352" s="278"/>
      <c r="AY352" s="278"/>
      <c r="AZ352" s="278"/>
      <c r="BA352" s="278"/>
      <c r="BB352" s="278"/>
      <c r="BC352" s="278"/>
      <c r="BD352" s="278"/>
    </row>
    <row r="353" spans="1:56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196"/>
      <c r="S353" s="196"/>
      <c r="T353" s="196"/>
      <c r="U353" s="278"/>
      <c r="V353" s="278"/>
      <c r="W353" s="278"/>
      <c r="X353" s="278"/>
      <c r="Y353" s="278"/>
      <c r="Z353" s="278"/>
      <c r="AA353" s="278"/>
      <c r="AB353" s="278"/>
      <c r="AC353" s="278"/>
      <c r="AD353" s="278"/>
      <c r="AE353" s="278"/>
      <c r="AF353" s="278"/>
      <c r="AG353" s="278"/>
      <c r="AH353" s="278"/>
      <c r="AI353" s="278"/>
      <c r="AJ353" s="278"/>
      <c r="AK353" s="278"/>
      <c r="AL353" s="278"/>
      <c r="AM353" s="278"/>
      <c r="AN353" s="278"/>
      <c r="AO353" s="278"/>
      <c r="AP353" s="278"/>
      <c r="AQ353" s="278"/>
      <c r="AR353" s="278"/>
      <c r="AS353" s="278"/>
      <c r="AT353" s="278"/>
      <c r="AU353" s="278"/>
      <c r="AV353" s="278"/>
      <c r="AW353" s="278"/>
      <c r="AX353" s="278"/>
      <c r="AY353" s="278"/>
      <c r="AZ353" s="278"/>
      <c r="BA353" s="278"/>
      <c r="BB353" s="278"/>
      <c r="BC353" s="278"/>
      <c r="BD353" s="278"/>
    </row>
    <row r="354" spans="1:56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196"/>
      <c r="S354" s="196"/>
      <c r="T354" s="196"/>
      <c r="U354" s="278"/>
      <c r="V354" s="278"/>
      <c r="W354" s="278"/>
      <c r="X354" s="278"/>
      <c r="Y354" s="278"/>
      <c r="Z354" s="278"/>
      <c r="AA354" s="278"/>
      <c r="AB354" s="278"/>
      <c r="AC354" s="278"/>
      <c r="AD354" s="278"/>
      <c r="AE354" s="278"/>
      <c r="AF354" s="278"/>
      <c r="AG354" s="278"/>
      <c r="AH354" s="278"/>
      <c r="AI354" s="278"/>
      <c r="AJ354" s="278"/>
      <c r="AK354" s="278"/>
      <c r="AL354" s="278"/>
      <c r="AM354" s="278"/>
      <c r="AN354" s="278"/>
      <c r="AO354" s="278"/>
      <c r="AP354" s="278"/>
      <c r="AQ354" s="278"/>
      <c r="AR354" s="278"/>
      <c r="AS354" s="278"/>
      <c r="AT354" s="278"/>
      <c r="AU354" s="278"/>
      <c r="AV354" s="278"/>
      <c r="AW354" s="278"/>
      <c r="AX354" s="278"/>
      <c r="AY354" s="278"/>
      <c r="AZ354" s="278"/>
      <c r="BA354" s="278"/>
      <c r="BB354" s="278"/>
      <c r="BC354" s="278"/>
      <c r="BD354" s="278"/>
    </row>
    <row r="355" spans="1:56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196"/>
      <c r="S355" s="196"/>
      <c r="T355" s="196"/>
      <c r="U355" s="278"/>
      <c r="V355" s="278"/>
      <c r="W355" s="278"/>
      <c r="X355" s="278"/>
      <c r="Y355" s="278"/>
      <c r="Z355" s="278"/>
      <c r="AA355" s="278"/>
      <c r="AB355" s="278"/>
      <c r="AC355" s="278"/>
      <c r="AD355" s="278"/>
      <c r="AE355" s="278"/>
      <c r="AF355" s="278"/>
      <c r="AG355" s="278"/>
      <c r="AH355" s="278"/>
      <c r="AI355" s="278"/>
      <c r="AJ355" s="278"/>
      <c r="AK355" s="278"/>
      <c r="AL355" s="278"/>
      <c r="AM355" s="278"/>
      <c r="AN355" s="278"/>
      <c r="AO355" s="278"/>
      <c r="AP355" s="278"/>
      <c r="AQ355" s="278"/>
      <c r="AR355" s="278"/>
      <c r="AS355" s="278"/>
      <c r="AT355" s="278"/>
      <c r="AU355" s="278"/>
      <c r="AV355" s="278"/>
      <c r="AW355" s="278"/>
      <c r="AX355" s="278"/>
      <c r="AY355" s="278"/>
      <c r="AZ355" s="278"/>
      <c r="BA355" s="278"/>
      <c r="BB355" s="278"/>
      <c r="BC355" s="278"/>
      <c r="BD355" s="278"/>
    </row>
    <row r="356" spans="1:56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196"/>
      <c r="S356" s="196"/>
      <c r="T356" s="196"/>
      <c r="U356" s="278"/>
      <c r="V356" s="278"/>
      <c r="W356" s="278"/>
      <c r="X356" s="278"/>
      <c r="Y356" s="278"/>
      <c r="Z356" s="278"/>
      <c r="AA356" s="278"/>
      <c r="AB356" s="278"/>
      <c r="AC356" s="278"/>
      <c r="AD356" s="278"/>
      <c r="AE356" s="278"/>
      <c r="AF356" s="278"/>
      <c r="AG356" s="278"/>
      <c r="AH356" s="278"/>
      <c r="AI356" s="278"/>
      <c r="AJ356" s="278"/>
      <c r="AK356" s="278"/>
      <c r="AL356" s="278"/>
      <c r="AM356" s="278"/>
      <c r="AN356" s="278"/>
      <c r="AO356" s="278"/>
      <c r="AP356" s="278"/>
      <c r="AQ356" s="278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/>
      <c r="BB356" s="278"/>
      <c r="BC356" s="278"/>
      <c r="BD356" s="278"/>
    </row>
    <row r="357" spans="1:56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196"/>
      <c r="S357" s="196"/>
      <c r="T357" s="196"/>
      <c r="U357" s="278"/>
      <c r="V357" s="278"/>
      <c r="W357" s="278"/>
      <c r="X357" s="278"/>
      <c r="Y357" s="278"/>
      <c r="Z357" s="278"/>
      <c r="AA357" s="278"/>
      <c r="AB357" s="278"/>
      <c r="AC357" s="278"/>
      <c r="AD357" s="278"/>
      <c r="AE357" s="278"/>
      <c r="AF357" s="278"/>
      <c r="AG357" s="278"/>
      <c r="AH357" s="278"/>
      <c r="AI357" s="278"/>
      <c r="AJ357" s="278"/>
      <c r="AK357" s="278"/>
      <c r="AL357" s="278"/>
      <c r="AM357" s="278"/>
      <c r="AN357" s="278"/>
      <c r="AO357" s="278"/>
      <c r="AP357" s="278"/>
      <c r="AQ357" s="278"/>
      <c r="AR357" s="278"/>
      <c r="AS357" s="278"/>
      <c r="AT357" s="278"/>
      <c r="AU357" s="278"/>
      <c r="AV357" s="278"/>
      <c r="AW357" s="278"/>
      <c r="AX357" s="278"/>
      <c r="AY357" s="278"/>
      <c r="AZ357" s="278"/>
      <c r="BA357" s="278"/>
      <c r="BB357" s="278"/>
      <c r="BC357" s="278"/>
      <c r="BD357" s="278"/>
    </row>
    <row r="358" spans="1:56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196"/>
      <c r="S358" s="196"/>
      <c r="T358" s="196"/>
      <c r="U358" s="278"/>
      <c r="V358" s="278"/>
      <c r="W358" s="278"/>
      <c r="X358" s="278"/>
      <c r="Y358" s="278"/>
      <c r="Z358" s="278"/>
      <c r="AA358" s="278"/>
      <c r="AB358" s="278"/>
      <c r="AC358" s="278"/>
      <c r="AD358" s="278"/>
      <c r="AE358" s="278"/>
      <c r="AF358" s="278"/>
      <c r="AG358" s="278"/>
      <c r="AH358" s="278"/>
      <c r="AI358" s="278"/>
      <c r="AJ358" s="278"/>
      <c r="AK358" s="278"/>
      <c r="AL358" s="278"/>
      <c r="AM358" s="278"/>
      <c r="AN358" s="278"/>
      <c r="AO358" s="278"/>
      <c r="AP358" s="278"/>
      <c r="AQ358" s="278"/>
      <c r="AR358" s="278"/>
      <c r="AS358" s="278"/>
      <c r="AT358" s="278"/>
      <c r="AU358" s="278"/>
      <c r="AV358" s="278"/>
      <c r="AW358" s="278"/>
      <c r="AX358" s="278"/>
      <c r="AY358" s="278"/>
      <c r="AZ358" s="278"/>
      <c r="BA358" s="278"/>
      <c r="BB358" s="278"/>
      <c r="BC358" s="278"/>
      <c r="BD358" s="278"/>
    </row>
    <row r="359" spans="1:56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196"/>
      <c r="S359" s="196"/>
      <c r="T359" s="196"/>
      <c r="U359" s="278"/>
      <c r="V359" s="278"/>
      <c r="W359" s="278"/>
      <c r="X359" s="278"/>
      <c r="Y359" s="278"/>
      <c r="Z359" s="278"/>
      <c r="AA359" s="278"/>
      <c r="AB359" s="278"/>
      <c r="AC359" s="278"/>
      <c r="AD359" s="278"/>
      <c r="AE359" s="278"/>
      <c r="AF359" s="278"/>
      <c r="AG359" s="278"/>
      <c r="AH359" s="278"/>
      <c r="AI359" s="278"/>
      <c r="AJ359" s="278"/>
      <c r="AK359" s="278"/>
      <c r="AL359" s="278"/>
      <c r="AM359" s="278"/>
      <c r="AN359" s="278"/>
      <c r="AO359" s="278"/>
      <c r="AP359" s="278"/>
      <c r="AQ359" s="278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</row>
    <row r="360" spans="1:56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196"/>
      <c r="S360" s="196"/>
      <c r="T360" s="196"/>
      <c r="U360" s="278"/>
      <c r="V360" s="278"/>
      <c r="W360" s="278"/>
      <c r="X360" s="278"/>
      <c r="Y360" s="278"/>
      <c r="Z360" s="278"/>
      <c r="AA360" s="278"/>
      <c r="AB360" s="278"/>
      <c r="AC360" s="278"/>
      <c r="AD360" s="278"/>
      <c r="AE360" s="278"/>
      <c r="AF360" s="278"/>
      <c r="AG360" s="278"/>
      <c r="AH360" s="278"/>
      <c r="AI360" s="278"/>
      <c r="AJ360" s="278"/>
      <c r="AK360" s="278"/>
      <c r="AL360" s="278"/>
      <c r="AM360" s="278"/>
      <c r="AN360" s="278"/>
      <c r="AO360" s="278"/>
      <c r="AP360" s="278"/>
      <c r="AQ360" s="278"/>
      <c r="AR360" s="278"/>
      <c r="AS360" s="278"/>
      <c r="AT360" s="278"/>
      <c r="AU360" s="278"/>
      <c r="AV360" s="278"/>
      <c r="AW360" s="278"/>
      <c r="AX360" s="278"/>
      <c r="AY360" s="278"/>
      <c r="AZ360" s="278"/>
      <c r="BA360" s="278"/>
      <c r="BB360" s="278"/>
      <c r="BC360" s="278"/>
      <c r="BD360" s="278"/>
    </row>
    <row r="361" spans="1:56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196"/>
      <c r="S361" s="196"/>
      <c r="T361" s="196"/>
      <c r="U361" s="278"/>
      <c r="V361" s="278"/>
      <c r="W361" s="278"/>
      <c r="X361" s="278"/>
      <c r="Y361" s="278"/>
      <c r="Z361" s="278"/>
      <c r="AA361" s="278"/>
      <c r="AB361" s="278"/>
      <c r="AC361" s="278"/>
      <c r="AD361" s="278"/>
      <c r="AE361" s="278"/>
      <c r="AF361" s="278"/>
      <c r="AG361" s="278"/>
      <c r="AH361" s="278"/>
      <c r="AI361" s="278"/>
      <c r="AJ361" s="278"/>
      <c r="AK361" s="278"/>
      <c r="AL361" s="278"/>
      <c r="AM361" s="278"/>
      <c r="AN361" s="278"/>
      <c r="AO361" s="278"/>
      <c r="AP361" s="278"/>
      <c r="AQ361" s="278"/>
      <c r="AR361" s="278"/>
      <c r="AS361" s="278"/>
      <c r="AT361" s="278"/>
      <c r="AU361" s="278"/>
      <c r="AV361" s="278"/>
      <c r="AW361" s="278"/>
      <c r="AX361" s="278"/>
      <c r="AY361" s="278"/>
      <c r="AZ361" s="278"/>
      <c r="BA361" s="278"/>
      <c r="BB361" s="278"/>
      <c r="BC361" s="278"/>
      <c r="BD361" s="278"/>
    </row>
    <row r="362" spans="1:56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196"/>
      <c r="S362" s="196"/>
      <c r="T362" s="196"/>
      <c r="U362" s="278"/>
      <c r="V362" s="278"/>
      <c r="W362" s="278"/>
      <c r="X362" s="278"/>
      <c r="Y362" s="278"/>
      <c r="Z362" s="278"/>
      <c r="AA362" s="278"/>
      <c r="AB362" s="278"/>
      <c r="AC362" s="278"/>
      <c r="AD362" s="278"/>
      <c r="AE362" s="278"/>
      <c r="AF362" s="278"/>
      <c r="AG362" s="278"/>
      <c r="AH362" s="278"/>
      <c r="AI362" s="278"/>
      <c r="AJ362" s="278"/>
      <c r="AK362" s="278"/>
      <c r="AL362" s="278"/>
      <c r="AM362" s="278"/>
      <c r="AN362" s="278"/>
      <c r="AO362" s="278"/>
      <c r="AP362" s="278"/>
      <c r="AQ362" s="278"/>
      <c r="AR362" s="278"/>
      <c r="AS362" s="278"/>
      <c r="AT362" s="278"/>
      <c r="AU362" s="278"/>
      <c r="AV362" s="278"/>
      <c r="AW362" s="278"/>
      <c r="AX362" s="278"/>
      <c r="AY362" s="278"/>
      <c r="AZ362" s="278"/>
      <c r="BA362" s="278"/>
      <c r="BB362" s="278"/>
      <c r="BC362" s="278"/>
      <c r="BD362" s="278"/>
    </row>
    <row r="363" spans="1:56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196"/>
      <c r="S363" s="196"/>
      <c r="T363" s="196"/>
      <c r="U363" s="278"/>
      <c r="V363" s="278"/>
      <c r="W363" s="278"/>
      <c r="X363" s="278"/>
      <c r="Y363" s="278"/>
      <c r="Z363" s="278"/>
      <c r="AA363" s="278"/>
      <c r="AB363" s="278"/>
      <c r="AC363" s="278"/>
      <c r="AD363" s="278"/>
      <c r="AE363" s="278"/>
      <c r="AF363" s="278"/>
      <c r="AG363" s="278"/>
      <c r="AH363" s="278"/>
      <c r="AI363" s="278"/>
      <c r="AJ363" s="278"/>
      <c r="AK363" s="278"/>
      <c r="AL363" s="278"/>
      <c r="AM363" s="278"/>
      <c r="AN363" s="278"/>
      <c r="AO363" s="278"/>
      <c r="AP363" s="278"/>
      <c r="AQ363" s="278"/>
      <c r="AR363" s="278"/>
      <c r="AS363" s="278"/>
      <c r="AT363" s="278"/>
      <c r="AU363" s="278"/>
      <c r="AV363" s="278"/>
      <c r="AW363" s="278"/>
      <c r="AX363" s="278"/>
      <c r="AY363" s="278"/>
      <c r="AZ363" s="278"/>
      <c r="BA363" s="278"/>
      <c r="BB363" s="278"/>
      <c r="BC363" s="278"/>
      <c r="BD363" s="278"/>
    </row>
    <row r="364" spans="1:56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196"/>
      <c r="S364" s="196"/>
      <c r="T364" s="196"/>
      <c r="U364" s="278"/>
      <c r="V364" s="278"/>
      <c r="W364" s="278"/>
      <c r="X364" s="278"/>
      <c r="Y364" s="278"/>
      <c r="Z364" s="278"/>
      <c r="AA364" s="278"/>
      <c r="AB364" s="278"/>
      <c r="AC364" s="278"/>
      <c r="AD364" s="278"/>
      <c r="AE364" s="278"/>
      <c r="AF364" s="278"/>
      <c r="AG364" s="278"/>
      <c r="AH364" s="278"/>
      <c r="AI364" s="278"/>
      <c r="AJ364" s="278"/>
      <c r="AK364" s="278"/>
      <c r="AL364" s="278"/>
      <c r="AM364" s="278"/>
      <c r="AN364" s="278"/>
      <c r="AO364" s="278"/>
      <c r="AP364" s="278"/>
      <c r="AQ364" s="278"/>
      <c r="AR364" s="278"/>
      <c r="AS364" s="278"/>
      <c r="AT364" s="278"/>
      <c r="AU364" s="278"/>
      <c r="AV364" s="278"/>
      <c r="AW364" s="278"/>
      <c r="AX364" s="278"/>
      <c r="AY364" s="278"/>
      <c r="AZ364" s="278"/>
      <c r="BA364" s="278"/>
      <c r="BB364" s="278"/>
      <c r="BC364" s="278"/>
      <c r="BD364" s="278"/>
    </row>
    <row r="365" spans="1:56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196"/>
      <c r="S365" s="196"/>
      <c r="T365" s="196"/>
      <c r="U365" s="278"/>
      <c r="V365" s="278"/>
      <c r="W365" s="278"/>
      <c r="X365" s="278"/>
      <c r="Y365" s="278"/>
      <c r="Z365" s="278"/>
      <c r="AA365" s="278"/>
      <c r="AB365" s="278"/>
      <c r="AC365" s="278"/>
      <c r="AD365" s="278"/>
      <c r="AE365" s="278"/>
      <c r="AF365" s="278"/>
      <c r="AG365" s="278"/>
      <c r="AH365" s="278"/>
      <c r="AI365" s="278"/>
      <c r="AJ365" s="278"/>
      <c r="AK365" s="278"/>
      <c r="AL365" s="278"/>
      <c r="AM365" s="278"/>
      <c r="AN365" s="278"/>
      <c r="AO365" s="278"/>
      <c r="AP365" s="278"/>
      <c r="AQ365" s="278"/>
      <c r="AR365" s="278"/>
      <c r="AS365" s="278"/>
      <c r="AT365" s="278"/>
      <c r="AU365" s="278"/>
      <c r="AV365" s="278"/>
      <c r="AW365" s="278"/>
      <c r="AX365" s="278"/>
      <c r="AY365" s="278"/>
      <c r="AZ365" s="278"/>
      <c r="BA365" s="278"/>
      <c r="BB365" s="278"/>
      <c r="BC365" s="278"/>
      <c r="BD365" s="278"/>
    </row>
    <row r="366" spans="1:56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196"/>
      <c r="S366" s="196"/>
      <c r="T366" s="196"/>
      <c r="U366" s="278"/>
      <c r="V366" s="278"/>
      <c r="W366" s="278"/>
      <c r="X366" s="278"/>
      <c r="Y366" s="278"/>
      <c r="Z366" s="278"/>
      <c r="AA366" s="278"/>
      <c r="AB366" s="278"/>
      <c r="AC366" s="278"/>
      <c r="AD366" s="278"/>
      <c r="AE366" s="278"/>
      <c r="AF366" s="278"/>
      <c r="AG366" s="278"/>
      <c r="AH366" s="278"/>
      <c r="AI366" s="278"/>
      <c r="AJ366" s="278"/>
      <c r="AK366" s="278"/>
      <c r="AL366" s="278"/>
      <c r="AM366" s="278"/>
      <c r="AN366" s="278"/>
      <c r="AO366" s="278"/>
      <c r="AP366" s="278"/>
      <c r="AQ366" s="278"/>
      <c r="AR366" s="278"/>
      <c r="AS366" s="278"/>
      <c r="AT366" s="278"/>
      <c r="AU366" s="278"/>
      <c r="AV366" s="278"/>
      <c r="AW366" s="278"/>
      <c r="AX366" s="278"/>
      <c r="AY366" s="278"/>
      <c r="AZ366" s="278"/>
      <c r="BA366" s="278"/>
      <c r="BB366" s="278"/>
      <c r="BC366" s="278"/>
      <c r="BD366" s="278"/>
    </row>
    <row r="367" spans="1:56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196"/>
      <c r="S367" s="196"/>
      <c r="T367" s="196"/>
      <c r="U367" s="278"/>
      <c r="V367" s="278"/>
      <c r="W367" s="278"/>
      <c r="X367" s="278"/>
      <c r="Y367" s="278"/>
      <c r="Z367" s="278"/>
      <c r="AA367" s="278"/>
      <c r="AB367" s="278"/>
      <c r="AC367" s="278"/>
      <c r="AD367" s="278"/>
      <c r="AE367" s="278"/>
      <c r="AF367" s="278"/>
      <c r="AG367" s="278"/>
      <c r="AH367" s="278"/>
      <c r="AI367" s="278"/>
      <c r="AJ367" s="278"/>
      <c r="AK367" s="278"/>
      <c r="AL367" s="278"/>
      <c r="AM367" s="278"/>
      <c r="AN367" s="278"/>
      <c r="AO367" s="278"/>
      <c r="AP367" s="278"/>
      <c r="AQ367" s="278"/>
      <c r="AR367" s="278"/>
      <c r="AS367" s="278"/>
      <c r="AT367" s="278"/>
      <c r="AU367" s="278"/>
      <c r="AV367" s="278"/>
      <c r="AW367" s="278"/>
      <c r="AX367" s="278"/>
      <c r="AY367" s="278"/>
      <c r="AZ367" s="278"/>
      <c r="BA367" s="278"/>
      <c r="BB367" s="278"/>
      <c r="BC367" s="278"/>
      <c r="BD367" s="278"/>
    </row>
    <row r="368" spans="1:56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196"/>
      <c r="S368" s="196"/>
      <c r="T368" s="196"/>
      <c r="U368" s="278"/>
      <c r="V368" s="278"/>
      <c r="W368" s="278"/>
      <c r="X368" s="278"/>
      <c r="Y368" s="278"/>
      <c r="Z368" s="278"/>
      <c r="AA368" s="278"/>
      <c r="AB368" s="278"/>
      <c r="AC368" s="278"/>
      <c r="AD368" s="278"/>
      <c r="AE368" s="278"/>
      <c r="AF368" s="278"/>
      <c r="AG368" s="278"/>
      <c r="AH368" s="278"/>
      <c r="AI368" s="278"/>
      <c r="AJ368" s="278"/>
      <c r="AK368" s="278"/>
      <c r="AL368" s="278"/>
      <c r="AM368" s="278"/>
      <c r="AN368" s="278"/>
      <c r="AO368" s="278"/>
      <c r="AP368" s="278"/>
      <c r="AQ368" s="278"/>
      <c r="AR368" s="278"/>
      <c r="AS368" s="278"/>
      <c r="AT368" s="278"/>
      <c r="AU368" s="278"/>
      <c r="AV368" s="278"/>
      <c r="AW368" s="278"/>
      <c r="AX368" s="278"/>
      <c r="AY368" s="278"/>
      <c r="AZ368" s="278"/>
      <c r="BA368" s="278"/>
      <c r="BB368" s="278"/>
      <c r="BC368" s="278"/>
      <c r="BD368" s="278"/>
    </row>
    <row r="369" spans="1:56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196"/>
      <c r="S369" s="196"/>
      <c r="T369" s="196"/>
      <c r="U369" s="278"/>
      <c r="V369" s="278"/>
      <c r="W369" s="278"/>
      <c r="X369" s="278"/>
      <c r="Y369" s="278"/>
      <c r="Z369" s="278"/>
      <c r="AA369" s="278"/>
      <c r="AB369" s="278"/>
      <c r="AC369" s="278"/>
      <c r="AD369" s="278"/>
      <c r="AE369" s="278"/>
      <c r="AF369" s="278"/>
      <c r="AG369" s="278"/>
      <c r="AH369" s="278"/>
      <c r="AI369" s="278"/>
      <c r="AJ369" s="278"/>
      <c r="AK369" s="278"/>
      <c r="AL369" s="278"/>
      <c r="AM369" s="278"/>
      <c r="AN369" s="278"/>
      <c r="AO369" s="278"/>
      <c r="AP369" s="278"/>
      <c r="AQ369" s="278"/>
      <c r="AR369" s="278"/>
      <c r="AS369" s="278"/>
      <c r="AT369" s="278"/>
      <c r="AU369" s="278"/>
      <c r="AV369" s="278"/>
      <c r="AW369" s="278"/>
      <c r="AX369" s="278"/>
      <c r="AY369" s="278"/>
      <c r="AZ369" s="278"/>
      <c r="BA369" s="278"/>
      <c r="BB369" s="278"/>
      <c r="BC369" s="278"/>
      <c r="BD369" s="278"/>
    </row>
    <row r="370" spans="1:56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196"/>
      <c r="S370" s="196"/>
      <c r="T370" s="196"/>
      <c r="U370" s="278"/>
      <c r="V370" s="278"/>
      <c r="W370" s="278"/>
      <c r="X370" s="278"/>
      <c r="Y370" s="278"/>
      <c r="Z370" s="278"/>
      <c r="AA370" s="278"/>
      <c r="AB370" s="278"/>
      <c r="AC370" s="278"/>
      <c r="AD370" s="278"/>
      <c r="AE370" s="278"/>
      <c r="AF370" s="278"/>
      <c r="AG370" s="278"/>
      <c r="AH370" s="278"/>
      <c r="AI370" s="278"/>
      <c r="AJ370" s="278"/>
      <c r="AK370" s="278"/>
      <c r="AL370" s="278"/>
      <c r="AM370" s="278"/>
      <c r="AN370" s="278"/>
      <c r="AO370" s="278"/>
      <c r="AP370" s="278"/>
      <c r="AQ370" s="278"/>
      <c r="AR370" s="278"/>
      <c r="AS370" s="278"/>
      <c r="AT370" s="278"/>
      <c r="AU370" s="278"/>
      <c r="AV370" s="278"/>
      <c r="AW370" s="278"/>
      <c r="AX370" s="278"/>
      <c r="AY370" s="278"/>
      <c r="AZ370" s="278"/>
      <c r="BA370" s="278"/>
      <c r="BB370" s="278"/>
      <c r="BC370" s="278"/>
      <c r="BD370" s="278"/>
    </row>
    <row r="371" spans="1:56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196"/>
      <c r="S371" s="196"/>
      <c r="T371" s="196"/>
      <c r="U371" s="278"/>
      <c r="V371" s="278"/>
      <c r="W371" s="278"/>
      <c r="X371" s="278"/>
      <c r="Y371" s="278"/>
      <c r="Z371" s="278"/>
      <c r="AA371" s="278"/>
      <c r="AB371" s="278"/>
      <c r="AC371" s="278"/>
      <c r="AD371" s="278"/>
      <c r="AE371" s="278"/>
      <c r="AF371" s="278"/>
      <c r="AG371" s="278"/>
      <c r="AH371" s="278"/>
      <c r="AI371" s="278"/>
      <c r="AJ371" s="278"/>
      <c r="AK371" s="278"/>
      <c r="AL371" s="278"/>
      <c r="AM371" s="278"/>
      <c r="AN371" s="278"/>
      <c r="AO371" s="278"/>
      <c r="AP371" s="278"/>
      <c r="AQ371" s="278"/>
      <c r="AR371" s="278"/>
      <c r="AS371" s="278"/>
      <c r="AT371" s="278"/>
      <c r="AU371" s="278"/>
      <c r="AV371" s="278"/>
      <c r="AW371" s="278"/>
      <c r="AX371" s="278"/>
      <c r="AY371" s="278"/>
      <c r="AZ371" s="278"/>
      <c r="BA371" s="278"/>
      <c r="BB371" s="278"/>
      <c r="BC371" s="278"/>
      <c r="BD371" s="278"/>
    </row>
    <row r="372" spans="1:56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196"/>
      <c r="S372" s="196"/>
      <c r="T372" s="196"/>
      <c r="U372" s="278"/>
      <c r="V372" s="278"/>
      <c r="W372" s="278"/>
      <c r="X372" s="278"/>
      <c r="Y372" s="278"/>
      <c r="Z372" s="278"/>
      <c r="AA372" s="278"/>
      <c r="AB372" s="278"/>
      <c r="AC372" s="278"/>
      <c r="AD372" s="278"/>
      <c r="AE372" s="278"/>
      <c r="AF372" s="278"/>
      <c r="AG372" s="278"/>
      <c r="AH372" s="278"/>
      <c r="AI372" s="278"/>
      <c r="AJ372" s="278"/>
      <c r="AK372" s="278"/>
      <c r="AL372" s="278"/>
      <c r="AM372" s="278"/>
      <c r="AN372" s="278"/>
      <c r="AO372" s="278"/>
      <c r="AP372" s="278"/>
      <c r="AQ372" s="278"/>
      <c r="AR372" s="278"/>
      <c r="AS372" s="278"/>
      <c r="AT372" s="278"/>
      <c r="AU372" s="278"/>
      <c r="AV372" s="278"/>
      <c r="AW372" s="278"/>
      <c r="AX372" s="278"/>
      <c r="AY372" s="278"/>
      <c r="AZ372" s="278"/>
      <c r="BA372" s="278"/>
      <c r="BB372" s="278"/>
      <c r="BC372" s="278"/>
      <c r="BD372" s="278"/>
    </row>
    <row r="373" spans="1:56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196"/>
      <c r="S373" s="196"/>
      <c r="T373" s="196"/>
      <c r="U373" s="278"/>
      <c r="V373" s="278"/>
      <c r="W373" s="278"/>
      <c r="X373" s="278"/>
      <c r="Y373" s="278"/>
      <c r="Z373" s="278"/>
      <c r="AA373" s="278"/>
      <c r="AB373" s="278"/>
      <c r="AC373" s="278"/>
      <c r="AD373" s="278"/>
      <c r="AE373" s="278"/>
      <c r="AF373" s="278"/>
      <c r="AG373" s="278"/>
      <c r="AH373" s="278"/>
      <c r="AI373" s="278"/>
      <c r="AJ373" s="278"/>
      <c r="AK373" s="278"/>
      <c r="AL373" s="278"/>
      <c r="AM373" s="278"/>
      <c r="AN373" s="278"/>
      <c r="AO373" s="278"/>
      <c r="AP373" s="278"/>
      <c r="AQ373" s="278"/>
      <c r="AR373" s="278"/>
      <c r="AS373" s="278"/>
      <c r="AT373" s="278"/>
      <c r="AU373" s="278"/>
      <c r="AV373" s="278"/>
      <c r="AW373" s="278"/>
      <c r="AX373" s="278"/>
      <c r="AY373" s="278"/>
      <c r="AZ373" s="278"/>
      <c r="BA373" s="278"/>
      <c r="BB373" s="278"/>
      <c r="BC373" s="278"/>
      <c r="BD373" s="278"/>
    </row>
    <row r="374" spans="1:56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196"/>
      <c r="S374" s="196"/>
      <c r="T374" s="196"/>
      <c r="U374" s="278"/>
      <c r="V374" s="278"/>
      <c r="W374" s="278"/>
      <c r="X374" s="278"/>
      <c r="Y374" s="278"/>
      <c r="Z374" s="278"/>
      <c r="AA374" s="278"/>
      <c r="AB374" s="278"/>
      <c r="AC374" s="278"/>
      <c r="AD374" s="278"/>
      <c r="AE374" s="278"/>
      <c r="AF374" s="278"/>
      <c r="AG374" s="278"/>
      <c r="AH374" s="278"/>
      <c r="AI374" s="278"/>
      <c r="AJ374" s="278"/>
      <c r="AK374" s="278"/>
      <c r="AL374" s="278"/>
      <c r="AM374" s="278"/>
      <c r="AN374" s="278"/>
      <c r="AO374" s="278"/>
      <c r="AP374" s="278"/>
      <c r="AQ374" s="278"/>
      <c r="AR374" s="278"/>
      <c r="AS374" s="278"/>
      <c r="AT374" s="278"/>
      <c r="AU374" s="278"/>
      <c r="AV374" s="278"/>
      <c r="AW374" s="278"/>
      <c r="AX374" s="278"/>
      <c r="AY374" s="278"/>
      <c r="AZ374" s="278"/>
      <c r="BA374" s="278"/>
      <c r="BB374" s="278"/>
      <c r="BC374" s="278"/>
      <c r="BD374" s="278"/>
    </row>
    <row r="375" spans="1:56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196"/>
      <c r="S375" s="196"/>
      <c r="T375" s="196"/>
      <c r="U375" s="278"/>
      <c r="V375" s="278"/>
      <c r="W375" s="278"/>
      <c r="X375" s="278"/>
      <c r="Y375" s="278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  <c r="AO375" s="278"/>
      <c r="AP375" s="278"/>
      <c r="AQ375" s="278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/>
      <c r="BB375" s="278"/>
      <c r="BC375" s="278"/>
      <c r="BD375" s="278"/>
    </row>
    <row r="376" spans="1:56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196"/>
      <c r="S376" s="196"/>
      <c r="T376" s="196"/>
      <c r="U376" s="278"/>
      <c r="V376" s="278"/>
      <c r="W376" s="278"/>
      <c r="X376" s="278"/>
      <c r="Y376" s="278"/>
      <c r="Z376" s="278"/>
      <c r="AA376" s="278"/>
      <c r="AB376" s="278"/>
      <c r="AC376" s="278"/>
      <c r="AD376" s="278"/>
      <c r="AE376" s="278"/>
      <c r="AF376" s="278"/>
      <c r="AG376" s="278"/>
      <c r="AH376" s="278"/>
      <c r="AI376" s="278"/>
      <c r="AJ376" s="278"/>
      <c r="AK376" s="278"/>
      <c r="AL376" s="278"/>
      <c r="AM376" s="278"/>
      <c r="AN376" s="278"/>
      <c r="AO376" s="278"/>
      <c r="AP376" s="278"/>
      <c r="AQ376" s="278"/>
      <c r="AR376" s="278"/>
      <c r="AS376" s="278"/>
      <c r="AT376" s="278"/>
      <c r="AU376" s="278"/>
      <c r="AV376" s="278"/>
      <c r="AW376" s="278"/>
      <c r="AX376" s="278"/>
      <c r="AY376" s="278"/>
      <c r="AZ376" s="278"/>
      <c r="BA376" s="278"/>
      <c r="BB376" s="278"/>
      <c r="BC376" s="278"/>
      <c r="BD376" s="278"/>
    </row>
    <row r="377" spans="1:56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196"/>
      <c r="S377" s="196"/>
      <c r="T377" s="196"/>
      <c r="U377" s="278"/>
      <c r="V377" s="278"/>
      <c r="W377" s="278"/>
      <c r="X377" s="278"/>
      <c r="Y377" s="278"/>
      <c r="Z377" s="278"/>
      <c r="AA377" s="278"/>
      <c r="AB377" s="278"/>
      <c r="AC377" s="278"/>
      <c r="AD377" s="278"/>
      <c r="AE377" s="278"/>
      <c r="AF377" s="278"/>
      <c r="AG377" s="278"/>
      <c r="AH377" s="278"/>
      <c r="AI377" s="278"/>
      <c r="AJ377" s="278"/>
      <c r="AK377" s="278"/>
      <c r="AL377" s="278"/>
      <c r="AM377" s="278"/>
      <c r="AN377" s="278"/>
      <c r="AO377" s="278"/>
      <c r="AP377" s="278"/>
      <c r="AQ377" s="278"/>
      <c r="AR377" s="278"/>
      <c r="AS377" s="278"/>
      <c r="AT377" s="278"/>
      <c r="AU377" s="278"/>
      <c r="AV377" s="278"/>
      <c r="AW377" s="278"/>
      <c r="AX377" s="278"/>
      <c r="AY377" s="278"/>
      <c r="AZ377" s="278"/>
      <c r="BA377" s="278"/>
      <c r="BB377" s="278"/>
      <c r="BC377" s="278"/>
      <c r="BD377" s="278"/>
    </row>
    <row r="378" spans="1:56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196"/>
      <c r="S378" s="196"/>
      <c r="T378" s="196"/>
      <c r="U378" s="278"/>
      <c r="V378" s="278"/>
      <c r="W378" s="278"/>
      <c r="X378" s="278"/>
      <c r="Y378" s="278"/>
      <c r="Z378" s="278"/>
      <c r="AA378" s="278"/>
      <c r="AB378" s="278"/>
      <c r="AC378" s="278"/>
      <c r="AD378" s="278"/>
      <c r="AE378" s="278"/>
      <c r="AF378" s="278"/>
      <c r="AG378" s="278"/>
      <c r="AH378" s="278"/>
      <c r="AI378" s="278"/>
      <c r="AJ378" s="278"/>
      <c r="AK378" s="278"/>
      <c r="AL378" s="278"/>
      <c r="AM378" s="278"/>
      <c r="AN378" s="278"/>
      <c r="AO378" s="278"/>
      <c r="AP378" s="278"/>
      <c r="AQ378" s="278"/>
      <c r="AR378" s="278"/>
      <c r="AS378" s="278"/>
      <c r="AT378" s="278"/>
      <c r="AU378" s="278"/>
      <c r="AV378" s="278"/>
      <c r="AW378" s="278"/>
      <c r="AX378" s="278"/>
      <c r="AY378" s="278"/>
      <c r="AZ378" s="278"/>
      <c r="BA378" s="278"/>
      <c r="BB378" s="278"/>
      <c r="BC378" s="278"/>
      <c r="BD378" s="278"/>
    </row>
    <row r="379" spans="1:56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196"/>
      <c r="S379" s="196"/>
      <c r="T379" s="196"/>
      <c r="U379" s="278"/>
      <c r="V379" s="278"/>
      <c r="W379" s="278"/>
      <c r="X379" s="278"/>
      <c r="Y379" s="278"/>
      <c r="Z379" s="278"/>
      <c r="AA379" s="278"/>
      <c r="AB379" s="278"/>
      <c r="AC379" s="278"/>
      <c r="AD379" s="278"/>
      <c r="AE379" s="278"/>
      <c r="AF379" s="278"/>
      <c r="AG379" s="278"/>
      <c r="AH379" s="278"/>
      <c r="AI379" s="278"/>
      <c r="AJ379" s="278"/>
      <c r="AK379" s="278"/>
      <c r="AL379" s="278"/>
      <c r="AM379" s="278"/>
      <c r="AN379" s="278"/>
      <c r="AO379" s="278"/>
      <c r="AP379" s="278"/>
      <c r="AQ379" s="278"/>
      <c r="AR379" s="278"/>
      <c r="AS379" s="278"/>
      <c r="AT379" s="278"/>
      <c r="AU379" s="278"/>
      <c r="AV379" s="278"/>
      <c r="AW379" s="278"/>
      <c r="AX379" s="278"/>
      <c r="AY379" s="278"/>
      <c r="AZ379" s="278"/>
      <c r="BA379" s="278"/>
      <c r="BB379" s="278"/>
      <c r="BC379" s="278"/>
      <c r="BD379" s="278"/>
    </row>
    <row r="380" spans="1:56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196"/>
      <c r="S380" s="196"/>
      <c r="T380" s="196"/>
      <c r="U380" s="278"/>
      <c r="V380" s="278"/>
      <c r="W380" s="278"/>
      <c r="X380" s="278"/>
      <c r="Y380" s="278"/>
      <c r="Z380" s="278"/>
      <c r="AA380" s="278"/>
      <c r="AB380" s="278"/>
      <c r="AC380" s="278"/>
      <c r="AD380" s="278"/>
      <c r="AE380" s="278"/>
      <c r="AF380" s="278"/>
      <c r="AG380" s="278"/>
      <c r="AH380" s="278"/>
      <c r="AI380" s="278"/>
      <c r="AJ380" s="278"/>
      <c r="AK380" s="278"/>
      <c r="AL380" s="278"/>
      <c r="AM380" s="278"/>
      <c r="AN380" s="278"/>
      <c r="AO380" s="278"/>
      <c r="AP380" s="278"/>
      <c r="AQ380" s="278"/>
      <c r="AR380" s="278"/>
      <c r="AS380" s="278"/>
      <c r="AT380" s="278"/>
      <c r="AU380" s="278"/>
      <c r="AV380" s="278"/>
      <c r="AW380" s="278"/>
      <c r="AX380" s="278"/>
      <c r="AY380" s="278"/>
      <c r="AZ380" s="278"/>
      <c r="BA380" s="278"/>
      <c r="BB380" s="278"/>
      <c r="BC380" s="278"/>
      <c r="BD380" s="278"/>
    </row>
    <row r="381" spans="1:56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196"/>
      <c r="S381" s="196"/>
      <c r="T381" s="196"/>
      <c r="U381" s="278"/>
      <c r="V381" s="278"/>
      <c r="W381" s="278"/>
      <c r="X381" s="278"/>
      <c r="Y381" s="278"/>
      <c r="Z381" s="278"/>
      <c r="AA381" s="278"/>
      <c r="AB381" s="278"/>
      <c r="AC381" s="278"/>
      <c r="AD381" s="278"/>
      <c r="AE381" s="278"/>
      <c r="AF381" s="278"/>
      <c r="AG381" s="278"/>
      <c r="AH381" s="278"/>
      <c r="AI381" s="278"/>
      <c r="AJ381" s="278"/>
      <c r="AK381" s="278"/>
      <c r="AL381" s="278"/>
      <c r="AM381" s="278"/>
      <c r="AN381" s="278"/>
      <c r="AO381" s="278"/>
      <c r="AP381" s="278"/>
      <c r="AQ381" s="278"/>
      <c r="AR381" s="278"/>
      <c r="AS381" s="278"/>
      <c r="AT381" s="278"/>
      <c r="AU381" s="278"/>
      <c r="AV381" s="278"/>
      <c r="AW381" s="278"/>
      <c r="AX381" s="278"/>
      <c r="AY381" s="278"/>
      <c r="AZ381" s="278"/>
      <c r="BA381" s="278"/>
      <c r="BB381" s="278"/>
      <c r="BC381" s="278"/>
      <c r="BD381" s="278"/>
    </row>
    <row r="382" spans="1:56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196"/>
      <c r="S382" s="196"/>
      <c r="T382" s="196"/>
      <c r="U382" s="278"/>
      <c r="V382" s="278"/>
      <c r="W382" s="278"/>
      <c r="X382" s="278"/>
      <c r="Y382" s="278"/>
      <c r="Z382" s="278"/>
      <c r="AA382" s="278"/>
      <c r="AB382" s="278"/>
      <c r="AC382" s="278"/>
      <c r="AD382" s="278"/>
      <c r="AE382" s="278"/>
      <c r="AF382" s="278"/>
      <c r="AG382" s="278"/>
      <c r="AH382" s="278"/>
      <c r="AI382" s="278"/>
      <c r="AJ382" s="278"/>
      <c r="AK382" s="278"/>
      <c r="AL382" s="278"/>
      <c r="AM382" s="278"/>
      <c r="AN382" s="278"/>
      <c r="AO382" s="278"/>
      <c r="AP382" s="278"/>
      <c r="AQ382" s="278"/>
      <c r="AR382" s="278"/>
      <c r="AS382" s="278"/>
      <c r="AT382" s="278"/>
      <c r="AU382" s="278"/>
      <c r="AV382" s="278"/>
      <c r="AW382" s="278"/>
      <c r="AX382" s="278"/>
      <c r="AY382" s="278"/>
      <c r="AZ382" s="278"/>
      <c r="BA382" s="278"/>
      <c r="BB382" s="278"/>
      <c r="BC382" s="278"/>
      <c r="BD382" s="278"/>
    </row>
    <row r="383" spans="1:56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196"/>
      <c r="S383" s="196"/>
      <c r="T383" s="196"/>
      <c r="U383" s="278"/>
      <c r="V383" s="278"/>
      <c r="W383" s="278"/>
      <c r="X383" s="278"/>
      <c r="Y383" s="278"/>
      <c r="Z383" s="278"/>
      <c r="AA383" s="278"/>
      <c r="AB383" s="278"/>
      <c r="AC383" s="278"/>
      <c r="AD383" s="278"/>
      <c r="AE383" s="278"/>
      <c r="AF383" s="278"/>
      <c r="AG383" s="278"/>
      <c r="AH383" s="278"/>
      <c r="AI383" s="278"/>
      <c r="AJ383" s="278"/>
      <c r="AK383" s="278"/>
      <c r="AL383" s="278"/>
      <c r="AM383" s="278"/>
      <c r="AN383" s="278"/>
      <c r="AO383" s="278"/>
      <c r="AP383" s="278"/>
      <c r="AQ383" s="278"/>
      <c r="AR383" s="278"/>
      <c r="AS383" s="278"/>
      <c r="AT383" s="278"/>
      <c r="AU383" s="278"/>
      <c r="AV383" s="278"/>
      <c r="AW383" s="278"/>
      <c r="AX383" s="278"/>
      <c r="AY383" s="278"/>
      <c r="AZ383" s="278"/>
      <c r="BA383" s="278"/>
      <c r="BB383" s="278"/>
      <c r="BC383" s="278"/>
      <c r="BD383" s="278"/>
    </row>
    <row r="384" spans="1:56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196"/>
      <c r="S384" s="196"/>
      <c r="T384" s="196"/>
      <c r="U384" s="278"/>
      <c r="V384" s="278"/>
      <c r="W384" s="278"/>
      <c r="X384" s="278"/>
      <c r="Y384" s="278"/>
      <c r="Z384" s="278"/>
      <c r="AA384" s="278"/>
      <c r="AB384" s="278"/>
      <c r="AC384" s="278"/>
      <c r="AD384" s="278"/>
      <c r="AE384" s="278"/>
      <c r="AF384" s="278"/>
      <c r="AG384" s="278"/>
      <c r="AH384" s="278"/>
      <c r="AI384" s="278"/>
      <c r="AJ384" s="278"/>
      <c r="AK384" s="278"/>
      <c r="AL384" s="278"/>
      <c r="AM384" s="278"/>
      <c r="AN384" s="278"/>
      <c r="AO384" s="278"/>
      <c r="AP384" s="278"/>
      <c r="AQ384" s="278"/>
      <c r="AR384" s="278"/>
      <c r="AS384" s="278"/>
      <c r="AT384" s="278"/>
      <c r="AU384" s="278"/>
      <c r="AV384" s="278"/>
      <c r="AW384" s="278"/>
      <c r="AX384" s="278"/>
      <c r="AY384" s="278"/>
      <c r="AZ384" s="278"/>
      <c r="BA384" s="278"/>
      <c r="BB384" s="278"/>
      <c r="BC384" s="278"/>
      <c r="BD384" s="278"/>
    </row>
    <row r="385" spans="1:56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196"/>
      <c r="S385" s="196"/>
      <c r="T385" s="196"/>
      <c r="U385" s="278"/>
      <c r="V385" s="278"/>
      <c r="W385" s="278"/>
      <c r="X385" s="278"/>
      <c r="Y385" s="278"/>
      <c r="Z385" s="278"/>
      <c r="AA385" s="278"/>
      <c r="AB385" s="278"/>
      <c r="AC385" s="278"/>
      <c r="AD385" s="278"/>
      <c r="AE385" s="278"/>
      <c r="AF385" s="278"/>
      <c r="AG385" s="278"/>
      <c r="AH385" s="278"/>
      <c r="AI385" s="278"/>
      <c r="AJ385" s="278"/>
      <c r="AK385" s="278"/>
      <c r="AL385" s="278"/>
      <c r="AM385" s="278"/>
      <c r="AN385" s="278"/>
      <c r="AO385" s="278"/>
      <c r="AP385" s="278"/>
      <c r="AQ385" s="278"/>
      <c r="AR385" s="278"/>
      <c r="AS385" s="278"/>
      <c r="AT385" s="278"/>
      <c r="AU385" s="278"/>
      <c r="AV385" s="278"/>
      <c r="AW385" s="278"/>
      <c r="AX385" s="278"/>
      <c r="AY385" s="278"/>
      <c r="AZ385" s="278"/>
      <c r="BA385" s="278"/>
      <c r="BB385" s="278"/>
      <c r="BC385" s="278"/>
      <c r="BD385" s="278"/>
    </row>
    <row r="386" spans="1:56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196"/>
      <c r="S386" s="196"/>
      <c r="T386" s="196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</row>
    <row r="387" spans="1:56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196"/>
      <c r="S387" s="196"/>
      <c r="T387" s="196"/>
      <c r="U387" s="278"/>
      <c r="V387" s="278"/>
      <c r="W387" s="278"/>
      <c r="X387" s="278"/>
      <c r="Y387" s="278"/>
      <c r="Z387" s="278"/>
      <c r="AA387" s="278"/>
      <c r="AB387" s="278"/>
      <c r="AC387" s="278"/>
      <c r="AD387" s="278"/>
      <c r="AE387" s="278"/>
      <c r="AF387" s="278"/>
      <c r="AG387" s="278"/>
      <c r="AH387" s="278"/>
      <c r="AI387" s="278"/>
      <c r="AJ387" s="278"/>
      <c r="AK387" s="278"/>
      <c r="AL387" s="278"/>
      <c r="AM387" s="278"/>
      <c r="AN387" s="278"/>
      <c r="AO387" s="278"/>
      <c r="AP387" s="278"/>
      <c r="AQ387" s="278"/>
      <c r="AR387" s="278"/>
      <c r="AS387" s="278"/>
      <c r="AT387" s="278"/>
      <c r="AU387" s="278"/>
      <c r="AV387" s="278"/>
      <c r="AW387" s="278"/>
      <c r="AX387" s="278"/>
      <c r="AY387" s="278"/>
      <c r="AZ387" s="278"/>
      <c r="BA387" s="278"/>
      <c r="BB387" s="278"/>
      <c r="BC387" s="278"/>
      <c r="BD387" s="278"/>
    </row>
    <row r="388" spans="1:56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196"/>
      <c r="S388" s="196"/>
      <c r="T388" s="196"/>
      <c r="U388" s="278"/>
      <c r="V388" s="278"/>
      <c r="W388" s="278"/>
      <c r="X388" s="278"/>
      <c r="Y388" s="278"/>
      <c r="Z388" s="278"/>
      <c r="AA388" s="278"/>
      <c r="AB388" s="278"/>
      <c r="AC388" s="278"/>
      <c r="AD388" s="278"/>
      <c r="AE388" s="278"/>
      <c r="AF388" s="278"/>
      <c r="AG388" s="278"/>
      <c r="AH388" s="278"/>
      <c r="AI388" s="278"/>
      <c r="AJ388" s="278"/>
      <c r="AK388" s="278"/>
      <c r="AL388" s="278"/>
      <c r="AM388" s="278"/>
      <c r="AN388" s="278"/>
      <c r="AO388" s="278"/>
      <c r="AP388" s="278"/>
      <c r="AQ388" s="278"/>
      <c r="AR388" s="278"/>
      <c r="AS388" s="278"/>
      <c r="AT388" s="278"/>
      <c r="AU388" s="278"/>
      <c r="AV388" s="278"/>
      <c r="AW388" s="278"/>
      <c r="AX388" s="278"/>
      <c r="AY388" s="278"/>
      <c r="AZ388" s="278"/>
      <c r="BA388" s="278"/>
      <c r="BB388" s="278"/>
      <c r="BC388" s="278"/>
      <c r="BD388" s="278"/>
    </row>
    <row r="389" spans="1:56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196"/>
      <c r="S389" s="196"/>
      <c r="T389" s="196"/>
      <c r="U389" s="278"/>
      <c r="V389" s="278"/>
      <c r="W389" s="278"/>
      <c r="X389" s="278"/>
      <c r="Y389" s="278"/>
      <c r="Z389" s="278"/>
      <c r="AA389" s="278"/>
      <c r="AB389" s="278"/>
      <c r="AC389" s="278"/>
      <c r="AD389" s="278"/>
      <c r="AE389" s="278"/>
      <c r="AF389" s="278"/>
      <c r="AG389" s="278"/>
      <c r="AH389" s="278"/>
      <c r="AI389" s="278"/>
      <c r="AJ389" s="278"/>
      <c r="AK389" s="278"/>
      <c r="AL389" s="278"/>
      <c r="AM389" s="278"/>
      <c r="AN389" s="278"/>
      <c r="AO389" s="278"/>
      <c r="AP389" s="278"/>
      <c r="AQ389" s="278"/>
      <c r="AR389" s="278"/>
      <c r="AS389" s="278"/>
      <c r="AT389" s="278"/>
      <c r="AU389" s="278"/>
      <c r="AV389" s="278"/>
      <c r="AW389" s="278"/>
      <c r="AX389" s="278"/>
      <c r="AY389" s="278"/>
      <c r="AZ389" s="278"/>
      <c r="BA389" s="278"/>
      <c r="BB389" s="278"/>
      <c r="BC389" s="278"/>
      <c r="BD389" s="278"/>
    </row>
    <row r="390" spans="1:56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196"/>
      <c r="S390" s="196"/>
      <c r="T390" s="196"/>
      <c r="U390" s="278"/>
      <c r="V390" s="278"/>
      <c r="W390" s="278"/>
      <c r="X390" s="278"/>
      <c r="Y390" s="278"/>
      <c r="Z390" s="278"/>
      <c r="AA390" s="278"/>
      <c r="AB390" s="278"/>
      <c r="AC390" s="278"/>
      <c r="AD390" s="278"/>
      <c r="AE390" s="278"/>
      <c r="AF390" s="278"/>
      <c r="AG390" s="278"/>
      <c r="AH390" s="278"/>
      <c r="AI390" s="278"/>
      <c r="AJ390" s="278"/>
      <c r="AK390" s="278"/>
      <c r="AL390" s="278"/>
      <c r="AM390" s="278"/>
      <c r="AN390" s="278"/>
      <c r="AO390" s="278"/>
      <c r="AP390" s="278"/>
      <c r="AQ390" s="278"/>
      <c r="AR390" s="278"/>
      <c r="AS390" s="278"/>
      <c r="AT390" s="278"/>
      <c r="AU390" s="278"/>
      <c r="AV390" s="278"/>
      <c r="AW390" s="278"/>
      <c r="AX390" s="278"/>
      <c r="AY390" s="278"/>
      <c r="AZ390" s="278"/>
      <c r="BA390" s="278"/>
      <c r="BB390" s="278"/>
      <c r="BC390" s="278"/>
      <c r="BD390" s="278"/>
    </row>
    <row r="391" spans="1:56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196"/>
      <c r="S391" s="196"/>
      <c r="T391" s="196"/>
      <c r="U391" s="278"/>
      <c r="V391" s="278"/>
      <c r="W391" s="278"/>
      <c r="X391" s="278"/>
      <c r="Y391" s="278"/>
      <c r="Z391" s="278"/>
      <c r="AA391" s="278"/>
      <c r="AB391" s="278"/>
      <c r="AC391" s="278"/>
      <c r="AD391" s="278"/>
      <c r="AE391" s="278"/>
      <c r="AF391" s="278"/>
      <c r="AG391" s="278"/>
      <c r="AH391" s="278"/>
      <c r="AI391" s="278"/>
      <c r="AJ391" s="278"/>
      <c r="AK391" s="278"/>
      <c r="AL391" s="278"/>
      <c r="AM391" s="278"/>
      <c r="AN391" s="278"/>
      <c r="AO391" s="278"/>
      <c r="AP391" s="278"/>
      <c r="AQ391" s="278"/>
      <c r="AR391" s="278"/>
      <c r="AS391" s="278"/>
      <c r="AT391" s="278"/>
      <c r="AU391" s="278"/>
      <c r="AV391" s="278"/>
      <c r="AW391" s="278"/>
      <c r="AX391" s="278"/>
      <c r="AY391" s="278"/>
      <c r="AZ391" s="278"/>
      <c r="BA391" s="278"/>
      <c r="BB391" s="278"/>
      <c r="BC391" s="278"/>
      <c r="BD391" s="278"/>
    </row>
    <row r="392" spans="1:56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196"/>
      <c r="S392" s="196"/>
      <c r="T392" s="196"/>
      <c r="U392" s="278"/>
      <c r="V392" s="278"/>
      <c r="W392" s="278"/>
      <c r="X392" s="278"/>
      <c r="Y392" s="278"/>
      <c r="Z392" s="278"/>
      <c r="AA392" s="278"/>
      <c r="AB392" s="278"/>
      <c r="AC392" s="278"/>
      <c r="AD392" s="278"/>
      <c r="AE392" s="278"/>
      <c r="AF392" s="278"/>
      <c r="AG392" s="278"/>
      <c r="AH392" s="278"/>
      <c r="AI392" s="278"/>
      <c r="AJ392" s="278"/>
      <c r="AK392" s="278"/>
      <c r="AL392" s="278"/>
      <c r="AM392" s="278"/>
      <c r="AN392" s="278"/>
      <c r="AO392" s="278"/>
      <c r="AP392" s="278"/>
      <c r="AQ392" s="278"/>
      <c r="AR392" s="278"/>
      <c r="AS392" s="278"/>
      <c r="AT392" s="278"/>
      <c r="AU392" s="278"/>
      <c r="AV392" s="278"/>
      <c r="AW392" s="278"/>
      <c r="AX392" s="278"/>
      <c r="AY392" s="278"/>
      <c r="AZ392" s="278"/>
      <c r="BA392" s="278"/>
      <c r="BB392" s="278"/>
      <c r="BC392" s="278"/>
      <c r="BD392" s="278"/>
    </row>
    <row r="393" spans="1:56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196"/>
      <c r="S393" s="196"/>
      <c r="T393" s="196"/>
      <c r="U393" s="278"/>
      <c r="V393" s="278"/>
      <c r="W393" s="278"/>
      <c r="X393" s="278"/>
      <c r="Y393" s="278"/>
      <c r="Z393" s="278"/>
      <c r="AA393" s="278"/>
      <c r="AB393" s="278"/>
      <c r="AC393" s="278"/>
      <c r="AD393" s="278"/>
      <c r="AE393" s="278"/>
      <c r="AF393" s="278"/>
      <c r="AG393" s="278"/>
      <c r="AH393" s="278"/>
      <c r="AI393" s="278"/>
      <c r="AJ393" s="278"/>
      <c r="AK393" s="278"/>
      <c r="AL393" s="278"/>
      <c r="AM393" s="278"/>
      <c r="AN393" s="278"/>
      <c r="AO393" s="278"/>
      <c r="AP393" s="278"/>
      <c r="AQ393" s="278"/>
      <c r="AR393" s="278"/>
      <c r="AS393" s="278"/>
      <c r="AT393" s="278"/>
      <c r="AU393" s="278"/>
      <c r="AV393" s="278"/>
      <c r="AW393" s="278"/>
      <c r="AX393" s="278"/>
      <c r="AY393" s="278"/>
      <c r="AZ393" s="278"/>
      <c r="BA393" s="278"/>
      <c r="BB393" s="278"/>
      <c r="BC393" s="278"/>
      <c r="BD393" s="278"/>
    </row>
    <row r="394" spans="1:56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196"/>
      <c r="S394" s="196"/>
      <c r="T394" s="196"/>
      <c r="U394" s="278"/>
      <c r="V394" s="278"/>
      <c r="W394" s="278"/>
      <c r="X394" s="278"/>
      <c r="Y394" s="278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  <c r="AO394" s="278"/>
      <c r="AP394" s="278"/>
      <c r="AQ394" s="278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/>
      <c r="BB394" s="278"/>
      <c r="BC394" s="278"/>
      <c r="BD394" s="278"/>
    </row>
    <row r="395" spans="1:56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196"/>
      <c r="S395" s="196"/>
      <c r="T395" s="196"/>
      <c r="U395" s="278"/>
      <c r="V395" s="278"/>
      <c r="W395" s="278"/>
      <c r="X395" s="278"/>
      <c r="Y395" s="278"/>
      <c r="Z395" s="278"/>
      <c r="AA395" s="278"/>
      <c r="AB395" s="278"/>
      <c r="AC395" s="278"/>
      <c r="AD395" s="278"/>
      <c r="AE395" s="278"/>
      <c r="AF395" s="278"/>
      <c r="AG395" s="278"/>
      <c r="AH395" s="278"/>
      <c r="AI395" s="278"/>
      <c r="AJ395" s="278"/>
      <c r="AK395" s="278"/>
      <c r="AL395" s="278"/>
      <c r="AM395" s="278"/>
      <c r="AN395" s="278"/>
      <c r="AO395" s="278"/>
      <c r="AP395" s="278"/>
      <c r="AQ395" s="278"/>
      <c r="AR395" s="278"/>
      <c r="AS395" s="278"/>
      <c r="AT395" s="278"/>
      <c r="AU395" s="278"/>
      <c r="AV395" s="278"/>
      <c r="AW395" s="278"/>
      <c r="AX395" s="278"/>
      <c r="AY395" s="278"/>
      <c r="AZ395" s="278"/>
      <c r="BA395" s="278"/>
      <c r="BB395" s="278"/>
      <c r="BC395" s="278"/>
      <c r="BD395" s="278"/>
    </row>
    <row r="396" spans="1:56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196"/>
      <c r="S396" s="196"/>
      <c r="T396" s="196"/>
      <c r="U396" s="278"/>
      <c r="V396" s="278"/>
      <c r="W396" s="278"/>
      <c r="X396" s="278"/>
      <c r="Y396" s="278"/>
      <c r="Z396" s="278"/>
      <c r="AA396" s="278"/>
      <c r="AB396" s="278"/>
      <c r="AC396" s="278"/>
      <c r="AD396" s="278"/>
      <c r="AE396" s="278"/>
      <c r="AF396" s="278"/>
      <c r="AG396" s="278"/>
      <c r="AH396" s="278"/>
      <c r="AI396" s="278"/>
      <c r="AJ396" s="278"/>
      <c r="AK396" s="278"/>
      <c r="AL396" s="278"/>
      <c r="AM396" s="278"/>
      <c r="AN396" s="278"/>
      <c r="AO396" s="278"/>
      <c r="AP396" s="278"/>
      <c r="AQ396" s="278"/>
      <c r="AR396" s="278"/>
      <c r="AS396" s="278"/>
      <c r="AT396" s="278"/>
      <c r="AU396" s="278"/>
      <c r="AV396" s="278"/>
      <c r="AW396" s="278"/>
      <c r="AX396" s="278"/>
      <c r="AY396" s="278"/>
      <c r="AZ396" s="278"/>
      <c r="BA396" s="278"/>
      <c r="BB396" s="278"/>
      <c r="BC396" s="278"/>
      <c r="BD396" s="278"/>
    </row>
    <row r="397" spans="1:56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196"/>
      <c r="S397" s="196"/>
      <c r="T397" s="196"/>
      <c r="U397" s="278"/>
      <c r="V397" s="278"/>
      <c r="W397" s="278"/>
      <c r="X397" s="278"/>
      <c r="Y397" s="278"/>
      <c r="Z397" s="278"/>
      <c r="AA397" s="278"/>
      <c r="AB397" s="278"/>
      <c r="AC397" s="278"/>
      <c r="AD397" s="278"/>
      <c r="AE397" s="278"/>
      <c r="AF397" s="278"/>
      <c r="AG397" s="278"/>
      <c r="AH397" s="278"/>
      <c r="AI397" s="278"/>
      <c r="AJ397" s="278"/>
      <c r="AK397" s="278"/>
      <c r="AL397" s="278"/>
      <c r="AM397" s="278"/>
      <c r="AN397" s="278"/>
      <c r="AO397" s="278"/>
      <c r="AP397" s="278"/>
      <c r="AQ397" s="278"/>
      <c r="AR397" s="278"/>
      <c r="AS397" s="278"/>
      <c r="AT397" s="278"/>
      <c r="AU397" s="278"/>
      <c r="AV397" s="278"/>
      <c r="AW397" s="278"/>
      <c r="AX397" s="278"/>
      <c r="AY397" s="278"/>
      <c r="AZ397" s="278"/>
      <c r="BA397" s="278"/>
      <c r="BB397" s="278"/>
      <c r="BC397" s="278"/>
      <c r="BD397" s="278"/>
    </row>
    <row r="398" spans="1:56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196"/>
      <c r="S398" s="196"/>
      <c r="T398" s="196"/>
      <c r="U398" s="278"/>
      <c r="V398" s="278"/>
      <c r="W398" s="278"/>
      <c r="X398" s="278"/>
      <c r="Y398" s="278"/>
      <c r="Z398" s="278"/>
      <c r="AA398" s="278"/>
      <c r="AB398" s="278"/>
      <c r="AC398" s="278"/>
      <c r="AD398" s="278"/>
      <c r="AE398" s="278"/>
      <c r="AF398" s="278"/>
      <c r="AG398" s="278"/>
      <c r="AH398" s="278"/>
      <c r="AI398" s="278"/>
      <c r="AJ398" s="278"/>
      <c r="AK398" s="278"/>
      <c r="AL398" s="278"/>
      <c r="AM398" s="278"/>
      <c r="AN398" s="278"/>
      <c r="AO398" s="278"/>
      <c r="AP398" s="278"/>
      <c r="AQ398" s="278"/>
      <c r="AR398" s="278"/>
      <c r="AS398" s="278"/>
      <c r="AT398" s="278"/>
      <c r="AU398" s="278"/>
      <c r="AV398" s="278"/>
      <c r="AW398" s="278"/>
      <c r="AX398" s="278"/>
      <c r="AY398" s="278"/>
      <c r="AZ398" s="278"/>
      <c r="BA398" s="278"/>
      <c r="BB398" s="278"/>
      <c r="BC398" s="278"/>
      <c r="BD398" s="278"/>
    </row>
    <row r="399" spans="1:56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196"/>
      <c r="S399" s="196"/>
      <c r="T399" s="196"/>
      <c r="U399" s="278"/>
      <c r="V399" s="278"/>
      <c r="W399" s="278"/>
      <c r="X399" s="278"/>
      <c r="Y399" s="278"/>
      <c r="Z399" s="278"/>
      <c r="AA399" s="278"/>
      <c r="AB399" s="278"/>
      <c r="AC399" s="278"/>
      <c r="AD399" s="278"/>
      <c r="AE399" s="278"/>
      <c r="AF399" s="278"/>
      <c r="AG399" s="278"/>
      <c r="AH399" s="278"/>
      <c r="AI399" s="278"/>
      <c r="AJ399" s="278"/>
      <c r="AK399" s="278"/>
      <c r="AL399" s="278"/>
      <c r="AM399" s="278"/>
      <c r="AN399" s="278"/>
      <c r="AO399" s="278"/>
      <c r="AP399" s="278"/>
      <c r="AQ399" s="278"/>
      <c r="AR399" s="278"/>
      <c r="AS399" s="278"/>
      <c r="AT399" s="278"/>
      <c r="AU399" s="278"/>
      <c r="AV399" s="278"/>
      <c r="AW399" s="278"/>
      <c r="AX399" s="278"/>
      <c r="AY399" s="278"/>
      <c r="AZ399" s="278"/>
      <c r="BA399" s="278"/>
      <c r="BB399" s="278"/>
      <c r="BC399" s="278"/>
      <c r="BD399" s="278"/>
    </row>
    <row r="400" spans="1:56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196"/>
      <c r="S400" s="196"/>
      <c r="T400" s="196"/>
      <c r="U400" s="278"/>
      <c r="V400" s="278"/>
      <c r="W400" s="278"/>
      <c r="X400" s="278"/>
      <c r="Y400" s="278"/>
      <c r="Z400" s="278"/>
      <c r="AA400" s="278"/>
      <c r="AB400" s="278"/>
      <c r="AC400" s="278"/>
      <c r="AD400" s="278"/>
      <c r="AE400" s="278"/>
      <c r="AF400" s="278"/>
      <c r="AG400" s="278"/>
      <c r="AH400" s="278"/>
      <c r="AI400" s="278"/>
      <c r="AJ400" s="278"/>
      <c r="AK400" s="278"/>
      <c r="AL400" s="278"/>
      <c r="AM400" s="278"/>
      <c r="AN400" s="278"/>
      <c r="AO400" s="278"/>
      <c r="AP400" s="278"/>
      <c r="AQ400" s="278"/>
      <c r="AR400" s="278"/>
      <c r="AS400" s="278"/>
      <c r="AT400" s="278"/>
      <c r="AU400" s="278"/>
      <c r="AV400" s="278"/>
      <c r="AW400" s="278"/>
      <c r="AX400" s="278"/>
      <c r="AY400" s="278"/>
      <c r="AZ400" s="278"/>
      <c r="BA400" s="278"/>
      <c r="BB400" s="278"/>
      <c r="BC400" s="278"/>
      <c r="BD400" s="278"/>
    </row>
    <row r="401" spans="1:56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196"/>
      <c r="S401" s="196"/>
      <c r="T401" s="196"/>
      <c r="U401" s="278"/>
      <c r="V401" s="278"/>
      <c r="W401" s="278"/>
      <c r="X401" s="278"/>
      <c r="Y401" s="278"/>
      <c r="Z401" s="278"/>
      <c r="AA401" s="278"/>
      <c r="AB401" s="278"/>
      <c r="AC401" s="278"/>
      <c r="AD401" s="278"/>
      <c r="AE401" s="278"/>
      <c r="AF401" s="278"/>
      <c r="AG401" s="278"/>
      <c r="AH401" s="278"/>
      <c r="AI401" s="278"/>
      <c r="AJ401" s="278"/>
      <c r="AK401" s="278"/>
      <c r="AL401" s="278"/>
      <c r="AM401" s="278"/>
      <c r="AN401" s="278"/>
      <c r="AO401" s="278"/>
      <c r="AP401" s="278"/>
      <c r="AQ401" s="278"/>
      <c r="AR401" s="278"/>
      <c r="AS401" s="278"/>
      <c r="AT401" s="278"/>
      <c r="AU401" s="278"/>
      <c r="AV401" s="278"/>
      <c r="AW401" s="278"/>
      <c r="AX401" s="278"/>
      <c r="AY401" s="278"/>
      <c r="AZ401" s="278"/>
      <c r="BA401" s="278"/>
      <c r="BB401" s="278"/>
      <c r="BC401" s="278"/>
      <c r="BD401" s="278"/>
    </row>
    <row r="402" spans="1:56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196"/>
      <c r="S402" s="196"/>
      <c r="T402" s="196"/>
      <c r="U402" s="278"/>
      <c r="V402" s="278"/>
      <c r="W402" s="278"/>
      <c r="X402" s="278"/>
      <c r="Y402" s="278"/>
      <c r="Z402" s="278"/>
      <c r="AA402" s="278"/>
      <c r="AB402" s="278"/>
      <c r="AC402" s="278"/>
      <c r="AD402" s="278"/>
      <c r="AE402" s="278"/>
      <c r="AF402" s="278"/>
      <c r="AG402" s="278"/>
      <c r="AH402" s="278"/>
      <c r="AI402" s="278"/>
      <c r="AJ402" s="278"/>
      <c r="AK402" s="278"/>
      <c r="AL402" s="278"/>
      <c r="AM402" s="278"/>
      <c r="AN402" s="278"/>
      <c r="AO402" s="278"/>
      <c r="AP402" s="278"/>
      <c r="AQ402" s="278"/>
      <c r="AR402" s="278"/>
      <c r="AS402" s="278"/>
      <c r="AT402" s="278"/>
      <c r="AU402" s="278"/>
      <c r="AV402" s="278"/>
      <c r="AW402" s="278"/>
      <c r="AX402" s="278"/>
      <c r="AY402" s="278"/>
      <c r="AZ402" s="278"/>
      <c r="BA402" s="278"/>
      <c r="BB402" s="278"/>
      <c r="BC402" s="278"/>
      <c r="BD402" s="278"/>
    </row>
    <row r="403" spans="1:56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196"/>
      <c r="S403" s="196"/>
      <c r="T403" s="196"/>
      <c r="U403" s="278"/>
      <c r="V403" s="278"/>
      <c r="W403" s="278"/>
      <c r="X403" s="278"/>
      <c r="Y403" s="278"/>
      <c r="Z403" s="278"/>
      <c r="AA403" s="278"/>
      <c r="AB403" s="278"/>
      <c r="AC403" s="278"/>
      <c r="AD403" s="278"/>
      <c r="AE403" s="278"/>
      <c r="AF403" s="278"/>
      <c r="AG403" s="278"/>
      <c r="AH403" s="278"/>
      <c r="AI403" s="278"/>
      <c r="AJ403" s="278"/>
      <c r="AK403" s="278"/>
      <c r="AL403" s="278"/>
      <c r="AM403" s="278"/>
      <c r="AN403" s="278"/>
      <c r="AO403" s="278"/>
      <c r="AP403" s="278"/>
      <c r="AQ403" s="278"/>
      <c r="AR403" s="278"/>
      <c r="AS403" s="278"/>
      <c r="AT403" s="278"/>
      <c r="AU403" s="278"/>
      <c r="AV403" s="278"/>
      <c r="AW403" s="278"/>
      <c r="AX403" s="278"/>
      <c r="AY403" s="278"/>
      <c r="AZ403" s="278"/>
      <c r="BA403" s="278"/>
      <c r="BB403" s="278"/>
      <c r="BC403" s="278"/>
      <c r="BD403" s="278"/>
    </row>
    <row r="404" spans="1:56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196"/>
      <c r="S404" s="196"/>
      <c r="T404" s="196"/>
      <c r="U404" s="278"/>
      <c r="V404" s="278"/>
      <c r="W404" s="278"/>
      <c r="X404" s="278"/>
      <c r="Y404" s="278"/>
      <c r="Z404" s="278"/>
      <c r="AA404" s="278"/>
      <c r="AB404" s="278"/>
      <c r="AC404" s="278"/>
      <c r="AD404" s="278"/>
      <c r="AE404" s="278"/>
      <c r="AF404" s="278"/>
      <c r="AG404" s="278"/>
      <c r="AH404" s="278"/>
      <c r="AI404" s="278"/>
      <c r="AJ404" s="278"/>
      <c r="AK404" s="278"/>
      <c r="AL404" s="278"/>
      <c r="AM404" s="278"/>
      <c r="AN404" s="278"/>
      <c r="AO404" s="278"/>
      <c r="AP404" s="278"/>
      <c r="AQ404" s="278"/>
      <c r="AR404" s="278"/>
      <c r="AS404" s="278"/>
      <c r="AT404" s="278"/>
      <c r="AU404" s="278"/>
      <c r="AV404" s="278"/>
      <c r="AW404" s="278"/>
      <c r="AX404" s="278"/>
      <c r="AY404" s="278"/>
      <c r="AZ404" s="278"/>
      <c r="BA404" s="278"/>
      <c r="BB404" s="278"/>
      <c r="BC404" s="278"/>
      <c r="BD404" s="278"/>
    </row>
    <row r="405" spans="1:56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196"/>
      <c r="S405" s="196"/>
      <c r="T405" s="196"/>
      <c r="U405" s="278"/>
      <c r="V405" s="278"/>
      <c r="W405" s="278"/>
      <c r="X405" s="278"/>
      <c r="Y405" s="278"/>
      <c r="Z405" s="278"/>
      <c r="AA405" s="278"/>
      <c r="AB405" s="278"/>
      <c r="AC405" s="278"/>
      <c r="AD405" s="278"/>
      <c r="AE405" s="278"/>
      <c r="AF405" s="278"/>
      <c r="AG405" s="278"/>
      <c r="AH405" s="278"/>
      <c r="AI405" s="278"/>
      <c r="AJ405" s="278"/>
      <c r="AK405" s="278"/>
      <c r="AL405" s="278"/>
      <c r="AM405" s="278"/>
      <c r="AN405" s="278"/>
      <c r="AO405" s="278"/>
      <c r="AP405" s="278"/>
      <c r="AQ405" s="278"/>
      <c r="AR405" s="278"/>
      <c r="AS405" s="278"/>
      <c r="AT405" s="278"/>
      <c r="AU405" s="278"/>
      <c r="AV405" s="278"/>
      <c r="AW405" s="278"/>
      <c r="AX405" s="278"/>
      <c r="AY405" s="278"/>
      <c r="AZ405" s="278"/>
      <c r="BA405" s="278"/>
      <c r="BB405" s="278"/>
      <c r="BC405" s="278"/>
      <c r="BD405" s="278"/>
    </row>
    <row r="406" spans="1:56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196"/>
      <c r="S406" s="196"/>
      <c r="T406" s="196"/>
      <c r="U406" s="278"/>
      <c r="V406" s="278"/>
      <c r="W406" s="278"/>
      <c r="X406" s="278"/>
      <c r="Y406" s="278"/>
      <c r="Z406" s="278"/>
      <c r="AA406" s="278"/>
      <c r="AB406" s="278"/>
      <c r="AC406" s="278"/>
      <c r="AD406" s="278"/>
      <c r="AE406" s="278"/>
      <c r="AF406" s="278"/>
      <c r="AG406" s="278"/>
      <c r="AH406" s="278"/>
      <c r="AI406" s="278"/>
      <c r="AJ406" s="278"/>
      <c r="AK406" s="278"/>
      <c r="AL406" s="278"/>
      <c r="AM406" s="278"/>
      <c r="AN406" s="278"/>
      <c r="AO406" s="278"/>
      <c r="AP406" s="278"/>
      <c r="AQ406" s="278"/>
      <c r="AR406" s="278"/>
      <c r="AS406" s="278"/>
      <c r="AT406" s="278"/>
      <c r="AU406" s="278"/>
      <c r="AV406" s="278"/>
      <c r="AW406" s="278"/>
      <c r="AX406" s="278"/>
      <c r="AY406" s="278"/>
      <c r="AZ406" s="278"/>
      <c r="BA406" s="278"/>
      <c r="BB406" s="278"/>
      <c r="BC406" s="278"/>
      <c r="BD406" s="278"/>
    </row>
    <row r="407" spans="1:56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196"/>
      <c r="S407" s="196"/>
      <c r="T407" s="196"/>
      <c r="U407" s="278"/>
      <c r="V407" s="278"/>
      <c r="W407" s="278"/>
      <c r="X407" s="278"/>
      <c r="Y407" s="278"/>
      <c r="Z407" s="278"/>
      <c r="AA407" s="278"/>
      <c r="AB407" s="278"/>
      <c r="AC407" s="278"/>
      <c r="AD407" s="278"/>
      <c r="AE407" s="278"/>
      <c r="AF407" s="278"/>
      <c r="AG407" s="278"/>
      <c r="AH407" s="278"/>
      <c r="AI407" s="278"/>
      <c r="AJ407" s="278"/>
      <c r="AK407" s="278"/>
      <c r="AL407" s="278"/>
      <c r="AM407" s="278"/>
      <c r="AN407" s="278"/>
      <c r="AO407" s="278"/>
      <c r="AP407" s="278"/>
      <c r="AQ407" s="278"/>
      <c r="AR407" s="278"/>
      <c r="AS407" s="278"/>
      <c r="AT407" s="278"/>
      <c r="AU407" s="278"/>
      <c r="AV407" s="278"/>
      <c r="AW407" s="278"/>
      <c r="AX407" s="278"/>
      <c r="AY407" s="278"/>
      <c r="AZ407" s="278"/>
      <c r="BA407" s="278"/>
      <c r="BB407" s="278"/>
      <c r="BC407" s="278"/>
      <c r="BD407" s="278"/>
    </row>
    <row r="408" spans="1:56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196"/>
      <c r="S408" s="196"/>
      <c r="T408" s="196"/>
      <c r="U408" s="278"/>
      <c r="V408" s="278"/>
      <c r="W408" s="278"/>
      <c r="X408" s="278"/>
      <c r="Y408" s="278"/>
      <c r="Z408" s="278"/>
      <c r="AA408" s="278"/>
      <c r="AB408" s="278"/>
      <c r="AC408" s="278"/>
      <c r="AD408" s="278"/>
      <c r="AE408" s="278"/>
      <c r="AF408" s="278"/>
      <c r="AG408" s="278"/>
      <c r="AH408" s="278"/>
      <c r="AI408" s="278"/>
      <c r="AJ408" s="278"/>
      <c r="AK408" s="278"/>
      <c r="AL408" s="278"/>
      <c r="AM408" s="278"/>
      <c r="AN408" s="278"/>
      <c r="AO408" s="278"/>
      <c r="AP408" s="278"/>
      <c r="AQ408" s="278"/>
      <c r="AR408" s="278"/>
      <c r="AS408" s="278"/>
      <c r="AT408" s="278"/>
      <c r="AU408" s="278"/>
      <c r="AV408" s="278"/>
      <c r="AW408" s="278"/>
      <c r="AX408" s="278"/>
      <c r="AY408" s="278"/>
      <c r="AZ408" s="278"/>
      <c r="BA408" s="278"/>
      <c r="BB408" s="278"/>
      <c r="BC408" s="278"/>
      <c r="BD408" s="278"/>
    </row>
    <row r="409" spans="1:56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196"/>
      <c r="S409" s="196"/>
      <c r="T409" s="196"/>
      <c r="U409" s="278"/>
      <c r="V409" s="278"/>
      <c r="W409" s="278"/>
      <c r="X409" s="278"/>
      <c r="Y409" s="278"/>
      <c r="Z409" s="278"/>
      <c r="AA409" s="278"/>
      <c r="AB409" s="278"/>
      <c r="AC409" s="278"/>
      <c r="AD409" s="278"/>
      <c r="AE409" s="278"/>
      <c r="AF409" s="278"/>
      <c r="AG409" s="278"/>
      <c r="AH409" s="278"/>
      <c r="AI409" s="278"/>
      <c r="AJ409" s="278"/>
      <c r="AK409" s="278"/>
      <c r="AL409" s="278"/>
      <c r="AM409" s="278"/>
      <c r="AN409" s="278"/>
      <c r="AO409" s="278"/>
      <c r="AP409" s="278"/>
      <c r="AQ409" s="278"/>
      <c r="AR409" s="278"/>
      <c r="AS409" s="278"/>
      <c r="AT409" s="278"/>
      <c r="AU409" s="278"/>
      <c r="AV409" s="278"/>
      <c r="AW409" s="278"/>
      <c r="AX409" s="278"/>
      <c r="AY409" s="278"/>
      <c r="AZ409" s="278"/>
      <c r="BA409" s="278"/>
      <c r="BB409" s="278"/>
      <c r="BC409" s="278"/>
      <c r="BD409" s="278"/>
    </row>
    <row r="410" spans="1:56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196"/>
      <c r="S410" s="196"/>
      <c r="T410" s="196"/>
      <c r="U410" s="278"/>
      <c r="V410" s="278"/>
      <c r="W410" s="278"/>
      <c r="X410" s="278"/>
      <c r="Y410" s="278"/>
      <c r="Z410" s="278"/>
      <c r="AA410" s="278"/>
      <c r="AB410" s="278"/>
      <c r="AC410" s="278"/>
      <c r="AD410" s="278"/>
      <c r="AE410" s="278"/>
      <c r="AF410" s="278"/>
      <c r="AG410" s="278"/>
      <c r="AH410" s="278"/>
      <c r="AI410" s="278"/>
      <c r="AJ410" s="278"/>
      <c r="AK410" s="278"/>
      <c r="AL410" s="278"/>
      <c r="AM410" s="278"/>
      <c r="AN410" s="278"/>
      <c r="AO410" s="278"/>
      <c r="AP410" s="278"/>
      <c r="AQ410" s="278"/>
      <c r="AR410" s="278"/>
      <c r="AS410" s="278"/>
      <c r="AT410" s="278"/>
      <c r="AU410" s="278"/>
      <c r="AV410" s="278"/>
      <c r="AW410" s="278"/>
      <c r="AX410" s="278"/>
      <c r="AY410" s="278"/>
      <c r="AZ410" s="278"/>
      <c r="BA410" s="278"/>
      <c r="BB410" s="278"/>
      <c r="BC410" s="278"/>
      <c r="BD410" s="278"/>
    </row>
    <row r="411" spans="1:56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196"/>
      <c r="S411" s="196"/>
      <c r="T411" s="196"/>
      <c r="U411" s="278"/>
      <c r="V411" s="278"/>
      <c r="W411" s="278"/>
      <c r="X411" s="278"/>
      <c r="Y411" s="278"/>
      <c r="Z411" s="278"/>
      <c r="AA411" s="278"/>
      <c r="AB411" s="278"/>
      <c r="AC411" s="278"/>
      <c r="AD411" s="278"/>
      <c r="AE411" s="278"/>
      <c r="AF411" s="278"/>
      <c r="AG411" s="278"/>
      <c r="AH411" s="278"/>
      <c r="AI411" s="278"/>
      <c r="AJ411" s="278"/>
      <c r="AK411" s="278"/>
      <c r="AL411" s="278"/>
      <c r="AM411" s="278"/>
      <c r="AN411" s="278"/>
      <c r="AO411" s="278"/>
      <c r="AP411" s="278"/>
      <c r="AQ411" s="278"/>
      <c r="AR411" s="278"/>
      <c r="AS411" s="278"/>
      <c r="AT411" s="278"/>
      <c r="AU411" s="278"/>
      <c r="AV411" s="278"/>
      <c r="AW411" s="278"/>
      <c r="AX411" s="278"/>
      <c r="AY411" s="278"/>
      <c r="AZ411" s="278"/>
      <c r="BA411" s="278"/>
      <c r="BB411" s="278"/>
      <c r="BC411" s="278"/>
      <c r="BD411" s="278"/>
    </row>
    <row r="412" spans="1:56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196"/>
      <c r="S412" s="196"/>
      <c r="T412" s="196"/>
      <c r="U412" s="278"/>
      <c r="V412" s="278"/>
      <c r="W412" s="278"/>
      <c r="X412" s="278"/>
      <c r="Y412" s="278"/>
      <c r="Z412" s="278"/>
      <c r="AA412" s="278"/>
      <c r="AB412" s="278"/>
      <c r="AC412" s="278"/>
      <c r="AD412" s="278"/>
      <c r="AE412" s="278"/>
      <c r="AF412" s="278"/>
      <c r="AG412" s="278"/>
      <c r="AH412" s="278"/>
      <c r="AI412" s="278"/>
      <c r="AJ412" s="278"/>
      <c r="AK412" s="278"/>
      <c r="AL412" s="278"/>
      <c r="AM412" s="278"/>
      <c r="AN412" s="278"/>
      <c r="AO412" s="278"/>
      <c r="AP412" s="278"/>
      <c r="AQ412" s="278"/>
      <c r="AR412" s="278"/>
      <c r="AS412" s="278"/>
      <c r="AT412" s="278"/>
      <c r="AU412" s="278"/>
      <c r="AV412" s="278"/>
      <c r="AW412" s="278"/>
      <c r="AX412" s="278"/>
      <c r="AY412" s="278"/>
      <c r="AZ412" s="278"/>
      <c r="BA412" s="278"/>
      <c r="BB412" s="278"/>
      <c r="BC412" s="278"/>
      <c r="BD412" s="278"/>
    </row>
    <row r="413" spans="1:56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196"/>
      <c r="S413" s="196"/>
      <c r="T413" s="196"/>
      <c r="U413" s="278"/>
      <c r="V413" s="278"/>
      <c r="W413" s="278"/>
      <c r="X413" s="278"/>
      <c r="Y413" s="278"/>
      <c r="Z413" s="278"/>
      <c r="AA413" s="278"/>
      <c r="AB413" s="278"/>
      <c r="AC413" s="278"/>
      <c r="AD413" s="278"/>
      <c r="AE413" s="278"/>
      <c r="AF413" s="278"/>
      <c r="AG413" s="278"/>
      <c r="AH413" s="278"/>
      <c r="AI413" s="278"/>
      <c r="AJ413" s="278"/>
      <c r="AK413" s="278"/>
      <c r="AL413" s="278"/>
      <c r="AM413" s="278"/>
      <c r="AN413" s="278"/>
      <c r="AO413" s="278"/>
      <c r="AP413" s="278"/>
      <c r="AQ413" s="278"/>
      <c r="AR413" s="278"/>
      <c r="AS413" s="278"/>
      <c r="AT413" s="278"/>
      <c r="AU413" s="278"/>
      <c r="AV413" s="278"/>
      <c r="AW413" s="278"/>
      <c r="AX413" s="278"/>
      <c r="AY413" s="278"/>
      <c r="AZ413" s="278"/>
      <c r="BA413" s="278"/>
      <c r="BB413" s="278"/>
      <c r="BC413" s="278"/>
      <c r="BD413" s="278"/>
    </row>
    <row r="414" spans="1:56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196"/>
      <c r="S414" s="196"/>
      <c r="T414" s="196"/>
      <c r="U414" s="278"/>
      <c r="V414" s="278"/>
      <c r="W414" s="278"/>
      <c r="X414" s="278"/>
      <c r="Y414" s="278"/>
      <c r="Z414" s="278"/>
      <c r="AA414" s="278"/>
      <c r="AB414" s="278"/>
      <c r="AC414" s="278"/>
      <c r="AD414" s="278"/>
      <c r="AE414" s="278"/>
      <c r="AF414" s="278"/>
      <c r="AG414" s="278"/>
      <c r="AH414" s="278"/>
      <c r="AI414" s="278"/>
      <c r="AJ414" s="278"/>
      <c r="AK414" s="278"/>
      <c r="AL414" s="278"/>
      <c r="AM414" s="278"/>
      <c r="AN414" s="278"/>
      <c r="AO414" s="278"/>
      <c r="AP414" s="278"/>
      <c r="AQ414" s="278"/>
      <c r="AR414" s="278"/>
      <c r="AS414" s="278"/>
      <c r="AT414" s="278"/>
      <c r="AU414" s="278"/>
      <c r="AV414" s="278"/>
      <c r="AW414" s="278"/>
      <c r="AX414" s="278"/>
      <c r="AY414" s="278"/>
      <c r="AZ414" s="278"/>
      <c r="BA414" s="278"/>
      <c r="BB414" s="278"/>
      <c r="BC414" s="278"/>
      <c r="BD414" s="278"/>
    </row>
    <row r="415" spans="1:56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196"/>
      <c r="S415" s="196"/>
      <c r="T415" s="196"/>
      <c r="U415" s="278"/>
      <c r="V415" s="278"/>
      <c r="W415" s="278"/>
      <c r="X415" s="278"/>
      <c r="Y415" s="278"/>
      <c r="Z415" s="278"/>
      <c r="AA415" s="278"/>
      <c r="AB415" s="278"/>
      <c r="AC415" s="278"/>
      <c r="AD415" s="278"/>
      <c r="AE415" s="278"/>
      <c r="AF415" s="278"/>
      <c r="AG415" s="278"/>
      <c r="AH415" s="278"/>
      <c r="AI415" s="278"/>
      <c r="AJ415" s="278"/>
      <c r="AK415" s="278"/>
      <c r="AL415" s="278"/>
      <c r="AM415" s="278"/>
      <c r="AN415" s="278"/>
      <c r="AO415" s="278"/>
      <c r="AP415" s="278"/>
      <c r="AQ415" s="278"/>
      <c r="AR415" s="278"/>
      <c r="AS415" s="278"/>
      <c r="AT415" s="278"/>
      <c r="AU415" s="278"/>
      <c r="AV415" s="278"/>
      <c r="AW415" s="278"/>
      <c r="AX415" s="278"/>
      <c r="AY415" s="278"/>
      <c r="AZ415" s="278"/>
      <c r="BA415" s="278"/>
      <c r="BB415" s="278"/>
      <c r="BC415" s="278"/>
      <c r="BD415" s="278"/>
    </row>
    <row r="416" spans="1:56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196"/>
      <c r="S416" s="196"/>
      <c r="T416" s="196"/>
      <c r="U416" s="278"/>
      <c r="V416" s="278"/>
      <c r="W416" s="278"/>
      <c r="X416" s="278"/>
      <c r="Y416" s="278"/>
      <c r="Z416" s="278"/>
      <c r="AA416" s="278"/>
      <c r="AB416" s="278"/>
      <c r="AC416" s="278"/>
      <c r="AD416" s="278"/>
      <c r="AE416" s="278"/>
      <c r="AF416" s="278"/>
      <c r="AG416" s="278"/>
      <c r="AH416" s="278"/>
      <c r="AI416" s="278"/>
      <c r="AJ416" s="278"/>
      <c r="AK416" s="278"/>
      <c r="AL416" s="278"/>
      <c r="AM416" s="278"/>
      <c r="AN416" s="278"/>
      <c r="AO416" s="278"/>
      <c r="AP416" s="278"/>
      <c r="AQ416" s="278"/>
      <c r="AR416" s="278"/>
      <c r="AS416" s="278"/>
      <c r="AT416" s="278"/>
      <c r="AU416" s="278"/>
      <c r="AV416" s="278"/>
      <c r="AW416" s="278"/>
      <c r="AX416" s="278"/>
      <c r="AY416" s="278"/>
      <c r="AZ416" s="278"/>
      <c r="BA416" s="278"/>
      <c r="BB416" s="278"/>
      <c r="BC416" s="278"/>
      <c r="BD416" s="278"/>
    </row>
    <row r="417" spans="1:56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196"/>
      <c r="S417" s="196"/>
      <c r="T417" s="196"/>
      <c r="U417" s="278"/>
      <c r="V417" s="278"/>
      <c r="W417" s="278"/>
      <c r="X417" s="278"/>
      <c r="Y417" s="278"/>
      <c r="Z417" s="278"/>
      <c r="AA417" s="278"/>
      <c r="AB417" s="278"/>
      <c r="AC417" s="278"/>
      <c r="AD417" s="278"/>
      <c r="AE417" s="278"/>
      <c r="AF417" s="278"/>
      <c r="AG417" s="278"/>
      <c r="AH417" s="278"/>
      <c r="AI417" s="278"/>
      <c r="AJ417" s="278"/>
      <c r="AK417" s="278"/>
      <c r="AL417" s="278"/>
      <c r="AM417" s="278"/>
      <c r="AN417" s="278"/>
      <c r="AO417" s="278"/>
      <c r="AP417" s="278"/>
      <c r="AQ417" s="278"/>
      <c r="AR417" s="278"/>
      <c r="AS417" s="278"/>
      <c r="AT417" s="278"/>
      <c r="AU417" s="278"/>
      <c r="AV417" s="278"/>
      <c r="AW417" s="278"/>
      <c r="AX417" s="278"/>
      <c r="AY417" s="278"/>
      <c r="AZ417" s="278"/>
      <c r="BA417" s="278"/>
      <c r="BB417" s="278"/>
      <c r="BC417" s="278"/>
      <c r="BD417" s="278"/>
    </row>
    <row r="418" spans="1:56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196"/>
      <c r="S418" s="196"/>
      <c r="T418" s="196"/>
      <c r="U418" s="278"/>
      <c r="V418" s="278"/>
      <c r="W418" s="278"/>
      <c r="X418" s="278"/>
      <c r="Y418" s="278"/>
      <c r="Z418" s="278"/>
      <c r="AA418" s="278"/>
      <c r="AB418" s="278"/>
      <c r="AC418" s="278"/>
      <c r="AD418" s="278"/>
      <c r="AE418" s="278"/>
      <c r="AF418" s="278"/>
      <c r="AG418" s="278"/>
      <c r="AH418" s="278"/>
      <c r="AI418" s="278"/>
      <c r="AJ418" s="278"/>
      <c r="AK418" s="278"/>
      <c r="AL418" s="278"/>
      <c r="AM418" s="278"/>
      <c r="AN418" s="278"/>
      <c r="AO418" s="278"/>
      <c r="AP418" s="278"/>
      <c r="AQ418" s="278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</row>
    <row r="419" spans="1:56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196"/>
      <c r="S419" s="196"/>
      <c r="T419" s="196"/>
      <c r="U419" s="278"/>
      <c r="V419" s="278"/>
      <c r="W419" s="278"/>
      <c r="X419" s="278"/>
      <c r="Y419" s="278"/>
      <c r="Z419" s="278"/>
      <c r="AA419" s="278"/>
      <c r="AB419" s="278"/>
      <c r="AC419" s="278"/>
      <c r="AD419" s="278"/>
      <c r="AE419" s="278"/>
      <c r="AF419" s="278"/>
      <c r="AG419" s="278"/>
      <c r="AH419" s="278"/>
      <c r="AI419" s="278"/>
      <c r="AJ419" s="278"/>
      <c r="AK419" s="278"/>
      <c r="AL419" s="278"/>
      <c r="AM419" s="278"/>
      <c r="AN419" s="278"/>
      <c r="AO419" s="278"/>
      <c r="AP419" s="278"/>
      <c r="AQ419" s="278"/>
      <c r="AR419" s="278"/>
      <c r="AS419" s="278"/>
      <c r="AT419" s="278"/>
      <c r="AU419" s="278"/>
      <c r="AV419" s="278"/>
      <c r="AW419" s="278"/>
      <c r="AX419" s="278"/>
      <c r="AY419" s="278"/>
      <c r="AZ419" s="278"/>
      <c r="BA419" s="278"/>
      <c r="BB419" s="278"/>
      <c r="BC419" s="278"/>
      <c r="BD419" s="278"/>
    </row>
    <row r="420" spans="1:56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196"/>
      <c r="S420" s="196"/>
      <c r="T420" s="196"/>
      <c r="U420" s="278"/>
      <c r="V420" s="278"/>
      <c r="W420" s="278"/>
      <c r="X420" s="278"/>
      <c r="Y420" s="278"/>
      <c r="Z420" s="278"/>
      <c r="AA420" s="278"/>
      <c r="AB420" s="278"/>
      <c r="AC420" s="278"/>
      <c r="AD420" s="278"/>
      <c r="AE420" s="278"/>
      <c r="AF420" s="278"/>
      <c r="AG420" s="278"/>
      <c r="AH420" s="278"/>
      <c r="AI420" s="278"/>
      <c r="AJ420" s="278"/>
      <c r="AK420" s="278"/>
      <c r="AL420" s="278"/>
      <c r="AM420" s="278"/>
      <c r="AN420" s="278"/>
      <c r="AO420" s="278"/>
      <c r="AP420" s="278"/>
      <c r="AQ420" s="278"/>
      <c r="AR420" s="278"/>
      <c r="AS420" s="278"/>
      <c r="AT420" s="278"/>
      <c r="AU420" s="278"/>
      <c r="AV420" s="278"/>
      <c r="AW420" s="278"/>
      <c r="AX420" s="278"/>
      <c r="AY420" s="278"/>
      <c r="AZ420" s="278"/>
      <c r="BA420" s="278"/>
      <c r="BB420" s="278"/>
      <c r="BC420" s="278"/>
      <c r="BD420" s="278"/>
    </row>
    <row r="421" spans="1:56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196"/>
      <c r="S421" s="196"/>
      <c r="T421" s="196"/>
      <c r="U421" s="278"/>
      <c r="V421" s="278"/>
      <c r="W421" s="278"/>
      <c r="X421" s="278"/>
      <c r="Y421" s="278"/>
      <c r="Z421" s="278"/>
      <c r="AA421" s="278"/>
      <c r="AB421" s="278"/>
      <c r="AC421" s="278"/>
      <c r="AD421" s="278"/>
      <c r="AE421" s="278"/>
      <c r="AF421" s="278"/>
      <c r="AG421" s="278"/>
      <c r="AH421" s="278"/>
      <c r="AI421" s="278"/>
      <c r="AJ421" s="278"/>
      <c r="AK421" s="278"/>
      <c r="AL421" s="278"/>
      <c r="AM421" s="278"/>
      <c r="AN421" s="278"/>
      <c r="AO421" s="278"/>
      <c r="AP421" s="278"/>
      <c r="AQ421" s="278"/>
      <c r="AR421" s="278"/>
      <c r="AS421" s="278"/>
      <c r="AT421" s="278"/>
      <c r="AU421" s="278"/>
      <c r="AV421" s="278"/>
      <c r="AW421" s="278"/>
      <c r="AX421" s="278"/>
      <c r="AY421" s="278"/>
      <c r="AZ421" s="278"/>
      <c r="BA421" s="278"/>
      <c r="BB421" s="278"/>
      <c r="BC421" s="278"/>
      <c r="BD421" s="278"/>
    </row>
    <row r="422" spans="1:56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196"/>
      <c r="S422" s="196"/>
      <c r="T422" s="196"/>
      <c r="U422" s="278"/>
      <c r="V422" s="278"/>
      <c r="W422" s="278"/>
      <c r="X422" s="278"/>
      <c r="Y422" s="278"/>
      <c r="Z422" s="278"/>
      <c r="AA422" s="278"/>
      <c r="AB422" s="278"/>
      <c r="AC422" s="278"/>
      <c r="AD422" s="278"/>
      <c r="AE422" s="278"/>
      <c r="AF422" s="278"/>
      <c r="AG422" s="278"/>
      <c r="AH422" s="278"/>
      <c r="AI422" s="278"/>
      <c r="AJ422" s="278"/>
      <c r="AK422" s="278"/>
      <c r="AL422" s="278"/>
      <c r="AM422" s="278"/>
      <c r="AN422" s="278"/>
      <c r="AO422" s="278"/>
      <c r="AP422" s="278"/>
      <c r="AQ422" s="278"/>
      <c r="AR422" s="278"/>
      <c r="AS422" s="278"/>
      <c r="AT422" s="278"/>
      <c r="AU422" s="278"/>
      <c r="AV422" s="278"/>
      <c r="AW422" s="278"/>
      <c r="AX422" s="278"/>
      <c r="AY422" s="278"/>
      <c r="AZ422" s="278"/>
      <c r="BA422" s="278"/>
      <c r="BB422" s="278"/>
      <c r="BC422" s="278"/>
      <c r="BD422" s="278"/>
    </row>
    <row r="423" spans="1:56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196"/>
      <c r="S423" s="196"/>
      <c r="T423" s="196"/>
      <c r="U423" s="278"/>
      <c r="V423" s="278"/>
      <c r="W423" s="278"/>
      <c r="X423" s="278"/>
      <c r="Y423" s="278"/>
      <c r="Z423" s="278"/>
      <c r="AA423" s="278"/>
      <c r="AB423" s="278"/>
      <c r="AC423" s="278"/>
      <c r="AD423" s="278"/>
      <c r="AE423" s="278"/>
      <c r="AF423" s="278"/>
      <c r="AG423" s="278"/>
      <c r="AH423" s="278"/>
      <c r="AI423" s="278"/>
      <c r="AJ423" s="278"/>
      <c r="AK423" s="278"/>
      <c r="AL423" s="278"/>
      <c r="AM423" s="278"/>
      <c r="AN423" s="278"/>
      <c r="AO423" s="278"/>
      <c r="AP423" s="278"/>
      <c r="AQ423" s="278"/>
      <c r="AR423" s="278"/>
      <c r="AS423" s="278"/>
      <c r="AT423" s="278"/>
      <c r="AU423" s="278"/>
      <c r="AV423" s="278"/>
      <c r="AW423" s="278"/>
      <c r="AX423" s="278"/>
      <c r="AY423" s="278"/>
      <c r="AZ423" s="278"/>
      <c r="BA423" s="278"/>
      <c r="BB423" s="278"/>
      <c r="BC423" s="278"/>
      <c r="BD423" s="278"/>
    </row>
    <row r="424" spans="1:56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196"/>
      <c r="S424" s="196"/>
      <c r="T424" s="196"/>
      <c r="U424" s="278"/>
      <c r="V424" s="278"/>
      <c r="W424" s="278"/>
      <c r="X424" s="278"/>
      <c r="Y424" s="278"/>
      <c r="Z424" s="278"/>
      <c r="AA424" s="278"/>
      <c r="AB424" s="278"/>
      <c r="AC424" s="278"/>
      <c r="AD424" s="278"/>
      <c r="AE424" s="278"/>
      <c r="AF424" s="278"/>
      <c r="AG424" s="278"/>
      <c r="AH424" s="278"/>
      <c r="AI424" s="278"/>
      <c r="AJ424" s="278"/>
      <c r="AK424" s="278"/>
      <c r="AL424" s="278"/>
      <c r="AM424" s="278"/>
      <c r="AN424" s="278"/>
      <c r="AO424" s="278"/>
      <c r="AP424" s="278"/>
      <c r="AQ424" s="278"/>
      <c r="AR424" s="278"/>
      <c r="AS424" s="278"/>
      <c r="AT424" s="278"/>
      <c r="AU424" s="278"/>
      <c r="AV424" s="278"/>
      <c r="AW424" s="278"/>
      <c r="AX424" s="278"/>
      <c r="AY424" s="278"/>
      <c r="AZ424" s="278"/>
      <c r="BA424" s="278"/>
      <c r="BB424" s="278"/>
      <c r="BC424" s="278"/>
      <c r="BD424" s="278"/>
    </row>
    <row r="425" spans="1:56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196"/>
      <c r="S425" s="196"/>
      <c r="T425" s="196"/>
      <c r="U425" s="278"/>
      <c r="V425" s="278"/>
      <c r="W425" s="278"/>
      <c r="X425" s="278"/>
      <c r="Y425" s="278"/>
      <c r="Z425" s="278"/>
      <c r="AA425" s="278"/>
      <c r="AB425" s="278"/>
      <c r="AC425" s="278"/>
      <c r="AD425" s="278"/>
      <c r="AE425" s="278"/>
      <c r="AF425" s="278"/>
      <c r="AG425" s="278"/>
      <c r="AH425" s="278"/>
      <c r="AI425" s="278"/>
      <c r="AJ425" s="278"/>
      <c r="AK425" s="278"/>
      <c r="AL425" s="278"/>
      <c r="AM425" s="278"/>
      <c r="AN425" s="278"/>
      <c r="AO425" s="278"/>
      <c r="AP425" s="278"/>
      <c r="AQ425" s="278"/>
      <c r="AR425" s="278"/>
      <c r="AS425" s="278"/>
      <c r="AT425" s="278"/>
      <c r="AU425" s="278"/>
      <c r="AV425" s="278"/>
      <c r="AW425" s="278"/>
      <c r="AX425" s="278"/>
      <c r="AY425" s="278"/>
      <c r="AZ425" s="278"/>
      <c r="BA425" s="278"/>
      <c r="BB425" s="278"/>
      <c r="BC425" s="278"/>
      <c r="BD425" s="278"/>
    </row>
    <row r="426" spans="1:56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196"/>
      <c r="S426" s="196"/>
      <c r="T426" s="196"/>
      <c r="U426" s="278"/>
      <c r="V426" s="278"/>
      <c r="W426" s="278"/>
      <c r="X426" s="278"/>
      <c r="Y426" s="278"/>
      <c r="Z426" s="278"/>
      <c r="AA426" s="278"/>
      <c r="AB426" s="278"/>
      <c r="AC426" s="278"/>
      <c r="AD426" s="278"/>
      <c r="AE426" s="278"/>
      <c r="AF426" s="278"/>
      <c r="AG426" s="278"/>
      <c r="AH426" s="278"/>
      <c r="AI426" s="278"/>
      <c r="AJ426" s="278"/>
      <c r="AK426" s="278"/>
      <c r="AL426" s="278"/>
      <c r="AM426" s="278"/>
      <c r="AN426" s="278"/>
      <c r="AO426" s="278"/>
      <c r="AP426" s="278"/>
      <c r="AQ426" s="278"/>
      <c r="AR426" s="278"/>
      <c r="AS426" s="278"/>
      <c r="AT426" s="278"/>
      <c r="AU426" s="278"/>
      <c r="AV426" s="278"/>
      <c r="AW426" s="278"/>
      <c r="AX426" s="278"/>
      <c r="AY426" s="278"/>
      <c r="AZ426" s="278"/>
      <c r="BA426" s="278"/>
      <c r="BB426" s="278"/>
      <c r="BC426" s="278"/>
      <c r="BD426" s="278"/>
    </row>
    <row r="427" spans="1:56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196"/>
      <c r="S427" s="196"/>
      <c r="T427" s="196"/>
      <c r="U427" s="278"/>
      <c r="V427" s="278"/>
      <c r="W427" s="278"/>
      <c r="X427" s="278"/>
      <c r="Y427" s="278"/>
      <c r="Z427" s="278"/>
      <c r="AA427" s="278"/>
      <c r="AB427" s="278"/>
      <c r="AC427" s="278"/>
      <c r="AD427" s="278"/>
      <c r="AE427" s="278"/>
      <c r="AF427" s="278"/>
      <c r="AG427" s="278"/>
      <c r="AH427" s="278"/>
      <c r="AI427" s="278"/>
      <c r="AJ427" s="278"/>
      <c r="AK427" s="278"/>
      <c r="AL427" s="278"/>
      <c r="AM427" s="278"/>
      <c r="AN427" s="278"/>
      <c r="AO427" s="278"/>
      <c r="AP427" s="278"/>
      <c r="AQ427" s="278"/>
      <c r="AR427" s="278"/>
      <c r="AS427" s="278"/>
      <c r="AT427" s="278"/>
      <c r="AU427" s="278"/>
      <c r="AV427" s="278"/>
      <c r="AW427" s="278"/>
      <c r="AX427" s="278"/>
      <c r="AY427" s="278"/>
      <c r="AZ427" s="278"/>
      <c r="BA427" s="278"/>
      <c r="BB427" s="278"/>
      <c r="BC427" s="278"/>
      <c r="BD427" s="278"/>
    </row>
    <row r="428" spans="1:56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196"/>
      <c r="S428" s="196"/>
      <c r="T428" s="196"/>
      <c r="U428" s="278"/>
      <c r="V428" s="278"/>
      <c r="W428" s="278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</row>
    <row r="429" spans="1:56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196"/>
      <c r="S429" s="196"/>
      <c r="T429" s="196"/>
      <c r="U429" s="278"/>
      <c r="V429" s="278"/>
      <c r="W429" s="278"/>
      <c r="X429" s="278"/>
      <c r="Y429" s="278"/>
      <c r="Z429" s="278"/>
      <c r="AA429" s="278"/>
      <c r="AB429" s="278"/>
      <c r="AC429" s="278"/>
      <c r="AD429" s="278"/>
      <c r="AE429" s="278"/>
      <c r="AF429" s="278"/>
      <c r="AG429" s="278"/>
      <c r="AH429" s="278"/>
      <c r="AI429" s="278"/>
      <c r="AJ429" s="278"/>
      <c r="AK429" s="278"/>
      <c r="AL429" s="278"/>
      <c r="AM429" s="278"/>
      <c r="AN429" s="278"/>
      <c r="AO429" s="278"/>
      <c r="AP429" s="278"/>
      <c r="AQ429" s="278"/>
      <c r="AR429" s="278"/>
      <c r="AS429" s="278"/>
      <c r="AT429" s="278"/>
      <c r="AU429" s="278"/>
      <c r="AV429" s="278"/>
      <c r="AW429" s="278"/>
      <c r="AX429" s="278"/>
      <c r="AY429" s="278"/>
      <c r="AZ429" s="278"/>
      <c r="BA429" s="278"/>
      <c r="BB429" s="278"/>
      <c r="BC429" s="278"/>
      <c r="BD429" s="278"/>
    </row>
    <row r="430" spans="1:56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196"/>
      <c r="S430" s="196"/>
      <c r="T430" s="196"/>
      <c r="U430" s="278"/>
      <c r="V430" s="278"/>
      <c r="W430" s="278"/>
      <c r="X430" s="278"/>
      <c r="Y430" s="278"/>
      <c r="Z430" s="278"/>
      <c r="AA430" s="278"/>
      <c r="AB430" s="278"/>
      <c r="AC430" s="278"/>
      <c r="AD430" s="278"/>
      <c r="AE430" s="278"/>
      <c r="AF430" s="278"/>
      <c r="AG430" s="278"/>
      <c r="AH430" s="278"/>
      <c r="AI430" s="278"/>
      <c r="AJ430" s="278"/>
      <c r="AK430" s="278"/>
      <c r="AL430" s="278"/>
      <c r="AM430" s="278"/>
      <c r="AN430" s="278"/>
      <c r="AO430" s="278"/>
      <c r="AP430" s="278"/>
      <c r="AQ430" s="278"/>
      <c r="AR430" s="278"/>
      <c r="AS430" s="278"/>
      <c r="AT430" s="278"/>
      <c r="AU430" s="278"/>
      <c r="AV430" s="278"/>
      <c r="AW430" s="278"/>
      <c r="AX430" s="278"/>
      <c r="AY430" s="278"/>
      <c r="AZ430" s="278"/>
      <c r="BA430" s="278"/>
      <c r="BB430" s="278"/>
      <c r="BC430" s="278"/>
      <c r="BD430" s="278"/>
    </row>
    <row r="431" spans="1:56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196"/>
      <c r="S431" s="196"/>
      <c r="T431" s="196"/>
      <c r="U431" s="278"/>
      <c r="V431" s="278"/>
      <c r="W431" s="278"/>
      <c r="X431" s="278"/>
      <c r="Y431" s="278"/>
      <c r="Z431" s="278"/>
      <c r="AA431" s="278"/>
      <c r="AB431" s="278"/>
      <c r="AC431" s="278"/>
      <c r="AD431" s="278"/>
      <c r="AE431" s="278"/>
      <c r="AF431" s="278"/>
      <c r="AG431" s="278"/>
      <c r="AH431" s="278"/>
      <c r="AI431" s="278"/>
      <c r="AJ431" s="278"/>
      <c r="AK431" s="278"/>
      <c r="AL431" s="278"/>
      <c r="AM431" s="278"/>
      <c r="AN431" s="278"/>
      <c r="AO431" s="278"/>
      <c r="AP431" s="278"/>
      <c r="AQ431" s="278"/>
      <c r="AR431" s="278"/>
      <c r="AS431" s="278"/>
      <c r="AT431" s="278"/>
      <c r="AU431" s="278"/>
      <c r="AV431" s="278"/>
      <c r="AW431" s="278"/>
      <c r="AX431" s="278"/>
      <c r="AY431" s="278"/>
      <c r="AZ431" s="278"/>
      <c r="BA431" s="278"/>
      <c r="BB431" s="278"/>
      <c r="BC431" s="278"/>
      <c r="BD431" s="278"/>
    </row>
    <row r="432" spans="1:56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196"/>
      <c r="S432" s="196"/>
      <c r="T432" s="196"/>
      <c r="U432" s="278"/>
      <c r="V432" s="278"/>
      <c r="W432" s="278"/>
      <c r="X432" s="278"/>
      <c r="Y432" s="278"/>
      <c r="Z432" s="278"/>
      <c r="AA432" s="278"/>
      <c r="AB432" s="278"/>
      <c r="AC432" s="278"/>
      <c r="AD432" s="278"/>
      <c r="AE432" s="278"/>
      <c r="AF432" s="278"/>
      <c r="AG432" s="278"/>
      <c r="AH432" s="278"/>
      <c r="AI432" s="278"/>
      <c r="AJ432" s="278"/>
      <c r="AK432" s="278"/>
      <c r="AL432" s="278"/>
      <c r="AM432" s="278"/>
      <c r="AN432" s="278"/>
      <c r="AO432" s="278"/>
      <c r="AP432" s="278"/>
      <c r="AQ432" s="278"/>
      <c r="AR432" s="278"/>
      <c r="AS432" s="278"/>
      <c r="AT432" s="278"/>
      <c r="AU432" s="278"/>
      <c r="AV432" s="278"/>
      <c r="AW432" s="278"/>
      <c r="AX432" s="278"/>
      <c r="AY432" s="278"/>
      <c r="AZ432" s="278"/>
      <c r="BA432" s="278"/>
      <c r="BB432" s="278"/>
      <c r="BC432" s="278"/>
      <c r="BD432" s="278"/>
    </row>
    <row r="433" spans="1:56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196"/>
      <c r="S433" s="196"/>
      <c r="T433" s="196"/>
      <c r="U433" s="278"/>
      <c r="V433" s="278"/>
      <c r="W433" s="278"/>
      <c r="X433" s="278"/>
      <c r="Y433" s="278"/>
      <c r="Z433" s="278"/>
      <c r="AA433" s="278"/>
      <c r="AB433" s="278"/>
      <c r="AC433" s="278"/>
      <c r="AD433" s="278"/>
      <c r="AE433" s="278"/>
      <c r="AF433" s="278"/>
      <c r="AG433" s="278"/>
      <c r="AH433" s="278"/>
      <c r="AI433" s="278"/>
      <c r="AJ433" s="278"/>
      <c r="AK433" s="278"/>
      <c r="AL433" s="278"/>
      <c r="AM433" s="278"/>
      <c r="AN433" s="278"/>
      <c r="AO433" s="278"/>
      <c r="AP433" s="278"/>
      <c r="AQ433" s="278"/>
      <c r="AR433" s="278"/>
      <c r="AS433" s="278"/>
      <c r="AT433" s="278"/>
      <c r="AU433" s="278"/>
      <c r="AV433" s="278"/>
      <c r="AW433" s="278"/>
      <c r="AX433" s="278"/>
      <c r="AY433" s="278"/>
      <c r="AZ433" s="278"/>
      <c r="BA433" s="278"/>
      <c r="BB433" s="278"/>
      <c r="BC433" s="278"/>
      <c r="BD433" s="278"/>
    </row>
    <row r="434" spans="1:56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196"/>
      <c r="S434" s="196"/>
      <c r="T434" s="196"/>
      <c r="U434" s="278"/>
      <c r="V434" s="278"/>
      <c r="W434" s="278"/>
      <c r="X434" s="278"/>
      <c r="Y434" s="278"/>
      <c r="Z434" s="278"/>
      <c r="AA434" s="278"/>
      <c r="AB434" s="278"/>
      <c r="AC434" s="278"/>
      <c r="AD434" s="278"/>
      <c r="AE434" s="278"/>
      <c r="AF434" s="278"/>
      <c r="AG434" s="278"/>
      <c r="AH434" s="278"/>
      <c r="AI434" s="278"/>
      <c r="AJ434" s="278"/>
      <c r="AK434" s="278"/>
      <c r="AL434" s="278"/>
      <c r="AM434" s="278"/>
      <c r="AN434" s="278"/>
      <c r="AO434" s="278"/>
      <c r="AP434" s="278"/>
      <c r="AQ434" s="278"/>
      <c r="AR434" s="278"/>
      <c r="AS434" s="278"/>
      <c r="AT434" s="278"/>
      <c r="AU434" s="278"/>
      <c r="AV434" s="278"/>
      <c r="AW434" s="278"/>
      <c r="AX434" s="278"/>
      <c r="AY434" s="278"/>
      <c r="AZ434" s="278"/>
      <c r="BA434" s="278"/>
      <c r="BB434" s="278"/>
      <c r="BC434" s="278"/>
      <c r="BD434" s="278"/>
    </row>
    <row r="435" spans="1:56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196"/>
      <c r="S435" s="196"/>
      <c r="T435" s="196"/>
      <c r="U435" s="278"/>
      <c r="V435" s="278"/>
      <c r="W435" s="278"/>
      <c r="X435" s="278"/>
      <c r="Y435" s="278"/>
      <c r="Z435" s="278"/>
      <c r="AA435" s="278"/>
      <c r="AB435" s="278"/>
      <c r="AC435" s="278"/>
      <c r="AD435" s="278"/>
      <c r="AE435" s="278"/>
      <c r="AF435" s="278"/>
      <c r="AG435" s="278"/>
      <c r="AH435" s="278"/>
      <c r="AI435" s="278"/>
      <c r="AJ435" s="278"/>
      <c r="AK435" s="278"/>
      <c r="AL435" s="278"/>
      <c r="AM435" s="278"/>
      <c r="AN435" s="278"/>
      <c r="AO435" s="278"/>
      <c r="AP435" s="278"/>
      <c r="AQ435" s="278"/>
      <c r="AR435" s="278"/>
      <c r="AS435" s="278"/>
      <c r="AT435" s="278"/>
      <c r="AU435" s="278"/>
      <c r="AV435" s="278"/>
      <c r="AW435" s="278"/>
      <c r="AX435" s="278"/>
      <c r="AY435" s="278"/>
      <c r="AZ435" s="278"/>
      <c r="BA435" s="278"/>
      <c r="BB435" s="278"/>
      <c r="BC435" s="278"/>
      <c r="BD435" s="278"/>
    </row>
    <row r="436" spans="1:56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196"/>
      <c r="S436" s="196"/>
      <c r="T436" s="196"/>
      <c r="U436" s="278"/>
      <c r="V436" s="278"/>
      <c r="W436" s="278"/>
      <c r="X436" s="278"/>
      <c r="Y436" s="278"/>
      <c r="Z436" s="278"/>
      <c r="AA436" s="278"/>
      <c r="AB436" s="278"/>
      <c r="AC436" s="278"/>
      <c r="AD436" s="278"/>
      <c r="AE436" s="278"/>
      <c r="AF436" s="278"/>
      <c r="AG436" s="278"/>
      <c r="AH436" s="278"/>
      <c r="AI436" s="278"/>
      <c r="AJ436" s="278"/>
      <c r="AK436" s="278"/>
      <c r="AL436" s="278"/>
      <c r="AM436" s="278"/>
      <c r="AN436" s="278"/>
      <c r="AO436" s="278"/>
      <c r="AP436" s="278"/>
      <c r="AQ436" s="278"/>
      <c r="AR436" s="278"/>
      <c r="AS436" s="278"/>
      <c r="AT436" s="278"/>
      <c r="AU436" s="278"/>
      <c r="AV436" s="278"/>
      <c r="AW436" s="278"/>
      <c r="AX436" s="278"/>
      <c r="AY436" s="278"/>
      <c r="AZ436" s="278"/>
      <c r="BA436" s="278"/>
      <c r="BB436" s="278"/>
      <c r="BC436" s="278"/>
      <c r="BD436" s="278"/>
    </row>
    <row r="437" spans="1:56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196"/>
      <c r="S437" s="196"/>
      <c r="T437" s="196"/>
      <c r="U437" s="278"/>
      <c r="V437" s="278"/>
      <c r="W437" s="278"/>
      <c r="X437" s="278"/>
      <c r="Y437" s="278"/>
      <c r="Z437" s="278"/>
      <c r="AA437" s="278"/>
      <c r="AB437" s="278"/>
      <c r="AC437" s="278"/>
      <c r="AD437" s="278"/>
      <c r="AE437" s="278"/>
      <c r="AF437" s="278"/>
      <c r="AG437" s="278"/>
      <c r="AH437" s="278"/>
      <c r="AI437" s="278"/>
      <c r="AJ437" s="278"/>
      <c r="AK437" s="278"/>
      <c r="AL437" s="278"/>
      <c r="AM437" s="278"/>
      <c r="AN437" s="278"/>
      <c r="AO437" s="278"/>
      <c r="AP437" s="278"/>
      <c r="AQ437" s="278"/>
      <c r="AR437" s="278"/>
      <c r="AS437" s="278"/>
      <c r="AT437" s="278"/>
      <c r="AU437" s="278"/>
      <c r="AV437" s="278"/>
      <c r="AW437" s="278"/>
      <c r="AX437" s="278"/>
      <c r="AY437" s="278"/>
      <c r="AZ437" s="278"/>
      <c r="BA437" s="278"/>
      <c r="BB437" s="278"/>
      <c r="BC437" s="278"/>
      <c r="BD437" s="278"/>
    </row>
    <row r="438" spans="1:56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196"/>
      <c r="S438" s="196"/>
      <c r="T438" s="196"/>
      <c r="U438" s="278"/>
      <c r="V438" s="278"/>
      <c r="W438" s="278"/>
      <c r="X438" s="278"/>
      <c r="Y438" s="278"/>
      <c r="Z438" s="278"/>
      <c r="AA438" s="278"/>
      <c r="AB438" s="278"/>
      <c r="AC438" s="278"/>
      <c r="AD438" s="278"/>
      <c r="AE438" s="278"/>
      <c r="AF438" s="278"/>
      <c r="AG438" s="278"/>
      <c r="AH438" s="278"/>
      <c r="AI438" s="278"/>
      <c r="AJ438" s="278"/>
      <c r="AK438" s="278"/>
      <c r="AL438" s="278"/>
      <c r="AM438" s="278"/>
      <c r="AN438" s="278"/>
      <c r="AO438" s="278"/>
      <c r="AP438" s="278"/>
      <c r="AQ438" s="278"/>
      <c r="AR438" s="278"/>
      <c r="AS438" s="278"/>
      <c r="AT438" s="278"/>
      <c r="AU438" s="278"/>
      <c r="AV438" s="278"/>
      <c r="AW438" s="278"/>
      <c r="AX438" s="278"/>
      <c r="AY438" s="278"/>
      <c r="AZ438" s="278"/>
      <c r="BA438" s="278"/>
      <c r="BB438" s="278"/>
      <c r="BC438" s="278"/>
      <c r="BD438" s="278"/>
    </row>
    <row r="439" spans="1:56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196"/>
      <c r="S439" s="196"/>
      <c r="T439" s="196"/>
      <c r="U439" s="278"/>
      <c r="V439" s="278"/>
      <c r="W439" s="278"/>
      <c r="X439" s="278"/>
      <c r="Y439" s="278"/>
      <c r="Z439" s="278"/>
      <c r="AA439" s="278"/>
      <c r="AB439" s="278"/>
      <c r="AC439" s="278"/>
      <c r="AD439" s="278"/>
      <c r="AE439" s="278"/>
      <c r="AF439" s="278"/>
      <c r="AG439" s="278"/>
      <c r="AH439" s="278"/>
      <c r="AI439" s="278"/>
      <c r="AJ439" s="278"/>
      <c r="AK439" s="278"/>
      <c r="AL439" s="278"/>
      <c r="AM439" s="278"/>
      <c r="AN439" s="278"/>
      <c r="AO439" s="278"/>
      <c r="AP439" s="278"/>
      <c r="AQ439" s="278"/>
      <c r="AR439" s="278"/>
      <c r="AS439" s="278"/>
      <c r="AT439" s="278"/>
      <c r="AU439" s="278"/>
      <c r="AV439" s="278"/>
      <c r="AW439" s="278"/>
      <c r="AX439" s="278"/>
      <c r="AY439" s="278"/>
      <c r="AZ439" s="278"/>
      <c r="BA439" s="278"/>
      <c r="BB439" s="278"/>
      <c r="BC439" s="278"/>
      <c r="BD439" s="278"/>
    </row>
    <row r="440" spans="1:56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196"/>
      <c r="S440" s="196"/>
      <c r="T440" s="196"/>
      <c r="U440" s="278"/>
      <c r="V440" s="278"/>
      <c r="W440" s="278"/>
      <c r="X440" s="278"/>
      <c r="Y440" s="278"/>
      <c r="Z440" s="278"/>
      <c r="AA440" s="278"/>
      <c r="AB440" s="278"/>
      <c r="AC440" s="278"/>
      <c r="AD440" s="278"/>
      <c r="AE440" s="278"/>
      <c r="AF440" s="278"/>
      <c r="AG440" s="278"/>
      <c r="AH440" s="278"/>
      <c r="AI440" s="278"/>
      <c r="AJ440" s="278"/>
      <c r="AK440" s="278"/>
      <c r="AL440" s="278"/>
      <c r="AM440" s="278"/>
      <c r="AN440" s="278"/>
      <c r="AO440" s="278"/>
      <c r="AP440" s="278"/>
      <c r="AQ440" s="278"/>
      <c r="AR440" s="278"/>
      <c r="AS440" s="278"/>
      <c r="AT440" s="278"/>
      <c r="AU440" s="278"/>
      <c r="AV440" s="278"/>
      <c r="AW440" s="278"/>
      <c r="AX440" s="278"/>
      <c r="AY440" s="278"/>
      <c r="AZ440" s="278"/>
      <c r="BA440" s="278"/>
      <c r="BB440" s="278"/>
      <c r="BC440" s="278"/>
      <c r="BD440" s="278"/>
    </row>
    <row r="441" spans="1:56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196"/>
      <c r="S441" s="196"/>
      <c r="T441" s="196"/>
      <c r="U441" s="278"/>
      <c r="V441" s="278"/>
      <c r="W441" s="278"/>
      <c r="X441" s="278"/>
      <c r="Y441" s="278"/>
      <c r="Z441" s="278"/>
      <c r="AA441" s="278"/>
      <c r="AB441" s="278"/>
      <c r="AC441" s="278"/>
      <c r="AD441" s="278"/>
      <c r="AE441" s="278"/>
      <c r="AF441" s="278"/>
      <c r="AG441" s="278"/>
      <c r="AH441" s="278"/>
      <c r="AI441" s="278"/>
      <c r="AJ441" s="278"/>
      <c r="AK441" s="278"/>
      <c r="AL441" s="278"/>
      <c r="AM441" s="278"/>
      <c r="AN441" s="278"/>
      <c r="AO441" s="278"/>
      <c r="AP441" s="278"/>
      <c r="AQ441" s="278"/>
      <c r="AR441" s="278"/>
      <c r="AS441" s="278"/>
      <c r="AT441" s="278"/>
      <c r="AU441" s="278"/>
      <c r="AV441" s="278"/>
      <c r="AW441" s="278"/>
      <c r="AX441" s="278"/>
      <c r="AY441" s="278"/>
      <c r="AZ441" s="278"/>
      <c r="BA441" s="278"/>
      <c r="BB441" s="278"/>
      <c r="BC441" s="278"/>
      <c r="BD441" s="278"/>
    </row>
    <row r="442" spans="1:56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196"/>
      <c r="S442" s="196"/>
      <c r="T442" s="196"/>
      <c r="U442" s="278"/>
      <c r="V442" s="278"/>
      <c r="W442" s="278"/>
      <c r="X442" s="278"/>
      <c r="Y442" s="278"/>
      <c r="Z442" s="278"/>
      <c r="AA442" s="278"/>
      <c r="AB442" s="278"/>
      <c r="AC442" s="278"/>
      <c r="AD442" s="278"/>
      <c r="AE442" s="278"/>
      <c r="AF442" s="278"/>
      <c r="AG442" s="278"/>
      <c r="AH442" s="278"/>
      <c r="AI442" s="278"/>
      <c r="AJ442" s="278"/>
      <c r="AK442" s="278"/>
      <c r="AL442" s="278"/>
      <c r="AM442" s="278"/>
      <c r="AN442" s="278"/>
      <c r="AO442" s="278"/>
      <c r="AP442" s="278"/>
      <c r="AQ442" s="278"/>
      <c r="AR442" s="278"/>
      <c r="AS442" s="278"/>
      <c r="AT442" s="278"/>
      <c r="AU442" s="278"/>
      <c r="AV442" s="278"/>
      <c r="AW442" s="278"/>
      <c r="AX442" s="278"/>
      <c r="AY442" s="278"/>
      <c r="AZ442" s="278"/>
      <c r="BA442" s="278"/>
      <c r="BB442" s="278"/>
      <c r="BC442" s="278"/>
      <c r="BD442" s="278"/>
    </row>
    <row r="443" spans="1:56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196"/>
      <c r="S443" s="196"/>
      <c r="T443" s="196"/>
      <c r="U443" s="278"/>
      <c r="V443" s="278"/>
      <c r="W443" s="278"/>
      <c r="X443" s="278"/>
      <c r="Y443" s="278"/>
      <c r="Z443" s="278"/>
      <c r="AA443" s="278"/>
      <c r="AB443" s="278"/>
      <c r="AC443" s="278"/>
      <c r="AD443" s="278"/>
      <c r="AE443" s="278"/>
      <c r="AF443" s="278"/>
      <c r="AG443" s="278"/>
      <c r="AH443" s="278"/>
      <c r="AI443" s="278"/>
      <c r="AJ443" s="278"/>
      <c r="AK443" s="278"/>
      <c r="AL443" s="278"/>
      <c r="AM443" s="278"/>
      <c r="AN443" s="278"/>
      <c r="AO443" s="278"/>
      <c r="AP443" s="278"/>
      <c r="AQ443" s="278"/>
      <c r="AR443" s="278"/>
      <c r="AS443" s="278"/>
      <c r="AT443" s="278"/>
      <c r="AU443" s="278"/>
      <c r="AV443" s="278"/>
      <c r="AW443" s="278"/>
      <c r="AX443" s="278"/>
      <c r="AY443" s="278"/>
      <c r="AZ443" s="278"/>
      <c r="BA443" s="278"/>
      <c r="BB443" s="278"/>
      <c r="BC443" s="278"/>
      <c r="BD443" s="278"/>
    </row>
    <row r="444" spans="1:56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196"/>
      <c r="S444" s="196"/>
      <c r="T444" s="196"/>
      <c r="U444" s="278"/>
      <c r="V444" s="278"/>
      <c r="W444" s="278"/>
      <c r="X444" s="278"/>
      <c r="Y444" s="278"/>
      <c r="Z444" s="278"/>
      <c r="AA444" s="278"/>
      <c r="AB444" s="278"/>
      <c r="AC444" s="278"/>
      <c r="AD444" s="278"/>
      <c r="AE444" s="278"/>
      <c r="AF444" s="278"/>
      <c r="AG444" s="278"/>
      <c r="AH444" s="278"/>
      <c r="AI444" s="278"/>
      <c r="AJ444" s="278"/>
      <c r="AK444" s="278"/>
      <c r="AL444" s="278"/>
      <c r="AM444" s="278"/>
      <c r="AN444" s="278"/>
      <c r="AO444" s="278"/>
      <c r="AP444" s="278"/>
      <c r="AQ444" s="278"/>
      <c r="AR444" s="278"/>
      <c r="AS444" s="278"/>
      <c r="AT444" s="278"/>
      <c r="AU444" s="278"/>
      <c r="AV444" s="278"/>
      <c r="AW444" s="278"/>
      <c r="AX444" s="278"/>
      <c r="AY444" s="278"/>
      <c r="AZ444" s="278"/>
      <c r="BA444" s="278"/>
      <c r="BB444" s="278"/>
      <c r="BC444" s="278"/>
      <c r="BD444" s="278"/>
    </row>
    <row r="445" spans="1:56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196"/>
      <c r="S445" s="196"/>
      <c r="T445" s="196"/>
      <c r="U445" s="278"/>
      <c r="V445" s="278"/>
      <c r="W445" s="278"/>
      <c r="X445" s="278"/>
      <c r="Y445" s="278"/>
      <c r="Z445" s="278"/>
      <c r="AA445" s="278"/>
      <c r="AB445" s="278"/>
      <c r="AC445" s="278"/>
      <c r="AD445" s="278"/>
      <c r="AE445" s="278"/>
      <c r="AF445" s="278"/>
      <c r="AG445" s="278"/>
      <c r="AH445" s="278"/>
      <c r="AI445" s="278"/>
      <c r="AJ445" s="278"/>
      <c r="AK445" s="278"/>
      <c r="AL445" s="278"/>
      <c r="AM445" s="278"/>
      <c r="AN445" s="278"/>
      <c r="AO445" s="278"/>
      <c r="AP445" s="278"/>
      <c r="AQ445" s="278"/>
      <c r="AR445" s="278"/>
      <c r="AS445" s="278"/>
      <c r="AT445" s="278"/>
      <c r="AU445" s="278"/>
      <c r="AV445" s="278"/>
      <c r="AW445" s="278"/>
      <c r="AX445" s="278"/>
      <c r="AY445" s="278"/>
      <c r="AZ445" s="278"/>
      <c r="BA445" s="278"/>
      <c r="BB445" s="278"/>
      <c r="BC445" s="278"/>
      <c r="BD445" s="278"/>
    </row>
    <row r="446" spans="1:56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196"/>
      <c r="S446" s="196"/>
      <c r="T446" s="196"/>
      <c r="U446" s="278"/>
      <c r="V446" s="278"/>
      <c r="W446" s="278"/>
      <c r="X446" s="278"/>
      <c r="Y446" s="278"/>
      <c r="Z446" s="278"/>
      <c r="AA446" s="278"/>
      <c r="AB446" s="278"/>
      <c r="AC446" s="278"/>
      <c r="AD446" s="278"/>
      <c r="AE446" s="278"/>
      <c r="AF446" s="278"/>
      <c r="AG446" s="278"/>
      <c r="AH446" s="278"/>
      <c r="AI446" s="278"/>
      <c r="AJ446" s="278"/>
      <c r="AK446" s="278"/>
      <c r="AL446" s="278"/>
      <c r="AM446" s="278"/>
      <c r="AN446" s="278"/>
      <c r="AO446" s="278"/>
      <c r="AP446" s="278"/>
      <c r="AQ446" s="278"/>
      <c r="AR446" s="278"/>
      <c r="AS446" s="278"/>
      <c r="AT446" s="278"/>
      <c r="AU446" s="278"/>
      <c r="AV446" s="278"/>
      <c r="AW446" s="278"/>
      <c r="AX446" s="278"/>
      <c r="AY446" s="278"/>
      <c r="AZ446" s="278"/>
      <c r="BA446" s="278"/>
      <c r="BB446" s="278"/>
      <c r="BC446" s="278"/>
      <c r="BD446" s="278"/>
    </row>
    <row r="447" spans="1:56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196"/>
      <c r="S447" s="196"/>
      <c r="T447" s="196"/>
      <c r="U447" s="278"/>
      <c r="V447" s="278"/>
      <c r="W447" s="278"/>
      <c r="X447" s="278"/>
      <c r="Y447" s="278"/>
      <c r="Z447" s="278"/>
      <c r="AA447" s="278"/>
      <c r="AB447" s="278"/>
      <c r="AC447" s="278"/>
      <c r="AD447" s="278"/>
      <c r="AE447" s="278"/>
      <c r="AF447" s="278"/>
      <c r="AG447" s="278"/>
      <c r="AH447" s="278"/>
      <c r="AI447" s="278"/>
      <c r="AJ447" s="278"/>
      <c r="AK447" s="278"/>
      <c r="AL447" s="278"/>
      <c r="AM447" s="278"/>
      <c r="AN447" s="278"/>
      <c r="AO447" s="278"/>
      <c r="AP447" s="278"/>
      <c r="AQ447" s="278"/>
      <c r="AR447" s="278"/>
      <c r="AS447" s="278"/>
      <c r="AT447" s="278"/>
      <c r="AU447" s="278"/>
      <c r="AV447" s="278"/>
      <c r="AW447" s="278"/>
      <c r="AX447" s="278"/>
      <c r="AY447" s="278"/>
      <c r="AZ447" s="278"/>
      <c r="BA447" s="278"/>
      <c r="BB447" s="278"/>
      <c r="BC447" s="278"/>
      <c r="BD447" s="278"/>
    </row>
    <row r="448" spans="1:56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196"/>
      <c r="S448" s="196"/>
      <c r="T448" s="196"/>
      <c r="U448" s="278"/>
      <c r="V448" s="278"/>
      <c r="W448" s="278"/>
      <c r="X448" s="278"/>
      <c r="Y448" s="278"/>
      <c r="Z448" s="278"/>
      <c r="AA448" s="278"/>
      <c r="AB448" s="278"/>
      <c r="AC448" s="278"/>
      <c r="AD448" s="278"/>
      <c r="AE448" s="278"/>
      <c r="AF448" s="278"/>
      <c r="AG448" s="278"/>
      <c r="AH448" s="278"/>
      <c r="AI448" s="278"/>
      <c r="AJ448" s="278"/>
      <c r="AK448" s="278"/>
      <c r="AL448" s="278"/>
      <c r="AM448" s="278"/>
      <c r="AN448" s="278"/>
      <c r="AO448" s="278"/>
      <c r="AP448" s="278"/>
      <c r="AQ448" s="278"/>
      <c r="AR448" s="278"/>
      <c r="AS448" s="278"/>
      <c r="AT448" s="278"/>
      <c r="AU448" s="278"/>
      <c r="AV448" s="278"/>
      <c r="AW448" s="278"/>
      <c r="AX448" s="278"/>
      <c r="AY448" s="278"/>
      <c r="AZ448" s="278"/>
      <c r="BA448" s="278"/>
      <c r="BB448" s="278"/>
      <c r="BC448" s="278"/>
      <c r="BD448" s="278"/>
    </row>
    <row r="449" spans="1:56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196"/>
      <c r="S449" s="196"/>
      <c r="T449" s="196"/>
      <c r="U449" s="278"/>
      <c r="V449" s="278"/>
      <c r="W449" s="278"/>
      <c r="X449" s="278"/>
      <c r="Y449" s="278"/>
      <c r="Z449" s="278"/>
      <c r="AA449" s="278"/>
      <c r="AB449" s="278"/>
      <c r="AC449" s="278"/>
      <c r="AD449" s="278"/>
      <c r="AE449" s="278"/>
      <c r="AF449" s="278"/>
      <c r="AG449" s="278"/>
      <c r="AH449" s="278"/>
      <c r="AI449" s="278"/>
      <c r="AJ449" s="278"/>
      <c r="AK449" s="278"/>
      <c r="AL449" s="278"/>
      <c r="AM449" s="278"/>
      <c r="AN449" s="278"/>
      <c r="AO449" s="278"/>
      <c r="AP449" s="278"/>
      <c r="AQ449" s="278"/>
      <c r="AR449" s="278"/>
      <c r="AS449" s="278"/>
      <c r="AT449" s="278"/>
      <c r="AU449" s="278"/>
      <c r="AV449" s="278"/>
      <c r="AW449" s="278"/>
      <c r="AX449" s="278"/>
      <c r="AY449" s="278"/>
      <c r="AZ449" s="278"/>
      <c r="BA449" s="278"/>
      <c r="BB449" s="278"/>
      <c r="BC449" s="278"/>
      <c r="BD449" s="278"/>
    </row>
    <row r="450" spans="1:56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196"/>
      <c r="S450" s="196"/>
      <c r="T450" s="196"/>
      <c r="U450" s="278"/>
      <c r="V450" s="278"/>
      <c r="W450" s="278"/>
      <c r="X450" s="278"/>
      <c r="Y450" s="278"/>
      <c r="Z450" s="278"/>
      <c r="AA450" s="278"/>
      <c r="AB450" s="278"/>
      <c r="AC450" s="278"/>
      <c r="AD450" s="278"/>
      <c r="AE450" s="278"/>
      <c r="AF450" s="278"/>
      <c r="AG450" s="278"/>
      <c r="AH450" s="278"/>
      <c r="AI450" s="278"/>
      <c r="AJ450" s="278"/>
      <c r="AK450" s="278"/>
      <c r="AL450" s="278"/>
      <c r="AM450" s="278"/>
      <c r="AN450" s="278"/>
      <c r="AO450" s="278"/>
      <c r="AP450" s="278"/>
      <c r="AQ450" s="278"/>
      <c r="AR450" s="278"/>
      <c r="AS450" s="278"/>
      <c r="AT450" s="278"/>
      <c r="AU450" s="278"/>
      <c r="AV450" s="278"/>
      <c r="AW450" s="278"/>
      <c r="AX450" s="278"/>
      <c r="AY450" s="278"/>
      <c r="AZ450" s="278"/>
      <c r="BA450" s="278"/>
      <c r="BB450" s="278"/>
      <c r="BC450" s="278"/>
      <c r="BD450" s="278"/>
    </row>
    <row r="451" spans="1:56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196"/>
      <c r="S451" s="196"/>
      <c r="T451" s="196"/>
      <c r="U451" s="278"/>
      <c r="V451" s="278"/>
      <c r="W451" s="278"/>
      <c r="X451" s="278"/>
      <c r="Y451" s="278"/>
      <c r="Z451" s="278"/>
      <c r="AA451" s="278"/>
      <c r="AB451" s="278"/>
      <c r="AC451" s="278"/>
      <c r="AD451" s="278"/>
      <c r="AE451" s="278"/>
      <c r="AF451" s="278"/>
      <c r="AG451" s="278"/>
      <c r="AH451" s="278"/>
      <c r="AI451" s="278"/>
      <c r="AJ451" s="278"/>
      <c r="AK451" s="278"/>
      <c r="AL451" s="278"/>
      <c r="AM451" s="278"/>
      <c r="AN451" s="278"/>
      <c r="AO451" s="278"/>
      <c r="AP451" s="278"/>
      <c r="AQ451" s="278"/>
      <c r="AR451" s="278"/>
      <c r="AS451" s="278"/>
      <c r="AT451" s="278"/>
      <c r="AU451" s="278"/>
      <c r="AV451" s="278"/>
      <c r="AW451" s="278"/>
      <c r="AX451" s="278"/>
      <c r="AY451" s="278"/>
      <c r="AZ451" s="278"/>
      <c r="BA451" s="278"/>
      <c r="BB451" s="278"/>
      <c r="BC451" s="278"/>
      <c r="BD451" s="278"/>
    </row>
    <row r="452" spans="1:56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196"/>
      <c r="S452" s="196"/>
      <c r="T452" s="196"/>
      <c r="U452" s="278"/>
      <c r="V452" s="278"/>
      <c r="W452" s="278"/>
      <c r="X452" s="278"/>
      <c r="Y452" s="278"/>
      <c r="Z452" s="278"/>
      <c r="AA452" s="278"/>
      <c r="AB452" s="278"/>
      <c r="AC452" s="278"/>
      <c r="AD452" s="278"/>
      <c r="AE452" s="278"/>
      <c r="AF452" s="278"/>
      <c r="AG452" s="278"/>
      <c r="AH452" s="278"/>
      <c r="AI452" s="278"/>
      <c r="AJ452" s="278"/>
      <c r="AK452" s="278"/>
      <c r="AL452" s="278"/>
      <c r="AM452" s="278"/>
      <c r="AN452" s="278"/>
      <c r="AO452" s="278"/>
      <c r="AP452" s="278"/>
      <c r="AQ452" s="278"/>
      <c r="AR452" s="278"/>
      <c r="AS452" s="278"/>
      <c r="AT452" s="278"/>
      <c r="AU452" s="278"/>
      <c r="AV452" s="278"/>
      <c r="AW452" s="278"/>
      <c r="AX452" s="278"/>
      <c r="AY452" s="278"/>
      <c r="AZ452" s="278"/>
      <c r="BA452" s="278"/>
      <c r="BB452" s="278"/>
      <c r="BC452" s="278"/>
      <c r="BD452" s="278"/>
    </row>
    <row r="453" spans="1:56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196"/>
      <c r="S453" s="196"/>
      <c r="T453" s="196"/>
      <c r="U453" s="278"/>
      <c r="V453" s="278"/>
      <c r="W453" s="278"/>
      <c r="X453" s="278"/>
      <c r="Y453" s="278"/>
      <c r="Z453" s="278"/>
      <c r="AA453" s="278"/>
      <c r="AB453" s="278"/>
      <c r="AC453" s="278"/>
      <c r="AD453" s="278"/>
      <c r="AE453" s="278"/>
      <c r="AF453" s="278"/>
      <c r="AG453" s="278"/>
      <c r="AH453" s="278"/>
      <c r="AI453" s="278"/>
      <c r="AJ453" s="278"/>
      <c r="AK453" s="278"/>
      <c r="AL453" s="278"/>
      <c r="AM453" s="278"/>
      <c r="AN453" s="278"/>
      <c r="AO453" s="278"/>
      <c r="AP453" s="278"/>
      <c r="AQ453" s="278"/>
      <c r="AR453" s="278"/>
      <c r="AS453" s="278"/>
      <c r="AT453" s="278"/>
      <c r="AU453" s="278"/>
      <c r="AV453" s="278"/>
      <c r="AW453" s="278"/>
      <c r="AX453" s="278"/>
      <c r="AY453" s="278"/>
      <c r="AZ453" s="278"/>
      <c r="BA453" s="278"/>
      <c r="BB453" s="278"/>
      <c r="BC453" s="278"/>
      <c r="BD453" s="278"/>
    </row>
    <row r="454" spans="1:56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196"/>
      <c r="S454" s="196"/>
      <c r="T454" s="196"/>
      <c r="U454" s="278"/>
      <c r="V454" s="278"/>
      <c r="W454" s="278"/>
      <c r="X454" s="278"/>
      <c r="Y454" s="278"/>
      <c r="Z454" s="278"/>
      <c r="AA454" s="278"/>
      <c r="AB454" s="278"/>
      <c r="AC454" s="278"/>
      <c r="AD454" s="278"/>
      <c r="AE454" s="278"/>
      <c r="AF454" s="278"/>
      <c r="AG454" s="278"/>
      <c r="AH454" s="278"/>
      <c r="AI454" s="278"/>
      <c r="AJ454" s="278"/>
      <c r="AK454" s="278"/>
      <c r="AL454" s="278"/>
      <c r="AM454" s="278"/>
      <c r="AN454" s="278"/>
      <c r="AO454" s="278"/>
      <c r="AP454" s="278"/>
      <c r="AQ454" s="278"/>
      <c r="AR454" s="278"/>
      <c r="AS454" s="278"/>
      <c r="AT454" s="278"/>
      <c r="AU454" s="278"/>
      <c r="AV454" s="278"/>
      <c r="AW454" s="278"/>
      <c r="AX454" s="278"/>
      <c r="AY454" s="278"/>
      <c r="AZ454" s="278"/>
      <c r="BA454" s="278"/>
      <c r="BB454" s="278"/>
      <c r="BC454" s="278"/>
      <c r="BD454" s="278"/>
    </row>
    <row r="455" spans="1:56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196"/>
      <c r="S455" s="196"/>
      <c r="T455" s="196"/>
      <c r="U455" s="278"/>
      <c r="V455" s="278"/>
      <c r="W455" s="278"/>
      <c r="X455" s="278"/>
      <c r="Y455" s="278"/>
      <c r="Z455" s="278"/>
      <c r="AA455" s="278"/>
      <c r="AB455" s="278"/>
      <c r="AC455" s="278"/>
      <c r="AD455" s="278"/>
      <c r="AE455" s="278"/>
      <c r="AF455" s="278"/>
      <c r="AG455" s="278"/>
      <c r="AH455" s="278"/>
      <c r="AI455" s="278"/>
      <c r="AJ455" s="278"/>
      <c r="AK455" s="278"/>
      <c r="AL455" s="278"/>
      <c r="AM455" s="278"/>
      <c r="AN455" s="278"/>
      <c r="AO455" s="278"/>
      <c r="AP455" s="278"/>
      <c r="AQ455" s="278"/>
      <c r="AR455" s="278"/>
      <c r="AS455" s="278"/>
      <c r="AT455" s="278"/>
      <c r="AU455" s="278"/>
      <c r="AV455" s="278"/>
      <c r="AW455" s="278"/>
      <c r="AX455" s="278"/>
      <c r="AY455" s="278"/>
      <c r="AZ455" s="278"/>
      <c r="BA455" s="278"/>
      <c r="BB455" s="278"/>
      <c r="BC455" s="278"/>
      <c r="BD455" s="278"/>
    </row>
    <row r="456" spans="1:56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196"/>
      <c r="S456" s="196"/>
      <c r="T456" s="196"/>
      <c r="U456" s="278"/>
      <c r="V456" s="278"/>
      <c r="W456" s="278"/>
      <c r="X456" s="278"/>
      <c r="Y456" s="278"/>
      <c r="Z456" s="278"/>
      <c r="AA456" s="278"/>
      <c r="AB456" s="278"/>
      <c r="AC456" s="278"/>
      <c r="AD456" s="278"/>
      <c r="AE456" s="278"/>
      <c r="AF456" s="278"/>
      <c r="AG456" s="278"/>
      <c r="AH456" s="278"/>
      <c r="AI456" s="278"/>
      <c r="AJ456" s="278"/>
      <c r="AK456" s="278"/>
      <c r="AL456" s="278"/>
      <c r="AM456" s="278"/>
      <c r="AN456" s="278"/>
      <c r="AO456" s="278"/>
      <c r="AP456" s="278"/>
      <c r="AQ456" s="278"/>
      <c r="AR456" s="278"/>
      <c r="AS456" s="278"/>
      <c r="AT456" s="278"/>
      <c r="AU456" s="278"/>
      <c r="AV456" s="278"/>
      <c r="AW456" s="278"/>
      <c r="AX456" s="278"/>
      <c r="AY456" s="278"/>
      <c r="AZ456" s="278"/>
      <c r="BA456" s="278"/>
      <c r="BB456" s="278"/>
      <c r="BC456" s="278"/>
      <c r="BD456" s="278"/>
    </row>
    <row r="457" spans="1:56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196"/>
      <c r="S457" s="196"/>
      <c r="T457" s="196"/>
      <c r="U457" s="278"/>
      <c r="V457" s="278"/>
      <c r="W457" s="278"/>
      <c r="X457" s="278"/>
      <c r="Y457" s="278"/>
      <c r="Z457" s="278"/>
      <c r="AA457" s="278"/>
      <c r="AB457" s="278"/>
      <c r="AC457" s="278"/>
      <c r="AD457" s="278"/>
      <c r="AE457" s="278"/>
      <c r="AF457" s="278"/>
      <c r="AG457" s="278"/>
      <c r="AH457" s="278"/>
      <c r="AI457" s="278"/>
      <c r="AJ457" s="278"/>
      <c r="AK457" s="278"/>
      <c r="AL457" s="278"/>
      <c r="AM457" s="278"/>
      <c r="AN457" s="278"/>
      <c r="AO457" s="278"/>
      <c r="AP457" s="278"/>
      <c r="AQ457" s="278"/>
      <c r="AR457" s="278"/>
      <c r="AS457" s="278"/>
      <c r="AT457" s="278"/>
      <c r="AU457" s="278"/>
      <c r="AV457" s="278"/>
      <c r="AW457" s="278"/>
      <c r="AX457" s="278"/>
      <c r="AY457" s="278"/>
      <c r="AZ457" s="278"/>
      <c r="BA457" s="278"/>
      <c r="BB457" s="278"/>
      <c r="BC457" s="278"/>
      <c r="BD457" s="278"/>
    </row>
    <row r="458" spans="1:56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196"/>
      <c r="S458" s="196"/>
      <c r="T458" s="196"/>
      <c r="U458" s="278"/>
      <c r="V458" s="278"/>
      <c r="W458" s="278"/>
      <c r="X458" s="278"/>
      <c r="Y458" s="278"/>
      <c r="Z458" s="278"/>
      <c r="AA458" s="278"/>
      <c r="AB458" s="278"/>
      <c r="AC458" s="278"/>
      <c r="AD458" s="278"/>
      <c r="AE458" s="278"/>
      <c r="AF458" s="278"/>
      <c r="AG458" s="278"/>
      <c r="AH458" s="278"/>
      <c r="AI458" s="278"/>
      <c r="AJ458" s="278"/>
      <c r="AK458" s="278"/>
      <c r="AL458" s="278"/>
      <c r="AM458" s="278"/>
      <c r="AN458" s="278"/>
      <c r="AO458" s="278"/>
      <c r="AP458" s="278"/>
      <c r="AQ458" s="278"/>
      <c r="AR458" s="278"/>
      <c r="AS458" s="278"/>
      <c r="AT458" s="278"/>
      <c r="AU458" s="278"/>
      <c r="AV458" s="278"/>
      <c r="AW458" s="278"/>
      <c r="AX458" s="278"/>
      <c r="AY458" s="278"/>
      <c r="AZ458" s="278"/>
      <c r="BA458" s="278"/>
      <c r="BB458" s="278"/>
      <c r="BC458" s="278"/>
      <c r="BD458" s="278"/>
    </row>
    <row r="459" spans="1:56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196"/>
      <c r="S459" s="196"/>
      <c r="T459" s="196"/>
      <c r="U459" s="278"/>
      <c r="V459" s="278"/>
      <c r="W459" s="278"/>
      <c r="X459" s="278"/>
      <c r="Y459" s="278"/>
      <c r="Z459" s="278"/>
      <c r="AA459" s="278"/>
      <c r="AB459" s="278"/>
      <c r="AC459" s="278"/>
      <c r="AD459" s="278"/>
      <c r="AE459" s="278"/>
      <c r="AF459" s="278"/>
      <c r="AG459" s="278"/>
      <c r="AH459" s="278"/>
      <c r="AI459" s="278"/>
      <c r="AJ459" s="278"/>
      <c r="AK459" s="278"/>
      <c r="AL459" s="278"/>
      <c r="AM459" s="278"/>
      <c r="AN459" s="278"/>
      <c r="AO459" s="278"/>
      <c r="AP459" s="278"/>
      <c r="AQ459" s="278"/>
      <c r="AR459" s="278"/>
      <c r="AS459" s="278"/>
      <c r="AT459" s="278"/>
      <c r="AU459" s="278"/>
      <c r="AV459" s="278"/>
      <c r="AW459" s="278"/>
      <c r="AX459" s="278"/>
      <c r="AY459" s="278"/>
      <c r="AZ459" s="278"/>
      <c r="BA459" s="278"/>
      <c r="BB459" s="278"/>
      <c r="BC459" s="278"/>
      <c r="BD459" s="278"/>
    </row>
    <row r="460" spans="1:56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196"/>
      <c r="S460" s="196"/>
      <c r="T460" s="196"/>
      <c r="U460" s="278"/>
      <c r="V460" s="278"/>
      <c r="W460" s="278"/>
      <c r="X460" s="278"/>
      <c r="Y460" s="278"/>
      <c r="Z460" s="278"/>
      <c r="AA460" s="278"/>
      <c r="AB460" s="278"/>
      <c r="AC460" s="278"/>
      <c r="AD460" s="278"/>
      <c r="AE460" s="278"/>
      <c r="AF460" s="278"/>
      <c r="AG460" s="278"/>
      <c r="AH460" s="278"/>
      <c r="AI460" s="278"/>
      <c r="AJ460" s="278"/>
      <c r="AK460" s="278"/>
      <c r="AL460" s="278"/>
      <c r="AM460" s="278"/>
      <c r="AN460" s="278"/>
      <c r="AO460" s="278"/>
      <c r="AP460" s="278"/>
      <c r="AQ460" s="278"/>
      <c r="AR460" s="278"/>
      <c r="AS460" s="278"/>
      <c r="AT460" s="278"/>
      <c r="AU460" s="278"/>
      <c r="AV460" s="278"/>
      <c r="AW460" s="278"/>
      <c r="AX460" s="278"/>
      <c r="AY460" s="278"/>
      <c r="AZ460" s="278"/>
      <c r="BA460" s="278"/>
      <c r="BB460" s="278"/>
      <c r="BC460" s="278"/>
      <c r="BD460" s="278"/>
    </row>
    <row r="461" spans="1:56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196"/>
      <c r="S461" s="196"/>
      <c r="T461" s="196"/>
      <c r="U461" s="278"/>
      <c r="V461" s="278"/>
      <c r="W461" s="278"/>
      <c r="X461" s="278"/>
      <c r="Y461" s="278"/>
      <c r="Z461" s="278"/>
      <c r="AA461" s="278"/>
      <c r="AB461" s="278"/>
      <c r="AC461" s="278"/>
      <c r="AD461" s="278"/>
      <c r="AE461" s="278"/>
      <c r="AF461" s="278"/>
      <c r="AG461" s="278"/>
      <c r="AH461" s="278"/>
      <c r="AI461" s="278"/>
      <c r="AJ461" s="278"/>
      <c r="AK461" s="278"/>
      <c r="AL461" s="278"/>
      <c r="AM461" s="278"/>
      <c r="AN461" s="278"/>
      <c r="AO461" s="278"/>
      <c r="AP461" s="278"/>
      <c r="AQ461" s="278"/>
      <c r="AR461" s="278"/>
      <c r="AS461" s="278"/>
      <c r="AT461" s="278"/>
      <c r="AU461" s="278"/>
      <c r="AV461" s="278"/>
      <c r="AW461" s="278"/>
      <c r="AX461" s="278"/>
      <c r="AY461" s="278"/>
      <c r="AZ461" s="278"/>
      <c r="BA461" s="278"/>
      <c r="BB461" s="278"/>
      <c r="BC461" s="278"/>
      <c r="BD461" s="278"/>
    </row>
    <row r="462" spans="1:56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196"/>
      <c r="S462" s="196"/>
      <c r="T462" s="196"/>
      <c r="U462" s="278"/>
      <c r="V462" s="278"/>
      <c r="W462" s="278"/>
      <c r="X462" s="278"/>
      <c r="Y462" s="278"/>
      <c r="Z462" s="278"/>
      <c r="AA462" s="278"/>
      <c r="AB462" s="278"/>
      <c r="AC462" s="278"/>
      <c r="AD462" s="278"/>
      <c r="AE462" s="278"/>
      <c r="AF462" s="278"/>
      <c r="AG462" s="278"/>
      <c r="AH462" s="278"/>
      <c r="AI462" s="278"/>
      <c r="AJ462" s="278"/>
      <c r="AK462" s="278"/>
      <c r="AL462" s="278"/>
      <c r="AM462" s="278"/>
      <c r="AN462" s="278"/>
      <c r="AO462" s="278"/>
      <c r="AP462" s="278"/>
      <c r="AQ462" s="278"/>
      <c r="AR462" s="278"/>
      <c r="AS462" s="278"/>
      <c r="AT462" s="278"/>
      <c r="AU462" s="278"/>
      <c r="AV462" s="278"/>
      <c r="AW462" s="278"/>
      <c r="AX462" s="278"/>
      <c r="AY462" s="278"/>
      <c r="AZ462" s="278"/>
      <c r="BA462" s="278"/>
      <c r="BB462" s="278"/>
      <c r="BC462" s="278"/>
      <c r="BD462" s="278"/>
    </row>
    <row r="463" spans="1:56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196"/>
      <c r="S463" s="196"/>
      <c r="T463" s="196"/>
      <c r="U463" s="278"/>
      <c r="V463" s="278"/>
      <c r="W463" s="278"/>
      <c r="X463" s="278"/>
      <c r="Y463" s="278"/>
      <c r="Z463" s="278"/>
      <c r="AA463" s="278"/>
      <c r="AB463" s="278"/>
      <c r="AC463" s="278"/>
      <c r="AD463" s="278"/>
      <c r="AE463" s="278"/>
      <c r="AF463" s="278"/>
      <c r="AG463" s="278"/>
      <c r="AH463" s="278"/>
      <c r="AI463" s="278"/>
      <c r="AJ463" s="278"/>
      <c r="AK463" s="278"/>
      <c r="AL463" s="278"/>
      <c r="AM463" s="278"/>
      <c r="AN463" s="278"/>
      <c r="AO463" s="278"/>
      <c r="AP463" s="278"/>
      <c r="AQ463" s="278"/>
      <c r="AR463" s="278"/>
      <c r="AS463" s="278"/>
      <c r="AT463" s="278"/>
      <c r="AU463" s="278"/>
      <c r="AV463" s="278"/>
      <c r="AW463" s="278"/>
      <c r="AX463" s="278"/>
      <c r="AY463" s="278"/>
      <c r="AZ463" s="278"/>
      <c r="BA463" s="278"/>
      <c r="BB463" s="278"/>
      <c r="BC463" s="278"/>
      <c r="BD463" s="278"/>
    </row>
    <row r="464" spans="1:56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196"/>
      <c r="S464" s="196"/>
      <c r="T464" s="196"/>
      <c r="U464" s="278"/>
      <c r="V464" s="278"/>
      <c r="W464" s="278"/>
      <c r="X464" s="278"/>
      <c r="Y464" s="278"/>
      <c r="Z464" s="278"/>
      <c r="AA464" s="278"/>
      <c r="AB464" s="278"/>
      <c r="AC464" s="278"/>
      <c r="AD464" s="278"/>
      <c r="AE464" s="278"/>
      <c r="AF464" s="278"/>
      <c r="AG464" s="278"/>
      <c r="AH464" s="278"/>
      <c r="AI464" s="278"/>
      <c r="AJ464" s="278"/>
      <c r="AK464" s="278"/>
      <c r="AL464" s="278"/>
      <c r="AM464" s="278"/>
      <c r="AN464" s="278"/>
      <c r="AO464" s="278"/>
      <c r="AP464" s="278"/>
      <c r="AQ464" s="278"/>
      <c r="AR464" s="278"/>
      <c r="AS464" s="278"/>
      <c r="AT464" s="278"/>
      <c r="AU464" s="278"/>
      <c r="AV464" s="278"/>
      <c r="AW464" s="278"/>
      <c r="AX464" s="278"/>
      <c r="AY464" s="278"/>
      <c r="AZ464" s="278"/>
      <c r="BA464" s="278"/>
      <c r="BB464" s="278"/>
      <c r="BC464" s="278"/>
      <c r="BD464" s="278"/>
    </row>
    <row r="465" spans="1:56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196"/>
      <c r="S465" s="196"/>
      <c r="T465" s="196"/>
      <c r="U465" s="278"/>
      <c r="V465" s="278"/>
      <c r="W465" s="278"/>
      <c r="X465" s="278"/>
      <c r="Y465" s="278"/>
      <c r="Z465" s="278"/>
      <c r="AA465" s="278"/>
      <c r="AB465" s="278"/>
      <c r="AC465" s="278"/>
      <c r="AD465" s="278"/>
      <c r="AE465" s="278"/>
      <c r="AF465" s="278"/>
      <c r="AG465" s="278"/>
      <c r="AH465" s="278"/>
      <c r="AI465" s="278"/>
      <c r="AJ465" s="278"/>
      <c r="AK465" s="278"/>
      <c r="AL465" s="278"/>
      <c r="AM465" s="278"/>
      <c r="AN465" s="278"/>
      <c r="AO465" s="278"/>
      <c r="AP465" s="278"/>
      <c r="AQ465" s="278"/>
      <c r="AR465" s="278"/>
      <c r="AS465" s="278"/>
      <c r="AT465" s="278"/>
      <c r="AU465" s="278"/>
      <c r="AV465" s="278"/>
      <c r="AW465" s="278"/>
      <c r="AX465" s="278"/>
      <c r="AY465" s="278"/>
      <c r="AZ465" s="278"/>
      <c r="BA465" s="278"/>
      <c r="BB465" s="278"/>
      <c r="BC465" s="278"/>
      <c r="BD465" s="278"/>
    </row>
    <row r="466" spans="1:56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196"/>
      <c r="S466" s="196"/>
      <c r="T466" s="196"/>
      <c r="U466" s="278"/>
      <c r="V466" s="278"/>
      <c r="W466" s="278"/>
      <c r="X466" s="278"/>
      <c r="Y466" s="278"/>
      <c r="Z466" s="278"/>
      <c r="AA466" s="278"/>
      <c r="AB466" s="278"/>
      <c r="AC466" s="278"/>
      <c r="AD466" s="278"/>
      <c r="AE466" s="278"/>
      <c r="AF466" s="278"/>
      <c r="AG466" s="278"/>
      <c r="AH466" s="278"/>
      <c r="AI466" s="278"/>
      <c r="AJ466" s="278"/>
      <c r="AK466" s="278"/>
      <c r="AL466" s="278"/>
      <c r="AM466" s="278"/>
      <c r="AN466" s="278"/>
      <c r="AO466" s="278"/>
      <c r="AP466" s="278"/>
      <c r="AQ466" s="278"/>
      <c r="AR466" s="278"/>
      <c r="AS466" s="278"/>
      <c r="AT466" s="278"/>
      <c r="AU466" s="278"/>
      <c r="AV466" s="278"/>
      <c r="AW466" s="278"/>
      <c r="AX466" s="278"/>
      <c r="AY466" s="278"/>
      <c r="AZ466" s="278"/>
      <c r="BA466" s="278"/>
      <c r="BB466" s="278"/>
      <c r="BC466" s="278"/>
      <c r="BD466" s="278"/>
    </row>
    <row r="467" spans="1:56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196"/>
      <c r="S467" s="196"/>
      <c r="T467" s="196"/>
      <c r="U467" s="278"/>
      <c r="V467" s="278"/>
      <c r="W467" s="278"/>
      <c r="X467" s="278"/>
      <c r="Y467" s="278"/>
      <c r="Z467" s="278"/>
      <c r="AA467" s="278"/>
      <c r="AB467" s="278"/>
      <c r="AC467" s="278"/>
      <c r="AD467" s="278"/>
      <c r="AE467" s="278"/>
      <c r="AF467" s="278"/>
      <c r="AG467" s="278"/>
      <c r="AH467" s="278"/>
      <c r="AI467" s="278"/>
      <c r="AJ467" s="278"/>
      <c r="AK467" s="278"/>
      <c r="AL467" s="278"/>
      <c r="AM467" s="278"/>
      <c r="AN467" s="278"/>
      <c r="AO467" s="278"/>
      <c r="AP467" s="278"/>
      <c r="AQ467" s="278"/>
      <c r="AR467" s="278"/>
      <c r="AS467" s="278"/>
      <c r="AT467" s="278"/>
      <c r="AU467" s="278"/>
      <c r="AV467" s="278"/>
      <c r="AW467" s="278"/>
      <c r="AX467" s="278"/>
      <c r="AY467" s="278"/>
      <c r="AZ467" s="278"/>
      <c r="BA467" s="278"/>
      <c r="BB467" s="278"/>
      <c r="BC467" s="278"/>
      <c r="BD467" s="278"/>
    </row>
    <row r="468" spans="1:56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196"/>
      <c r="S468" s="196"/>
      <c r="T468" s="196"/>
      <c r="U468" s="278"/>
      <c r="V468" s="278"/>
      <c r="W468" s="278"/>
      <c r="X468" s="278"/>
      <c r="Y468" s="278"/>
      <c r="Z468" s="278"/>
      <c r="AA468" s="278"/>
      <c r="AB468" s="278"/>
      <c r="AC468" s="278"/>
      <c r="AD468" s="278"/>
      <c r="AE468" s="278"/>
      <c r="AF468" s="278"/>
      <c r="AG468" s="278"/>
      <c r="AH468" s="278"/>
      <c r="AI468" s="278"/>
      <c r="AJ468" s="278"/>
      <c r="AK468" s="278"/>
      <c r="AL468" s="278"/>
      <c r="AM468" s="278"/>
      <c r="AN468" s="278"/>
      <c r="AO468" s="278"/>
      <c r="AP468" s="278"/>
      <c r="AQ468" s="278"/>
      <c r="AR468" s="278"/>
      <c r="AS468" s="278"/>
      <c r="AT468" s="278"/>
      <c r="AU468" s="278"/>
      <c r="AV468" s="278"/>
      <c r="AW468" s="278"/>
      <c r="AX468" s="278"/>
      <c r="AY468" s="278"/>
      <c r="AZ468" s="278"/>
      <c r="BA468" s="278"/>
      <c r="BB468" s="278"/>
      <c r="BC468" s="278"/>
      <c r="BD468" s="278"/>
    </row>
    <row r="469" spans="1:56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196"/>
      <c r="S469" s="196"/>
      <c r="T469" s="196"/>
      <c r="U469" s="278"/>
      <c r="V469" s="278"/>
      <c r="W469" s="278"/>
      <c r="X469" s="278"/>
      <c r="Y469" s="278"/>
      <c r="Z469" s="278"/>
      <c r="AA469" s="278"/>
      <c r="AB469" s="278"/>
      <c r="AC469" s="278"/>
      <c r="AD469" s="278"/>
      <c r="AE469" s="278"/>
      <c r="AF469" s="278"/>
      <c r="AG469" s="278"/>
      <c r="AH469" s="278"/>
      <c r="AI469" s="278"/>
      <c r="AJ469" s="278"/>
      <c r="AK469" s="278"/>
      <c r="AL469" s="278"/>
      <c r="AM469" s="278"/>
      <c r="AN469" s="278"/>
      <c r="AO469" s="278"/>
      <c r="AP469" s="278"/>
      <c r="AQ469" s="278"/>
      <c r="AR469" s="278"/>
      <c r="AS469" s="278"/>
      <c r="AT469" s="278"/>
      <c r="AU469" s="278"/>
      <c r="AV469" s="278"/>
      <c r="AW469" s="278"/>
      <c r="AX469" s="278"/>
      <c r="AY469" s="278"/>
      <c r="AZ469" s="278"/>
      <c r="BA469" s="278"/>
      <c r="BB469" s="278"/>
      <c r="BC469" s="278"/>
      <c r="BD469" s="278"/>
    </row>
    <row r="470" spans="1:56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196"/>
      <c r="S470" s="196"/>
      <c r="T470" s="196"/>
      <c r="U470" s="278"/>
      <c r="V470" s="278"/>
      <c r="W470" s="278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  <c r="AJ470" s="278"/>
      <c r="AK470" s="278"/>
      <c r="AL470" s="278"/>
      <c r="AM470" s="278"/>
      <c r="AN470" s="278"/>
      <c r="AO470" s="278"/>
      <c r="AP470" s="278"/>
      <c r="AQ470" s="278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</row>
    <row r="471" spans="1:56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196"/>
      <c r="S471" s="196"/>
      <c r="T471" s="196"/>
      <c r="U471" s="278"/>
      <c r="V471" s="278"/>
      <c r="W471" s="278"/>
      <c r="X471" s="278"/>
      <c r="Y471" s="278"/>
      <c r="Z471" s="278"/>
      <c r="AA471" s="278"/>
      <c r="AB471" s="278"/>
      <c r="AC471" s="278"/>
      <c r="AD471" s="278"/>
      <c r="AE471" s="278"/>
      <c r="AF471" s="278"/>
      <c r="AG471" s="278"/>
      <c r="AH471" s="278"/>
      <c r="AI471" s="278"/>
      <c r="AJ471" s="278"/>
      <c r="AK471" s="278"/>
      <c r="AL471" s="278"/>
      <c r="AM471" s="278"/>
      <c r="AN471" s="278"/>
      <c r="AO471" s="278"/>
      <c r="AP471" s="278"/>
      <c r="AQ471" s="278"/>
      <c r="AR471" s="278"/>
      <c r="AS471" s="278"/>
      <c r="AT471" s="278"/>
      <c r="AU471" s="278"/>
      <c r="AV471" s="278"/>
      <c r="AW471" s="278"/>
      <c r="AX471" s="278"/>
      <c r="AY471" s="278"/>
      <c r="AZ471" s="278"/>
      <c r="BA471" s="278"/>
      <c r="BB471" s="278"/>
      <c r="BC471" s="278"/>
      <c r="BD471" s="278"/>
    </row>
    <row r="472" spans="1:56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196"/>
      <c r="S472" s="196"/>
      <c r="T472" s="196"/>
      <c r="U472" s="278"/>
      <c r="V472" s="278"/>
      <c r="W472" s="278"/>
      <c r="X472" s="278"/>
      <c r="Y472" s="278"/>
      <c r="Z472" s="278"/>
      <c r="AA472" s="278"/>
      <c r="AB472" s="278"/>
      <c r="AC472" s="278"/>
      <c r="AD472" s="278"/>
      <c r="AE472" s="278"/>
      <c r="AF472" s="278"/>
      <c r="AG472" s="278"/>
      <c r="AH472" s="278"/>
      <c r="AI472" s="278"/>
      <c r="AJ472" s="278"/>
      <c r="AK472" s="278"/>
      <c r="AL472" s="278"/>
      <c r="AM472" s="278"/>
      <c r="AN472" s="278"/>
      <c r="AO472" s="278"/>
      <c r="AP472" s="278"/>
      <c r="AQ472" s="278"/>
      <c r="AR472" s="278"/>
      <c r="AS472" s="278"/>
      <c r="AT472" s="278"/>
      <c r="AU472" s="278"/>
      <c r="AV472" s="278"/>
      <c r="AW472" s="278"/>
      <c r="AX472" s="278"/>
      <c r="AY472" s="278"/>
      <c r="AZ472" s="278"/>
      <c r="BA472" s="278"/>
      <c r="BB472" s="278"/>
      <c r="BC472" s="278"/>
      <c r="BD472" s="278"/>
    </row>
    <row r="473" spans="1:56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196"/>
      <c r="S473" s="196"/>
      <c r="T473" s="196"/>
      <c r="U473" s="278"/>
      <c r="V473" s="278"/>
      <c r="W473" s="278"/>
      <c r="X473" s="278"/>
      <c r="Y473" s="278"/>
      <c r="Z473" s="278"/>
      <c r="AA473" s="278"/>
      <c r="AB473" s="278"/>
      <c r="AC473" s="278"/>
      <c r="AD473" s="278"/>
      <c r="AE473" s="278"/>
      <c r="AF473" s="278"/>
      <c r="AG473" s="278"/>
      <c r="AH473" s="278"/>
      <c r="AI473" s="278"/>
      <c r="AJ473" s="278"/>
      <c r="AK473" s="278"/>
      <c r="AL473" s="278"/>
      <c r="AM473" s="278"/>
      <c r="AN473" s="278"/>
      <c r="AO473" s="278"/>
      <c r="AP473" s="278"/>
      <c r="AQ473" s="278"/>
      <c r="AR473" s="278"/>
      <c r="AS473" s="278"/>
      <c r="AT473" s="278"/>
      <c r="AU473" s="278"/>
      <c r="AV473" s="278"/>
      <c r="AW473" s="278"/>
      <c r="AX473" s="278"/>
      <c r="AY473" s="278"/>
      <c r="AZ473" s="278"/>
      <c r="BA473" s="278"/>
      <c r="BB473" s="278"/>
      <c r="BC473" s="278"/>
      <c r="BD473" s="278"/>
    </row>
    <row r="474" spans="1:56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196"/>
      <c r="S474" s="196"/>
      <c r="T474" s="196"/>
      <c r="U474" s="278"/>
      <c r="V474" s="278"/>
      <c r="W474" s="278"/>
      <c r="X474" s="278"/>
      <c r="Y474" s="278"/>
      <c r="Z474" s="278"/>
      <c r="AA474" s="278"/>
      <c r="AB474" s="278"/>
      <c r="AC474" s="278"/>
      <c r="AD474" s="278"/>
      <c r="AE474" s="278"/>
      <c r="AF474" s="278"/>
      <c r="AG474" s="278"/>
      <c r="AH474" s="278"/>
      <c r="AI474" s="278"/>
      <c r="AJ474" s="278"/>
      <c r="AK474" s="278"/>
      <c r="AL474" s="278"/>
      <c r="AM474" s="278"/>
      <c r="AN474" s="278"/>
      <c r="AO474" s="278"/>
      <c r="AP474" s="278"/>
      <c r="AQ474" s="278"/>
      <c r="AR474" s="278"/>
      <c r="AS474" s="278"/>
      <c r="AT474" s="278"/>
      <c r="AU474" s="278"/>
      <c r="AV474" s="278"/>
      <c r="AW474" s="278"/>
      <c r="AX474" s="278"/>
      <c r="AY474" s="278"/>
      <c r="AZ474" s="278"/>
      <c r="BA474" s="278"/>
      <c r="BB474" s="278"/>
      <c r="BC474" s="278"/>
      <c r="BD474" s="278"/>
    </row>
    <row r="475" spans="1:56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196"/>
      <c r="S475" s="196"/>
      <c r="T475" s="196"/>
      <c r="U475" s="278"/>
      <c r="V475" s="278"/>
      <c r="W475" s="278"/>
      <c r="X475" s="278"/>
      <c r="Y475" s="278"/>
      <c r="Z475" s="278"/>
      <c r="AA475" s="278"/>
      <c r="AB475" s="278"/>
      <c r="AC475" s="278"/>
      <c r="AD475" s="278"/>
      <c r="AE475" s="278"/>
      <c r="AF475" s="278"/>
      <c r="AG475" s="278"/>
      <c r="AH475" s="278"/>
      <c r="AI475" s="278"/>
      <c r="AJ475" s="278"/>
      <c r="AK475" s="278"/>
      <c r="AL475" s="278"/>
      <c r="AM475" s="278"/>
      <c r="AN475" s="278"/>
      <c r="AO475" s="278"/>
      <c r="AP475" s="278"/>
      <c r="AQ475" s="278"/>
      <c r="AR475" s="278"/>
      <c r="AS475" s="278"/>
      <c r="AT475" s="278"/>
      <c r="AU475" s="278"/>
      <c r="AV475" s="278"/>
      <c r="AW475" s="278"/>
      <c r="AX475" s="278"/>
      <c r="AY475" s="278"/>
      <c r="AZ475" s="278"/>
      <c r="BA475" s="278"/>
      <c r="BB475" s="278"/>
      <c r="BC475" s="278"/>
      <c r="BD475" s="278"/>
    </row>
    <row r="476" spans="1:56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196"/>
      <c r="S476" s="196"/>
      <c r="T476" s="196"/>
      <c r="U476" s="278"/>
      <c r="V476" s="278"/>
      <c r="W476" s="278"/>
      <c r="X476" s="278"/>
      <c r="Y476" s="278"/>
      <c r="Z476" s="278"/>
      <c r="AA476" s="278"/>
      <c r="AB476" s="278"/>
      <c r="AC476" s="278"/>
      <c r="AD476" s="278"/>
      <c r="AE476" s="278"/>
      <c r="AF476" s="278"/>
      <c r="AG476" s="278"/>
      <c r="AH476" s="278"/>
      <c r="AI476" s="278"/>
      <c r="AJ476" s="278"/>
      <c r="AK476" s="278"/>
      <c r="AL476" s="278"/>
      <c r="AM476" s="278"/>
      <c r="AN476" s="278"/>
      <c r="AO476" s="278"/>
      <c r="AP476" s="278"/>
      <c r="AQ476" s="278"/>
      <c r="AR476" s="278"/>
      <c r="AS476" s="278"/>
      <c r="AT476" s="278"/>
      <c r="AU476" s="278"/>
      <c r="AV476" s="278"/>
      <c r="AW476" s="278"/>
      <c r="AX476" s="278"/>
      <c r="AY476" s="278"/>
      <c r="AZ476" s="278"/>
      <c r="BA476" s="278"/>
      <c r="BB476" s="278"/>
      <c r="BC476" s="278"/>
      <c r="BD476" s="278"/>
    </row>
    <row r="477" spans="1:56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196"/>
      <c r="S477" s="196"/>
      <c r="T477" s="196"/>
      <c r="U477" s="278"/>
      <c r="V477" s="278"/>
      <c r="W477" s="278"/>
      <c r="X477" s="278"/>
      <c r="Y477" s="278"/>
      <c r="Z477" s="278"/>
      <c r="AA477" s="278"/>
      <c r="AB477" s="278"/>
      <c r="AC477" s="278"/>
      <c r="AD477" s="278"/>
      <c r="AE477" s="278"/>
      <c r="AF477" s="278"/>
      <c r="AG477" s="278"/>
      <c r="AH477" s="278"/>
      <c r="AI477" s="278"/>
      <c r="AJ477" s="278"/>
      <c r="AK477" s="278"/>
      <c r="AL477" s="278"/>
      <c r="AM477" s="278"/>
      <c r="AN477" s="278"/>
      <c r="AO477" s="278"/>
      <c r="AP477" s="278"/>
      <c r="AQ477" s="278"/>
      <c r="AR477" s="278"/>
      <c r="AS477" s="278"/>
      <c r="AT477" s="278"/>
      <c r="AU477" s="278"/>
      <c r="AV477" s="278"/>
      <c r="AW477" s="278"/>
      <c r="AX477" s="278"/>
      <c r="AY477" s="278"/>
      <c r="AZ477" s="278"/>
      <c r="BA477" s="278"/>
      <c r="BB477" s="278"/>
      <c r="BC477" s="278"/>
      <c r="BD477" s="278"/>
    </row>
    <row r="478" spans="1:56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196"/>
      <c r="S478" s="196"/>
      <c r="T478" s="196"/>
      <c r="U478" s="278"/>
      <c r="V478" s="278"/>
      <c r="W478" s="278"/>
      <c r="X478" s="278"/>
      <c r="Y478" s="278"/>
      <c r="Z478" s="278"/>
      <c r="AA478" s="278"/>
      <c r="AB478" s="278"/>
      <c r="AC478" s="278"/>
      <c r="AD478" s="278"/>
      <c r="AE478" s="278"/>
      <c r="AF478" s="278"/>
      <c r="AG478" s="278"/>
      <c r="AH478" s="278"/>
      <c r="AI478" s="278"/>
      <c r="AJ478" s="278"/>
      <c r="AK478" s="278"/>
      <c r="AL478" s="278"/>
      <c r="AM478" s="278"/>
      <c r="AN478" s="278"/>
      <c r="AO478" s="278"/>
      <c r="AP478" s="278"/>
      <c r="AQ478" s="278"/>
      <c r="AR478" s="278"/>
      <c r="AS478" s="278"/>
      <c r="AT478" s="278"/>
      <c r="AU478" s="278"/>
      <c r="AV478" s="278"/>
      <c r="AW478" s="278"/>
      <c r="AX478" s="278"/>
      <c r="AY478" s="278"/>
      <c r="AZ478" s="278"/>
      <c r="BA478" s="278"/>
      <c r="BB478" s="278"/>
      <c r="BC478" s="278"/>
      <c r="BD478" s="278"/>
    </row>
    <row r="479" spans="1:56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196"/>
      <c r="S479" s="196"/>
      <c r="T479" s="196"/>
      <c r="U479" s="278"/>
      <c r="V479" s="278"/>
      <c r="W479" s="278"/>
      <c r="X479" s="278"/>
      <c r="Y479" s="278"/>
      <c r="Z479" s="278"/>
      <c r="AA479" s="278"/>
      <c r="AB479" s="278"/>
      <c r="AC479" s="278"/>
      <c r="AD479" s="278"/>
      <c r="AE479" s="278"/>
      <c r="AF479" s="278"/>
      <c r="AG479" s="278"/>
      <c r="AH479" s="278"/>
      <c r="AI479" s="278"/>
      <c r="AJ479" s="278"/>
      <c r="AK479" s="278"/>
      <c r="AL479" s="278"/>
      <c r="AM479" s="278"/>
      <c r="AN479" s="278"/>
      <c r="AO479" s="278"/>
      <c r="AP479" s="278"/>
      <c r="AQ479" s="278"/>
      <c r="AR479" s="278"/>
      <c r="AS479" s="278"/>
      <c r="AT479" s="278"/>
      <c r="AU479" s="278"/>
      <c r="AV479" s="278"/>
      <c r="AW479" s="278"/>
      <c r="AX479" s="278"/>
      <c r="AY479" s="278"/>
      <c r="AZ479" s="278"/>
      <c r="BA479" s="278"/>
      <c r="BB479" s="278"/>
      <c r="BC479" s="278"/>
      <c r="BD479" s="278"/>
    </row>
    <row r="480" spans="1:56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196"/>
      <c r="S480" s="196"/>
      <c r="T480" s="196"/>
      <c r="U480" s="278"/>
      <c r="V480" s="278"/>
      <c r="W480" s="278"/>
      <c r="X480" s="278"/>
      <c r="Y480" s="278"/>
      <c r="Z480" s="278"/>
      <c r="AA480" s="278"/>
      <c r="AB480" s="278"/>
      <c r="AC480" s="278"/>
      <c r="AD480" s="278"/>
      <c r="AE480" s="278"/>
      <c r="AF480" s="278"/>
      <c r="AG480" s="278"/>
      <c r="AH480" s="278"/>
      <c r="AI480" s="278"/>
      <c r="AJ480" s="278"/>
      <c r="AK480" s="278"/>
      <c r="AL480" s="278"/>
      <c r="AM480" s="278"/>
      <c r="AN480" s="278"/>
      <c r="AO480" s="278"/>
      <c r="AP480" s="278"/>
      <c r="AQ480" s="278"/>
      <c r="AR480" s="278"/>
      <c r="AS480" s="278"/>
      <c r="AT480" s="278"/>
      <c r="AU480" s="278"/>
      <c r="AV480" s="278"/>
      <c r="AW480" s="278"/>
      <c r="AX480" s="278"/>
      <c r="AY480" s="278"/>
      <c r="AZ480" s="278"/>
      <c r="BA480" s="278"/>
      <c r="BB480" s="278"/>
      <c r="BC480" s="278"/>
      <c r="BD480" s="278"/>
    </row>
    <row r="481" spans="1:56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196"/>
      <c r="S481" s="196"/>
      <c r="T481" s="196"/>
      <c r="U481" s="278"/>
      <c r="V481" s="278"/>
      <c r="W481" s="278"/>
      <c r="X481" s="278"/>
      <c r="Y481" s="278"/>
      <c r="Z481" s="278"/>
      <c r="AA481" s="278"/>
      <c r="AB481" s="278"/>
      <c r="AC481" s="278"/>
      <c r="AD481" s="278"/>
      <c r="AE481" s="278"/>
      <c r="AF481" s="278"/>
      <c r="AG481" s="278"/>
      <c r="AH481" s="278"/>
      <c r="AI481" s="278"/>
      <c r="AJ481" s="278"/>
      <c r="AK481" s="278"/>
      <c r="AL481" s="278"/>
      <c r="AM481" s="278"/>
      <c r="AN481" s="278"/>
      <c r="AO481" s="278"/>
      <c r="AP481" s="278"/>
      <c r="AQ481" s="278"/>
      <c r="AR481" s="278"/>
      <c r="AS481" s="278"/>
      <c r="AT481" s="278"/>
      <c r="AU481" s="278"/>
      <c r="AV481" s="278"/>
      <c r="AW481" s="278"/>
      <c r="AX481" s="278"/>
      <c r="AY481" s="278"/>
      <c r="AZ481" s="278"/>
      <c r="BA481" s="278"/>
      <c r="BB481" s="278"/>
      <c r="BC481" s="278"/>
      <c r="BD481" s="278"/>
    </row>
    <row r="482" spans="1:56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196"/>
      <c r="S482" s="196"/>
      <c r="T482" s="196"/>
      <c r="U482" s="278"/>
      <c r="V482" s="278"/>
      <c r="W482" s="278"/>
      <c r="X482" s="278"/>
      <c r="Y482" s="278"/>
      <c r="Z482" s="278"/>
      <c r="AA482" s="278"/>
      <c r="AB482" s="278"/>
      <c r="AC482" s="278"/>
      <c r="AD482" s="278"/>
      <c r="AE482" s="278"/>
      <c r="AF482" s="278"/>
      <c r="AG482" s="278"/>
      <c r="AH482" s="278"/>
      <c r="AI482" s="278"/>
      <c r="AJ482" s="278"/>
      <c r="AK482" s="278"/>
      <c r="AL482" s="278"/>
      <c r="AM482" s="278"/>
      <c r="AN482" s="278"/>
      <c r="AO482" s="278"/>
      <c r="AP482" s="278"/>
      <c r="AQ482" s="278"/>
      <c r="AR482" s="278"/>
      <c r="AS482" s="278"/>
      <c r="AT482" s="278"/>
      <c r="AU482" s="278"/>
      <c r="AV482" s="278"/>
      <c r="AW482" s="278"/>
      <c r="AX482" s="278"/>
      <c r="AY482" s="278"/>
      <c r="AZ482" s="278"/>
      <c r="BA482" s="278"/>
      <c r="BB482" s="278"/>
      <c r="BC482" s="278"/>
      <c r="BD482" s="278"/>
    </row>
    <row r="483" spans="1:56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196"/>
      <c r="S483" s="196"/>
      <c r="T483" s="196"/>
      <c r="U483" s="278"/>
      <c r="V483" s="278"/>
      <c r="W483" s="278"/>
      <c r="X483" s="278"/>
      <c r="Y483" s="278"/>
      <c r="Z483" s="278"/>
      <c r="AA483" s="278"/>
      <c r="AB483" s="278"/>
      <c r="AC483" s="278"/>
      <c r="AD483" s="278"/>
      <c r="AE483" s="278"/>
      <c r="AF483" s="278"/>
      <c r="AG483" s="278"/>
      <c r="AH483" s="278"/>
      <c r="AI483" s="278"/>
      <c r="AJ483" s="278"/>
      <c r="AK483" s="278"/>
      <c r="AL483" s="278"/>
      <c r="AM483" s="278"/>
      <c r="AN483" s="278"/>
      <c r="AO483" s="278"/>
      <c r="AP483" s="278"/>
      <c r="AQ483" s="278"/>
      <c r="AR483" s="278"/>
      <c r="AS483" s="278"/>
      <c r="AT483" s="278"/>
      <c r="AU483" s="278"/>
      <c r="AV483" s="278"/>
      <c r="AW483" s="278"/>
      <c r="AX483" s="278"/>
      <c r="AY483" s="278"/>
      <c r="AZ483" s="278"/>
      <c r="BA483" s="278"/>
      <c r="BB483" s="278"/>
      <c r="BC483" s="278"/>
      <c r="BD483" s="278"/>
    </row>
    <row r="484" spans="1:56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196"/>
      <c r="S484" s="196"/>
      <c r="T484" s="196"/>
      <c r="U484" s="278"/>
      <c r="V484" s="278"/>
      <c r="W484" s="278"/>
      <c r="X484" s="278"/>
      <c r="Y484" s="278"/>
      <c r="Z484" s="278"/>
      <c r="AA484" s="278"/>
      <c r="AB484" s="278"/>
      <c r="AC484" s="278"/>
      <c r="AD484" s="278"/>
      <c r="AE484" s="278"/>
      <c r="AF484" s="278"/>
      <c r="AG484" s="278"/>
      <c r="AH484" s="278"/>
      <c r="AI484" s="278"/>
      <c r="AJ484" s="278"/>
      <c r="AK484" s="278"/>
      <c r="AL484" s="278"/>
      <c r="AM484" s="278"/>
      <c r="AN484" s="278"/>
      <c r="AO484" s="278"/>
      <c r="AP484" s="278"/>
      <c r="AQ484" s="278"/>
      <c r="AR484" s="278"/>
      <c r="AS484" s="278"/>
      <c r="AT484" s="278"/>
      <c r="AU484" s="278"/>
      <c r="AV484" s="278"/>
      <c r="AW484" s="278"/>
      <c r="AX484" s="278"/>
      <c r="AY484" s="278"/>
      <c r="AZ484" s="278"/>
      <c r="BA484" s="278"/>
      <c r="BB484" s="278"/>
      <c r="BC484" s="278"/>
      <c r="BD484" s="278"/>
    </row>
    <row r="485" spans="1:56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196"/>
      <c r="S485" s="196"/>
      <c r="T485" s="196"/>
      <c r="U485" s="278"/>
      <c r="V485" s="278"/>
      <c r="W485" s="278"/>
      <c r="X485" s="278"/>
      <c r="Y485" s="278"/>
      <c r="Z485" s="278"/>
      <c r="AA485" s="278"/>
      <c r="AB485" s="278"/>
      <c r="AC485" s="278"/>
      <c r="AD485" s="278"/>
      <c r="AE485" s="278"/>
      <c r="AF485" s="278"/>
      <c r="AG485" s="278"/>
      <c r="AH485" s="278"/>
      <c r="AI485" s="278"/>
      <c r="AJ485" s="278"/>
      <c r="AK485" s="278"/>
      <c r="AL485" s="278"/>
      <c r="AM485" s="278"/>
      <c r="AN485" s="278"/>
      <c r="AO485" s="278"/>
      <c r="AP485" s="278"/>
      <c r="AQ485" s="278"/>
      <c r="AR485" s="278"/>
      <c r="AS485" s="278"/>
      <c r="AT485" s="278"/>
      <c r="AU485" s="278"/>
      <c r="AV485" s="278"/>
      <c r="AW485" s="278"/>
      <c r="AX485" s="278"/>
      <c r="AY485" s="278"/>
      <c r="AZ485" s="278"/>
      <c r="BA485" s="278"/>
      <c r="BB485" s="278"/>
      <c r="BC485" s="278"/>
      <c r="BD485" s="278"/>
    </row>
    <row r="486" spans="1:56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196"/>
      <c r="S486" s="196"/>
      <c r="T486" s="196"/>
      <c r="U486" s="278"/>
      <c r="V486" s="278"/>
      <c r="W486" s="278"/>
      <c r="X486" s="278"/>
      <c r="Y486" s="278"/>
      <c r="Z486" s="278"/>
      <c r="AA486" s="278"/>
      <c r="AB486" s="278"/>
      <c r="AC486" s="278"/>
      <c r="AD486" s="278"/>
      <c r="AE486" s="278"/>
      <c r="AF486" s="278"/>
      <c r="AG486" s="278"/>
      <c r="AH486" s="278"/>
      <c r="AI486" s="278"/>
      <c r="AJ486" s="278"/>
      <c r="AK486" s="278"/>
      <c r="AL486" s="278"/>
      <c r="AM486" s="278"/>
      <c r="AN486" s="278"/>
      <c r="AO486" s="278"/>
      <c r="AP486" s="278"/>
      <c r="AQ486" s="278"/>
      <c r="AR486" s="278"/>
      <c r="AS486" s="278"/>
      <c r="AT486" s="278"/>
      <c r="AU486" s="278"/>
      <c r="AV486" s="278"/>
      <c r="AW486" s="278"/>
      <c r="AX486" s="278"/>
      <c r="AY486" s="278"/>
      <c r="AZ486" s="278"/>
      <c r="BA486" s="278"/>
      <c r="BB486" s="278"/>
      <c r="BC486" s="278"/>
      <c r="BD486" s="278"/>
    </row>
    <row r="487" spans="1:56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196"/>
      <c r="S487" s="196"/>
      <c r="T487" s="196"/>
      <c r="U487" s="278"/>
      <c r="V487" s="278"/>
      <c r="W487" s="278"/>
      <c r="X487" s="278"/>
      <c r="Y487" s="278"/>
      <c r="Z487" s="278"/>
      <c r="AA487" s="278"/>
      <c r="AB487" s="278"/>
      <c r="AC487" s="278"/>
      <c r="AD487" s="278"/>
      <c r="AE487" s="278"/>
      <c r="AF487" s="278"/>
      <c r="AG487" s="278"/>
      <c r="AH487" s="278"/>
      <c r="AI487" s="278"/>
      <c r="AJ487" s="278"/>
      <c r="AK487" s="278"/>
      <c r="AL487" s="278"/>
      <c r="AM487" s="278"/>
      <c r="AN487" s="278"/>
      <c r="AO487" s="278"/>
      <c r="AP487" s="278"/>
      <c r="AQ487" s="278"/>
      <c r="AR487" s="278"/>
      <c r="AS487" s="278"/>
      <c r="AT487" s="278"/>
      <c r="AU487" s="278"/>
      <c r="AV487" s="278"/>
      <c r="AW487" s="278"/>
      <c r="AX487" s="278"/>
      <c r="AY487" s="278"/>
      <c r="AZ487" s="278"/>
      <c r="BA487" s="278"/>
      <c r="BB487" s="278"/>
      <c r="BC487" s="278"/>
      <c r="BD487" s="278"/>
    </row>
    <row r="488" spans="1:56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196"/>
      <c r="S488" s="196"/>
      <c r="T488" s="196"/>
      <c r="U488" s="278"/>
      <c r="V488" s="278"/>
      <c r="W488" s="278"/>
      <c r="X488" s="278"/>
      <c r="Y488" s="278"/>
      <c r="Z488" s="278"/>
      <c r="AA488" s="278"/>
      <c r="AB488" s="278"/>
      <c r="AC488" s="278"/>
      <c r="AD488" s="278"/>
      <c r="AE488" s="278"/>
      <c r="AF488" s="278"/>
      <c r="AG488" s="278"/>
      <c r="AH488" s="278"/>
      <c r="AI488" s="278"/>
      <c r="AJ488" s="278"/>
      <c r="AK488" s="278"/>
      <c r="AL488" s="278"/>
      <c r="AM488" s="278"/>
      <c r="AN488" s="278"/>
      <c r="AO488" s="278"/>
      <c r="AP488" s="278"/>
      <c r="AQ488" s="278"/>
      <c r="AR488" s="278"/>
      <c r="AS488" s="278"/>
      <c r="AT488" s="278"/>
      <c r="AU488" s="278"/>
      <c r="AV488" s="278"/>
      <c r="AW488" s="278"/>
      <c r="AX488" s="278"/>
      <c r="AY488" s="278"/>
      <c r="AZ488" s="278"/>
      <c r="BA488" s="278"/>
      <c r="BB488" s="278"/>
      <c r="BC488" s="278"/>
      <c r="BD488" s="278"/>
    </row>
    <row r="489" spans="1:56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196"/>
      <c r="S489" s="196"/>
      <c r="T489" s="196"/>
      <c r="U489" s="278"/>
      <c r="V489" s="278"/>
      <c r="W489" s="278"/>
      <c r="X489" s="278"/>
      <c r="Y489" s="278"/>
      <c r="Z489" s="278"/>
      <c r="AA489" s="278"/>
      <c r="AB489" s="278"/>
      <c r="AC489" s="278"/>
      <c r="AD489" s="278"/>
      <c r="AE489" s="278"/>
      <c r="AF489" s="278"/>
      <c r="AG489" s="278"/>
      <c r="AH489" s="278"/>
      <c r="AI489" s="278"/>
      <c r="AJ489" s="278"/>
      <c r="AK489" s="278"/>
      <c r="AL489" s="278"/>
      <c r="AM489" s="278"/>
      <c r="AN489" s="278"/>
      <c r="AO489" s="278"/>
      <c r="AP489" s="278"/>
      <c r="AQ489" s="278"/>
      <c r="AR489" s="278"/>
      <c r="AS489" s="278"/>
      <c r="AT489" s="278"/>
      <c r="AU489" s="278"/>
      <c r="AV489" s="278"/>
      <c r="AW489" s="278"/>
      <c r="AX489" s="278"/>
      <c r="AY489" s="278"/>
      <c r="AZ489" s="278"/>
      <c r="BA489" s="278"/>
      <c r="BB489" s="278"/>
      <c r="BC489" s="278"/>
      <c r="BD489" s="278"/>
    </row>
    <row r="490" spans="1:56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196"/>
      <c r="S490" s="196"/>
      <c r="T490" s="196"/>
      <c r="U490" s="278"/>
      <c r="V490" s="278"/>
      <c r="W490" s="278"/>
      <c r="X490" s="278"/>
      <c r="Y490" s="278"/>
      <c r="Z490" s="278"/>
      <c r="AA490" s="278"/>
      <c r="AB490" s="278"/>
      <c r="AC490" s="278"/>
      <c r="AD490" s="278"/>
      <c r="AE490" s="278"/>
      <c r="AF490" s="278"/>
      <c r="AG490" s="278"/>
      <c r="AH490" s="278"/>
      <c r="AI490" s="278"/>
      <c r="AJ490" s="278"/>
      <c r="AK490" s="278"/>
      <c r="AL490" s="278"/>
      <c r="AM490" s="278"/>
      <c r="AN490" s="278"/>
      <c r="AO490" s="278"/>
      <c r="AP490" s="278"/>
      <c r="AQ490" s="278"/>
      <c r="AR490" s="278"/>
      <c r="AS490" s="278"/>
      <c r="AT490" s="278"/>
      <c r="AU490" s="278"/>
      <c r="AV490" s="278"/>
      <c r="AW490" s="278"/>
      <c r="AX490" s="278"/>
      <c r="AY490" s="278"/>
      <c r="AZ490" s="278"/>
      <c r="BA490" s="278"/>
      <c r="BB490" s="278"/>
      <c r="BC490" s="278"/>
      <c r="BD490" s="278"/>
    </row>
    <row r="491" spans="1:56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196"/>
      <c r="S491" s="196"/>
      <c r="T491" s="196"/>
      <c r="U491" s="278"/>
      <c r="V491" s="278"/>
      <c r="W491" s="278"/>
      <c r="X491" s="278"/>
      <c r="Y491" s="278"/>
      <c r="Z491" s="278"/>
      <c r="AA491" s="278"/>
      <c r="AB491" s="278"/>
      <c r="AC491" s="278"/>
      <c r="AD491" s="278"/>
      <c r="AE491" s="278"/>
      <c r="AF491" s="278"/>
      <c r="AG491" s="278"/>
      <c r="AH491" s="278"/>
      <c r="AI491" s="278"/>
      <c r="AJ491" s="278"/>
      <c r="AK491" s="278"/>
      <c r="AL491" s="278"/>
      <c r="AM491" s="278"/>
      <c r="AN491" s="278"/>
      <c r="AO491" s="278"/>
      <c r="AP491" s="278"/>
      <c r="AQ491" s="278"/>
      <c r="AR491" s="278"/>
      <c r="AS491" s="278"/>
      <c r="AT491" s="278"/>
      <c r="AU491" s="278"/>
      <c r="AV491" s="278"/>
      <c r="AW491" s="278"/>
      <c r="AX491" s="278"/>
      <c r="AY491" s="278"/>
      <c r="AZ491" s="278"/>
      <c r="BA491" s="278"/>
      <c r="BB491" s="278"/>
      <c r="BC491" s="278"/>
      <c r="BD491" s="278"/>
    </row>
    <row r="492" spans="1:56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196"/>
      <c r="S492" s="196"/>
      <c r="T492" s="196"/>
      <c r="U492" s="278"/>
      <c r="V492" s="278"/>
      <c r="W492" s="278"/>
      <c r="X492" s="278"/>
      <c r="Y492" s="278"/>
      <c r="Z492" s="278"/>
      <c r="AA492" s="278"/>
      <c r="AB492" s="278"/>
      <c r="AC492" s="278"/>
      <c r="AD492" s="278"/>
      <c r="AE492" s="278"/>
      <c r="AF492" s="278"/>
      <c r="AG492" s="278"/>
      <c r="AH492" s="278"/>
      <c r="AI492" s="278"/>
      <c r="AJ492" s="278"/>
      <c r="AK492" s="278"/>
      <c r="AL492" s="278"/>
      <c r="AM492" s="278"/>
      <c r="AN492" s="278"/>
      <c r="AO492" s="278"/>
      <c r="AP492" s="278"/>
      <c r="AQ492" s="278"/>
      <c r="AR492" s="278"/>
      <c r="AS492" s="278"/>
      <c r="AT492" s="278"/>
      <c r="AU492" s="278"/>
      <c r="AV492" s="278"/>
      <c r="AW492" s="278"/>
      <c r="AX492" s="278"/>
      <c r="AY492" s="278"/>
      <c r="AZ492" s="278"/>
      <c r="BA492" s="278"/>
      <c r="BB492" s="278"/>
      <c r="BC492" s="278"/>
      <c r="BD492" s="278"/>
    </row>
    <row r="493" spans="1:56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196"/>
      <c r="S493" s="196"/>
      <c r="T493" s="196"/>
      <c r="U493" s="278"/>
      <c r="V493" s="278"/>
      <c r="W493" s="278"/>
      <c r="X493" s="278"/>
      <c r="Y493" s="278"/>
      <c r="Z493" s="278"/>
      <c r="AA493" s="278"/>
      <c r="AB493" s="278"/>
      <c r="AC493" s="278"/>
      <c r="AD493" s="278"/>
      <c r="AE493" s="278"/>
      <c r="AF493" s="278"/>
      <c r="AG493" s="278"/>
      <c r="AH493" s="278"/>
      <c r="AI493" s="278"/>
      <c r="AJ493" s="278"/>
      <c r="AK493" s="278"/>
      <c r="AL493" s="278"/>
      <c r="AM493" s="278"/>
      <c r="AN493" s="278"/>
      <c r="AO493" s="278"/>
      <c r="AP493" s="278"/>
      <c r="AQ493" s="278"/>
      <c r="AR493" s="278"/>
      <c r="AS493" s="278"/>
      <c r="AT493" s="278"/>
      <c r="AU493" s="278"/>
      <c r="AV493" s="278"/>
      <c r="AW493" s="278"/>
      <c r="AX493" s="278"/>
      <c r="AY493" s="278"/>
      <c r="AZ493" s="278"/>
      <c r="BA493" s="278"/>
      <c r="BB493" s="278"/>
      <c r="BC493" s="278"/>
      <c r="BD493" s="278"/>
    </row>
    <row r="494" spans="1:56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196"/>
      <c r="S494" s="196"/>
      <c r="T494" s="196"/>
      <c r="U494" s="278"/>
      <c r="V494" s="278"/>
      <c r="W494" s="278"/>
      <c r="X494" s="278"/>
      <c r="Y494" s="278"/>
      <c r="Z494" s="278"/>
      <c r="AA494" s="278"/>
      <c r="AB494" s="278"/>
      <c r="AC494" s="278"/>
      <c r="AD494" s="278"/>
      <c r="AE494" s="278"/>
      <c r="AF494" s="278"/>
      <c r="AG494" s="278"/>
      <c r="AH494" s="278"/>
      <c r="AI494" s="278"/>
      <c r="AJ494" s="278"/>
      <c r="AK494" s="278"/>
      <c r="AL494" s="278"/>
      <c r="AM494" s="278"/>
      <c r="AN494" s="278"/>
      <c r="AO494" s="278"/>
      <c r="AP494" s="278"/>
      <c r="AQ494" s="278"/>
      <c r="AR494" s="278"/>
      <c r="AS494" s="278"/>
      <c r="AT494" s="278"/>
      <c r="AU494" s="278"/>
      <c r="AV494" s="278"/>
      <c r="AW494" s="278"/>
      <c r="AX494" s="278"/>
      <c r="AY494" s="278"/>
      <c r="AZ494" s="278"/>
      <c r="BA494" s="278"/>
      <c r="BB494" s="278"/>
      <c r="BC494" s="278"/>
      <c r="BD494" s="278"/>
    </row>
    <row r="495" spans="1:56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196"/>
      <c r="S495" s="196"/>
      <c r="T495" s="196"/>
      <c r="U495" s="278"/>
      <c r="V495" s="278"/>
      <c r="W495" s="278"/>
      <c r="X495" s="278"/>
      <c r="Y495" s="278"/>
      <c r="Z495" s="278"/>
      <c r="AA495" s="278"/>
      <c r="AB495" s="278"/>
      <c r="AC495" s="278"/>
      <c r="AD495" s="278"/>
      <c r="AE495" s="278"/>
      <c r="AF495" s="278"/>
      <c r="AG495" s="278"/>
      <c r="AH495" s="278"/>
      <c r="AI495" s="278"/>
      <c r="AJ495" s="278"/>
      <c r="AK495" s="278"/>
      <c r="AL495" s="278"/>
      <c r="AM495" s="278"/>
      <c r="AN495" s="278"/>
      <c r="AO495" s="278"/>
      <c r="AP495" s="278"/>
      <c r="AQ495" s="278"/>
      <c r="AR495" s="278"/>
      <c r="AS495" s="278"/>
      <c r="AT495" s="278"/>
      <c r="AU495" s="278"/>
      <c r="AV495" s="278"/>
      <c r="AW495" s="278"/>
      <c r="AX495" s="278"/>
      <c r="AY495" s="278"/>
      <c r="AZ495" s="278"/>
      <c r="BA495" s="278"/>
      <c r="BB495" s="278"/>
      <c r="BC495" s="278"/>
      <c r="BD495" s="278"/>
    </row>
    <row r="496" spans="1:56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196"/>
      <c r="S496" s="196"/>
      <c r="T496" s="196"/>
      <c r="U496" s="278"/>
      <c r="V496" s="278"/>
      <c r="W496" s="278"/>
      <c r="X496" s="278"/>
      <c r="Y496" s="278"/>
      <c r="Z496" s="278"/>
      <c r="AA496" s="278"/>
      <c r="AB496" s="278"/>
      <c r="AC496" s="278"/>
      <c r="AD496" s="278"/>
      <c r="AE496" s="278"/>
      <c r="AF496" s="278"/>
      <c r="AG496" s="278"/>
      <c r="AH496" s="278"/>
      <c r="AI496" s="278"/>
      <c r="AJ496" s="278"/>
      <c r="AK496" s="278"/>
      <c r="AL496" s="278"/>
      <c r="AM496" s="278"/>
      <c r="AN496" s="278"/>
      <c r="AO496" s="278"/>
      <c r="AP496" s="278"/>
      <c r="AQ496" s="278"/>
      <c r="AR496" s="278"/>
      <c r="AS496" s="278"/>
      <c r="AT496" s="278"/>
      <c r="AU496" s="278"/>
      <c r="AV496" s="278"/>
      <c r="AW496" s="278"/>
      <c r="AX496" s="278"/>
      <c r="AY496" s="278"/>
      <c r="AZ496" s="278"/>
      <c r="BA496" s="278"/>
      <c r="BB496" s="278"/>
      <c r="BC496" s="278"/>
      <c r="BD496" s="278"/>
    </row>
    <row r="497" spans="1:56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196"/>
      <c r="S497" s="196"/>
      <c r="T497" s="196"/>
      <c r="U497" s="278"/>
      <c r="V497" s="278"/>
      <c r="W497" s="278"/>
      <c r="X497" s="278"/>
      <c r="Y497" s="278"/>
      <c r="Z497" s="278"/>
      <c r="AA497" s="278"/>
      <c r="AB497" s="278"/>
      <c r="AC497" s="278"/>
      <c r="AD497" s="278"/>
      <c r="AE497" s="278"/>
      <c r="AF497" s="278"/>
      <c r="AG497" s="278"/>
      <c r="AH497" s="278"/>
      <c r="AI497" s="278"/>
      <c r="AJ497" s="278"/>
      <c r="AK497" s="278"/>
      <c r="AL497" s="278"/>
      <c r="AM497" s="278"/>
      <c r="AN497" s="278"/>
      <c r="AO497" s="278"/>
      <c r="AP497" s="278"/>
      <c r="AQ497" s="278"/>
      <c r="AR497" s="278"/>
      <c r="AS497" s="278"/>
      <c r="AT497" s="278"/>
      <c r="AU497" s="278"/>
      <c r="AV497" s="278"/>
      <c r="AW497" s="278"/>
      <c r="AX497" s="278"/>
      <c r="AY497" s="278"/>
      <c r="AZ497" s="278"/>
      <c r="BA497" s="278"/>
      <c r="BB497" s="278"/>
      <c r="BC497" s="278"/>
      <c r="BD497" s="278"/>
    </row>
    <row r="498" spans="1:56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196"/>
      <c r="S498" s="196"/>
      <c r="T498" s="196"/>
      <c r="U498" s="278"/>
      <c r="V498" s="278"/>
      <c r="W498" s="278"/>
      <c r="X498" s="278"/>
      <c r="Y498" s="278"/>
      <c r="Z498" s="278"/>
      <c r="AA498" s="278"/>
      <c r="AB498" s="278"/>
      <c r="AC498" s="278"/>
      <c r="AD498" s="278"/>
      <c r="AE498" s="278"/>
      <c r="AF498" s="278"/>
      <c r="AG498" s="278"/>
      <c r="AH498" s="278"/>
      <c r="AI498" s="278"/>
      <c r="AJ498" s="278"/>
      <c r="AK498" s="278"/>
      <c r="AL498" s="278"/>
      <c r="AM498" s="278"/>
      <c r="AN498" s="278"/>
      <c r="AO498" s="278"/>
      <c r="AP498" s="278"/>
      <c r="AQ498" s="278"/>
      <c r="AR498" s="278"/>
      <c r="AS498" s="278"/>
      <c r="AT498" s="278"/>
      <c r="AU498" s="278"/>
      <c r="AV498" s="278"/>
      <c r="AW498" s="278"/>
      <c r="AX498" s="278"/>
      <c r="AY498" s="278"/>
      <c r="AZ498" s="278"/>
      <c r="BA498" s="278"/>
      <c r="BB498" s="278"/>
      <c r="BC498" s="278"/>
      <c r="BD498" s="278"/>
    </row>
    <row r="499" spans="1:56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196"/>
      <c r="S499" s="196"/>
      <c r="T499" s="196"/>
      <c r="U499" s="278"/>
      <c r="V499" s="278"/>
      <c r="W499" s="278"/>
      <c r="X499" s="278"/>
      <c r="Y499" s="278"/>
      <c r="Z499" s="278"/>
      <c r="AA499" s="278"/>
      <c r="AB499" s="278"/>
      <c r="AC499" s="278"/>
      <c r="AD499" s="278"/>
      <c r="AE499" s="278"/>
      <c r="AF499" s="278"/>
      <c r="AG499" s="278"/>
      <c r="AH499" s="278"/>
      <c r="AI499" s="278"/>
      <c r="AJ499" s="278"/>
      <c r="AK499" s="278"/>
      <c r="AL499" s="278"/>
      <c r="AM499" s="278"/>
      <c r="AN499" s="278"/>
      <c r="AO499" s="278"/>
      <c r="AP499" s="278"/>
      <c r="AQ499" s="278"/>
      <c r="AR499" s="278"/>
      <c r="AS499" s="278"/>
      <c r="AT499" s="278"/>
      <c r="AU499" s="278"/>
      <c r="AV499" s="278"/>
      <c r="AW499" s="278"/>
      <c r="AX499" s="278"/>
      <c r="AY499" s="278"/>
      <c r="AZ499" s="278"/>
      <c r="BA499" s="278"/>
      <c r="BB499" s="278"/>
      <c r="BC499" s="278"/>
      <c r="BD499" s="278"/>
    </row>
    <row r="500" spans="1:56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196"/>
      <c r="S500" s="196"/>
      <c r="T500" s="196"/>
      <c r="U500" s="278"/>
      <c r="V500" s="278"/>
      <c r="W500" s="278"/>
      <c r="X500" s="278"/>
      <c r="Y500" s="278"/>
      <c r="Z500" s="278"/>
      <c r="AA500" s="278"/>
      <c r="AB500" s="278"/>
      <c r="AC500" s="278"/>
      <c r="AD500" s="278"/>
      <c r="AE500" s="278"/>
      <c r="AF500" s="278"/>
      <c r="AG500" s="278"/>
      <c r="AH500" s="278"/>
      <c r="AI500" s="278"/>
      <c r="AJ500" s="278"/>
      <c r="AK500" s="278"/>
      <c r="AL500" s="278"/>
      <c r="AM500" s="278"/>
      <c r="AN500" s="278"/>
      <c r="AO500" s="278"/>
      <c r="AP500" s="278"/>
      <c r="AQ500" s="278"/>
      <c r="AR500" s="278"/>
      <c r="AS500" s="278"/>
      <c r="AT500" s="278"/>
      <c r="AU500" s="278"/>
      <c r="AV500" s="278"/>
      <c r="AW500" s="278"/>
      <c r="AX500" s="278"/>
      <c r="AY500" s="278"/>
      <c r="AZ500" s="278"/>
      <c r="BA500" s="278"/>
      <c r="BB500" s="278"/>
      <c r="BC500" s="278"/>
      <c r="BD500" s="278"/>
    </row>
    <row r="501" spans="1:56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196"/>
      <c r="S501" s="196"/>
      <c r="T501" s="196"/>
      <c r="U501" s="278"/>
      <c r="V501" s="278"/>
      <c r="W501" s="278"/>
      <c r="X501" s="278"/>
      <c r="Y501" s="278"/>
      <c r="Z501" s="278"/>
      <c r="AA501" s="278"/>
      <c r="AB501" s="278"/>
      <c r="AC501" s="278"/>
      <c r="AD501" s="278"/>
      <c r="AE501" s="278"/>
      <c r="AF501" s="278"/>
      <c r="AG501" s="278"/>
      <c r="AH501" s="278"/>
      <c r="AI501" s="278"/>
      <c r="AJ501" s="278"/>
      <c r="AK501" s="278"/>
      <c r="AL501" s="278"/>
      <c r="AM501" s="278"/>
      <c r="AN501" s="278"/>
      <c r="AO501" s="278"/>
      <c r="AP501" s="278"/>
      <c r="AQ501" s="278"/>
      <c r="AR501" s="278"/>
      <c r="AS501" s="278"/>
      <c r="AT501" s="278"/>
      <c r="AU501" s="278"/>
      <c r="AV501" s="278"/>
      <c r="AW501" s="278"/>
      <c r="AX501" s="278"/>
      <c r="AY501" s="278"/>
      <c r="AZ501" s="278"/>
      <c r="BA501" s="278"/>
      <c r="BB501" s="278"/>
      <c r="BC501" s="278"/>
      <c r="BD501" s="278"/>
    </row>
    <row r="502" spans="1:56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196"/>
      <c r="S502" s="196"/>
      <c r="T502" s="196"/>
      <c r="U502" s="278"/>
      <c r="V502" s="278"/>
      <c r="W502" s="278"/>
      <c r="X502" s="278"/>
      <c r="Y502" s="278"/>
      <c r="Z502" s="278"/>
      <c r="AA502" s="278"/>
      <c r="AB502" s="278"/>
      <c r="AC502" s="278"/>
      <c r="AD502" s="278"/>
      <c r="AE502" s="278"/>
      <c r="AF502" s="278"/>
      <c r="AG502" s="278"/>
      <c r="AH502" s="278"/>
      <c r="AI502" s="278"/>
      <c r="AJ502" s="278"/>
      <c r="AK502" s="278"/>
      <c r="AL502" s="278"/>
      <c r="AM502" s="278"/>
      <c r="AN502" s="278"/>
      <c r="AO502" s="278"/>
      <c r="AP502" s="278"/>
      <c r="AQ502" s="278"/>
      <c r="AR502" s="278"/>
      <c r="AS502" s="278"/>
      <c r="AT502" s="278"/>
      <c r="AU502" s="278"/>
      <c r="AV502" s="278"/>
      <c r="AW502" s="278"/>
      <c r="AX502" s="278"/>
      <c r="AY502" s="278"/>
      <c r="AZ502" s="278"/>
      <c r="BA502" s="278"/>
      <c r="BB502" s="278"/>
      <c r="BC502" s="278"/>
      <c r="BD502" s="278"/>
    </row>
    <row r="503" spans="1:56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196"/>
      <c r="S503" s="196"/>
      <c r="T503" s="196"/>
      <c r="U503" s="278"/>
      <c r="V503" s="278"/>
      <c r="W503" s="278"/>
      <c r="X503" s="278"/>
      <c r="Y503" s="278"/>
      <c r="Z503" s="278"/>
      <c r="AA503" s="278"/>
      <c r="AB503" s="278"/>
      <c r="AC503" s="278"/>
      <c r="AD503" s="278"/>
      <c r="AE503" s="278"/>
      <c r="AF503" s="278"/>
      <c r="AG503" s="278"/>
      <c r="AH503" s="278"/>
      <c r="AI503" s="278"/>
      <c r="AJ503" s="278"/>
      <c r="AK503" s="278"/>
      <c r="AL503" s="278"/>
      <c r="AM503" s="278"/>
      <c r="AN503" s="278"/>
      <c r="AO503" s="278"/>
      <c r="AP503" s="278"/>
      <c r="AQ503" s="278"/>
      <c r="AR503" s="278"/>
      <c r="AS503" s="278"/>
      <c r="AT503" s="278"/>
      <c r="AU503" s="278"/>
      <c r="AV503" s="278"/>
      <c r="AW503" s="278"/>
      <c r="AX503" s="278"/>
      <c r="AY503" s="278"/>
      <c r="AZ503" s="278"/>
      <c r="BA503" s="278"/>
      <c r="BB503" s="278"/>
      <c r="BC503" s="278"/>
      <c r="BD503" s="278"/>
    </row>
    <row r="504" spans="1:56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196"/>
      <c r="S504" s="196"/>
      <c r="T504" s="196"/>
      <c r="U504" s="278"/>
      <c r="V504" s="278"/>
      <c r="W504" s="278"/>
      <c r="X504" s="278"/>
      <c r="Y504" s="278"/>
      <c r="Z504" s="278"/>
      <c r="AA504" s="278"/>
      <c r="AB504" s="278"/>
      <c r="AC504" s="278"/>
      <c r="AD504" s="278"/>
      <c r="AE504" s="278"/>
      <c r="AF504" s="278"/>
      <c r="AG504" s="278"/>
      <c r="AH504" s="278"/>
      <c r="AI504" s="278"/>
      <c r="AJ504" s="278"/>
      <c r="AK504" s="278"/>
      <c r="AL504" s="278"/>
      <c r="AM504" s="278"/>
      <c r="AN504" s="278"/>
      <c r="AO504" s="278"/>
      <c r="AP504" s="278"/>
      <c r="AQ504" s="278"/>
      <c r="AR504" s="278"/>
      <c r="AS504" s="278"/>
      <c r="AT504" s="278"/>
      <c r="AU504" s="278"/>
      <c r="AV504" s="278"/>
      <c r="AW504" s="278"/>
      <c r="AX504" s="278"/>
      <c r="AY504" s="278"/>
      <c r="AZ504" s="278"/>
      <c r="BA504" s="278"/>
      <c r="BB504" s="278"/>
      <c r="BC504" s="278"/>
      <c r="BD504" s="278"/>
    </row>
    <row r="505" spans="1:56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196"/>
      <c r="S505" s="196"/>
      <c r="T505" s="196"/>
      <c r="U505" s="278"/>
      <c r="V505" s="278"/>
      <c r="W505" s="278"/>
      <c r="X505" s="278"/>
      <c r="Y505" s="278"/>
      <c r="Z505" s="278"/>
      <c r="AA505" s="278"/>
      <c r="AB505" s="278"/>
      <c r="AC505" s="278"/>
      <c r="AD505" s="278"/>
      <c r="AE505" s="278"/>
      <c r="AF505" s="278"/>
      <c r="AG505" s="278"/>
      <c r="AH505" s="278"/>
      <c r="AI505" s="278"/>
      <c r="AJ505" s="278"/>
      <c r="AK505" s="278"/>
      <c r="AL505" s="278"/>
      <c r="AM505" s="278"/>
      <c r="AN505" s="278"/>
      <c r="AO505" s="278"/>
      <c r="AP505" s="278"/>
      <c r="AQ505" s="278"/>
      <c r="AR505" s="278"/>
      <c r="AS505" s="278"/>
      <c r="AT505" s="278"/>
      <c r="AU505" s="278"/>
      <c r="AV505" s="278"/>
      <c r="AW505" s="278"/>
      <c r="AX505" s="278"/>
      <c r="AY505" s="278"/>
      <c r="AZ505" s="278"/>
      <c r="BA505" s="278"/>
      <c r="BB505" s="278"/>
      <c r="BC505" s="278"/>
      <c r="BD505" s="278"/>
    </row>
    <row r="506" spans="1:56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196"/>
      <c r="S506" s="196"/>
      <c r="T506" s="196"/>
      <c r="U506" s="278"/>
      <c r="V506" s="278"/>
      <c r="W506" s="278"/>
      <c r="X506" s="278"/>
      <c r="Y506" s="278"/>
      <c r="Z506" s="278"/>
      <c r="AA506" s="278"/>
      <c r="AB506" s="278"/>
      <c r="AC506" s="278"/>
      <c r="AD506" s="278"/>
      <c r="AE506" s="278"/>
      <c r="AF506" s="278"/>
      <c r="AG506" s="278"/>
      <c r="AH506" s="278"/>
      <c r="AI506" s="278"/>
      <c r="AJ506" s="278"/>
      <c r="AK506" s="278"/>
      <c r="AL506" s="278"/>
      <c r="AM506" s="278"/>
      <c r="AN506" s="278"/>
      <c r="AO506" s="278"/>
      <c r="AP506" s="278"/>
      <c r="AQ506" s="278"/>
      <c r="AR506" s="278"/>
      <c r="AS506" s="278"/>
      <c r="AT506" s="278"/>
      <c r="AU506" s="278"/>
      <c r="AV506" s="278"/>
      <c r="AW506" s="278"/>
      <c r="AX506" s="278"/>
      <c r="AY506" s="278"/>
      <c r="AZ506" s="278"/>
      <c r="BA506" s="278"/>
      <c r="BB506" s="278"/>
      <c r="BC506" s="278"/>
      <c r="BD506" s="278"/>
    </row>
    <row r="507" spans="1:56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196"/>
      <c r="S507" s="196"/>
      <c r="T507" s="196"/>
      <c r="U507" s="278"/>
      <c r="V507" s="278"/>
      <c r="W507" s="278"/>
      <c r="X507" s="278"/>
      <c r="Y507" s="278"/>
      <c r="Z507" s="278"/>
      <c r="AA507" s="278"/>
      <c r="AB507" s="278"/>
      <c r="AC507" s="278"/>
      <c r="AD507" s="278"/>
      <c r="AE507" s="278"/>
      <c r="AF507" s="278"/>
      <c r="AG507" s="278"/>
      <c r="AH507" s="278"/>
      <c r="AI507" s="278"/>
      <c r="AJ507" s="278"/>
      <c r="AK507" s="278"/>
      <c r="AL507" s="278"/>
      <c r="AM507" s="278"/>
      <c r="AN507" s="278"/>
      <c r="AO507" s="278"/>
      <c r="AP507" s="278"/>
      <c r="AQ507" s="278"/>
      <c r="AR507" s="278"/>
      <c r="AS507" s="278"/>
      <c r="AT507" s="278"/>
      <c r="AU507" s="278"/>
      <c r="AV507" s="278"/>
      <c r="AW507" s="278"/>
      <c r="AX507" s="278"/>
      <c r="AY507" s="278"/>
      <c r="AZ507" s="278"/>
      <c r="BA507" s="278"/>
      <c r="BB507" s="278"/>
      <c r="BC507" s="278"/>
      <c r="BD507" s="278"/>
    </row>
    <row r="508" spans="1:56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196"/>
      <c r="S508" s="196"/>
      <c r="T508" s="196"/>
      <c r="U508" s="278"/>
      <c r="V508" s="278"/>
      <c r="W508" s="278"/>
      <c r="X508" s="278"/>
      <c r="Y508" s="278"/>
      <c r="Z508" s="278"/>
      <c r="AA508" s="278"/>
      <c r="AB508" s="278"/>
      <c r="AC508" s="278"/>
      <c r="AD508" s="278"/>
      <c r="AE508" s="278"/>
      <c r="AF508" s="278"/>
      <c r="AG508" s="278"/>
      <c r="AH508" s="278"/>
      <c r="AI508" s="278"/>
      <c r="AJ508" s="278"/>
      <c r="AK508" s="278"/>
      <c r="AL508" s="278"/>
      <c r="AM508" s="278"/>
      <c r="AN508" s="278"/>
      <c r="AO508" s="278"/>
      <c r="AP508" s="278"/>
      <c r="AQ508" s="278"/>
      <c r="AR508" s="278"/>
      <c r="AS508" s="278"/>
      <c r="AT508" s="278"/>
      <c r="AU508" s="278"/>
      <c r="AV508" s="278"/>
      <c r="AW508" s="278"/>
      <c r="AX508" s="278"/>
      <c r="AY508" s="278"/>
      <c r="AZ508" s="278"/>
      <c r="BA508" s="278"/>
      <c r="BB508" s="278"/>
      <c r="BC508" s="278"/>
      <c r="BD508" s="278"/>
    </row>
    <row r="509" spans="1:56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196"/>
      <c r="S509" s="196"/>
      <c r="T509" s="196"/>
      <c r="U509" s="278"/>
      <c r="V509" s="278"/>
      <c r="W509" s="278"/>
      <c r="X509" s="278"/>
      <c r="Y509" s="278"/>
      <c r="Z509" s="278"/>
      <c r="AA509" s="278"/>
      <c r="AB509" s="278"/>
      <c r="AC509" s="278"/>
      <c r="AD509" s="278"/>
      <c r="AE509" s="278"/>
      <c r="AF509" s="278"/>
      <c r="AG509" s="278"/>
      <c r="AH509" s="278"/>
      <c r="AI509" s="278"/>
      <c r="AJ509" s="278"/>
      <c r="AK509" s="278"/>
      <c r="AL509" s="278"/>
      <c r="AM509" s="278"/>
      <c r="AN509" s="278"/>
      <c r="AO509" s="278"/>
      <c r="AP509" s="278"/>
      <c r="AQ509" s="278"/>
      <c r="AR509" s="278"/>
      <c r="AS509" s="278"/>
      <c r="AT509" s="278"/>
      <c r="AU509" s="278"/>
      <c r="AV509" s="278"/>
      <c r="AW509" s="278"/>
      <c r="AX509" s="278"/>
      <c r="AY509" s="278"/>
      <c r="AZ509" s="278"/>
      <c r="BA509" s="278"/>
      <c r="BB509" s="278"/>
      <c r="BC509" s="278"/>
      <c r="BD509" s="278"/>
    </row>
    <row r="510" spans="1:56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196"/>
      <c r="S510" s="196"/>
      <c r="T510" s="196"/>
      <c r="U510" s="278"/>
      <c r="V510" s="278"/>
      <c r="W510" s="278"/>
      <c r="X510" s="278"/>
      <c r="Y510" s="278"/>
      <c r="Z510" s="278"/>
      <c r="AA510" s="278"/>
      <c r="AB510" s="278"/>
      <c r="AC510" s="278"/>
      <c r="AD510" s="278"/>
      <c r="AE510" s="278"/>
      <c r="AF510" s="278"/>
      <c r="AG510" s="278"/>
      <c r="AH510" s="278"/>
      <c r="AI510" s="278"/>
      <c r="AJ510" s="278"/>
      <c r="AK510" s="278"/>
      <c r="AL510" s="278"/>
      <c r="AM510" s="278"/>
      <c r="AN510" s="278"/>
      <c r="AO510" s="278"/>
      <c r="AP510" s="278"/>
      <c r="AQ510" s="278"/>
      <c r="AR510" s="278"/>
      <c r="AS510" s="278"/>
      <c r="AT510" s="278"/>
      <c r="AU510" s="278"/>
      <c r="AV510" s="278"/>
      <c r="AW510" s="278"/>
      <c r="AX510" s="278"/>
      <c r="AY510" s="278"/>
      <c r="AZ510" s="278"/>
      <c r="BA510" s="278"/>
      <c r="BB510" s="278"/>
      <c r="BC510" s="278"/>
      <c r="BD510" s="278"/>
    </row>
    <row r="511" spans="1:56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196"/>
      <c r="S511" s="196"/>
      <c r="T511" s="196"/>
      <c r="U511" s="278"/>
      <c r="V511" s="278"/>
      <c r="W511" s="278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  <c r="AJ511" s="278"/>
      <c r="AK511" s="278"/>
      <c r="AL511" s="278"/>
      <c r="AM511" s="278"/>
      <c r="AN511" s="278"/>
      <c r="AO511" s="278"/>
      <c r="AP511" s="278"/>
      <c r="AQ511" s="278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</row>
    <row r="512" spans="1:56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196"/>
      <c r="S512" s="196"/>
      <c r="T512" s="196"/>
      <c r="U512" s="278"/>
      <c r="V512" s="278"/>
      <c r="W512" s="278"/>
      <c r="X512" s="278"/>
      <c r="Y512" s="278"/>
      <c r="Z512" s="278"/>
      <c r="AA512" s="278"/>
      <c r="AB512" s="278"/>
      <c r="AC512" s="278"/>
      <c r="AD512" s="278"/>
      <c r="AE512" s="278"/>
      <c r="AF512" s="278"/>
      <c r="AG512" s="278"/>
      <c r="AH512" s="278"/>
      <c r="AI512" s="278"/>
      <c r="AJ512" s="278"/>
      <c r="AK512" s="278"/>
      <c r="AL512" s="278"/>
      <c r="AM512" s="278"/>
      <c r="AN512" s="278"/>
      <c r="AO512" s="278"/>
      <c r="AP512" s="278"/>
      <c r="AQ512" s="278"/>
      <c r="AR512" s="278"/>
      <c r="AS512" s="278"/>
      <c r="AT512" s="278"/>
      <c r="AU512" s="278"/>
      <c r="AV512" s="278"/>
      <c r="AW512" s="278"/>
      <c r="AX512" s="278"/>
      <c r="AY512" s="278"/>
      <c r="AZ512" s="278"/>
      <c r="BA512" s="278"/>
      <c r="BB512" s="278"/>
      <c r="BC512" s="278"/>
      <c r="BD512" s="278"/>
    </row>
    <row r="513" spans="1:56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196"/>
      <c r="S513" s="196"/>
      <c r="T513" s="196"/>
      <c r="U513" s="278"/>
      <c r="V513" s="278"/>
      <c r="W513" s="278"/>
      <c r="X513" s="278"/>
      <c r="Y513" s="278"/>
      <c r="Z513" s="278"/>
      <c r="AA513" s="278"/>
      <c r="AB513" s="278"/>
      <c r="AC513" s="278"/>
      <c r="AD513" s="278"/>
      <c r="AE513" s="278"/>
      <c r="AF513" s="278"/>
      <c r="AG513" s="278"/>
      <c r="AH513" s="278"/>
      <c r="AI513" s="278"/>
      <c r="AJ513" s="278"/>
      <c r="AK513" s="278"/>
      <c r="AL513" s="278"/>
      <c r="AM513" s="278"/>
      <c r="AN513" s="278"/>
      <c r="AO513" s="278"/>
      <c r="AP513" s="278"/>
      <c r="AQ513" s="278"/>
      <c r="AR513" s="278"/>
      <c r="AS513" s="278"/>
      <c r="AT513" s="278"/>
      <c r="AU513" s="278"/>
      <c r="AV513" s="278"/>
      <c r="AW513" s="278"/>
      <c r="AX513" s="278"/>
      <c r="AY513" s="278"/>
      <c r="AZ513" s="278"/>
      <c r="BA513" s="278"/>
      <c r="BB513" s="278"/>
      <c r="BC513" s="278"/>
      <c r="BD513" s="278"/>
    </row>
    <row r="514" spans="1:56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196"/>
      <c r="S514" s="196"/>
      <c r="T514" s="196"/>
      <c r="U514" s="278"/>
      <c r="V514" s="278"/>
      <c r="W514" s="278"/>
      <c r="X514" s="278"/>
      <c r="Y514" s="278"/>
      <c r="Z514" s="278"/>
      <c r="AA514" s="278"/>
      <c r="AB514" s="278"/>
      <c r="AC514" s="278"/>
      <c r="AD514" s="278"/>
      <c r="AE514" s="278"/>
      <c r="AF514" s="278"/>
      <c r="AG514" s="278"/>
      <c r="AH514" s="278"/>
      <c r="AI514" s="278"/>
      <c r="AJ514" s="278"/>
      <c r="AK514" s="278"/>
      <c r="AL514" s="278"/>
      <c r="AM514" s="278"/>
      <c r="AN514" s="278"/>
      <c r="AO514" s="278"/>
      <c r="AP514" s="278"/>
      <c r="AQ514" s="278"/>
      <c r="AR514" s="278"/>
      <c r="AS514" s="278"/>
      <c r="AT514" s="278"/>
      <c r="AU514" s="278"/>
      <c r="AV514" s="278"/>
      <c r="AW514" s="278"/>
      <c r="AX514" s="278"/>
      <c r="AY514" s="278"/>
      <c r="AZ514" s="278"/>
      <c r="BA514" s="278"/>
      <c r="BB514" s="278"/>
      <c r="BC514" s="278"/>
      <c r="BD514" s="278"/>
    </row>
    <row r="515" spans="1:56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196"/>
      <c r="S515" s="196"/>
      <c r="T515" s="196"/>
      <c r="U515" s="278"/>
      <c r="V515" s="278"/>
      <c r="W515" s="278"/>
      <c r="X515" s="278"/>
      <c r="Y515" s="278"/>
      <c r="Z515" s="278"/>
      <c r="AA515" s="278"/>
      <c r="AB515" s="278"/>
      <c r="AC515" s="278"/>
      <c r="AD515" s="278"/>
      <c r="AE515" s="278"/>
      <c r="AF515" s="278"/>
      <c r="AG515" s="278"/>
      <c r="AH515" s="278"/>
      <c r="AI515" s="278"/>
      <c r="AJ515" s="278"/>
      <c r="AK515" s="278"/>
      <c r="AL515" s="278"/>
      <c r="AM515" s="278"/>
      <c r="AN515" s="278"/>
      <c r="AO515" s="278"/>
      <c r="AP515" s="278"/>
      <c r="AQ515" s="278"/>
      <c r="AR515" s="278"/>
      <c r="AS515" s="278"/>
      <c r="AT515" s="278"/>
      <c r="AU515" s="278"/>
      <c r="AV515" s="278"/>
      <c r="AW515" s="278"/>
      <c r="AX515" s="278"/>
      <c r="AY515" s="278"/>
      <c r="AZ515" s="278"/>
      <c r="BA515" s="278"/>
      <c r="BB515" s="278"/>
      <c r="BC515" s="278"/>
      <c r="BD515" s="278"/>
    </row>
    <row r="516" spans="1:56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196"/>
      <c r="S516" s="196"/>
      <c r="T516" s="196"/>
      <c r="U516" s="278"/>
      <c r="V516" s="278"/>
      <c r="W516" s="278"/>
      <c r="X516" s="278"/>
      <c r="Y516" s="278"/>
      <c r="Z516" s="278"/>
      <c r="AA516" s="278"/>
      <c r="AB516" s="278"/>
      <c r="AC516" s="278"/>
      <c r="AD516" s="278"/>
      <c r="AE516" s="278"/>
      <c r="AF516" s="278"/>
      <c r="AG516" s="278"/>
      <c r="AH516" s="278"/>
      <c r="AI516" s="278"/>
      <c r="AJ516" s="278"/>
      <c r="AK516" s="278"/>
      <c r="AL516" s="278"/>
      <c r="AM516" s="278"/>
      <c r="AN516" s="278"/>
      <c r="AO516" s="278"/>
      <c r="AP516" s="278"/>
      <c r="AQ516" s="278"/>
      <c r="AR516" s="278"/>
      <c r="AS516" s="278"/>
      <c r="AT516" s="278"/>
      <c r="AU516" s="278"/>
      <c r="AV516" s="278"/>
      <c r="AW516" s="278"/>
      <c r="AX516" s="278"/>
      <c r="AY516" s="278"/>
      <c r="AZ516" s="278"/>
      <c r="BA516" s="278"/>
      <c r="BB516" s="278"/>
      <c r="BC516" s="278"/>
      <c r="BD516" s="278"/>
    </row>
    <row r="517" spans="1:56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196"/>
      <c r="S517" s="196"/>
      <c r="T517" s="196"/>
      <c r="U517" s="278"/>
      <c r="V517" s="278"/>
      <c r="W517" s="278"/>
      <c r="X517" s="278"/>
      <c r="Y517" s="278"/>
      <c r="Z517" s="278"/>
      <c r="AA517" s="278"/>
      <c r="AB517" s="278"/>
      <c r="AC517" s="278"/>
      <c r="AD517" s="278"/>
      <c r="AE517" s="278"/>
      <c r="AF517" s="278"/>
      <c r="AG517" s="278"/>
      <c r="AH517" s="278"/>
      <c r="AI517" s="278"/>
      <c r="AJ517" s="278"/>
      <c r="AK517" s="278"/>
      <c r="AL517" s="278"/>
      <c r="AM517" s="278"/>
      <c r="AN517" s="278"/>
      <c r="AO517" s="278"/>
      <c r="AP517" s="278"/>
      <c r="AQ517" s="278"/>
      <c r="AR517" s="278"/>
      <c r="AS517" s="278"/>
      <c r="AT517" s="278"/>
      <c r="AU517" s="278"/>
      <c r="AV517" s="278"/>
      <c r="AW517" s="278"/>
      <c r="AX517" s="278"/>
      <c r="AY517" s="278"/>
      <c r="AZ517" s="278"/>
      <c r="BA517" s="278"/>
      <c r="BB517" s="278"/>
      <c r="BC517" s="278"/>
      <c r="BD517" s="278"/>
    </row>
    <row r="518" spans="1:56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196"/>
      <c r="S518" s="196"/>
      <c r="T518" s="196"/>
      <c r="U518" s="278"/>
      <c r="V518" s="278"/>
      <c r="W518" s="278"/>
      <c r="X518" s="278"/>
      <c r="Y518" s="278"/>
      <c r="Z518" s="278"/>
      <c r="AA518" s="278"/>
      <c r="AB518" s="278"/>
      <c r="AC518" s="278"/>
      <c r="AD518" s="278"/>
      <c r="AE518" s="278"/>
      <c r="AF518" s="278"/>
      <c r="AG518" s="278"/>
      <c r="AH518" s="278"/>
      <c r="AI518" s="278"/>
      <c r="AJ518" s="278"/>
      <c r="AK518" s="278"/>
      <c r="AL518" s="278"/>
      <c r="AM518" s="278"/>
      <c r="AN518" s="278"/>
      <c r="AO518" s="278"/>
      <c r="AP518" s="278"/>
      <c r="AQ518" s="278"/>
      <c r="AR518" s="278"/>
      <c r="AS518" s="278"/>
      <c r="AT518" s="278"/>
      <c r="AU518" s="278"/>
      <c r="AV518" s="278"/>
      <c r="AW518" s="278"/>
      <c r="AX518" s="278"/>
      <c r="AY518" s="278"/>
      <c r="AZ518" s="278"/>
      <c r="BA518" s="278"/>
      <c r="BB518" s="278"/>
      <c r="BC518" s="278"/>
      <c r="BD518" s="278"/>
    </row>
    <row r="519" spans="1:56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196"/>
      <c r="S519" s="196"/>
      <c r="T519" s="196"/>
      <c r="U519" s="278"/>
      <c r="V519" s="278"/>
      <c r="W519" s="278"/>
      <c r="X519" s="278"/>
      <c r="Y519" s="278"/>
      <c r="Z519" s="278"/>
      <c r="AA519" s="278"/>
      <c r="AB519" s="278"/>
      <c r="AC519" s="278"/>
      <c r="AD519" s="278"/>
      <c r="AE519" s="278"/>
      <c r="AF519" s="278"/>
      <c r="AG519" s="278"/>
      <c r="AH519" s="278"/>
      <c r="AI519" s="278"/>
      <c r="AJ519" s="278"/>
      <c r="AK519" s="278"/>
      <c r="AL519" s="278"/>
      <c r="AM519" s="278"/>
      <c r="AN519" s="278"/>
      <c r="AO519" s="278"/>
      <c r="AP519" s="278"/>
      <c r="AQ519" s="278"/>
      <c r="AR519" s="278"/>
      <c r="AS519" s="278"/>
      <c r="AT519" s="278"/>
      <c r="AU519" s="278"/>
      <c r="AV519" s="278"/>
      <c r="AW519" s="278"/>
      <c r="AX519" s="278"/>
      <c r="AY519" s="278"/>
      <c r="AZ519" s="278"/>
      <c r="BA519" s="278"/>
      <c r="BB519" s="278"/>
      <c r="BC519" s="278"/>
      <c r="BD519" s="278"/>
    </row>
    <row r="520" spans="1:56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196"/>
      <c r="S520" s="196"/>
      <c r="T520" s="196"/>
      <c r="U520" s="278"/>
      <c r="V520" s="278"/>
      <c r="W520" s="278"/>
      <c r="X520" s="278"/>
      <c r="Y520" s="278"/>
      <c r="Z520" s="278"/>
      <c r="AA520" s="278"/>
      <c r="AB520" s="278"/>
      <c r="AC520" s="278"/>
      <c r="AD520" s="278"/>
      <c r="AE520" s="278"/>
      <c r="AF520" s="278"/>
      <c r="AG520" s="278"/>
      <c r="AH520" s="278"/>
      <c r="AI520" s="278"/>
      <c r="AJ520" s="278"/>
      <c r="AK520" s="278"/>
      <c r="AL520" s="278"/>
      <c r="AM520" s="278"/>
      <c r="AN520" s="278"/>
      <c r="AO520" s="278"/>
      <c r="AP520" s="278"/>
      <c r="AQ520" s="278"/>
      <c r="AR520" s="278"/>
      <c r="AS520" s="278"/>
      <c r="AT520" s="278"/>
      <c r="AU520" s="278"/>
      <c r="AV520" s="278"/>
      <c r="AW520" s="278"/>
      <c r="AX520" s="278"/>
      <c r="AY520" s="278"/>
      <c r="AZ520" s="278"/>
      <c r="BA520" s="278"/>
      <c r="BB520" s="278"/>
      <c r="BC520" s="278"/>
      <c r="BD520" s="278"/>
    </row>
    <row r="521" spans="1:56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196"/>
      <c r="S521" s="196"/>
      <c r="T521" s="196"/>
      <c r="U521" s="278"/>
      <c r="V521" s="278"/>
      <c r="W521" s="278"/>
      <c r="X521" s="278"/>
      <c r="Y521" s="278"/>
      <c r="Z521" s="278"/>
      <c r="AA521" s="278"/>
      <c r="AB521" s="278"/>
      <c r="AC521" s="278"/>
      <c r="AD521" s="278"/>
      <c r="AE521" s="278"/>
      <c r="AF521" s="278"/>
      <c r="AG521" s="278"/>
      <c r="AH521" s="278"/>
      <c r="AI521" s="278"/>
      <c r="AJ521" s="278"/>
      <c r="AK521" s="278"/>
      <c r="AL521" s="278"/>
      <c r="AM521" s="278"/>
      <c r="AN521" s="278"/>
      <c r="AO521" s="278"/>
      <c r="AP521" s="278"/>
      <c r="AQ521" s="278"/>
      <c r="AR521" s="278"/>
      <c r="AS521" s="278"/>
      <c r="AT521" s="278"/>
      <c r="AU521" s="278"/>
      <c r="AV521" s="278"/>
      <c r="AW521" s="278"/>
      <c r="AX521" s="278"/>
      <c r="AY521" s="278"/>
      <c r="AZ521" s="278"/>
      <c r="BA521" s="278"/>
      <c r="BB521" s="278"/>
      <c r="BC521" s="278"/>
      <c r="BD521" s="278"/>
    </row>
    <row r="522" spans="1:56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196"/>
      <c r="S522" s="196"/>
      <c r="T522" s="196"/>
      <c r="U522" s="278"/>
      <c r="V522" s="278"/>
      <c r="W522" s="278"/>
      <c r="X522" s="278"/>
      <c r="Y522" s="278"/>
      <c r="Z522" s="278"/>
      <c r="AA522" s="278"/>
      <c r="AB522" s="278"/>
      <c r="AC522" s="278"/>
      <c r="AD522" s="278"/>
      <c r="AE522" s="278"/>
      <c r="AF522" s="278"/>
      <c r="AG522" s="278"/>
      <c r="AH522" s="278"/>
      <c r="AI522" s="278"/>
      <c r="AJ522" s="278"/>
      <c r="AK522" s="278"/>
      <c r="AL522" s="278"/>
      <c r="AM522" s="278"/>
      <c r="AN522" s="278"/>
      <c r="AO522" s="278"/>
      <c r="AP522" s="278"/>
      <c r="AQ522" s="278"/>
      <c r="AR522" s="278"/>
      <c r="AS522" s="278"/>
      <c r="AT522" s="278"/>
      <c r="AU522" s="278"/>
      <c r="AV522" s="278"/>
      <c r="AW522" s="278"/>
      <c r="AX522" s="278"/>
      <c r="AY522" s="278"/>
      <c r="AZ522" s="278"/>
      <c r="BA522" s="278"/>
      <c r="BB522" s="278"/>
      <c r="BC522" s="278"/>
      <c r="BD522" s="278"/>
    </row>
    <row r="523" spans="1:56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196"/>
      <c r="S523" s="196"/>
      <c r="T523" s="196"/>
      <c r="U523" s="278"/>
      <c r="V523" s="278"/>
      <c r="W523" s="278"/>
      <c r="X523" s="278"/>
      <c r="Y523" s="278"/>
      <c r="Z523" s="278"/>
      <c r="AA523" s="278"/>
      <c r="AB523" s="278"/>
      <c r="AC523" s="278"/>
      <c r="AD523" s="278"/>
      <c r="AE523" s="278"/>
      <c r="AF523" s="278"/>
      <c r="AG523" s="278"/>
      <c r="AH523" s="278"/>
      <c r="AI523" s="278"/>
      <c r="AJ523" s="278"/>
      <c r="AK523" s="278"/>
      <c r="AL523" s="278"/>
      <c r="AM523" s="278"/>
      <c r="AN523" s="278"/>
      <c r="AO523" s="278"/>
      <c r="AP523" s="278"/>
      <c r="AQ523" s="278"/>
      <c r="AR523" s="278"/>
      <c r="AS523" s="278"/>
      <c r="AT523" s="278"/>
      <c r="AU523" s="278"/>
      <c r="AV523" s="278"/>
      <c r="AW523" s="278"/>
      <c r="AX523" s="278"/>
      <c r="AY523" s="278"/>
      <c r="AZ523" s="278"/>
      <c r="BA523" s="278"/>
      <c r="BB523" s="278"/>
      <c r="BC523" s="278"/>
      <c r="BD523" s="278"/>
    </row>
    <row r="524" spans="1:56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196"/>
      <c r="S524" s="196"/>
      <c r="T524" s="196"/>
      <c r="U524" s="278"/>
      <c r="V524" s="278"/>
      <c r="W524" s="278"/>
      <c r="X524" s="278"/>
      <c r="Y524" s="278"/>
      <c r="Z524" s="278"/>
      <c r="AA524" s="278"/>
      <c r="AB524" s="278"/>
      <c r="AC524" s="278"/>
      <c r="AD524" s="278"/>
      <c r="AE524" s="278"/>
      <c r="AF524" s="278"/>
      <c r="AG524" s="278"/>
      <c r="AH524" s="278"/>
      <c r="AI524" s="278"/>
      <c r="AJ524" s="278"/>
      <c r="AK524" s="278"/>
      <c r="AL524" s="278"/>
      <c r="AM524" s="278"/>
      <c r="AN524" s="278"/>
      <c r="AO524" s="278"/>
      <c r="AP524" s="278"/>
      <c r="AQ524" s="278"/>
      <c r="AR524" s="278"/>
      <c r="AS524" s="278"/>
      <c r="AT524" s="278"/>
      <c r="AU524" s="278"/>
      <c r="AV524" s="278"/>
      <c r="AW524" s="278"/>
      <c r="AX524" s="278"/>
      <c r="AY524" s="278"/>
      <c r="AZ524" s="278"/>
      <c r="BA524" s="278"/>
      <c r="BB524" s="278"/>
      <c r="BC524" s="278"/>
      <c r="BD524" s="278"/>
    </row>
    <row r="525" spans="1:56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196"/>
      <c r="S525" s="196"/>
      <c r="T525" s="196"/>
      <c r="U525" s="278"/>
      <c r="V525" s="278"/>
      <c r="W525" s="278"/>
      <c r="X525" s="278"/>
      <c r="Y525" s="278"/>
      <c r="Z525" s="278"/>
      <c r="AA525" s="278"/>
      <c r="AB525" s="278"/>
      <c r="AC525" s="278"/>
      <c r="AD525" s="278"/>
      <c r="AE525" s="278"/>
      <c r="AF525" s="278"/>
      <c r="AG525" s="278"/>
      <c r="AH525" s="278"/>
      <c r="AI525" s="278"/>
      <c r="AJ525" s="278"/>
      <c r="AK525" s="278"/>
      <c r="AL525" s="278"/>
      <c r="AM525" s="278"/>
      <c r="AN525" s="278"/>
      <c r="AO525" s="278"/>
      <c r="AP525" s="278"/>
      <c r="AQ525" s="278"/>
      <c r="AR525" s="278"/>
      <c r="AS525" s="278"/>
      <c r="AT525" s="278"/>
      <c r="AU525" s="278"/>
      <c r="AV525" s="278"/>
      <c r="AW525" s="278"/>
      <c r="AX525" s="278"/>
      <c r="AY525" s="278"/>
      <c r="AZ525" s="278"/>
      <c r="BA525" s="278"/>
      <c r="BB525" s="278"/>
      <c r="BC525" s="278"/>
      <c r="BD525" s="278"/>
    </row>
    <row r="526" spans="1:56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196"/>
      <c r="S526" s="196"/>
      <c r="T526" s="196"/>
      <c r="U526" s="278"/>
      <c r="V526" s="278"/>
      <c r="W526" s="278"/>
      <c r="X526" s="278"/>
      <c r="Y526" s="278"/>
      <c r="Z526" s="278"/>
      <c r="AA526" s="278"/>
      <c r="AB526" s="278"/>
      <c r="AC526" s="278"/>
      <c r="AD526" s="278"/>
      <c r="AE526" s="278"/>
      <c r="AF526" s="278"/>
      <c r="AG526" s="278"/>
      <c r="AH526" s="278"/>
      <c r="AI526" s="278"/>
      <c r="AJ526" s="278"/>
      <c r="AK526" s="278"/>
      <c r="AL526" s="278"/>
      <c r="AM526" s="278"/>
      <c r="AN526" s="278"/>
      <c r="AO526" s="278"/>
      <c r="AP526" s="278"/>
      <c r="AQ526" s="278"/>
      <c r="AR526" s="278"/>
      <c r="AS526" s="278"/>
      <c r="AT526" s="278"/>
      <c r="AU526" s="278"/>
      <c r="AV526" s="278"/>
      <c r="AW526" s="278"/>
      <c r="AX526" s="278"/>
      <c r="AY526" s="278"/>
      <c r="AZ526" s="278"/>
      <c r="BA526" s="278"/>
      <c r="BB526" s="278"/>
      <c r="BC526" s="278"/>
      <c r="BD526" s="278"/>
    </row>
    <row r="527" spans="1:56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196"/>
      <c r="S527" s="196"/>
      <c r="T527" s="196"/>
      <c r="U527" s="278"/>
      <c r="V527" s="278"/>
      <c r="W527" s="278"/>
      <c r="X527" s="278"/>
      <c r="Y527" s="278"/>
      <c r="Z527" s="278"/>
      <c r="AA527" s="278"/>
      <c r="AB527" s="278"/>
      <c r="AC527" s="278"/>
      <c r="AD527" s="278"/>
      <c r="AE527" s="278"/>
      <c r="AF527" s="278"/>
      <c r="AG527" s="278"/>
      <c r="AH527" s="278"/>
      <c r="AI527" s="278"/>
      <c r="AJ527" s="278"/>
      <c r="AK527" s="278"/>
      <c r="AL527" s="278"/>
      <c r="AM527" s="278"/>
      <c r="AN527" s="278"/>
      <c r="AO527" s="278"/>
      <c r="AP527" s="278"/>
      <c r="AQ527" s="278"/>
      <c r="AR527" s="278"/>
      <c r="AS527" s="278"/>
      <c r="AT527" s="278"/>
      <c r="AU527" s="278"/>
      <c r="AV527" s="278"/>
      <c r="AW527" s="278"/>
      <c r="AX527" s="278"/>
      <c r="AY527" s="278"/>
      <c r="AZ527" s="278"/>
      <c r="BA527" s="278"/>
      <c r="BB527" s="278"/>
      <c r="BC527" s="278"/>
      <c r="BD527" s="278"/>
    </row>
    <row r="528" spans="1:56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196"/>
      <c r="S528" s="196"/>
      <c r="T528" s="196"/>
      <c r="U528" s="278"/>
      <c r="V528" s="278"/>
      <c r="W528" s="278"/>
      <c r="X528" s="278"/>
      <c r="Y528" s="278"/>
      <c r="Z528" s="278"/>
      <c r="AA528" s="278"/>
      <c r="AB528" s="278"/>
      <c r="AC528" s="278"/>
      <c r="AD528" s="278"/>
      <c r="AE528" s="278"/>
      <c r="AF528" s="278"/>
      <c r="AG528" s="278"/>
      <c r="AH528" s="278"/>
      <c r="AI528" s="278"/>
      <c r="AJ528" s="278"/>
      <c r="AK528" s="278"/>
      <c r="AL528" s="278"/>
      <c r="AM528" s="278"/>
      <c r="AN528" s="278"/>
      <c r="AO528" s="278"/>
      <c r="AP528" s="278"/>
      <c r="AQ528" s="278"/>
      <c r="AR528" s="278"/>
      <c r="AS528" s="278"/>
      <c r="AT528" s="278"/>
      <c r="AU528" s="278"/>
      <c r="AV528" s="278"/>
      <c r="AW528" s="278"/>
      <c r="AX528" s="278"/>
      <c r="AY528" s="278"/>
      <c r="AZ528" s="278"/>
      <c r="BA528" s="278"/>
      <c r="BB528" s="278"/>
      <c r="BC528" s="278"/>
      <c r="BD528" s="278"/>
    </row>
    <row r="529" spans="1:56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196"/>
      <c r="S529" s="196"/>
      <c r="T529" s="196"/>
      <c r="U529" s="278"/>
      <c r="V529" s="278"/>
      <c r="W529" s="278"/>
      <c r="X529" s="278"/>
      <c r="Y529" s="278"/>
      <c r="Z529" s="278"/>
      <c r="AA529" s="278"/>
      <c r="AB529" s="278"/>
      <c r="AC529" s="278"/>
      <c r="AD529" s="278"/>
      <c r="AE529" s="278"/>
      <c r="AF529" s="278"/>
      <c r="AG529" s="278"/>
      <c r="AH529" s="278"/>
      <c r="AI529" s="278"/>
      <c r="AJ529" s="278"/>
      <c r="AK529" s="278"/>
      <c r="AL529" s="278"/>
      <c r="AM529" s="278"/>
      <c r="AN529" s="278"/>
      <c r="AO529" s="278"/>
      <c r="AP529" s="278"/>
      <c r="AQ529" s="278"/>
      <c r="AR529" s="278"/>
      <c r="AS529" s="278"/>
      <c r="AT529" s="278"/>
      <c r="AU529" s="278"/>
      <c r="AV529" s="278"/>
      <c r="AW529" s="278"/>
      <c r="AX529" s="278"/>
      <c r="AY529" s="278"/>
      <c r="AZ529" s="278"/>
      <c r="BA529" s="278"/>
      <c r="BB529" s="278"/>
      <c r="BC529" s="278"/>
      <c r="BD529" s="278"/>
    </row>
    <row r="530" spans="1:56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196"/>
      <c r="S530" s="196"/>
      <c r="T530" s="196"/>
      <c r="U530" s="278"/>
      <c r="V530" s="278"/>
      <c r="W530" s="278"/>
      <c r="X530" s="278"/>
      <c r="Y530" s="278"/>
      <c r="Z530" s="278"/>
      <c r="AA530" s="278"/>
      <c r="AB530" s="278"/>
      <c r="AC530" s="278"/>
      <c r="AD530" s="278"/>
      <c r="AE530" s="278"/>
      <c r="AF530" s="278"/>
      <c r="AG530" s="278"/>
      <c r="AH530" s="278"/>
      <c r="AI530" s="278"/>
      <c r="AJ530" s="278"/>
      <c r="AK530" s="278"/>
      <c r="AL530" s="278"/>
      <c r="AM530" s="278"/>
      <c r="AN530" s="278"/>
      <c r="AO530" s="278"/>
      <c r="AP530" s="278"/>
      <c r="AQ530" s="278"/>
      <c r="AR530" s="278"/>
      <c r="AS530" s="278"/>
      <c r="AT530" s="278"/>
      <c r="AU530" s="278"/>
      <c r="AV530" s="278"/>
      <c r="AW530" s="278"/>
      <c r="AX530" s="278"/>
      <c r="AY530" s="278"/>
      <c r="AZ530" s="278"/>
      <c r="BA530" s="278"/>
      <c r="BB530" s="278"/>
      <c r="BC530" s="278"/>
      <c r="BD530" s="278"/>
    </row>
    <row r="531" spans="1:56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196"/>
      <c r="S531" s="196"/>
      <c r="T531" s="196"/>
      <c r="U531" s="278"/>
      <c r="V531" s="278"/>
      <c r="W531" s="278"/>
      <c r="X531" s="278"/>
      <c r="Y531" s="278"/>
      <c r="Z531" s="278"/>
      <c r="AA531" s="278"/>
      <c r="AB531" s="278"/>
      <c r="AC531" s="278"/>
      <c r="AD531" s="278"/>
      <c r="AE531" s="278"/>
      <c r="AF531" s="278"/>
      <c r="AG531" s="278"/>
      <c r="AH531" s="278"/>
      <c r="AI531" s="278"/>
      <c r="AJ531" s="278"/>
      <c r="AK531" s="278"/>
      <c r="AL531" s="278"/>
      <c r="AM531" s="278"/>
      <c r="AN531" s="278"/>
      <c r="AO531" s="278"/>
      <c r="AP531" s="278"/>
      <c r="AQ531" s="278"/>
      <c r="AR531" s="278"/>
      <c r="AS531" s="278"/>
      <c r="AT531" s="278"/>
      <c r="AU531" s="278"/>
      <c r="AV531" s="278"/>
      <c r="AW531" s="278"/>
      <c r="AX531" s="278"/>
      <c r="AY531" s="278"/>
      <c r="AZ531" s="278"/>
      <c r="BA531" s="278"/>
      <c r="BB531" s="278"/>
      <c r="BC531" s="278"/>
      <c r="BD531" s="278"/>
    </row>
    <row r="532" spans="1:56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196"/>
      <c r="S532" s="196"/>
      <c r="T532" s="196"/>
      <c r="U532" s="278"/>
      <c r="V532" s="278"/>
      <c r="W532" s="278"/>
      <c r="X532" s="278"/>
      <c r="Y532" s="278"/>
      <c r="Z532" s="278"/>
      <c r="AA532" s="278"/>
      <c r="AB532" s="278"/>
      <c r="AC532" s="278"/>
      <c r="AD532" s="278"/>
      <c r="AE532" s="278"/>
      <c r="AF532" s="278"/>
      <c r="AG532" s="278"/>
      <c r="AH532" s="278"/>
      <c r="AI532" s="278"/>
      <c r="AJ532" s="278"/>
      <c r="AK532" s="278"/>
      <c r="AL532" s="278"/>
      <c r="AM532" s="278"/>
      <c r="AN532" s="278"/>
      <c r="AO532" s="278"/>
      <c r="AP532" s="278"/>
      <c r="AQ532" s="278"/>
      <c r="AR532" s="278"/>
      <c r="AS532" s="278"/>
      <c r="AT532" s="278"/>
      <c r="AU532" s="278"/>
      <c r="AV532" s="278"/>
      <c r="AW532" s="278"/>
      <c r="AX532" s="278"/>
      <c r="AY532" s="278"/>
      <c r="AZ532" s="278"/>
      <c r="BA532" s="278"/>
      <c r="BB532" s="278"/>
      <c r="BC532" s="278"/>
      <c r="BD532" s="278"/>
    </row>
    <row r="533" spans="1:56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196"/>
      <c r="S533" s="196"/>
      <c r="T533" s="196"/>
      <c r="U533" s="278"/>
      <c r="V533" s="278"/>
      <c r="W533" s="278"/>
      <c r="X533" s="278"/>
      <c r="Y533" s="278"/>
      <c r="Z533" s="278"/>
      <c r="AA533" s="278"/>
      <c r="AB533" s="278"/>
      <c r="AC533" s="278"/>
      <c r="AD533" s="278"/>
      <c r="AE533" s="278"/>
      <c r="AF533" s="278"/>
      <c r="AG533" s="278"/>
      <c r="AH533" s="278"/>
      <c r="AI533" s="278"/>
      <c r="AJ533" s="278"/>
      <c r="AK533" s="278"/>
      <c r="AL533" s="278"/>
      <c r="AM533" s="278"/>
      <c r="AN533" s="278"/>
      <c r="AO533" s="278"/>
      <c r="AP533" s="278"/>
      <c r="AQ533" s="278"/>
      <c r="AR533" s="278"/>
      <c r="AS533" s="278"/>
      <c r="AT533" s="278"/>
      <c r="AU533" s="278"/>
      <c r="AV533" s="278"/>
      <c r="AW533" s="278"/>
      <c r="AX533" s="278"/>
      <c r="AY533" s="278"/>
      <c r="AZ533" s="278"/>
      <c r="BA533" s="278"/>
      <c r="BB533" s="278"/>
      <c r="BC533" s="278"/>
      <c r="BD533" s="278"/>
    </row>
    <row r="534" spans="1:56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196"/>
      <c r="S534" s="196"/>
      <c r="T534" s="196"/>
      <c r="U534" s="278"/>
      <c r="V534" s="278"/>
      <c r="W534" s="278"/>
      <c r="X534" s="278"/>
      <c r="Y534" s="278"/>
      <c r="Z534" s="278"/>
      <c r="AA534" s="278"/>
      <c r="AB534" s="278"/>
      <c r="AC534" s="278"/>
      <c r="AD534" s="278"/>
      <c r="AE534" s="278"/>
      <c r="AF534" s="278"/>
      <c r="AG534" s="278"/>
      <c r="AH534" s="278"/>
      <c r="AI534" s="278"/>
      <c r="AJ534" s="278"/>
      <c r="AK534" s="278"/>
      <c r="AL534" s="278"/>
      <c r="AM534" s="278"/>
      <c r="AN534" s="278"/>
      <c r="AO534" s="278"/>
      <c r="AP534" s="278"/>
      <c r="AQ534" s="278"/>
      <c r="AR534" s="278"/>
      <c r="AS534" s="278"/>
      <c r="AT534" s="278"/>
      <c r="AU534" s="278"/>
      <c r="AV534" s="278"/>
      <c r="AW534" s="278"/>
      <c r="AX534" s="278"/>
      <c r="AY534" s="278"/>
      <c r="AZ534" s="278"/>
      <c r="BA534" s="278"/>
      <c r="BB534" s="278"/>
      <c r="BC534" s="278"/>
      <c r="BD534" s="278"/>
    </row>
    <row r="535" spans="1:56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196"/>
      <c r="S535" s="196"/>
      <c r="T535" s="196"/>
      <c r="U535" s="278"/>
      <c r="V535" s="278"/>
      <c r="W535" s="278"/>
      <c r="X535" s="278"/>
      <c r="Y535" s="278"/>
      <c r="Z535" s="278"/>
      <c r="AA535" s="278"/>
      <c r="AB535" s="278"/>
      <c r="AC535" s="278"/>
      <c r="AD535" s="278"/>
      <c r="AE535" s="278"/>
      <c r="AF535" s="278"/>
      <c r="AG535" s="278"/>
      <c r="AH535" s="278"/>
      <c r="AI535" s="278"/>
      <c r="AJ535" s="278"/>
      <c r="AK535" s="278"/>
      <c r="AL535" s="278"/>
      <c r="AM535" s="278"/>
      <c r="AN535" s="278"/>
      <c r="AO535" s="278"/>
      <c r="AP535" s="278"/>
      <c r="AQ535" s="278"/>
      <c r="AR535" s="278"/>
      <c r="AS535" s="278"/>
      <c r="AT535" s="278"/>
      <c r="AU535" s="278"/>
      <c r="AV535" s="278"/>
      <c r="AW535" s="278"/>
      <c r="AX535" s="278"/>
      <c r="AY535" s="278"/>
      <c r="AZ535" s="278"/>
      <c r="BA535" s="278"/>
      <c r="BB535" s="278"/>
      <c r="BC535" s="278"/>
      <c r="BD535" s="278"/>
    </row>
    <row r="536" spans="1:56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196"/>
      <c r="S536" s="196"/>
      <c r="T536" s="196"/>
      <c r="U536" s="278"/>
      <c r="V536" s="278"/>
      <c r="W536" s="278"/>
      <c r="X536" s="278"/>
      <c r="Y536" s="278"/>
      <c r="Z536" s="278"/>
      <c r="AA536" s="278"/>
      <c r="AB536" s="278"/>
      <c r="AC536" s="278"/>
      <c r="AD536" s="278"/>
      <c r="AE536" s="278"/>
      <c r="AF536" s="278"/>
      <c r="AG536" s="278"/>
      <c r="AH536" s="278"/>
      <c r="AI536" s="278"/>
      <c r="AJ536" s="278"/>
      <c r="AK536" s="278"/>
      <c r="AL536" s="278"/>
      <c r="AM536" s="278"/>
      <c r="AN536" s="278"/>
      <c r="AO536" s="278"/>
      <c r="AP536" s="278"/>
      <c r="AQ536" s="278"/>
      <c r="AR536" s="278"/>
      <c r="AS536" s="278"/>
      <c r="AT536" s="278"/>
      <c r="AU536" s="278"/>
      <c r="AV536" s="278"/>
      <c r="AW536" s="278"/>
      <c r="AX536" s="278"/>
      <c r="AY536" s="278"/>
      <c r="AZ536" s="278"/>
      <c r="BA536" s="278"/>
      <c r="BB536" s="278"/>
      <c r="BC536" s="278"/>
      <c r="BD536" s="278"/>
    </row>
    <row r="537" spans="1:56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196"/>
      <c r="S537" s="196"/>
      <c r="T537" s="196"/>
      <c r="U537" s="278"/>
      <c r="V537" s="278"/>
      <c r="W537" s="278"/>
      <c r="X537" s="278"/>
      <c r="Y537" s="278"/>
      <c r="Z537" s="278"/>
      <c r="AA537" s="278"/>
      <c r="AB537" s="278"/>
      <c r="AC537" s="278"/>
      <c r="AD537" s="278"/>
      <c r="AE537" s="278"/>
      <c r="AF537" s="278"/>
      <c r="AG537" s="278"/>
      <c r="AH537" s="278"/>
      <c r="AI537" s="278"/>
      <c r="AJ537" s="278"/>
      <c r="AK537" s="278"/>
      <c r="AL537" s="278"/>
      <c r="AM537" s="278"/>
      <c r="AN537" s="278"/>
      <c r="AO537" s="278"/>
      <c r="AP537" s="278"/>
      <c r="AQ537" s="278"/>
      <c r="AR537" s="278"/>
      <c r="AS537" s="278"/>
      <c r="AT537" s="278"/>
      <c r="AU537" s="278"/>
      <c r="AV537" s="278"/>
      <c r="AW537" s="278"/>
      <c r="AX537" s="278"/>
      <c r="AY537" s="278"/>
      <c r="AZ537" s="278"/>
      <c r="BA537" s="278"/>
      <c r="BB537" s="278"/>
      <c r="BC537" s="278"/>
      <c r="BD537" s="278"/>
    </row>
    <row r="538" spans="1:56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196"/>
      <c r="S538" s="196"/>
      <c r="T538" s="196"/>
      <c r="U538" s="278"/>
      <c r="V538" s="278"/>
      <c r="W538" s="278"/>
      <c r="X538" s="278"/>
      <c r="Y538" s="278"/>
      <c r="Z538" s="278"/>
      <c r="AA538" s="278"/>
      <c r="AB538" s="278"/>
      <c r="AC538" s="278"/>
      <c r="AD538" s="278"/>
      <c r="AE538" s="278"/>
      <c r="AF538" s="278"/>
      <c r="AG538" s="278"/>
      <c r="AH538" s="278"/>
      <c r="AI538" s="278"/>
      <c r="AJ538" s="278"/>
      <c r="AK538" s="278"/>
      <c r="AL538" s="278"/>
      <c r="AM538" s="278"/>
      <c r="AN538" s="278"/>
      <c r="AO538" s="278"/>
      <c r="AP538" s="278"/>
      <c r="AQ538" s="278"/>
      <c r="AR538" s="278"/>
      <c r="AS538" s="278"/>
      <c r="AT538" s="278"/>
      <c r="AU538" s="278"/>
      <c r="AV538" s="278"/>
      <c r="AW538" s="278"/>
      <c r="AX538" s="278"/>
      <c r="AY538" s="278"/>
      <c r="AZ538" s="278"/>
      <c r="BA538" s="278"/>
      <c r="BB538" s="278"/>
      <c r="BC538" s="278"/>
      <c r="BD538" s="278"/>
    </row>
    <row r="539" spans="1:56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196"/>
      <c r="S539" s="196"/>
      <c r="T539" s="196"/>
      <c r="U539" s="278"/>
      <c r="V539" s="278"/>
      <c r="W539" s="278"/>
      <c r="X539" s="278"/>
      <c r="Y539" s="278"/>
      <c r="Z539" s="278"/>
      <c r="AA539" s="278"/>
      <c r="AB539" s="278"/>
      <c r="AC539" s="278"/>
      <c r="AD539" s="278"/>
      <c r="AE539" s="278"/>
      <c r="AF539" s="278"/>
      <c r="AG539" s="278"/>
      <c r="AH539" s="278"/>
      <c r="AI539" s="278"/>
      <c r="AJ539" s="278"/>
      <c r="AK539" s="278"/>
      <c r="AL539" s="278"/>
      <c r="AM539" s="278"/>
      <c r="AN539" s="278"/>
      <c r="AO539" s="278"/>
      <c r="AP539" s="278"/>
      <c r="AQ539" s="278"/>
      <c r="AR539" s="278"/>
      <c r="AS539" s="278"/>
      <c r="AT539" s="278"/>
      <c r="AU539" s="278"/>
      <c r="AV539" s="278"/>
      <c r="AW539" s="278"/>
      <c r="AX539" s="278"/>
      <c r="AY539" s="278"/>
      <c r="AZ539" s="278"/>
      <c r="BA539" s="278"/>
      <c r="BB539" s="278"/>
      <c r="BC539" s="278"/>
      <c r="BD539" s="278"/>
    </row>
    <row r="540" spans="1:56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196"/>
      <c r="S540" s="196"/>
      <c r="T540" s="196"/>
      <c r="U540" s="278"/>
      <c r="V540" s="278"/>
      <c r="W540" s="278"/>
      <c r="X540" s="278"/>
      <c r="Y540" s="278"/>
      <c r="Z540" s="278"/>
      <c r="AA540" s="278"/>
      <c r="AB540" s="278"/>
      <c r="AC540" s="278"/>
      <c r="AD540" s="278"/>
      <c r="AE540" s="278"/>
      <c r="AF540" s="278"/>
      <c r="AG540" s="278"/>
      <c r="AH540" s="278"/>
      <c r="AI540" s="278"/>
      <c r="AJ540" s="278"/>
      <c r="AK540" s="278"/>
      <c r="AL540" s="278"/>
      <c r="AM540" s="278"/>
      <c r="AN540" s="278"/>
      <c r="AO540" s="278"/>
      <c r="AP540" s="278"/>
      <c r="AQ540" s="278"/>
      <c r="AR540" s="278"/>
      <c r="AS540" s="278"/>
      <c r="AT540" s="278"/>
      <c r="AU540" s="278"/>
      <c r="AV540" s="278"/>
      <c r="AW540" s="278"/>
      <c r="AX540" s="278"/>
      <c r="AY540" s="278"/>
      <c r="AZ540" s="278"/>
      <c r="BA540" s="278"/>
      <c r="BB540" s="278"/>
      <c r="BC540" s="278"/>
      <c r="BD540" s="278"/>
    </row>
    <row r="541" spans="1:56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196"/>
      <c r="S541" s="196"/>
      <c r="T541" s="196"/>
      <c r="U541" s="278"/>
      <c r="V541" s="278"/>
      <c r="W541" s="278"/>
      <c r="X541" s="278"/>
      <c r="Y541" s="278"/>
      <c r="Z541" s="278"/>
      <c r="AA541" s="278"/>
      <c r="AB541" s="278"/>
      <c r="AC541" s="278"/>
      <c r="AD541" s="278"/>
      <c r="AE541" s="278"/>
      <c r="AF541" s="278"/>
      <c r="AG541" s="278"/>
      <c r="AH541" s="278"/>
      <c r="AI541" s="278"/>
      <c r="AJ541" s="278"/>
      <c r="AK541" s="278"/>
      <c r="AL541" s="278"/>
      <c r="AM541" s="278"/>
      <c r="AN541" s="278"/>
      <c r="AO541" s="278"/>
      <c r="AP541" s="278"/>
      <c r="AQ541" s="278"/>
      <c r="AR541" s="278"/>
      <c r="AS541" s="278"/>
      <c r="AT541" s="278"/>
      <c r="AU541" s="278"/>
      <c r="AV541" s="278"/>
      <c r="AW541" s="278"/>
      <c r="AX541" s="278"/>
      <c r="AY541" s="278"/>
      <c r="AZ541" s="278"/>
      <c r="BA541" s="278"/>
      <c r="BB541" s="278"/>
      <c r="BC541" s="278"/>
      <c r="BD541" s="278"/>
    </row>
    <row r="542" spans="1:56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196"/>
      <c r="S542" s="196"/>
      <c r="T542" s="196"/>
      <c r="U542" s="278"/>
      <c r="V542" s="278"/>
      <c r="W542" s="278"/>
      <c r="X542" s="278"/>
      <c r="Y542" s="278"/>
      <c r="Z542" s="278"/>
      <c r="AA542" s="278"/>
      <c r="AB542" s="278"/>
      <c r="AC542" s="278"/>
      <c r="AD542" s="278"/>
      <c r="AE542" s="278"/>
      <c r="AF542" s="278"/>
      <c r="AG542" s="278"/>
      <c r="AH542" s="278"/>
      <c r="AI542" s="278"/>
      <c r="AJ542" s="278"/>
      <c r="AK542" s="278"/>
      <c r="AL542" s="278"/>
      <c r="AM542" s="278"/>
      <c r="AN542" s="278"/>
      <c r="AO542" s="278"/>
      <c r="AP542" s="278"/>
      <c r="AQ542" s="278"/>
      <c r="AR542" s="278"/>
      <c r="AS542" s="278"/>
      <c r="AT542" s="278"/>
      <c r="AU542" s="278"/>
      <c r="AV542" s="278"/>
      <c r="AW542" s="278"/>
      <c r="AX542" s="278"/>
      <c r="AY542" s="278"/>
      <c r="AZ542" s="278"/>
      <c r="BA542" s="278"/>
      <c r="BB542" s="278"/>
      <c r="BC542" s="278"/>
      <c r="BD542" s="278"/>
    </row>
    <row r="543" spans="1:56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196"/>
      <c r="S543" s="196"/>
      <c r="T543" s="196"/>
      <c r="U543" s="278"/>
      <c r="V543" s="278"/>
      <c r="W543" s="278"/>
      <c r="X543" s="278"/>
      <c r="Y543" s="278"/>
      <c r="Z543" s="278"/>
      <c r="AA543" s="278"/>
      <c r="AB543" s="278"/>
      <c r="AC543" s="278"/>
      <c r="AD543" s="278"/>
      <c r="AE543" s="278"/>
      <c r="AF543" s="278"/>
      <c r="AG543" s="278"/>
      <c r="AH543" s="278"/>
      <c r="AI543" s="278"/>
      <c r="AJ543" s="278"/>
      <c r="AK543" s="278"/>
      <c r="AL543" s="278"/>
      <c r="AM543" s="278"/>
      <c r="AN543" s="278"/>
      <c r="AO543" s="278"/>
      <c r="AP543" s="278"/>
      <c r="AQ543" s="278"/>
      <c r="AR543" s="278"/>
      <c r="AS543" s="278"/>
      <c r="AT543" s="278"/>
      <c r="AU543" s="278"/>
      <c r="AV543" s="278"/>
      <c r="AW543" s="278"/>
      <c r="AX543" s="278"/>
      <c r="AY543" s="278"/>
      <c r="AZ543" s="278"/>
      <c r="BA543" s="278"/>
      <c r="BB543" s="278"/>
      <c r="BC543" s="278"/>
      <c r="BD543" s="278"/>
    </row>
    <row r="544" spans="1:56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196"/>
      <c r="S544" s="196"/>
      <c r="T544" s="196"/>
      <c r="U544" s="278"/>
      <c r="V544" s="278"/>
      <c r="W544" s="278"/>
      <c r="X544" s="278"/>
      <c r="Y544" s="278"/>
      <c r="Z544" s="278"/>
      <c r="AA544" s="278"/>
      <c r="AB544" s="278"/>
      <c r="AC544" s="278"/>
      <c r="AD544" s="278"/>
      <c r="AE544" s="278"/>
      <c r="AF544" s="278"/>
      <c r="AG544" s="278"/>
      <c r="AH544" s="278"/>
      <c r="AI544" s="278"/>
      <c r="AJ544" s="278"/>
      <c r="AK544" s="278"/>
      <c r="AL544" s="278"/>
      <c r="AM544" s="278"/>
      <c r="AN544" s="278"/>
      <c r="AO544" s="278"/>
      <c r="AP544" s="278"/>
      <c r="AQ544" s="278"/>
      <c r="AR544" s="278"/>
      <c r="AS544" s="278"/>
      <c r="AT544" s="278"/>
      <c r="AU544" s="278"/>
      <c r="AV544" s="278"/>
      <c r="AW544" s="278"/>
      <c r="AX544" s="278"/>
      <c r="AY544" s="278"/>
      <c r="AZ544" s="278"/>
      <c r="BA544" s="278"/>
      <c r="BB544" s="278"/>
      <c r="BC544" s="278"/>
      <c r="BD544" s="278"/>
    </row>
    <row r="545" spans="1:56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196"/>
      <c r="S545" s="196"/>
      <c r="T545" s="196"/>
      <c r="U545" s="278"/>
      <c r="V545" s="278"/>
      <c r="W545" s="278"/>
      <c r="X545" s="278"/>
      <c r="Y545" s="278"/>
      <c r="Z545" s="278"/>
      <c r="AA545" s="278"/>
      <c r="AB545" s="278"/>
      <c r="AC545" s="278"/>
      <c r="AD545" s="278"/>
      <c r="AE545" s="278"/>
      <c r="AF545" s="278"/>
      <c r="AG545" s="278"/>
      <c r="AH545" s="278"/>
      <c r="AI545" s="278"/>
      <c r="AJ545" s="278"/>
      <c r="AK545" s="278"/>
      <c r="AL545" s="278"/>
      <c r="AM545" s="278"/>
      <c r="AN545" s="278"/>
      <c r="AO545" s="278"/>
      <c r="AP545" s="278"/>
      <c r="AQ545" s="278"/>
      <c r="AR545" s="278"/>
      <c r="AS545" s="278"/>
      <c r="AT545" s="278"/>
      <c r="AU545" s="278"/>
      <c r="AV545" s="278"/>
      <c r="AW545" s="278"/>
      <c r="AX545" s="278"/>
      <c r="AY545" s="278"/>
      <c r="AZ545" s="278"/>
      <c r="BA545" s="278"/>
      <c r="BB545" s="278"/>
      <c r="BC545" s="278"/>
      <c r="BD545" s="278"/>
    </row>
    <row r="546" spans="1:56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196"/>
      <c r="S546" s="196"/>
      <c r="T546" s="196"/>
      <c r="U546" s="278"/>
      <c r="V546" s="278"/>
      <c r="W546" s="278"/>
      <c r="X546" s="278"/>
      <c r="Y546" s="278"/>
      <c r="Z546" s="278"/>
      <c r="AA546" s="278"/>
      <c r="AB546" s="278"/>
      <c r="AC546" s="278"/>
      <c r="AD546" s="278"/>
      <c r="AE546" s="278"/>
      <c r="AF546" s="278"/>
      <c r="AG546" s="278"/>
      <c r="AH546" s="278"/>
      <c r="AI546" s="278"/>
      <c r="AJ546" s="278"/>
      <c r="AK546" s="278"/>
      <c r="AL546" s="278"/>
      <c r="AM546" s="278"/>
      <c r="AN546" s="278"/>
      <c r="AO546" s="278"/>
      <c r="AP546" s="278"/>
      <c r="AQ546" s="278"/>
      <c r="AR546" s="278"/>
      <c r="AS546" s="278"/>
      <c r="AT546" s="278"/>
      <c r="AU546" s="278"/>
      <c r="AV546" s="278"/>
      <c r="AW546" s="278"/>
      <c r="AX546" s="278"/>
      <c r="AY546" s="278"/>
      <c r="AZ546" s="278"/>
      <c r="BA546" s="278"/>
      <c r="BB546" s="278"/>
      <c r="BC546" s="278"/>
      <c r="BD546" s="278"/>
    </row>
    <row r="547" spans="1:56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196"/>
      <c r="S547" s="196"/>
      <c r="T547" s="196"/>
      <c r="U547" s="278"/>
      <c r="V547" s="278"/>
      <c r="W547" s="278"/>
      <c r="X547" s="278"/>
      <c r="Y547" s="278"/>
      <c r="Z547" s="278"/>
      <c r="AA547" s="278"/>
      <c r="AB547" s="278"/>
      <c r="AC547" s="278"/>
      <c r="AD547" s="278"/>
      <c r="AE547" s="278"/>
      <c r="AF547" s="278"/>
      <c r="AG547" s="278"/>
      <c r="AH547" s="278"/>
      <c r="AI547" s="278"/>
      <c r="AJ547" s="278"/>
      <c r="AK547" s="278"/>
      <c r="AL547" s="278"/>
      <c r="AM547" s="278"/>
      <c r="AN547" s="278"/>
      <c r="AO547" s="278"/>
      <c r="AP547" s="278"/>
      <c r="AQ547" s="278"/>
      <c r="AR547" s="278"/>
      <c r="AS547" s="278"/>
      <c r="AT547" s="278"/>
      <c r="AU547" s="278"/>
      <c r="AV547" s="278"/>
      <c r="AW547" s="278"/>
      <c r="AX547" s="278"/>
      <c r="AY547" s="278"/>
      <c r="AZ547" s="278"/>
      <c r="BA547" s="278"/>
      <c r="BB547" s="278"/>
      <c r="BC547" s="278"/>
      <c r="BD547" s="278"/>
    </row>
    <row r="548" spans="1:56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196"/>
      <c r="S548" s="196"/>
      <c r="T548" s="196"/>
      <c r="U548" s="278"/>
      <c r="V548" s="278"/>
      <c r="W548" s="278"/>
      <c r="X548" s="278"/>
      <c r="Y548" s="278"/>
      <c r="Z548" s="278"/>
      <c r="AA548" s="278"/>
      <c r="AB548" s="278"/>
      <c r="AC548" s="278"/>
      <c r="AD548" s="278"/>
      <c r="AE548" s="278"/>
      <c r="AF548" s="278"/>
      <c r="AG548" s="278"/>
      <c r="AH548" s="278"/>
      <c r="AI548" s="278"/>
      <c r="AJ548" s="278"/>
      <c r="AK548" s="278"/>
      <c r="AL548" s="278"/>
      <c r="AM548" s="278"/>
      <c r="AN548" s="278"/>
      <c r="AO548" s="278"/>
      <c r="AP548" s="278"/>
      <c r="AQ548" s="278"/>
      <c r="AR548" s="278"/>
      <c r="AS548" s="278"/>
      <c r="AT548" s="278"/>
      <c r="AU548" s="278"/>
      <c r="AV548" s="278"/>
      <c r="AW548" s="278"/>
      <c r="AX548" s="278"/>
      <c r="AY548" s="278"/>
      <c r="AZ548" s="278"/>
      <c r="BA548" s="278"/>
      <c r="BB548" s="278"/>
      <c r="BC548" s="278"/>
      <c r="BD548" s="278"/>
    </row>
    <row r="549" spans="1:56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196"/>
      <c r="S549" s="196"/>
      <c r="T549" s="196"/>
      <c r="U549" s="278"/>
      <c r="V549" s="278"/>
      <c r="W549" s="278"/>
      <c r="X549" s="278"/>
      <c r="Y549" s="278"/>
      <c r="Z549" s="278"/>
      <c r="AA549" s="278"/>
      <c r="AB549" s="278"/>
      <c r="AC549" s="278"/>
      <c r="AD549" s="278"/>
      <c r="AE549" s="278"/>
      <c r="AF549" s="278"/>
      <c r="AG549" s="278"/>
      <c r="AH549" s="278"/>
      <c r="AI549" s="278"/>
      <c r="AJ549" s="278"/>
      <c r="AK549" s="278"/>
      <c r="AL549" s="278"/>
      <c r="AM549" s="278"/>
      <c r="AN549" s="278"/>
      <c r="AO549" s="278"/>
      <c r="AP549" s="278"/>
      <c r="AQ549" s="278"/>
      <c r="AR549" s="278"/>
      <c r="AS549" s="278"/>
      <c r="AT549" s="278"/>
      <c r="AU549" s="278"/>
      <c r="AV549" s="278"/>
      <c r="AW549" s="278"/>
      <c r="AX549" s="278"/>
      <c r="AY549" s="278"/>
      <c r="AZ549" s="278"/>
      <c r="BA549" s="278"/>
      <c r="BB549" s="278"/>
      <c r="BC549" s="278"/>
      <c r="BD549" s="278"/>
    </row>
    <row r="550" spans="1:56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196"/>
      <c r="S550" s="196"/>
      <c r="T550" s="196"/>
      <c r="U550" s="278"/>
      <c r="V550" s="278"/>
      <c r="W550" s="278"/>
      <c r="X550" s="278"/>
      <c r="Y550" s="278"/>
      <c r="Z550" s="278"/>
      <c r="AA550" s="278"/>
      <c r="AB550" s="278"/>
      <c r="AC550" s="278"/>
      <c r="AD550" s="278"/>
      <c r="AE550" s="278"/>
      <c r="AF550" s="278"/>
      <c r="AG550" s="278"/>
      <c r="AH550" s="278"/>
      <c r="AI550" s="278"/>
      <c r="AJ550" s="278"/>
      <c r="AK550" s="278"/>
      <c r="AL550" s="278"/>
      <c r="AM550" s="278"/>
      <c r="AN550" s="278"/>
      <c r="AO550" s="278"/>
      <c r="AP550" s="278"/>
      <c r="AQ550" s="278"/>
      <c r="AR550" s="278"/>
      <c r="AS550" s="278"/>
      <c r="AT550" s="278"/>
      <c r="AU550" s="278"/>
      <c r="AV550" s="278"/>
      <c r="AW550" s="278"/>
      <c r="AX550" s="278"/>
      <c r="AY550" s="278"/>
      <c r="AZ550" s="278"/>
      <c r="BA550" s="278"/>
      <c r="BB550" s="278"/>
      <c r="BC550" s="278"/>
      <c r="BD550" s="278"/>
    </row>
    <row r="551" spans="1:56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196"/>
      <c r="S551" s="196"/>
      <c r="T551" s="196"/>
      <c r="U551" s="278"/>
      <c r="V551" s="278"/>
      <c r="W551" s="278"/>
      <c r="X551" s="278"/>
      <c r="Y551" s="278"/>
      <c r="Z551" s="278"/>
      <c r="AA551" s="278"/>
      <c r="AB551" s="278"/>
      <c r="AC551" s="278"/>
      <c r="AD551" s="278"/>
      <c r="AE551" s="278"/>
      <c r="AF551" s="278"/>
      <c r="AG551" s="278"/>
      <c r="AH551" s="278"/>
      <c r="AI551" s="278"/>
      <c r="AJ551" s="278"/>
      <c r="AK551" s="278"/>
      <c r="AL551" s="278"/>
      <c r="AM551" s="278"/>
      <c r="AN551" s="278"/>
      <c r="AO551" s="278"/>
      <c r="AP551" s="278"/>
      <c r="AQ551" s="278"/>
      <c r="AR551" s="278"/>
      <c r="AS551" s="278"/>
      <c r="AT551" s="278"/>
      <c r="AU551" s="278"/>
      <c r="AV551" s="278"/>
      <c r="AW551" s="278"/>
      <c r="AX551" s="278"/>
      <c r="AY551" s="278"/>
      <c r="AZ551" s="278"/>
      <c r="BA551" s="278"/>
      <c r="BB551" s="278"/>
      <c r="BC551" s="278"/>
      <c r="BD551" s="278"/>
    </row>
    <row r="552" spans="1:56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196"/>
      <c r="S552" s="196"/>
      <c r="T552" s="196"/>
      <c r="U552" s="278"/>
      <c r="V552" s="278"/>
      <c r="W552" s="278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  <c r="AJ552" s="278"/>
      <c r="AK552" s="278"/>
      <c r="AL552" s="278"/>
      <c r="AM552" s="278"/>
      <c r="AN552" s="278"/>
      <c r="AO552" s="278"/>
      <c r="AP552" s="278"/>
      <c r="AQ552" s="278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</row>
    <row r="553" spans="1:56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196"/>
      <c r="S553" s="196"/>
      <c r="T553" s="196"/>
      <c r="U553" s="278"/>
      <c r="V553" s="278"/>
      <c r="W553" s="278"/>
      <c r="X553" s="278"/>
      <c r="Y553" s="278"/>
      <c r="Z553" s="278"/>
      <c r="AA553" s="278"/>
      <c r="AB553" s="278"/>
      <c r="AC553" s="278"/>
      <c r="AD553" s="278"/>
      <c r="AE553" s="278"/>
      <c r="AF553" s="278"/>
      <c r="AG553" s="278"/>
      <c r="AH553" s="278"/>
      <c r="AI553" s="278"/>
      <c r="AJ553" s="278"/>
      <c r="AK553" s="278"/>
      <c r="AL553" s="278"/>
      <c r="AM553" s="278"/>
      <c r="AN553" s="278"/>
      <c r="AO553" s="278"/>
      <c r="AP553" s="278"/>
      <c r="AQ553" s="278"/>
      <c r="AR553" s="278"/>
      <c r="AS553" s="278"/>
      <c r="AT553" s="278"/>
      <c r="AU553" s="278"/>
      <c r="AV553" s="278"/>
      <c r="AW553" s="278"/>
      <c r="AX553" s="278"/>
      <c r="AY553" s="278"/>
      <c r="AZ553" s="278"/>
      <c r="BA553" s="278"/>
      <c r="BB553" s="278"/>
      <c r="BC553" s="278"/>
      <c r="BD553" s="278"/>
    </row>
    <row r="554" spans="1:56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196"/>
      <c r="S554" s="196"/>
      <c r="T554" s="196"/>
      <c r="U554" s="278"/>
      <c r="V554" s="278"/>
      <c r="W554" s="278"/>
      <c r="X554" s="278"/>
      <c r="Y554" s="278"/>
      <c r="Z554" s="278"/>
      <c r="AA554" s="278"/>
      <c r="AB554" s="278"/>
      <c r="AC554" s="278"/>
      <c r="AD554" s="278"/>
      <c r="AE554" s="278"/>
      <c r="AF554" s="278"/>
      <c r="AG554" s="278"/>
      <c r="AH554" s="278"/>
      <c r="AI554" s="278"/>
      <c r="AJ554" s="278"/>
      <c r="AK554" s="278"/>
      <c r="AL554" s="278"/>
      <c r="AM554" s="278"/>
      <c r="AN554" s="278"/>
      <c r="AO554" s="278"/>
      <c r="AP554" s="278"/>
      <c r="AQ554" s="278"/>
      <c r="AR554" s="278"/>
      <c r="AS554" s="278"/>
      <c r="AT554" s="278"/>
      <c r="AU554" s="278"/>
      <c r="AV554" s="278"/>
      <c r="AW554" s="278"/>
      <c r="AX554" s="278"/>
      <c r="AY554" s="278"/>
      <c r="AZ554" s="278"/>
      <c r="BA554" s="278"/>
      <c r="BB554" s="278"/>
      <c r="BC554" s="278"/>
      <c r="BD554" s="278"/>
    </row>
    <row r="555" spans="1:56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196"/>
      <c r="S555" s="196"/>
      <c r="T555" s="196"/>
      <c r="U555" s="278"/>
      <c r="V555" s="278"/>
      <c r="W555" s="278"/>
      <c r="X555" s="278"/>
      <c r="Y555" s="278"/>
      <c r="Z555" s="278"/>
      <c r="AA555" s="278"/>
      <c r="AB555" s="278"/>
      <c r="AC555" s="278"/>
      <c r="AD555" s="278"/>
      <c r="AE555" s="278"/>
      <c r="AF555" s="278"/>
      <c r="AG555" s="278"/>
      <c r="AH555" s="278"/>
      <c r="AI555" s="278"/>
      <c r="AJ555" s="278"/>
      <c r="AK555" s="278"/>
      <c r="AL555" s="278"/>
      <c r="AM555" s="278"/>
      <c r="AN555" s="278"/>
      <c r="AO555" s="278"/>
      <c r="AP555" s="278"/>
      <c r="AQ555" s="278"/>
      <c r="AR555" s="278"/>
      <c r="AS555" s="278"/>
      <c r="AT555" s="278"/>
      <c r="AU555" s="278"/>
      <c r="AV555" s="278"/>
      <c r="AW555" s="278"/>
      <c r="AX555" s="278"/>
      <c r="AY555" s="278"/>
      <c r="AZ555" s="278"/>
      <c r="BA555" s="278"/>
      <c r="BB555" s="278"/>
      <c r="BC555" s="278"/>
      <c r="BD555" s="278"/>
    </row>
    <row r="556" spans="1:56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196"/>
      <c r="S556" s="196"/>
      <c r="T556" s="196"/>
      <c r="U556" s="278"/>
      <c r="V556" s="278"/>
      <c r="W556" s="278"/>
      <c r="X556" s="278"/>
      <c r="Y556" s="278"/>
      <c r="Z556" s="278"/>
      <c r="AA556" s="278"/>
      <c r="AB556" s="278"/>
      <c r="AC556" s="278"/>
      <c r="AD556" s="278"/>
      <c r="AE556" s="278"/>
      <c r="AF556" s="278"/>
      <c r="AG556" s="278"/>
      <c r="AH556" s="278"/>
      <c r="AI556" s="278"/>
      <c r="AJ556" s="278"/>
      <c r="AK556" s="278"/>
      <c r="AL556" s="278"/>
      <c r="AM556" s="278"/>
      <c r="AN556" s="278"/>
      <c r="AO556" s="278"/>
      <c r="AP556" s="278"/>
      <c r="AQ556" s="278"/>
      <c r="AR556" s="278"/>
      <c r="AS556" s="278"/>
      <c r="AT556" s="278"/>
      <c r="AU556" s="278"/>
      <c r="AV556" s="278"/>
      <c r="AW556" s="278"/>
      <c r="AX556" s="278"/>
      <c r="AY556" s="278"/>
      <c r="AZ556" s="278"/>
      <c r="BA556" s="278"/>
      <c r="BB556" s="278"/>
      <c r="BC556" s="278"/>
      <c r="BD556" s="278"/>
    </row>
    <row r="557" spans="1:56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196"/>
      <c r="S557" s="196"/>
      <c r="T557" s="196"/>
      <c r="U557" s="278"/>
      <c r="V557" s="278"/>
      <c r="W557" s="278"/>
      <c r="X557" s="278"/>
      <c r="Y557" s="278"/>
      <c r="Z557" s="278"/>
      <c r="AA557" s="278"/>
      <c r="AB557" s="278"/>
      <c r="AC557" s="278"/>
      <c r="AD557" s="278"/>
      <c r="AE557" s="278"/>
      <c r="AF557" s="278"/>
      <c r="AG557" s="278"/>
      <c r="AH557" s="278"/>
      <c r="AI557" s="278"/>
      <c r="AJ557" s="278"/>
      <c r="AK557" s="278"/>
      <c r="AL557" s="278"/>
      <c r="AM557" s="278"/>
      <c r="AN557" s="278"/>
      <c r="AO557" s="278"/>
      <c r="AP557" s="278"/>
      <c r="AQ557" s="278"/>
      <c r="AR557" s="278"/>
      <c r="AS557" s="278"/>
      <c r="AT557" s="278"/>
      <c r="AU557" s="278"/>
      <c r="AV557" s="278"/>
      <c r="AW557" s="278"/>
      <c r="AX557" s="278"/>
      <c r="AY557" s="278"/>
      <c r="AZ557" s="278"/>
      <c r="BA557" s="278"/>
      <c r="BB557" s="278"/>
      <c r="BC557" s="278"/>
      <c r="BD557" s="278"/>
    </row>
    <row r="558" spans="1:56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196"/>
      <c r="S558" s="196"/>
      <c r="T558" s="196"/>
      <c r="U558" s="278"/>
      <c r="V558" s="278"/>
      <c r="W558" s="278"/>
      <c r="X558" s="278"/>
      <c r="Y558" s="278"/>
      <c r="Z558" s="278"/>
      <c r="AA558" s="278"/>
      <c r="AB558" s="278"/>
      <c r="AC558" s="278"/>
      <c r="AD558" s="278"/>
      <c r="AE558" s="278"/>
      <c r="AF558" s="278"/>
      <c r="AG558" s="278"/>
      <c r="AH558" s="278"/>
      <c r="AI558" s="278"/>
      <c r="AJ558" s="278"/>
      <c r="AK558" s="278"/>
      <c r="AL558" s="278"/>
      <c r="AM558" s="278"/>
      <c r="AN558" s="278"/>
      <c r="AO558" s="278"/>
      <c r="AP558" s="278"/>
      <c r="AQ558" s="278"/>
      <c r="AR558" s="278"/>
      <c r="AS558" s="278"/>
      <c r="AT558" s="278"/>
      <c r="AU558" s="278"/>
      <c r="AV558" s="278"/>
      <c r="AW558" s="278"/>
      <c r="AX558" s="278"/>
      <c r="AY558" s="278"/>
      <c r="AZ558" s="278"/>
      <c r="BA558" s="278"/>
      <c r="BB558" s="278"/>
      <c r="BC558" s="278"/>
      <c r="BD558" s="278"/>
    </row>
    <row r="559" spans="1:56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196"/>
      <c r="S559" s="196"/>
      <c r="T559" s="196"/>
      <c r="U559" s="278"/>
      <c r="V559" s="278"/>
      <c r="W559" s="278"/>
      <c r="X559" s="278"/>
      <c r="Y559" s="278"/>
      <c r="Z559" s="278"/>
      <c r="AA559" s="278"/>
      <c r="AB559" s="278"/>
      <c r="AC559" s="278"/>
      <c r="AD559" s="278"/>
      <c r="AE559" s="278"/>
      <c r="AF559" s="278"/>
      <c r="AG559" s="278"/>
      <c r="AH559" s="278"/>
      <c r="AI559" s="278"/>
      <c r="AJ559" s="278"/>
      <c r="AK559" s="278"/>
      <c r="AL559" s="278"/>
      <c r="AM559" s="278"/>
      <c r="AN559" s="278"/>
      <c r="AO559" s="278"/>
      <c r="AP559" s="278"/>
      <c r="AQ559" s="278"/>
      <c r="AR559" s="278"/>
      <c r="AS559" s="278"/>
      <c r="AT559" s="278"/>
      <c r="AU559" s="278"/>
      <c r="AV559" s="278"/>
      <c r="AW559" s="278"/>
      <c r="AX559" s="278"/>
      <c r="AY559" s="278"/>
      <c r="AZ559" s="278"/>
      <c r="BA559" s="278"/>
      <c r="BB559" s="278"/>
      <c r="BC559" s="278"/>
      <c r="BD559" s="278"/>
    </row>
    <row r="560" spans="1:56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196"/>
      <c r="S560" s="196"/>
      <c r="T560" s="196"/>
      <c r="U560" s="278"/>
      <c r="V560" s="278"/>
      <c r="W560" s="278"/>
      <c r="X560" s="278"/>
      <c r="Y560" s="278"/>
      <c r="Z560" s="278"/>
      <c r="AA560" s="278"/>
      <c r="AB560" s="278"/>
      <c r="AC560" s="278"/>
      <c r="AD560" s="278"/>
      <c r="AE560" s="278"/>
      <c r="AF560" s="278"/>
      <c r="AG560" s="278"/>
      <c r="AH560" s="278"/>
      <c r="AI560" s="278"/>
      <c r="AJ560" s="278"/>
      <c r="AK560" s="278"/>
      <c r="AL560" s="278"/>
      <c r="AM560" s="278"/>
      <c r="AN560" s="278"/>
      <c r="AO560" s="278"/>
      <c r="AP560" s="278"/>
      <c r="AQ560" s="278"/>
      <c r="AR560" s="278"/>
      <c r="AS560" s="278"/>
      <c r="AT560" s="278"/>
      <c r="AU560" s="278"/>
      <c r="AV560" s="278"/>
      <c r="AW560" s="278"/>
      <c r="AX560" s="278"/>
      <c r="AY560" s="278"/>
      <c r="AZ560" s="278"/>
      <c r="BA560" s="278"/>
      <c r="BB560" s="278"/>
      <c r="BC560" s="278"/>
      <c r="BD560" s="278"/>
    </row>
    <row r="561" spans="1:56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196"/>
      <c r="S561" s="196"/>
      <c r="T561" s="196"/>
      <c r="U561" s="278"/>
      <c r="V561" s="278"/>
      <c r="W561" s="278"/>
      <c r="X561" s="278"/>
      <c r="Y561" s="278"/>
      <c r="Z561" s="278"/>
      <c r="AA561" s="278"/>
      <c r="AB561" s="278"/>
      <c r="AC561" s="278"/>
      <c r="AD561" s="278"/>
      <c r="AE561" s="278"/>
      <c r="AF561" s="278"/>
      <c r="AG561" s="278"/>
      <c r="AH561" s="278"/>
      <c r="AI561" s="278"/>
      <c r="AJ561" s="278"/>
      <c r="AK561" s="278"/>
      <c r="AL561" s="278"/>
      <c r="AM561" s="278"/>
      <c r="AN561" s="278"/>
      <c r="AO561" s="278"/>
      <c r="AP561" s="278"/>
      <c r="AQ561" s="278"/>
      <c r="AR561" s="278"/>
      <c r="AS561" s="278"/>
      <c r="AT561" s="278"/>
      <c r="AU561" s="278"/>
      <c r="AV561" s="278"/>
      <c r="AW561" s="278"/>
      <c r="AX561" s="278"/>
      <c r="AY561" s="278"/>
      <c r="AZ561" s="278"/>
      <c r="BA561" s="278"/>
      <c r="BB561" s="278"/>
      <c r="BC561" s="278"/>
      <c r="BD561" s="278"/>
    </row>
    <row r="562" spans="1:56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196"/>
      <c r="S562" s="196"/>
      <c r="T562" s="196"/>
      <c r="U562" s="278"/>
      <c r="V562" s="278"/>
      <c r="W562" s="278"/>
      <c r="X562" s="278"/>
      <c r="Y562" s="278"/>
      <c r="Z562" s="278"/>
      <c r="AA562" s="278"/>
      <c r="AB562" s="278"/>
      <c r="AC562" s="278"/>
      <c r="AD562" s="278"/>
      <c r="AE562" s="278"/>
      <c r="AF562" s="278"/>
      <c r="AG562" s="278"/>
      <c r="AH562" s="278"/>
      <c r="AI562" s="278"/>
      <c r="AJ562" s="278"/>
      <c r="AK562" s="278"/>
      <c r="AL562" s="278"/>
      <c r="AM562" s="278"/>
      <c r="AN562" s="278"/>
      <c r="AO562" s="278"/>
      <c r="AP562" s="278"/>
      <c r="AQ562" s="278"/>
      <c r="AR562" s="278"/>
      <c r="AS562" s="278"/>
      <c r="AT562" s="278"/>
      <c r="AU562" s="278"/>
      <c r="AV562" s="278"/>
      <c r="AW562" s="278"/>
      <c r="AX562" s="278"/>
      <c r="AY562" s="278"/>
      <c r="AZ562" s="278"/>
      <c r="BA562" s="278"/>
      <c r="BB562" s="278"/>
      <c r="BC562" s="278"/>
      <c r="BD562" s="278"/>
    </row>
    <row r="563" spans="1:56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196"/>
      <c r="S563" s="196"/>
      <c r="T563" s="196"/>
      <c r="U563" s="278"/>
      <c r="V563" s="278"/>
      <c r="W563" s="278"/>
      <c r="X563" s="278"/>
      <c r="Y563" s="278"/>
      <c r="Z563" s="278"/>
      <c r="AA563" s="278"/>
      <c r="AB563" s="278"/>
      <c r="AC563" s="278"/>
      <c r="AD563" s="278"/>
      <c r="AE563" s="278"/>
      <c r="AF563" s="278"/>
      <c r="AG563" s="278"/>
      <c r="AH563" s="278"/>
      <c r="AI563" s="278"/>
      <c r="AJ563" s="278"/>
      <c r="AK563" s="278"/>
      <c r="AL563" s="278"/>
      <c r="AM563" s="278"/>
      <c r="AN563" s="278"/>
      <c r="AO563" s="278"/>
      <c r="AP563" s="278"/>
      <c r="AQ563" s="278"/>
      <c r="AR563" s="278"/>
      <c r="AS563" s="278"/>
      <c r="AT563" s="278"/>
      <c r="AU563" s="278"/>
      <c r="AV563" s="278"/>
      <c r="AW563" s="278"/>
      <c r="AX563" s="278"/>
      <c r="AY563" s="278"/>
      <c r="AZ563" s="278"/>
      <c r="BA563" s="278"/>
      <c r="BB563" s="278"/>
      <c r="BC563" s="278"/>
      <c r="BD563" s="278"/>
    </row>
    <row r="564" spans="1:56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196"/>
      <c r="S564" s="196"/>
      <c r="T564" s="196"/>
      <c r="U564" s="278"/>
      <c r="V564" s="278"/>
      <c r="W564" s="278"/>
      <c r="X564" s="278"/>
      <c r="Y564" s="278"/>
      <c r="Z564" s="278"/>
      <c r="AA564" s="278"/>
      <c r="AB564" s="278"/>
      <c r="AC564" s="278"/>
      <c r="AD564" s="278"/>
      <c r="AE564" s="278"/>
      <c r="AF564" s="278"/>
      <c r="AG564" s="278"/>
      <c r="AH564" s="278"/>
      <c r="AI564" s="278"/>
      <c r="AJ564" s="278"/>
      <c r="AK564" s="278"/>
      <c r="AL564" s="278"/>
      <c r="AM564" s="278"/>
      <c r="AN564" s="278"/>
      <c r="AO564" s="278"/>
      <c r="AP564" s="278"/>
      <c r="AQ564" s="278"/>
      <c r="AR564" s="278"/>
      <c r="AS564" s="278"/>
      <c r="AT564" s="278"/>
      <c r="AU564" s="278"/>
      <c r="AV564" s="278"/>
      <c r="AW564" s="278"/>
      <c r="AX564" s="278"/>
      <c r="AY564" s="278"/>
      <c r="AZ564" s="278"/>
      <c r="BA564" s="278"/>
      <c r="BB564" s="278"/>
      <c r="BC564" s="278"/>
      <c r="BD564" s="278"/>
    </row>
    <row r="565" spans="1:56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196"/>
      <c r="S565" s="196"/>
      <c r="T565" s="196"/>
      <c r="U565" s="278"/>
      <c r="V565" s="278"/>
      <c r="W565" s="278"/>
      <c r="X565" s="278"/>
      <c r="Y565" s="278"/>
      <c r="Z565" s="278"/>
      <c r="AA565" s="278"/>
      <c r="AB565" s="278"/>
      <c r="AC565" s="278"/>
      <c r="AD565" s="278"/>
      <c r="AE565" s="278"/>
      <c r="AF565" s="278"/>
      <c r="AG565" s="278"/>
      <c r="AH565" s="278"/>
      <c r="AI565" s="278"/>
      <c r="AJ565" s="278"/>
      <c r="AK565" s="278"/>
      <c r="AL565" s="278"/>
      <c r="AM565" s="278"/>
      <c r="AN565" s="278"/>
      <c r="AO565" s="278"/>
      <c r="AP565" s="278"/>
      <c r="AQ565" s="278"/>
      <c r="AR565" s="278"/>
      <c r="AS565" s="278"/>
      <c r="AT565" s="278"/>
      <c r="AU565" s="278"/>
      <c r="AV565" s="278"/>
      <c r="AW565" s="278"/>
      <c r="AX565" s="278"/>
      <c r="AY565" s="278"/>
      <c r="AZ565" s="278"/>
      <c r="BA565" s="278"/>
      <c r="BB565" s="278"/>
      <c r="BC565" s="278"/>
      <c r="BD565" s="278"/>
    </row>
    <row r="566" spans="1:56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196"/>
      <c r="S566" s="196"/>
      <c r="T566" s="196"/>
      <c r="U566" s="278"/>
      <c r="V566" s="278"/>
      <c r="W566" s="278"/>
      <c r="X566" s="278"/>
      <c r="Y566" s="278"/>
      <c r="Z566" s="278"/>
      <c r="AA566" s="278"/>
      <c r="AB566" s="278"/>
      <c r="AC566" s="278"/>
      <c r="AD566" s="278"/>
      <c r="AE566" s="278"/>
      <c r="AF566" s="278"/>
      <c r="AG566" s="278"/>
      <c r="AH566" s="278"/>
      <c r="AI566" s="278"/>
      <c r="AJ566" s="278"/>
      <c r="AK566" s="278"/>
      <c r="AL566" s="278"/>
      <c r="AM566" s="278"/>
      <c r="AN566" s="278"/>
      <c r="AO566" s="278"/>
      <c r="AP566" s="278"/>
      <c r="AQ566" s="278"/>
      <c r="AR566" s="278"/>
      <c r="AS566" s="278"/>
      <c r="AT566" s="278"/>
      <c r="AU566" s="278"/>
      <c r="AV566" s="278"/>
      <c r="AW566" s="278"/>
      <c r="AX566" s="278"/>
      <c r="AY566" s="278"/>
      <c r="AZ566" s="278"/>
      <c r="BA566" s="278"/>
      <c r="BB566" s="278"/>
      <c r="BC566" s="278"/>
      <c r="BD566" s="278"/>
    </row>
    <row r="567" spans="1:56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196"/>
      <c r="S567" s="196"/>
      <c r="T567" s="196"/>
      <c r="U567" s="278"/>
      <c r="V567" s="278"/>
      <c r="W567" s="278"/>
      <c r="X567" s="278"/>
      <c r="Y567" s="278"/>
      <c r="Z567" s="278"/>
      <c r="AA567" s="278"/>
      <c r="AB567" s="278"/>
      <c r="AC567" s="278"/>
      <c r="AD567" s="278"/>
      <c r="AE567" s="278"/>
      <c r="AF567" s="278"/>
      <c r="AG567" s="278"/>
      <c r="AH567" s="278"/>
      <c r="AI567" s="278"/>
      <c r="AJ567" s="278"/>
      <c r="AK567" s="278"/>
      <c r="AL567" s="278"/>
      <c r="AM567" s="278"/>
      <c r="AN567" s="278"/>
      <c r="AO567" s="278"/>
      <c r="AP567" s="278"/>
      <c r="AQ567" s="278"/>
      <c r="AR567" s="278"/>
      <c r="AS567" s="278"/>
      <c r="AT567" s="278"/>
      <c r="AU567" s="278"/>
      <c r="AV567" s="278"/>
      <c r="AW567" s="278"/>
      <c r="AX567" s="278"/>
      <c r="AY567" s="278"/>
      <c r="AZ567" s="278"/>
      <c r="BA567" s="278"/>
      <c r="BB567" s="278"/>
      <c r="BC567" s="278"/>
      <c r="BD567" s="278"/>
    </row>
    <row r="568" spans="1:56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196"/>
      <c r="S568" s="196"/>
      <c r="T568" s="196"/>
      <c r="U568" s="278"/>
      <c r="V568" s="278"/>
      <c r="W568" s="278"/>
      <c r="X568" s="278"/>
      <c r="Y568" s="278"/>
      <c r="Z568" s="278"/>
      <c r="AA568" s="278"/>
      <c r="AB568" s="278"/>
      <c r="AC568" s="278"/>
      <c r="AD568" s="278"/>
      <c r="AE568" s="278"/>
      <c r="AF568" s="278"/>
      <c r="AG568" s="278"/>
      <c r="AH568" s="278"/>
      <c r="AI568" s="278"/>
      <c r="AJ568" s="278"/>
      <c r="AK568" s="278"/>
      <c r="AL568" s="278"/>
      <c r="AM568" s="278"/>
      <c r="AN568" s="278"/>
      <c r="AO568" s="278"/>
      <c r="AP568" s="278"/>
      <c r="AQ568" s="278"/>
      <c r="AR568" s="278"/>
      <c r="AS568" s="278"/>
      <c r="AT568" s="278"/>
      <c r="AU568" s="278"/>
      <c r="AV568" s="278"/>
      <c r="AW568" s="278"/>
      <c r="AX568" s="278"/>
      <c r="AY568" s="278"/>
      <c r="AZ568" s="278"/>
      <c r="BA568" s="278"/>
      <c r="BB568" s="278"/>
      <c r="BC568" s="278"/>
      <c r="BD568" s="278"/>
    </row>
    <row r="569" spans="1:56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196"/>
      <c r="S569" s="196"/>
      <c r="T569" s="196"/>
      <c r="U569" s="278"/>
      <c r="V569" s="278"/>
      <c r="W569" s="278"/>
      <c r="X569" s="278"/>
      <c r="Y569" s="278"/>
      <c r="Z569" s="278"/>
      <c r="AA569" s="278"/>
      <c r="AB569" s="278"/>
      <c r="AC569" s="278"/>
      <c r="AD569" s="278"/>
      <c r="AE569" s="278"/>
      <c r="AF569" s="278"/>
      <c r="AG569" s="278"/>
      <c r="AH569" s="278"/>
      <c r="AI569" s="278"/>
      <c r="AJ569" s="278"/>
      <c r="AK569" s="278"/>
      <c r="AL569" s="278"/>
      <c r="AM569" s="278"/>
      <c r="AN569" s="278"/>
      <c r="AO569" s="278"/>
      <c r="AP569" s="278"/>
      <c r="AQ569" s="278"/>
      <c r="AR569" s="278"/>
      <c r="AS569" s="278"/>
      <c r="AT569" s="278"/>
      <c r="AU569" s="278"/>
      <c r="AV569" s="278"/>
      <c r="AW569" s="278"/>
      <c r="AX569" s="278"/>
      <c r="AY569" s="278"/>
      <c r="AZ569" s="278"/>
      <c r="BA569" s="278"/>
      <c r="BB569" s="278"/>
      <c r="BC569" s="278"/>
      <c r="BD569" s="278"/>
    </row>
    <row r="570" spans="1:56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196"/>
      <c r="S570" s="196"/>
      <c r="T570" s="196"/>
      <c r="U570" s="278"/>
      <c r="V570" s="278"/>
      <c r="W570" s="278"/>
      <c r="X570" s="278"/>
      <c r="Y570" s="278"/>
      <c r="Z570" s="278"/>
      <c r="AA570" s="278"/>
      <c r="AB570" s="278"/>
      <c r="AC570" s="278"/>
      <c r="AD570" s="278"/>
      <c r="AE570" s="278"/>
      <c r="AF570" s="278"/>
      <c r="AG570" s="278"/>
      <c r="AH570" s="278"/>
      <c r="AI570" s="278"/>
      <c r="AJ570" s="278"/>
      <c r="AK570" s="278"/>
      <c r="AL570" s="278"/>
      <c r="AM570" s="278"/>
      <c r="AN570" s="278"/>
      <c r="AO570" s="278"/>
      <c r="AP570" s="278"/>
      <c r="AQ570" s="278"/>
      <c r="AR570" s="278"/>
      <c r="AS570" s="278"/>
      <c r="AT570" s="278"/>
      <c r="AU570" s="278"/>
      <c r="AV570" s="278"/>
      <c r="AW570" s="278"/>
      <c r="AX570" s="278"/>
      <c r="AY570" s="278"/>
      <c r="AZ570" s="278"/>
      <c r="BA570" s="278"/>
      <c r="BB570" s="278"/>
      <c r="BC570" s="278"/>
      <c r="BD570" s="278"/>
    </row>
    <row r="571" spans="1:56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196"/>
      <c r="S571" s="196"/>
      <c r="T571" s="196"/>
      <c r="U571" s="278"/>
      <c r="V571" s="278"/>
      <c r="W571" s="278"/>
      <c r="X571" s="278"/>
      <c r="Y571" s="278"/>
      <c r="Z571" s="278"/>
      <c r="AA571" s="278"/>
      <c r="AB571" s="278"/>
      <c r="AC571" s="278"/>
      <c r="AD571" s="278"/>
      <c r="AE571" s="278"/>
      <c r="AF571" s="278"/>
      <c r="AG571" s="278"/>
      <c r="AH571" s="278"/>
      <c r="AI571" s="278"/>
      <c r="AJ571" s="278"/>
      <c r="AK571" s="278"/>
      <c r="AL571" s="278"/>
      <c r="AM571" s="278"/>
      <c r="AN571" s="278"/>
      <c r="AO571" s="278"/>
      <c r="AP571" s="278"/>
      <c r="AQ571" s="278"/>
      <c r="AR571" s="278"/>
      <c r="AS571" s="278"/>
      <c r="AT571" s="278"/>
      <c r="AU571" s="278"/>
      <c r="AV571" s="278"/>
      <c r="AW571" s="278"/>
      <c r="AX571" s="278"/>
      <c r="AY571" s="278"/>
      <c r="AZ571" s="278"/>
      <c r="BA571" s="278"/>
      <c r="BB571" s="278"/>
      <c r="BC571" s="278"/>
      <c r="BD571" s="278"/>
    </row>
    <row r="572" spans="1:56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196"/>
      <c r="S572" s="196"/>
      <c r="T572" s="196"/>
      <c r="U572" s="278"/>
      <c r="V572" s="278"/>
      <c r="W572" s="278"/>
      <c r="X572" s="278"/>
      <c r="Y572" s="278"/>
      <c r="Z572" s="278"/>
      <c r="AA572" s="278"/>
      <c r="AB572" s="278"/>
      <c r="AC572" s="278"/>
      <c r="AD572" s="278"/>
      <c r="AE572" s="278"/>
      <c r="AF572" s="278"/>
      <c r="AG572" s="278"/>
      <c r="AH572" s="278"/>
      <c r="AI572" s="278"/>
      <c r="AJ572" s="278"/>
      <c r="AK572" s="278"/>
      <c r="AL572" s="278"/>
      <c r="AM572" s="278"/>
      <c r="AN572" s="278"/>
      <c r="AO572" s="278"/>
      <c r="AP572" s="278"/>
      <c r="AQ572" s="278"/>
      <c r="AR572" s="278"/>
      <c r="AS572" s="278"/>
      <c r="AT572" s="278"/>
      <c r="AU572" s="278"/>
      <c r="AV572" s="278"/>
      <c r="AW572" s="278"/>
      <c r="AX572" s="278"/>
      <c r="AY572" s="278"/>
      <c r="AZ572" s="278"/>
      <c r="BA572" s="278"/>
      <c r="BB572" s="278"/>
      <c r="BC572" s="278"/>
      <c r="BD572" s="278"/>
    </row>
    <row r="573" spans="1:56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196"/>
      <c r="S573" s="196"/>
      <c r="T573" s="196"/>
      <c r="U573" s="278"/>
      <c r="V573" s="278"/>
      <c r="W573" s="278"/>
      <c r="X573" s="278"/>
      <c r="Y573" s="278"/>
      <c r="Z573" s="278"/>
      <c r="AA573" s="278"/>
      <c r="AB573" s="278"/>
      <c r="AC573" s="278"/>
      <c r="AD573" s="278"/>
      <c r="AE573" s="278"/>
      <c r="AF573" s="278"/>
      <c r="AG573" s="278"/>
      <c r="AH573" s="278"/>
      <c r="AI573" s="278"/>
      <c r="AJ573" s="278"/>
      <c r="AK573" s="278"/>
      <c r="AL573" s="278"/>
      <c r="AM573" s="278"/>
      <c r="AN573" s="278"/>
      <c r="AO573" s="278"/>
      <c r="AP573" s="278"/>
      <c r="AQ573" s="278"/>
      <c r="AR573" s="278"/>
      <c r="AS573" s="278"/>
      <c r="AT573" s="278"/>
      <c r="AU573" s="278"/>
      <c r="AV573" s="278"/>
      <c r="AW573" s="278"/>
      <c r="AX573" s="278"/>
      <c r="AY573" s="278"/>
      <c r="AZ573" s="278"/>
      <c r="BA573" s="278"/>
      <c r="BB573" s="278"/>
      <c r="BC573" s="278"/>
      <c r="BD573" s="278"/>
    </row>
    <row r="574" spans="1:56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196"/>
      <c r="S574" s="196"/>
      <c r="T574" s="196"/>
      <c r="U574" s="278"/>
      <c r="V574" s="278"/>
      <c r="W574" s="278"/>
      <c r="X574" s="278"/>
      <c r="Y574" s="278"/>
      <c r="Z574" s="278"/>
      <c r="AA574" s="278"/>
      <c r="AB574" s="278"/>
      <c r="AC574" s="278"/>
      <c r="AD574" s="278"/>
      <c r="AE574" s="278"/>
      <c r="AF574" s="278"/>
      <c r="AG574" s="278"/>
      <c r="AH574" s="278"/>
      <c r="AI574" s="278"/>
      <c r="AJ574" s="278"/>
      <c r="AK574" s="278"/>
      <c r="AL574" s="278"/>
      <c r="AM574" s="278"/>
      <c r="AN574" s="278"/>
      <c r="AO574" s="278"/>
      <c r="AP574" s="278"/>
      <c r="AQ574" s="278"/>
      <c r="AR574" s="278"/>
      <c r="AS574" s="278"/>
      <c r="AT574" s="278"/>
      <c r="AU574" s="278"/>
      <c r="AV574" s="278"/>
      <c r="AW574" s="278"/>
      <c r="AX574" s="278"/>
      <c r="AY574" s="278"/>
      <c r="AZ574" s="278"/>
      <c r="BA574" s="278"/>
      <c r="BB574" s="278"/>
      <c r="BC574" s="278"/>
      <c r="BD574" s="278"/>
    </row>
    <row r="575" spans="1:56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196"/>
      <c r="S575" s="196"/>
      <c r="T575" s="196"/>
      <c r="U575" s="278"/>
      <c r="V575" s="278"/>
      <c r="W575" s="278"/>
      <c r="X575" s="278"/>
      <c r="Y575" s="278"/>
      <c r="Z575" s="278"/>
      <c r="AA575" s="278"/>
      <c r="AB575" s="278"/>
      <c r="AC575" s="278"/>
      <c r="AD575" s="278"/>
      <c r="AE575" s="278"/>
      <c r="AF575" s="278"/>
      <c r="AG575" s="278"/>
      <c r="AH575" s="278"/>
      <c r="AI575" s="278"/>
      <c r="AJ575" s="278"/>
      <c r="AK575" s="278"/>
      <c r="AL575" s="278"/>
      <c r="AM575" s="278"/>
      <c r="AN575" s="278"/>
      <c r="AO575" s="278"/>
      <c r="AP575" s="278"/>
      <c r="AQ575" s="278"/>
      <c r="AR575" s="278"/>
      <c r="AS575" s="278"/>
      <c r="AT575" s="278"/>
      <c r="AU575" s="278"/>
      <c r="AV575" s="278"/>
      <c r="AW575" s="278"/>
      <c r="AX575" s="278"/>
      <c r="AY575" s="278"/>
      <c r="AZ575" s="278"/>
      <c r="BA575" s="278"/>
      <c r="BB575" s="278"/>
      <c r="BC575" s="278"/>
      <c r="BD575" s="278"/>
    </row>
    <row r="576" spans="1:56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196"/>
      <c r="S576" s="196"/>
      <c r="T576" s="196"/>
      <c r="U576" s="278"/>
      <c r="V576" s="278"/>
      <c r="W576" s="278"/>
      <c r="X576" s="278"/>
      <c r="Y576" s="278"/>
      <c r="Z576" s="278"/>
      <c r="AA576" s="278"/>
      <c r="AB576" s="278"/>
      <c r="AC576" s="278"/>
      <c r="AD576" s="278"/>
      <c r="AE576" s="278"/>
      <c r="AF576" s="278"/>
      <c r="AG576" s="278"/>
      <c r="AH576" s="278"/>
      <c r="AI576" s="278"/>
      <c r="AJ576" s="278"/>
      <c r="AK576" s="278"/>
      <c r="AL576" s="278"/>
      <c r="AM576" s="278"/>
      <c r="AN576" s="278"/>
      <c r="AO576" s="278"/>
      <c r="AP576" s="278"/>
      <c r="AQ576" s="278"/>
      <c r="AR576" s="278"/>
      <c r="AS576" s="278"/>
      <c r="AT576" s="278"/>
      <c r="AU576" s="278"/>
      <c r="AV576" s="278"/>
      <c r="AW576" s="278"/>
      <c r="AX576" s="278"/>
      <c r="AY576" s="278"/>
      <c r="AZ576" s="278"/>
      <c r="BA576" s="278"/>
      <c r="BB576" s="278"/>
      <c r="BC576" s="278"/>
      <c r="BD576" s="278"/>
    </row>
    <row r="577" spans="1:56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196"/>
      <c r="S577" s="196"/>
      <c r="T577" s="196"/>
      <c r="U577" s="278"/>
      <c r="V577" s="278"/>
      <c r="W577" s="278"/>
      <c r="X577" s="278"/>
      <c r="Y577" s="278"/>
      <c r="Z577" s="278"/>
      <c r="AA577" s="278"/>
      <c r="AB577" s="278"/>
      <c r="AC577" s="278"/>
      <c r="AD577" s="278"/>
      <c r="AE577" s="278"/>
      <c r="AF577" s="278"/>
      <c r="AG577" s="278"/>
      <c r="AH577" s="278"/>
      <c r="AI577" s="278"/>
      <c r="AJ577" s="278"/>
      <c r="AK577" s="278"/>
      <c r="AL577" s="278"/>
      <c r="AM577" s="278"/>
      <c r="AN577" s="278"/>
      <c r="AO577" s="278"/>
      <c r="AP577" s="278"/>
      <c r="AQ577" s="278"/>
      <c r="AR577" s="278"/>
      <c r="AS577" s="278"/>
      <c r="AT577" s="278"/>
      <c r="AU577" s="278"/>
      <c r="AV577" s="278"/>
      <c r="AW577" s="278"/>
      <c r="AX577" s="278"/>
      <c r="AY577" s="278"/>
      <c r="AZ577" s="278"/>
      <c r="BA577" s="278"/>
      <c r="BB577" s="278"/>
      <c r="BC577" s="278"/>
      <c r="BD577" s="278"/>
    </row>
    <row r="578" spans="1:56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196"/>
      <c r="S578" s="196"/>
      <c r="T578" s="196"/>
      <c r="U578" s="278"/>
      <c r="V578" s="278"/>
      <c r="W578" s="278"/>
      <c r="X578" s="278"/>
      <c r="Y578" s="278"/>
      <c r="Z578" s="278"/>
      <c r="AA578" s="278"/>
      <c r="AB578" s="278"/>
      <c r="AC578" s="278"/>
      <c r="AD578" s="278"/>
      <c r="AE578" s="278"/>
      <c r="AF578" s="278"/>
      <c r="AG578" s="278"/>
      <c r="AH578" s="278"/>
      <c r="AI578" s="278"/>
      <c r="AJ578" s="278"/>
      <c r="AK578" s="278"/>
      <c r="AL578" s="278"/>
      <c r="AM578" s="278"/>
      <c r="AN578" s="278"/>
      <c r="AO578" s="278"/>
      <c r="AP578" s="278"/>
      <c r="AQ578" s="278"/>
      <c r="AR578" s="278"/>
      <c r="AS578" s="278"/>
      <c r="AT578" s="278"/>
      <c r="AU578" s="278"/>
      <c r="AV578" s="278"/>
      <c r="AW578" s="278"/>
      <c r="AX578" s="278"/>
      <c r="AY578" s="278"/>
      <c r="AZ578" s="278"/>
      <c r="BA578" s="278"/>
      <c r="BB578" s="278"/>
      <c r="BC578" s="278"/>
      <c r="BD578" s="278"/>
    </row>
    <row r="579" spans="1:56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196"/>
      <c r="S579" s="196"/>
      <c r="T579" s="196"/>
      <c r="U579" s="278"/>
      <c r="V579" s="278"/>
      <c r="W579" s="278"/>
      <c r="X579" s="278"/>
      <c r="Y579" s="278"/>
      <c r="Z579" s="278"/>
      <c r="AA579" s="278"/>
      <c r="AB579" s="278"/>
      <c r="AC579" s="278"/>
      <c r="AD579" s="278"/>
      <c r="AE579" s="278"/>
      <c r="AF579" s="278"/>
      <c r="AG579" s="278"/>
      <c r="AH579" s="278"/>
      <c r="AI579" s="278"/>
      <c r="AJ579" s="278"/>
      <c r="AK579" s="278"/>
      <c r="AL579" s="278"/>
      <c r="AM579" s="278"/>
      <c r="AN579" s="278"/>
      <c r="AO579" s="278"/>
      <c r="AP579" s="278"/>
      <c r="AQ579" s="278"/>
      <c r="AR579" s="278"/>
      <c r="AS579" s="278"/>
      <c r="AT579" s="278"/>
      <c r="AU579" s="278"/>
      <c r="AV579" s="278"/>
      <c r="AW579" s="278"/>
      <c r="AX579" s="278"/>
      <c r="AY579" s="278"/>
      <c r="AZ579" s="278"/>
      <c r="BA579" s="278"/>
      <c r="BB579" s="278"/>
      <c r="BC579" s="278"/>
      <c r="BD579" s="278"/>
    </row>
    <row r="580" spans="1:56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196"/>
      <c r="S580" s="196"/>
      <c r="T580" s="196"/>
      <c r="U580" s="278"/>
      <c r="V580" s="278"/>
      <c r="W580" s="278"/>
      <c r="X580" s="278"/>
      <c r="Y580" s="278"/>
      <c r="Z580" s="278"/>
      <c r="AA580" s="278"/>
      <c r="AB580" s="278"/>
      <c r="AC580" s="278"/>
      <c r="AD580" s="278"/>
      <c r="AE580" s="278"/>
      <c r="AF580" s="278"/>
      <c r="AG580" s="278"/>
      <c r="AH580" s="278"/>
      <c r="AI580" s="278"/>
      <c r="AJ580" s="278"/>
      <c r="AK580" s="278"/>
      <c r="AL580" s="278"/>
      <c r="AM580" s="278"/>
      <c r="AN580" s="278"/>
      <c r="AO580" s="278"/>
      <c r="AP580" s="278"/>
      <c r="AQ580" s="278"/>
      <c r="AR580" s="278"/>
      <c r="AS580" s="278"/>
      <c r="AT580" s="278"/>
      <c r="AU580" s="278"/>
      <c r="AV580" s="278"/>
      <c r="AW580" s="278"/>
      <c r="AX580" s="278"/>
      <c r="AY580" s="278"/>
      <c r="AZ580" s="278"/>
      <c r="BA580" s="278"/>
      <c r="BB580" s="278"/>
      <c r="BC580" s="278"/>
      <c r="BD580" s="278"/>
    </row>
    <row r="581" spans="1:56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196"/>
      <c r="S581" s="196"/>
      <c r="T581" s="196"/>
      <c r="U581" s="278"/>
      <c r="V581" s="278"/>
      <c r="W581" s="278"/>
      <c r="X581" s="278"/>
      <c r="Y581" s="278"/>
      <c r="Z581" s="278"/>
      <c r="AA581" s="278"/>
      <c r="AB581" s="278"/>
      <c r="AC581" s="278"/>
      <c r="AD581" s="278"/>
      <c r="AE581" s="278"/>
      <c r="AF581" s="278"/>
      <c r="AG581" s="278"/>
      <c r="AH581" s="278"/>
      <c r="AI581" s="278"/>
      <c r="AJ581" s="278"/>
      <c r="AK581" s="278"/>
      <c r="AL581" s="278"/>
      <c r="AM581" s="278"/>
      <c r="AN581" s="278"/>
      <c r="AO581" s="278"/>
      <c r="AP581" s="278"/>
      <c r="AQ581" s="278"/>
      <c r="AR581" s="278"/>
      <c r="AS581" s="278"/>
      <c r="AT581" s="278"/>
      <c r="AU581" s="278"/>
      <c r="AV581" s="278"/>
      <c r="AW581" s="278"/>
      <c r="AX581" s="278"/>
      <c r="AY581" s="278"/>
      <c r="AZ581" s="278"/>
      <c r="BA581" s="278"/>
      <c r="BB581" s="278"/>
      <c r="BC581" s="278"/>
      <c r="BD581" s="278"/>
    </row>
    <row r="582" spans="1:56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196"/>
      <c r="S582" s="196"/>
      <c r="T582" s="196"/>
      <c r="U582" s="278"/>
      <c r="V582" s="278"/>
      <c r="W582" s="278"/>
      <c r="X582" s="278"/>
      <c r="Y582" s="278"/>
      <c r="Z582" s="278"/>
      <c r="AA582" s="278"/>
      <c r="AB582" s="278"/>
      <c r="AC582" s="278"/>
      <c r="AD582" s="278"/>
      <c r="AE582" s="278"/>
      <c r="AF582" s="278"/>
      <c r="AG582" s="278"/>
      <c r="AH582" s="278"/>
      <c r="AI582" s="278"/>
      <c r="AJ582" s="278"/>
      <c r="AK582" s="278"/>
      <c r="AL582" s="278"/>
      <c r="AM582" s="278"/>
      <c r="AN582" s="278"/>
      <c r="AO582" s="278"/>
      <c r="AP582" s="278"/>
      <c r="AQ582" s="278"/>
      <c r="AR582" s="278"/>
      <c r="AS582" s="278"/>
      <c r="AT582" s="278"/>
      <c r="AU582" s="278"/>
      <c r="AV582" s="278"/>
      <c r="AW582" s="278"/>
      <c r="AX582" s="278"/>
      <c r="AY582" s="278"/>
      <c r="AZ582" s="278"/>
      <c r="BA582" s="278"/>
      <c r="BB582" s="278"/>
      <c r="BC582" s="278"/>
      <c r="BD582" s="278"/>
    </row>
    <row r="583" spans="1:56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196"/>
      <c r="S583" s="196"/>
      <c r="T583" s="196"/>
      <c r="U583" s="278"/>
      <c r="V583" s="278"/>
      <c r="W583" s="278"/>
      <c r="X583" s="278"/>
      <c r="Y583" s="278"/>
      <c r="Z583" s="278"/>
      <c r="AA583" s="278"/>
      <c r="AB583" s="278"/>
      <c r="AC583" s="278"/>
      <c r="AD583" s="278"/>
      <c r="AE583" s="278"/>
      <c r="AF583" s="278"/>
      <c r="AG583" s="278"/>
      <c r="AH583" s="278"/>
      <c r="AI583" s="278"/>
      <c r="AJ583" s="278"/>
      <c r="AK583" s="278"/>
      <c r="AL583" s="278"/>
      <c r="AM583" s="278"/>
      <c r="AN583" s="278"/>
      <c r="AO583" s="278"/>
      <c r="AP583" s="278"/>
      <c r="AQ583" s="278"/>
      <c r="AR583" s="278"/>
      <c r="AS583" s="278"/>
      <c r="AT583" s="278"/>
      <c r="AU583" s="278"/>
      <c r="AV583" s="278"/>
      <c r="AW583" s="278"/>
      <c r="AX583" s="278"/>
      <c r="AY583" s="278"/>
      <c r="AZ583" s="278"/>
      <c r="BA583" s="278"/>
      <c r="BB583" s="278"/>
      <c r="BC583" s="278"/>
      <c r="BD583" s="278"/>
    </row>
    <row r="584" spans="1:56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196"/>
      <c r="S584" s="196"/>
      <c r="T584" s="196"/>
      <c r="U584" s="278"/>
      <c r="V584" s="278"/>
      <c r="W584" s="278"/>
      <c r="X584" s="278"/>
      <c r="Y584" s="278"/>
      <c r="Z584" s="278"/>
      <c r="AA584" s="278"/>
      <c r="AB584" s="278"/>
      <c r="AC584" s="278"/>
      <c r="AD584" s="278"/>
      <c r="AE584" s="278"/>
      <c r="AF584" s="278"/>
      <c r="AG584" s="278"/>
      <c r="AH584" s="278"/>
      <c r="AI584" s="278"/>
      <c r="AJ584" s="278"/>
      <c r="AK584" s="278"/>
      <c r="AL584" s="278"/>
      <c r="AM584" s="278"/>
      <c r="AN584" s="278"/>
      <c r="AO584" s="278"/>
      <c r="AP584" s="278"/>
      <c r="AQ584" s="278"/>
      <c r="AR584" s="278"/>
      <c r="AS584" s="278"/>
      <c r="AT584" s="278"/>
      <c r="AU584" s="278"/>
      <c r="AV584" s="278"/>
      <c r="AW584" s="278"/>
      <c r="AX584" s="278"/>
      <c r="AY584" s="278"/>
      <c r="AZ584" s="278"/>
      <c r="BA584" s="278"/>
      <c r="BB584" s="278"/>
      <c r="BC584" s="278"/>
      <c r="BD584" s="278"/>
    </row>
    <row r="585" spans="1:56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196"/>
      <c r="S585" s="196"/>
      <c r="T585" s="196"/>
      <c r="U585" s="278"/>
      <c r="V585" s="278"/>
      <c r="W585" s="278"/>
      <c r="X585" s="278"/>
      <c r="Y585" s="278"/>
      <c r="Z585" s="278"/>
      <c r="AA585" s="278"/>
      <c r="AB585" s="278"/>
      <c r="AC585" s="278"/>
      <c r="AD585" s="278"/>
      <c r="AE585" s="278"/>
      <c r="AF585" s="278"/>
      <c r="AG585" s="278"/>
      <c r="AH585" s="278"/>
      <c r="AI585" s="278"/>
      <c r="AJ585" s="278"/>
      <c r="AK585" s="278"/>
      <c r="AL585" s="278"/>
      <c r="AM585" s="278"/>
      <c r="AN585" s="278"/>
      <c r="AO585" s="278"/>
      <c r="AP585" s="278"/>
      <c r="AQ585" s="278"/>
      <c r="AR585" s="278"/>
      <c r="AS585" s="278"/>
      <c r="AT585" s="278"/>
      <c r="AU585" s="278"/>
      <c r="AV585" s="278"/>
      <c r="AW585" s="278"/>
      <c r="AX585" s="278"/>
      <c r="AY585" s="278"/>
      <c r="AZ585" s="278"/>
      <c r="BA585" s="278"/>
      <c r="BB585" s="278"/>
      <c r="BC585" s="278"/>
      <c r="BD585" s="278"/>
    </row>
    <row r="586" spans="1:56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196"/>
      <c r="S586" s="196"/>
      <c r="T586" s="196"/>
      <c r="U586" s="278"/>
      <c r="V586" s="278"/>
      <c r="W586" s="278"/>
      <c r="X586" s="278"/>
      <c r="Y586" s="278"/>
      <c r="Z586" s="278"/>
      <c r="AA586" s="278"/>
      <c r="AB586" s="278"/>
      <c r="AC586" s="278"/>
      <c r="AD586" s="278"/>
      <c r="AE586" s="278"/>
      <c r="AF586" s="278"/>
      <c r="AG586" s="278"/>
      <c r="AH586" s="278"/>
      <c r="AI586" s="278"/>
      <c r="AJ586" s="278"/>
      <c r="AK586" s="278"/>
      <c r="AL586" s="278"/>
      <c r="AM586" s="278"/>
      <c r="AN586" s="278"/>
      <c r="AO586" s="278"/>
      <c r="AP586" s="278"/>
      <c r="AQ586" s="278"/>
      <c r="AR586" s="278"/>
      <c r="AS586" s="278"/>
      <c r="AT586" s="278"/>
      <c r="AU586" s="278"/>
      <c r="AV586" s="278"/>
      <c r="AW586" s="278"/>
      <c r="AX586" s="278"/>
      <c r="AY586" s="278"/>
      <c r="AZ586" s="278"/>
      <c r="BA586" s="278"/>
      <c r="BB586" s="278"/>
      <c r="BC586" s="278"/>
      <c r="BD586" s="278"/>
    </row>
    <row r="587" spans="1:56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196"/>
      <c r="S587" s="196"/>
      <c r="T587" s="196"/>
      <c r="U587" s="278"/>
      <c r="V587" s="278"/>
      <c r="W587" s="278"/>
      <c r="X587" s="278"/>
      <c r="Y587" s="278"/>
      <c r="Z587" s="278"/>
      <c r="AA587" s="278"/>
      <c r="AB587" s="278"/>
      <c r="AC587" s="278"/>
      <c r="AD587" s="278"/>
      <c r="AE587" s="278"/>
      <c r="AF587" s="278"/>
      <c r="AG587" s="278"/>
      <c r="AH587" s="278"/>
      <c r="AI587" s="278"/>
      <c r="AJ587" s="278"/>
      <c r="AK587" s="278"/>
      <c r="AL587" s="278"/>
      <c r="AM587" s="278"/>
      <c r="AN587" s="278"/>
      <c r="AO587" s="278"/>
      <c r="AP587" s="278"/>
      <c r="AQ587" s="278"/>
      <c r="AR587" s="278"/>
      <c r="AS587" s="278"/>
      <c r="AT587" s="278"/>
      <c r="AU587" s="278"/>
      <c r="AV587" s="278"/>
      <c r="AW587" s="278"/>
      <c r="AX587" s="278"/>
      <c r="AY587" s="278"/>
      <c r="AZ587" s="278"/>
      <c r="BA587" s="278"/>
      <c r="BB587" s="278"/>
      <c r="BC587" s="278"/>
      <c r="BD587" s="278"/>
    </row>
    <row r="588" spans="1:56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196"/>
      <c r="S588" s="196"/>
      <c r="T588" s="196"/>
      <c r="U588" s="278"/>
      <c r="V588" s="278"/>
      <c r="W588" s="278"/>
      <c r="X588" s="278"/>
      <c r="Y588" s="278"/>
      <c r="Z588" s="278"/>
      <c r="AA588" s="278"/>
      <c r="AB588" s="278"/>
      <c r="AC588" s="278"/>
      <c r="AD588" s="278"/>
      <c r="AE588" s="278"/>
      <c r="AF588" s="278"/>
      <c r="AG588" s="278"/>
      <c r="AH588" s="278"/>
      <c r="AI588" s="278"/>
      <c r="AJ588" s="278"/>
      <c r="AK588" s="278"/>
      <c r="AL588" s="278"/>
      <c r="AM588" s="278"/>
      <c r="AN588" s="278"/>
      <c r="AO588" s="278"/>
      <c r="AP588" s="278"/>
      <c r="AQ588" s="278"/>
      <c r="AR588" s="278"/>
      <c r="AS588" s="278"/>
      <c r="AT588" s="278"/>
      <c r="AU588" s="278"/>
      <c r="AV588" s="278"/>
      <c r="AW588" s="278"/>
      <c r="AX588" s="278"/>
      <c r="AY588" s="278"/>
      <c r="AZ588" s="278"/>
      <c r="BA588" s="278"/>
      <c r="BB588" s="278"/>
      <c r="BC588" s="278"/>
      <c r="BD588" s="278"/>
    </row>
    <row r="589" spans="1:56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196"/>
      <c r="S589" s="196"/>
      <c r="T589" s="196"/>
      <c r="U589" s="278"/>
      <c r="V589" s="278"/>
      <c r="W589" s="278"/>
      <c r="X589" s="278"/>
      <c r="Y589" s="278"/>
      <c r="Z589" s="278"/>
      <c r="AA589" s="278"/>
      <c r="AB589" s="278"/>
      <c r="AC589" s="278"/>
      <c r="AD589" s="278"/>
      <c r="AE589" s="278"/>
      <c r="AF589" s="278"/>
      <c r="AG589" s="278"/>
      <c r="AH589" s="278"/>
      <c r="AI589" s="278"/>
      <c r="AJ589" s="278"/>
      <c r="AK589" s="278"/>
      <c r="AL589" s="278"/>
      <c r="AM589" s="278"/>
      <c r="AN589" s="278"/>
      <c r="AO589" s="278"/>
      <c r="AP589" s="278"/>
      <c r="AQ589" s="278"/>
      <c r="AR589" s="278"/>
      <c r="AS589" s="278"/>
      <c r="AT589" s="278"/>
      <c r="AU589" s="278"/>
      <c r="AV589" s="278"/>
      <c r="AW589" s="278"/>
      <c r="AX589" s="278"/>
      <c r="AY589" s="278"/>
      <c r="AZ589" s="278"/>
      <c r="BA589" s="278"/>
      <c r="BB589" s="278"/>
      <c r="BC589" s="278"/>
      <c r="BD589" s="278"/>
    </row>
    <row r="590" spans="1:56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196"/>
      <c r="S590" s="196"/>
      <c r="T590" s="196"/>
      <c r="U590" s="278"/>
      <c r="V590" s="278"/>
      <c r="W590" s="278"/>
      <c r="X590" s="278"/>
      <c r="Y590" s="278"/>
      <c r="Z590" s="278"/>
      <c r="AA590" s="278"/>
      <c r="AB590" s="278"/>
      <c r="AC590" s="278"/>
      <c r="AD590" s="278"/>
      <c r="AE590" s="278"/>
      <c r="AF590" s="278"/>
      <c r="AG590" s="278"/>
      <c r="AH590" s="278"/>
      <c r="AI590" s="278"/>
      <c r="AJ590" s="278"/>
      <c r="AK590" s="278"/>
      <c r="AL590" s="278"/>
      <c r="AM590" s="278"/>
      <c r="AN590" s="278"/>
      <c r="AO590" s="278"/>
      <c r="AP590" s="278"/>
      <c r="AQ590" s="278"/>
      <c r="AR590" s="278"/>
      <c r="AS590" s="278"/>
      <c r="AT590" s="278"/>
      <c r="AU590" s="278"/>
      <c r="AV590" s="278"/>
      <c r="AW590" s="278"/>
      <c r="AX590" s="278"/>
      <c r="AY590" s="278"/>
      <c r="AZ590" s="278"/>
      <c r="BA590" s="278"/>
      <c r="BB590" s="278"/>
      <c r="BC590" s="278"/>
      <c r="BD590" s="278"/>
    </row>
    <row r="591" spans="1:56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196"/>
      <c r="S591" s="196"/>
      <c r="T591" s="196"/>
      <c r="U591" s="278"/>
      <c r="V591" s="278"/>
      <c r="W591" s="278"/>
      <c r="X591" s="278"/>
      <c r="Y591" s="278"/>
      <c r="Z591" s="278"/>
      <c r="AA591" s="278"/>
      <c r="AB591" s="278"/>
      <c r="AC591" s="278"/>
      <c r="AD591" s="278"/>
      <c r="AE591" s="278"/>
      <c r="AF591" s="278"/>
      <c r="AG591" s="278"/>
      <c r="AH591" s="278"/>
      <c r="AI591" s="278"/>
      <c r="AJ591" s="278"/>
      <c r="AK591" s="278"/>
      <c r="AL591" s="278"/>
      <c r="AM591" s="278"/>
      <c r="AN591" s="278"/>
      <c r="AO591" s="278"/>
      <c r="AP591" s="278"/>
      <c r="AQ591" s="278"/>
      <c r="AR591" s="278"/>
      <c r="AS591" s="278"/>
      <c r="AT591" s="278"/>
      <c r="AU591" s="278"/>
      <c r="AV591" s="278"/>
      <c r="AW591" s="278"/>
      <c r="AX591" s="278"/>
      <c r="AY591" s="278"/>
      <c r="AZ591" s="278"/>
      <c r="BA591" s="278"/>
      <c r="BB591" s="278"/>
      <c r="BC591" s="278"/>
      <c r="BD591" s="278"/>
    </row>
    <row r="592" spans="1:56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196"/>
      <c r="S592" s="196"/>
      <c r="T592" s="196"/>
      <c r="U592" s="278"/>
      <c r="V592" s="278"/>
      <c r="W592" s="278"/>
      <c r="X592" s="278"/>
      <c r="Y592" s="278"/>
      <c r="Z592" s="278"/>
      <c r="AA592" s="278"/>
      <c r="AB592" s="278"/>
      <c r="AC592" s="278"/>
      <c r="AD592" s="278"/>
      <c r="AE592" s="278"/>
      <c r="AF592" s="278"/>
      <c r="AG592" s="278"/>
      <c r="AH592" s="278"/>
      <c r="AI592" s="278"/>
      <c r="AJ592" s="278"/>
      <c r="AK592" s="278"/>
      <c r="AL592" s="278"/>
      <c r="AM592" s="278"/>
      <c r="AN592" s="278"/>
      <c r="AO592" s="278"/>
      <c r="AP592" s="278"/>
      <c r="AQ592" s="278"/>
      <c r="AR592" s="278"/>
      <c r="AS592" s="278"/>
      <c r="AT592" s="278"/>
      <c r="AU592" s="278"/>
      <c r="AV592" s="278"/>
      <c r="AW592" s="278"/>
      <c r="AX592" s="278"/>
      <c r="AY592" s="278"/>
      <c r="AZ592" s="278"/>
      <c r="BA592" s="278"/>
      <c r="BB592" s="278"/>
      <c r="BC592" s="278"/>
      <c r="BD592" s="278"/>
    </row>
    <row r="593" spans="1:56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196"/>
      <c r="S593" s="196"/>
      <c r="T593" s="196"/>
      <c r="U593" s="278"/>
      <c r="V593" s="278"/>
      <c r="W593" s="278"/>
      <c r="X593" s="278"/>
      <c r="Y593" s="278"/>
      <c r="Z593" s="278"/>
      <c r="AA593" s="278"/>
      <c r="AB593" s="278"/>
      <c r="AC593" s="278"/>
      <c r="AD593" s="278"/>
      <c r="AE593" s="278"/>
      <c r="AF593" s="278"/>
      <c r="AG593" s="278"/>
      <c r="AH593" s="278"/>
      <c r="AI593" s="278"/>
      <c r="AJ593" s="278"/>
      <c r="AK593" s="278"/>
      <c r="AL593" s="278"/>
      <c r="AM593" s="278"/>
      <c r="AN593" s="278"/>
      <c r="AO593" s="278"/>
      <c r="AP593" s="278"/>
      <c r="AQ593" s="278"/>
      <c r="AR593" s="278"/>
      <c r="AS593" s="278"/>
      <c r="AT593" s="278"/>
      <c r="AU593" s="278"/>
      <c r="AV593" s="278"/>
      <c r="AW593" s="278"/>
      <c r="AX593" s="278"/>
      <c r="AY593" s="278"/>
      <c r="AZ593" s="278"/>
      <c r="BA593" s="278"/>
      <c r="BB593" s="278"/>
      <c r="BC593" s="278"/>
      <c r="BD593" s="278"/>
    </row>
    <row r="594" spans="1:56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196"/>
      <c r="S594" s="196"/>
      <c r="T594" s="196"/>
      <c r="U594" s="278"/>
      <c r="V594" s="278"/>
      <c r="W594" s="278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  <c r="AJ594" s="278"/>
      <c r="AK594" s="278"/>
      <c r="AL594" s="278"/>
      <c r="AM594" s="278"/>
      <c r="AN594" s="278"/>
      <c r="AO594" s="278"/>
      <c r="AP594" s="278"/>
      <c r="AQ594" s="278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</row>
    <row r="595" spans="1:56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196"/>
      <c r="S595" s="196"/>
      <c r="T595" s="196"/>
      <c r="U595" s="278"/>
      <c r="V595" s="278"/>
      <c r="W595" s="278"/>
      <c r="X595" s="278"/>
      <c r="Y595" s="278"/>
      <c r="Z595" s="278"/>
      <c r="AA595" s="278"/>
      <c r="AB595" s="278"/>
      <c r="AC595" s="278"/>
      <c r="AD595" s="278"/>
      <c r="AE595" s="278"/>
      <c r="AF595" s="278"/>
      <c r="AG595" s="278"/>
      <c r="AH595" s="278"/>
      <c r="AI595" s="278"/>
      <c r="AJ595" s="278"/>
      <c r="AK595" s="278"/>
      <c r="AL595" s="278"/>
      <c r="AM595" s="278"/>
      <c r="AN595" s="278"/>
      <c r="AO595" s="278"/>
      <c r="AP595" s="278"/>
      <c r="AQ595" s="278"/>
      <c r="AR595" s="278"/>
      <c r="AS595" s="278"/>
      <c r="AT595" s="278"/>
      <c r="AU595" s="278"/>
      <c r="AV595" s="278"/>
      <c r="AW595" s="278"/>
      <c r="AX595" s="278"/>
      <c r="AY595" s="278"/>
      <c r="AZ595" s="278"/>
      <c r="BA595" s="278"/>
      <c r="BB595" s="278"/>
      <c r="BC595" s="278"/>
      <c r="BD595" s="278"/>
    </row>
    <row r="596" spans="1:56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196"/>
      <c r="S596" s="196"/>
      <c r="T596" s="196"/>
      <c r="U596" s="278"/>
      <c r="V596" s="278"/>
      <c r="W596" s="278"/>
      <c r="X596" s="278"/>
      <c r="Y596" s="278"/>
      <c r="Z596" s="278"/>
      <c r="AA596" s="278"/>
      <c r="AB596" s="278"/>
      <c r="AC596" s="278"/>
      <c r="AD596" s="278"/>
      <c r="AE596" s="278"/>
      <c r="AF596" s="278"/>
      <c r="AG596" s="278"/>
      <c r="AH596" s="278"/>
      <c r="AI596" s="278"/>
      <c r="AJ596" s="278"/>
      <c r="AK596" s="278"/>
      <c r="AL596" s="278"/>
      <c r="AM596" s="278"/>
      <c r="AN596" s="278"/>
      <c r="AO596" s="278"/>
      <c r="AP596" s="278"/>
      <c r="AQ596" s="278"/>
      <c r="AR596" s="278"/>
      <c r="AS596" s="278"/>
      <c r="AT596" s="278"/>
      <c r="AU596" s="278"/>
      <c r="AV596" s="278"/>
      <c r="AW596" s="278"/>
      <c r="AX596" s="278"/>
      <c r="AY596" s="278"/>
      <c r="AZ596" s="278"/>
      <c r="BA596" s="278"/>
      <c r="BB596" s="278"/>
      <c r="BC596" s="278"/>
      <c r="BD596" s="278"/>
    </row>
    <row r="597" spans="1:56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196"/>
      <c r="S597" s="196"/>
      <c r="T597" s="196"/>
      <c r="U597" s="278"/>
      <c r="V597" s="278"/>
      <c r="W597" s="278"/>
      <c r="X597" s="278"/>
      <c r="Y597" s="278"/>
      <c r="Z597" s="278"/>
      <c r="AA597" s="278"/>
      <c r="AB597" s="278"/>
      <c r="AC597" s="278"/>
      <c r="AD597" s="278"/>
      <c r="AE597" s="278"/>
      <c r="AF597" s="278"/>
      <c r="AG597" s="278"/>
      <c r="AH597" s="278"/>
      <c r="AI597" s="278"/>
      <c r="AJ597" s="278"/>
      <c r="AK597" s="278"/>
      <c r="AL597" s="278"/>
      <c r="AM597" s="278"/>
      <c r="AN597" s="278"/>
      <c r="AO597" s="278"/>
      <c r="AP597" s="278"/>
      <c r="AQ597" s="278"/>
      <c r="AR597" s="278"/>
      <c r="AS597" s="278"/>
      <c r="AT597" s="278"/>
      <c r="AU597" s="278"/>
      <c r="AV597" s="278"/>
      <c r="AW597" s="278"/>
      <c r="AX597" s="278"/>
      <c r="AY597" s="278"/>
      <c r="AZ597" s="278"/>
      <c r="BA597" s="278"/>
      <c r="BB597" s="278"/>
      <c r="BC597" s="278"/>
      <c r="BD597" s="278"/>
    </row>
    <row r="598" spans="1:56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196"/>
      <c r="S598" s="196"/>
      <c r="T598" s="196"/>
      <c r="U598" s="278"/>
      <c r="V598" s="278"/>
      <c r="W598" s="278"/>
      <c r="X598" s="278"/>
      <c r="Y598" s="278"/>
      <c r="Z598" s="278"/>
      <c r="AA598" s="278"/>
      <c r="AB598" s="278"/>
      <c r="AC598" s="278"/>
      <c r="AD598" s="278"/>
      <c r="AE598" s="278"/>
      <c r="AF598" s="278"/>
      <c r="AG598" s="278"/>
      <c r="AH598" s="278"/>
      <c r="AI598" s="278"/>
      <c r="AJ598" s="278"/>
      <c r="AK598" s="278"/>
      <c r="AL598" s="278"/>
      <c r="AM598" s="278"/>
      <c r="AN598" s="278"/>
      <c r="AO598" s="278"/>
      <c r="AP598" s="278"/>
      <c r="AQ598" s="278"/>
      <c r="AR598" s="278"/>
      <c r="AS598" s="278"/>
      <c r="AT598" s="278"/>
      <c r="AU598" s="278"/>
      <c r="AV598" s="278"/>
      <c r="AW598" s="278"/>
      <c r="AX598" s="278"/>
      <c r="AY598" s="278"/>
      <c r="AZ598" s="278"/>
      <c r="BA598" s="278"/>
      <c r="BB598" s="278"/>
      <c r="BC598" s="278"/>
      <c r="BD598" s="278"/>
    </row>
    <row r="599" spans="1:56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196"/>
      <c r="S599" s="196"/>
      <c r="T599" s="196"/>
      <c r="U599" s="278"/>
      <c r="V599" s="278"/>
      <c r="W599" s="278"/>
      <c r="X599" s="278"/>
      <c r="Y599" s="278"/>
      <c r="Z599" s="278"/>
      <c r="AA599" s="278"/>
      <c r="AB599" s="278"/>
      <c r="AC599" s="278"/>
      <c r="AD599" s="278"/>
      <c r="AE599" s="278"/>
      <c r="AF599" s="278"/>
      <c r="AG599" s="278"/>
      <c r="AH599" s="278"/>
      <c r="AI599" s="278"/>
      <c r="AJ599" s="278"/>
      <c r="AK599" s="278"/>
      <c r="AL599" s="278"/>
      <c r="AM599" s="278"/>
      <c r="AN599" s="278"/>
      <c r="AO599" s="278"/>
      <c r="AP599" s="278"/>
      <c r="AQ599" s="278"/>
      <c r="AR599" s="278"/>
      <c r="AS599" s="278"/>
      <c r="AT599" s="278"/>
      <c r="AU599" s="278"/>
      <c r="AV599" s="278"/>
      <c r="AW599" s="278"/>
      <c r="AX599" s="278"/>
      <c r="AY599" s="278"/>
      <c r="AZ599" s="278"/>
      <c r="BA599" s="278"/>
      <c r="BB599" s="278"/>
      <c r="BC599" s="278"/>
      <c r="BD599" s="278"/>
    </row>
    <row r="600" spans="1:56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196"/>
      <c r="S600" s="196"/>
      <c r="T600" s="196"/>
      <c r="U600" s="278"/>
      <c r="V600" s="278"/>
      <c r="W600" s="278"/>
      <c r="X600" s="278"/>
      <c r="Y600" s="278"/>
      <c r="Z600" s="278"/>
      <c r="AA600" s="278"/>
      <c r="AB600" s="278"/>
      <c r="AC600" s="278"/>
      <c r="AD600" s="278"/>
      <c r="AE600" s="278"/>
      <c r="AF600" s="278"/>
      <c r="AG600" s="278"/>
      <c r="AH600" s="278"/>
      <c r="AI600" s="278"/>
      <c r="AJ600" s="278"/>
      <c r="AK600" s="278"/>
      <c r="AL600" s="278"/>
      <c r="AM600" s="278"/>
      <c r="AN600" s="278"/>
      <c r="AO600" s="278"/>
      <c r="AP600" s="278"/>
      <c r="AQ600" s="278"/>
      <c r="AR600" s="278"/>
      <c r="AS600" s="278"/>
      <c r="AT600" s="278"/>
      <c r="AU600" s="278"/>
      <c r="AV600" s="278"/>
      <c r="AW600" s="278"/>
      <c r="AX600" s="278"/>
      <c r="AY600" s="278"/>
      <c r="AZ600" s="278"/>
      <c r="BA600" s="278"/>
      <c r="BB600" s="278"/>
      <c r="BC600" s="278"/>
      <c r="BD600" s="278"/>
    </row>
    <row r="601" spans="1:56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196"/>
      <c r="S601" s="196"/>
      <c r="T601" s="196"/>
      <c r="U601" s="278"/>
      <c r="V601" s="278"/>
      <c r="W601" s="278"/>
      <c r="X601" s="278"/>
      <c r="Y601" s="278"/>
      <c r="Z601" s="278"/>
      <c r="AA601" s="278"/>
      <c r="AB601" s="278"/>
      <c r="AC601" s="278"/>
      <c r="AD601" s="278"/>
      <c r="AE601" s="278"/>
      <c r="AF601" s="278"/>
      <c r="AG601" s="278"/>
      <c r="AH601" s="278"/>
      <c r="AI601" s="278"/>
      <c r="AJ601" s="278"/>
      <c r="AK601" s="278"/>
      <c r="AL601" s="278"/>
      <c r="AM601" s="278"/>
      <c r="AN601" s="278"/>
      <c r="AO601" s="278"/>
      <c r="AP601" s="278"/>
      <c r="AQ601" s="278"/>
      <c r="AR601" s="278"/>
      <c r="AS601" s="278"/>
      <c r="AT601" s="278"/>
      <c r="AU601" s="278"/>
      <c r="AV601" s="278"/>
      <c r="AW601" s="278"/>
      <c r="AX601" s="278"/>
      <c r="AY601" s="278"/>
      <c r="AZ601" s="278"/>
      <c r="BA601" s="278"/>
      <c r="BB601" s="278"/>
      <c r="BC601" s="278"/>
      <c r="BD601" s="278"/>
    </row>
    <row r="602" spans="1:56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196"/>
      <c r="S602" s="196"/>
      <c r="T602" s="196"/>
      <c r="U602" s="278"/>
      <c r="V602" s="278"/>
      <c r="W602" s="278"/>
      <c r="X602" s="278"/>
      <c r="Y602" s="278"/>
      <c r="Z602" s="278"/>
      <c r="AA602" s="278"/>
      <c r="AB602" s="278"/>
      <c r="AC602" s="278"/>
      <c r="AD602" s="278"/>
      <c r="AE602" s="278"/>
      <c r="AF602" s="278"/>
      <c r="AG602" s="278"/>
      <c r="AH602" s="278"/>
      <c r="AI602" s="278"/>
      <c r="AJ602" s="278"/>
      <c r="AK602" s="278"/>
      <c r="AL602" s="278"/>
      <c r="AM602" s="278"/>
      <c r="AN602" s="278"/>
      <c r="AO602" s="278"/>
      <c r="AP602" s="278"/>
      <c r="AQ602" s="278"/>
      <c r="AR602" s="278"/>
      <c r="AS602" s="278"/>
      <c r="AT602" s="278"/>
      <c r="AU602" s="278"/>
      <c r="AV602" s="278"/>
      <c r="AW602" s="278"/>
      <c r="AX602" s="278"/>
      <c r="AY602" s="278"/>
      <c r="AZ602" s="278"/>
      <c r="BA602" s="278"/>
      <c r="BB602" s="278"/>
      <c r="BC602" s="278"/>
      <c r="BD602" s="278"/>
    </row>
    <row r="603" spans="1:56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196"/>
      <c r="S603" s="196"/>
      <c r="T603" s="196"/>
      <c r="U603" s="278"/>
      <c r="V603" s="278"/>
      <c r="W603" s="278"/>
      <c r="X603" s="278"/>
      <c r="Y603" s="278"/>
      <c r="Z603" s="278"/>
      <c r="AA603" s="278"/>
      <c r="AB603" s="278"/>
      <c r="AC603" s="278"/>
      <c r="AD603" s="278"/>
      <c r="AE603" s="278"/>
      <c r="AF603" s="278"/>
      <c r="AG603" s="278"/>
      <c r="AH603" s="278"/>
      <c r="AI603" s="278"/>
      <c r="AJ603" s="278"/>
      <c r="AK603" s="278"/>
      <c r="AL603" s="278"/>
      <c r="AM603" s="278"/>
      <c r="AN603" s="278"/>
      <c r="AO603" s="278"/>
      <c r="AP603" s="278"/>
      <c r="AQ603" s="278"/>
      <c r="AR603" s="278"/>
      <c r="AS603" s="278"/>
      <c r="AT603" s="278"/>
      <c r="AU603" s="278"/>
      <c r="AV603" s="278"/>
      <c r="AW603" s="278"/>
      <c r="AX603" s="278"/>
      <c r="AY603" s="278"/>
      <c r="AZ603" s="278"/>
      <c r="BA603" s="278"/>
      <c r="BB603" s="278"/>
      <c r="BC603" s="278"/>
      <c r="BD603" s="278"/>
    </row>
    <row r="604" spans="1:56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196"/>
      <c r="S604" s="196"/>
      <c r="T604" s="196"/>
      <c r="U604" s="278"/>
      <c r="V604" s="278"/>
      <c r="W604" s="278"/>
      <c r="X604" s="278"/>
      <c r="Y604" s="278"/>
      <c r="Z604" s="278"/>
      <c r="AA604" s="278"/>
      <c r="AB604" s="278"/>
      <c r="AC604" s="278"/>
      <c r="AD604" s="278"/>
      <c r="AE604" s="278"/>
      <c r="AF604" s="278"/>
      <c r="AG604" s="278"/>
      <c r="AH604" s="278"/>
      <c r="AI604" s="278"/>
      <c r="AJ604" s="278"/>
      <c r="AK604" s="278"/>
      <c r="AL604" s="278"/>
      <c r="AM604" s="278"/>
      <c r="AN604" s="278"/>
      <c r="AO604" s="278"/>
      <c r="AP604" s="278"/>
      <c r="AQ604" s="278"/>
      <c r="AR604" s="278"/>
      <c r="AS604" s="278"/>
      <c r="AT604" s="278"/>
      <c r="AU604" s="278"/>
      <c r="AV604" s="278"/>
      <c r="AW604" s="278"/>
      <c r="AX604" s="278"/>
      <c r="AY604" s="278"/>
      <c r="AZ604" s="278"/>
      <c r="BA604" s="278"/>
      <c r="BB604" s="278"/>
      <c r="BC604" s="278"/>
      <c r="BD604" s="278"/>
    </row>
    <row r="605" spans="1:56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196"/>
      <c r="S605" s="196"/>
      <c r="T605" s="196"/>
      <c r="U605" s="278"/>
      <c r="V605" s="278"/>
      <c r="W605" s="278"/>
      <c r="X605" s="278"/>
      <c r="Y605" s="278"/>
      <c r="Z605" s="278"/>
      <c r="AA605" s="278"/>
      <c r="AB605" s="278"/>
      <c r="AC605" s="278"/>
      <c r="AD605" s="278"/>
      <c r="AE605" s="278"/>
      <c r="AF605" s="278"/>
      <c r="AG605" s="278"/>
      <c r="AH605" s="278"/>
      <c r="AI605" s="278"/>
      <c r="AJ605" s="278"/>
      <c r="AK605" s="278"/>
      <c r="AL605" s="278"/>
      <c r="AM605" s="278"/>
      <c r="AN605" s="278"/>
      <c r="AO605" s="278"/>
      <c r="AP605" s="278"/>
      <c r="AQ605" s="278"/>
      <c r="AR605" s="278"/>
      <c r="AS605" s="278"/>
      <c r="AT605" s="278"/>
      <c r="AU605" s="278"/>
      <c r="AV605" s="278"/>
      <c r="AW605" s="278"/>
      <c r="AX605" s="278"/>
      <c r="AY605" s="278"/>
      <c r="AZ605" s="278"/>
      <c r="BA605" s="278"/>
      <c r="BB605" s="278"/>
      <c r="BC605" s="278"/>
      <c r="BD605" s="278"/>
    </row>
    <row r="606" spans="1:56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196"/>
      <c r="S606" s="196"/>
      <c r="T606" s="196"/>
      <c r="U606" s="278"/>
      <c r="V606" s="278"/>
      <c r="W606" s="278"/>
      <c r="X606" s="278"/>
      <c r="Y606" s="278"/>
      <c r="Z606" s="278"/>
      <c r="AA606" s="278"/>
      <c r="AB606" s="278"/>
      <c r="AC606" s="278"/>
      <c r="AD606" s="278"/>
      <c r="AE606" s="278"/>
      <c r="AF606" s="278"/>
      <c r="AG606" s="278"/>
      <c r="AH606" s="278"/>
      <c r="AI606" s="278"/>
      <c r="AJ606" s="278"/>
      <c r="AK606" s="278"/>
      <c r="AL606" s="278"/>
      <c r="AM606" s="278"/>
      <c r="AN606" s="278"/>
      <c r="AO606" s="278"/>
      <c r="AP606" s="278"/>
      <c r="AQ606" s="278"/>
      <c r="AR606" s="278"/>
      <c r="AS606" s="278"/>
      <c r="AT606" s="278"/>
      <c r="AU606" s="278"/>
      <c r="AV606" s="278"/>
      <c r="AW606" s="278"/>
      <c r="AX606" s="278"/>
      <c r="AY606" s="278"/>
      <c r="AZ606" s="278"/>
      <c r="BA606" s="278"/>
      <c r="BB606" s="278"/>
      <c r="BC606" s="278"/>
      <c r="BD606" s="278"/>
    </row>
    <row r="607" spans="1:56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196"/>
      <c r="S607" s="196"/>
      <c r="T607" s="196"/>
      <c r="U607" s="278"/>
      <c r="V607" s="278"/>
      <c r="W607" s="278"/>
      <c r="X607" s="278"/>
      <c r="Y607" s="278"/>
      <c r="Z607" s="278"/>
      <c r="AA607" s="278"/>
      <c r="AB607" s="278"/>
      <c r="AC607" s="278"/>
      <c r="AD607" s="278"/>
      <c r="AE607" s="278"/>
      <c r="AF607" s="278"/>
      <c r="AG607" s="278"/>
      <c r="AH607" s="278"/>
      <c r="AI607" s="278"/>
      <c r="AJ607" s="278"/>
      <c r="AK607" s="278"/>
      <c r="AL607" s="278"/>
      <c r="AM607" s="278"/>
      <c r="AN607" s="278"/>
      <c r="AO607" s="278"/>
      <c r="AP607" s="278"/>
      <c r="AQ607" s="278"/>
      <c r="AR607" s="278"/>
      <c r="AS607" s="278"/>
      <c r="AT607" s="278"/>
      <c r="AU607" s="278"/>
      <c r="AV607" s="278"/>
      <c r="AW607" s="278"/>
      <c r="AX607" s="278"/>
      <c r="AY607" s="278"/>
      <c r="AZ607" s="278"/>
      <c r="BA607" s="278"/>
      <c r="BB607" s="278"/>
      <c r="BC607" s="278"/>
      <c r="BD607" s="278"/>
    </row>
    <row r="608" spans="1:56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196"/>
      <c r="S608" s="196"/>
      <c r="T608" s="196"/>
      <c r="U608" s="278"/>
      <c r="V608" s="278"/>
      <c r="W608" s="278"/>
      <c r="X608" s="278"/>
      <c r="Y608" s="278"/>
      <c r="Z608" s="278"/>
      <c r="AA608" s="278"/>
      <c r="AB608" s="278"/>
      <c r="AC608" s="278"/>
      <c r="AD608" s="278"/>
      <c r="AE608" s="278"/>
      <c r="AF608" s="278"/>
      <c r="AG608" s="278"/>
      <c r="AH608" s="278"/>
      <c r="AI608" s="278"/>
      <c r="AJ608" s="278"/>
      <c r="AK608" s="278"/>
      <c r="AL608" s="278"/>
      <c r="AM608" s="278"/>
      <c r="AN608" s="278"/>
      <c r="AO608" s="278"/>
      <c r="AP608" s="278"/>
      <c r="AQ608" s="278"/>
      <c r="AR608" s="278"/>
      <c r="AS608" s="278"/>
      <c r="AT608" s="278"/>
      <c r="AU608" s="278"/>
      <c r="AV608" s="278"/>
      <c r="AW608" s="278"/>
      <c r="AX608" s="278"/>
      <c r="AY608" s="278"/>
      <c r="AZ608" s="278"/>
      <c r="BA608" s="278"/>
      <c r="BB608" s="278"/>
      <c r="BC608" s="278"/>
      <c r="BD608" s="278"/>
    </row>
    <row r="609" spans="1:56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196"/>
      <c r="S609" s="196"/>
      <c r="T609" s="196"/>
      <c r="U609" s="278"/>
      <c r="V609" s="278"/>
      <c r="W609" s="278"/>
      <c r="X609" s="278"/>
      <c r="Y609" s="278"/>
      <c r="Z609" s="278"/>
      <c r="AA609" s="278"/>
      <c r="AB609" s="278"/>
      <c r="AC609" s="278"/>
      <c r="AD609" s="278"/>
      <c r="AE609" s="278"/>
      <c r="AF609" s="278"/>
      <c r="AG609" s="278"/>
      <c r="AH609" s="278"/>
      <c r="AI609" s="278"/>
      <c r="AJ609" s="278"/>
      <c r="AK609" s="278"/>
      <c r="AL609" s="278"/>
      <c r="AM609" s="278"/>
      <c r="AN609" s="278"/>
      <c r="AO609" s="278"/>
      <c r="AP609" s="278"/>
      <c r="AQ609" s="278"/>
      <c r="AR609" s="278"/>
      <c r="AS609" s="278"/>
      <c r="AT609" s="278"/>
      <c r="AU609" s="278"/>
      <c r="AV609" s="278"/>
      <c r="AW609" s="278"/>
      <c r="AX609" s="278"/>
      <c r="AY609" s="278"/>
      <c r="AZ609" s="278"/>
      <c r="BA609" s="278"/>
      <c r="BB609" s="278"/>
      <c r="BC609" s="278"/>
      <c r="BD609" s="278"/>
    </row>
    <row r="610" spans="1:56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196"/>
      <c r="S610" s="196"/>
      <c r="T610" s="196"/>
      <c r="U610" s="278"/>
      <c r="V610" s="278"/>
      <c r="W610" s="278"/>
      <c r="X610" s="278"/>
      <c r="Y610" s="278"/>
      <c r="Z610" s="278"/>
      <c r="AA610" s="278"/>
      <c r="AB610" s="278"/>
      <c r="AC610" s="278"/>
      <c r="AD610" s="278"/>
      <c r="AE610" s="278"/>
      <c r="AF610" s="278"/>
      <c r="AG610" s="278"/>
      <c r="AH610" s="278"/>
      <c r="AI610" s="278"/>
      <c r="AJ610" s="278"/>
      <c r="AK610" s="278"/>
      <c r="AL610" s="278"/>
      <c r="AM610" s="278"/>
      <c r="AN610" s="278"/>
      <c r="AO610" s="278"/>
      <c r="AP610" s="278"/>
      <c r="AQ610" s="278"/>
      <c r="AR610" s="278"/>
      <c r="AS610" s="278"/>
      <c r="AT610" s="278"/>
      <c r="AU610" s="278"/>
      <c r="AV610" s="278"/>
      <c r="AW610" s="278"/>
      <c r="AX610" s="278"/>
      <c r="AY610" s="278"/>
      <c r="AZ610" s="278"/>
      <c r="BA610" s="278"/>
      <c r="BB610" s="278"/>
      <c r="BC610" s="278"/>
      <c r="BD610" s="278"/>
    </row>
    <row r="611" spans="1:56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196"/>
      <c r="S611" s="196"/>
      <c r="T611" s="196"/>
      <c r="U611" s="278"/>
      <c r="V611" s="278"/>
      <c r="W611" s="278"/>
      <c r="X611" s="278"/>
      <c r="Y611" s="278"/>
      <c r="Z611" s="278"/>
      <c r="AA611" s="278"/>
      <c r="AB611" s="278"/>
      <c r="AC611" s="278"/>
      <c r="AD611" s="278"/>
      <c r="AE611" s="278"/>
      <c r="AF611" s="278"/>
      <c r="AG611" s="278"/>
      <c r="AH611" s="278"/>
      <c r="AI611" s="278"/>
      <c r="AJ611" s="278"/>
      <c r="AK611" s="278"/>
      <c r="AL611" s="278"/>
      <c r="AM611" s="278"/>
      <c r="AN611" s="278"/>
      <c r="AO611" s="278"/>
      <c r="AP611" s="278"/>
      <c r="AQ611" s="278"/>
      <c r="AR611" s="278"/>
      <c r="AS611" s="278"/>
      <c r="AT611" s="278"/>
      <c r="AU611" s="278"/>
      <c r="AV611" s="278"/>
      <c r="AW611" s="278"/>
      <c r="AX611" s="278"/>
      <c r="AY611" s="278"/>
      <c r="AZ611" s="278"/>
      <c r="BA611" s="278"/>
      <c r="BB611" s="278"/>
      <c r="BC611" s="278"/>
      <c r="BD611" s="278"/>
    </row>
    <row r="612" spans="1:56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196"/>
      <c r="S612" s="196"/>
      <c r="T612" s="196"/>
      <c r="U612" s="278"/>
      <c r="V612" s="278"/>
      <c r="W612" s="278"/>
      <c r="X612" s="278"/>
      <c r="Y612" s="278"/>
      <c r="Z612" s="278"/>
      <c r="AA612" s="278"/>
      <c r="AB612" s="278"/>
      <c r="AC612" s="278"/>
      <c r="AD612" s="278"/>
      <c r="AE612" s="278"/>
      <c r="AF612" s="278"/>
      <c r="AG612" s="278"/>
      <c r="AH612" s="278"/>
      <c r="AI612" s="278"/>
      <c r="AJ612" s="278"/>
      <c r="AK612" s="278"/>
      <c r="AL612" s="278"/>
      <c r="AM612" s="278"/>
      <c r="AN612" s="278"/>
      <c r="AO612" s="278"/>
      <c r="AP612" s="278"/>
      <c r="AQ612" s="278"/>
      <c r="AR612" s="278"/>
      <c r="AS612" s="278"/>
      <c r="AT612" s="278"/>
      <c r="AU612" s="278"/>
      <c r="AV612" s="278"/>
      <c r="AW612" s="278"/>
      <c r="AX612" s="278"/>
      <c r="AY612" s="278"/>
      <c r="AZ612" s="278"/>
      <c r="BA612" s="278"/>
      <c r="BB612" s="278"/>
      <c r="BC612" s="278"/>
      <c r="BD612" s="278"/>
    </row>
    <row r="613" spans="1:56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196"/>
      <c r="S613" s="196"/>
      <c r="T613" s="196"/>
      <c r="U613" s="278"/>
      <c r="V613" s="278"/>
      <c r="W613" s="278"/>
      <c r="X613" s="278"/>
      <c r="Y613" s="278"/>
      <c r="Z613" s="278"/>
      <c r="AA613" s="278"/>
      <c r="AB613" s="278"/>
      <c r="AC613" s="278"/>
      <c r="AD613" s="278"/>
      <c r="AE613" s="278"/>
      <c r="AF613" s="278"/>
      <c r="AG613" s="278"/>
      <c r="AH613" s="278"/>
      <c r="AI613" s="278"/>
      <c r="AJ613" s="278"/>
      <c r="AK613" s="278"/>
      <c r="AL613" s="278"/>
      <c r="AM613" s="278"/>
      <c r="AN613" s="278"/>
      <c r="AO613" s="278"/>
      <c r="AP613" s="278"/>
      <c r="AQ613" s="278"/>
      <c r="AR613" s="278"/>
      <c r="AS613" s="278"/>
      <c r="AT613" s="278"/>
      <c r="AU613" s="278"/>
      <c r="AV613" s="278"/>
      <c r="AW613" s="278"/>
      <c r="AX613" s="278"/>
      <c r="AY613" s="278"/>
      <c r="AZ613" s="278"/>
      <c r="BA613" s="278"/>
      <c r="BB613" s="278"/>
      <c r="BC613" s="278"/>
      <c r="BD613" s="278"/>
    </row>
    <row r="614" spans="1:56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196"/>
      <c r="S614" s="196"/>
      <c r="T614" s="196"/>
      <c r="U614" s="278"/>
      <c r="V614" s="278"/>
      <c r="W614" s="278"/>
      <c r="X614" s="278"/>
      <c r="Y614" s="278"/>
      <c r="Z614" s="278"/>
      <c r="AA614" s="278"/>
      <c r="AB614" s="278"/>
      <c r="AC614" s="278"/>
      <c r="AD614" s="278"/>
      <c r="AE614" s="278"/>
      <c r="AF614" s="278"/>
      <c r="AG614" s="278"/>
      <c r="AH614" s="278"/>
      <c r="AI614" s="278"/>
      <c r="AJ614" s="278"/>
      <c r="AK614" s="278"/>
      <c r="AL614" s="278"/>
      <c r="AM614" s="278"/>
      <c r="AN614" s="278"/>
      <c r="AO614" s="278"/>
      <c r="AP614" s="278"/>
      <c r="AQ614" s="278"/>
      <c r="AR614" s="278"/>
      <c r="AS614" s="278"/>
      <c r="AT614" s="278"/>
      <c r="AU614" s="278"/>
      <c r="AV614" s="278"/>
      <c r="AW614" s="278"/>
      <c r="AX614" s="278"/>
      <c r="AY614" s="278"/>
      <c r="AZ614" s="278"/>
      <c r="BA614" s="278"/>
      <c r="BB614" s="278"/>
      <c r="BC614" s="278"/>
      <c r="BD614" s="278"/>
    </row>
    <row r="615" spans="1:56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196"/>
      <c r="S615" s="196"/>
      <c r="T615" s="196"/>
      <c r="U615" s="278"/>
      <c r="V615" s="278"/>
      <c r="W615" s="278"/>
      <c r="X615" s="278"/>
      <c r="Y615" s="278"/>
      <c r="Z615" s="278"/>
      <c r="AA615" s="278"/>
      <c r="AB615" s="278"/>
      <c r="AC615" s="278"/>
      <c r="AD615" s="278"/>
      <c r="AE615" s="278"/>
      <c r="AF615" s="278"/>
      <c r="AG615" s="278"/>
      <c r="AH615" s="278"/>
      <c r="AI615" s="278"/>
      <c r="AJ615" s="278"/>
      <c r="AK615" s="278"/>
      <c r="AL615" s="278"/>
      <c r="AM615" s="278"/>
      <c r="AN615" s="278"/>
      <c r="AO615" s="278"/>
      <c r="AP615" s="278"/>
      <c r="AQ615" s="278"/>
      <c r="AR615" s="278"/>
      <c r="AS615" s="278"/>
      <c r="AT615" s="278"/>
      <c r="AU615" s="278"/>
      <c r="AV615" s="278"/>
      <c r="AW615" s="278"/>
      <c r="AX615" s="278"/>
      <c r="AY615" s="278"/>
      <c r="AZ615" s="278"/>
      <c r="BA615" s="278"/>
      <c r="BB615" s="278"/>
      <c r="BC615" s="278"/>
      <c r="BD615" s="278"/>
    </row>
    <row r="616" spans="1:56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196"/>
      <c r="S616" s="196"/>
      <c r="T616" s="196"/>
      <c r="U616" s="278"/>
      <c r="V616" s="278"/>
      <c r="W616" s="278"/>
      <c r="X616" s="278"/>
      <c r="Y616" s="278"/>
      <c r="Z616" s="278"/>
      <c r="AA616" s="278"/>
      <c r="AB616" s="278"/>
      <c r="AC616" s="278"/>
      <c r="AD616" s="278"/>
      <c r="AE616" s="278"/>
      <c r="AF616" s="278"/>
      <c r="AG616" s="278"/>
      <c r="AH616" s="278"/>
      <c r="AI616" s="278"/>
      <c r="AJ616" s="278"/>
      <c r="AK616" s="278"/>
      <c r="AL616" s="278"/>
      <c r="AM616" s="278"/>
      <c r="AN616" s="278"/>
      <c r="AO616" s="278"/>
      <c r="AP616" s="278"/>
      <c r="AQ616" s="278"/>
      <c r="AR616" s="278"/>
      <c r="AS616" s="278"/>
      <c r="AT616" s="278"/>
      <c r="AU616" s="278"/>
      <c r="AV616" s="278"/>
      <c r="AW616" s="278"/>
      <c r="AX616" s="278"/>
      <c r="AY616" s="278"/>
      <c r="AZ616" s="278"/>
      <c r="BA616" s="278"/>
      <c r="BB616" s="278"/>
      <c r="BC616" s="278"/>
      <c r="BD616" s="278"/>
    </row>
    <row r="617" spans="1:56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196"/>
      <c r="S617" s="196"/>
      <c r="T617" s="196"/>
      <c r="U617" s="278"/>
      <c r="V617" s="278"/>
      <c r="W617" s="278"/>
      <c r="X617" s="278"/>
      <c r="Y617" s="278"/>
      <c r="Z617" s="278"/>
      <c r="AA617" s="278"/>
      <c r="AB617" s="278"/>
      <c r="AC617" s="278"/>
      <c r="AD617" s="278"/>
      <c r="AE617" s="278"/>
      <c r="AF617" s="278"/>
      <c r="AG617" s="278"/>
      <c r="AH617" s="278"/>
      <c r="AI617" s="278"/>
      <c r="AJ617" s="278"/>
      <c r="AK617" s="278"/>
      <c r="AL617" s="278"/>
      <c r="AM617" s="278"/>
      <c r="AN617" s="278"/>
      <c r="AO617" s="278"/>
      <c r="AP617" s="278"/>
      <c r="AQ617" s="278"/>
      <c r="AR617" s="278"/>
      <c r="AS617" s="278"/>
      <c r="AT617" s="278"/>
      <c r="AU617" s="278"/>
      <c r="AV617" s="278"/>
      <c r="AW617" s="278"/>
      <c r="AX617" s="278"/>
      <c r="AY617" s="278"/>
      <c r="AZ617" s="278"/>
      <c r="BA617" s="278"/>
      <c r="BB617" s="278"/>
      <c r="BC617" s="278"/>
      <c r="BD617" s="278"/>
    </row>
    <row r="618" spans="1:56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196"/>
      <c r="S618" s="196"/>
      <c r="T618" s="196"/>
      <c r="U618" s="278"/>
      <c r="V618" s="278"/>
      <c r="W618" s="278"/>
      <c r="X618" s="278"/>
      <c r="Y618" s="278"/>
      <c r="Z618" s="278"/>
      <c r="AA618" s="278"/>
      <c r="AB618" s="278"/>
      <c r="AC618" s="278"/>
      <c r="AD618" s="278"/>
      <c r="AE618" s="278"/>
      <c r="AF618" s="278"/>
      <c r="AG618" s="278"/>
      <c r="AH618" s="278"/>
      <c r="AI618" s="278"/>
      <c r="AJ618" s="278"/>
      <c r="AK618" s="278"/>
      <c r="AL618" s="278"/>
      <c r="AM618" s="278"/>
      <c r="AN618" s="278"/>
      <c r="AO618" s="278"/>
      <c r="AP618" s="278"/>
      <c r="AQ618" s="278"/>
      <c r="AR618" s="278"/>
      <c r="AS618" s="278"/>
      <c r="AT618" s="278"/>
      <c r="AU618" s="278"/>
      <c r="AV618" s="278"/>
      <c r="AW618" s="278"/>
      <c r="AX618" s="278"/>
      <c r="AY618" s="278"/>
      <c r="AZ618" s="278"/>
      <c r="BA618" s="278"/>
      <c r="BB618" s="278"/>
      <c r="BC618" s="278"/>
      <c r="BD618" s="278"/>
    </row>
    <row r="619" spans="1:56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196"/>
      <c r="S619" s="196"/>
      <c r="T619" s="196"/>
      <c r="U619" s="278"/>
      <c r="V619" s="278"/>
      <c r="W619" s="278"/>
      <c r="X619" s="278"/>
      <c r="Y619" s="278"/>
      <c r="Z619" s="278"/>
      <c r="AA619" s="278"/>
      <c r="AB619" s="278"/>
      <c r="AC619" s="278"/>
      <c r="AD619" s="278"/>
      <c r="AE619" s="278"/>
      <c r="AF619" s="278"/>
      <c r="AG619" s="278"/>
      <c r="AH619" s="278"/>
      <c r="AI619" s="278"/>
      <c r="AJ619" s="278"/>
      <c r="AK619" s="278"/>
      <c r="AL619" s="278"/>
      <c r="AM619" s="278"/>
      <c r="AN619" s="278"/>
      <c r="AO619" s="278"/>
      <c r="AP619" s="278"/>
      <c r="AQ619" s="278"/>
      <c r="AR619" s="278"/>
      <c r="AS619" s="278"/>
      <c r="AT619" s="278"/>
      <c r="AU619" s="278"/>
      <c r="AV619" s="278"/>
      <c r="AW619" s="278"/>
      <c r="AX619" s="278"/>
      <c r="AY619" s="278"/>
      <c r="AZ619" s="278"/>
      <c r="BA619" s="278"/>
      <c r="BB619" s="278"/>
      <c r="BC619" s="278"/>
      <c r="BD619" s="278"/>
    </row>
    <row r="620" spans="1:56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196"/>
      <c r="S620" s="196"/>
      <c r="T620" s="196"/>
      <c r="U620" s="278"/>
      <c r="V620" s="278"/>
      <c r="W620" s="278"/>
      <c r="X620" s="278"/>
      <c r="Y620" s="278"/>
      <c r="Z620" s="278"/>
      <c r="AA620" s="278"/>
      <c r="AB620" s="278"/>
      <c r="AC620" s="278"/>
      <c r="AD620" s="278"/>
      <c r="AE620" s="278"/>
      <c r="AF620" s="278"/>
      <c r="AG620" s="278"/>
      <c r="AH620" s="278"/>
      <c r="AI620" s="278"/>
      <c r="AJ620" s="278"/>
      <c r="AK620" s="278"/>
      <c r="AL620" s="278"/>
      <c r="AM620" s="278"/>
      <c r="AN620" s="278"/>
      <c r="AO620" s="278"/>
      <c r="AP620" s="278"/>
      <c r="AQ620" s="278"/>
      <c r="AR620" s="278"/>
      <c r="AS620" s="278"/>
      <c r="AT620" s="278"/>
      <c r="AU620" s="278"/>
      <c r="AV620" s="278"/>
      <c r="AW620" s="278"/>
      <c r="AX620" s="278"/>
      <c r="AY620" s="278"/>
      <c r="AZ620" s="278"/>
      <c r="BA620" s="278"/>
      <c r="BB620" s="278"/>
      <c r="BC620" s="278"/>
      <c r="BD620" s="278"/>
    </row>
    <row r="621" spans="1:56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196"/>
      <c r="S621" s="196"/>
      <c r="T621" s="196"/>
      <c r="U621" s="278"/>
      <c r="V621" s="278"/>
      <c r="W621" s="278"/>
      <c r="X621" s="278"/>
      <c r="Y621" s="278"/>
      <c r="Z621" s="278"/>
      <c r="AA621" s="278"/>
      <c r="AB621" s="278"/>
      <c r="AC621" s="278"/>
      <c r="AD621" s="278"/>
      <c r="AE621" s="278"/>
      <c r="AF621" s="278"/>
      <c r="AG621" s="278"/>
      <c r="AH621" s="278"/>
      <c r="AI621" s="278"/>
      <c r="AJ621" s="278"/>
      <c r="AK621" s="278"/>
      <c r="AL621" s="278"/>
      <c r="AM621" s="278"/>
      <c r="AN621" s="278"/>
      <c r="AO621" s="278"/>
      <c r="AP621" s="278"/>
      <c r="AQ621" s="278"/>
      <c r="AR621" s="278"/>
      <c r="AS621" s="278"/>
      <c r="AT621" s="278"/>
      <c r="AU621" s="278"/>
      <c r="AV621" s="278"/>
      <c r="AW621" s="278"/>
      <c r="AX621" s="278"/>
      <c r="AY621" s="278"/>
      <c r="AZ621" s="278"/>
      <c r="BA621" s="278"/>
      <c r="BB621" s="278"/>
      <c r="BC621" s="278"/>
      <c r="BD621" s="278"/>
    </row>
    <row r="622" spans="1:56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196"/>
      <c r="S622" s="196"/>
      <c r="T622" s="196"/>
      <c r="U622" s="278"/>
      <c r="V622" s="278"/>
      <c r="W622" s="278"/>
      <c r="X622" s="278"/>
      <c r="Y622" s="278"/>
      <c r="Z622" s="278"/>
      <c r="AA622" s="278"/>
      <c r="AB622" s="278"/>
      <c r="AC622" s="278"/>
      <c r="AD622" s="278"/>
      <c r="AE622" s="278"/>
      <c r="AF622" s="278"/>
      <c r="AG622" s="278"/>
      <c r="AH622" s="278"/>
      <c r="AI622" s="278"/>
      <c r="AJ622" s="278"/>
      <c r="AK622" s="278"/>
      <c r="AL622" s="278"/>
      <c r="AM622" s="278"/>
      <c r="AN622" s="278"/>
      <c r="AO622" s="278"/>
      <c r="AP622" s="278"/>
      <c r="AQ622" s="278"/>
      <c r="AR622" s="278"/>
      <c r="AS622" s="278"/>
      <c r="AT622" s="278"/>
      <c r="AU622" s="278"/>
      <c r="AV622" s="278"/>
      <c r="AW622" s="278"/>
      <c r="AX622" s="278"/>
      <c r="AY622" s="278"/>
      <c r="AZ622" s="278"/>
      <c r="BA622" s="278"/>
      <c r="BB622" s="278"/>
      <c r="BC622" s="278"/>
      <c r="BD622" s="278"/>
    </row>
    <row r="623" spans="1:56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196"/>
      <c r="S623" s="196"/>
      <c r="T623" s="196"/>
      <c r="U623" s="278"/>
      <c r="V623" s="278"/>
      <c r="W623" s="278"/>
      <c r="X623" s="278"/>
      <c r="Y623" s="278"/>
      <c r="Z623" s="278"/>
      <c r="AA623" s="278"/>
      <c r="AB623" s="278"/>
      <c r="AC623" s="278"/>
      <c r="AD623" s="278"/>
      <c r="AE623" s="278"/>
      <c r="AF623" s="278"/>
      <c r="AG623" s="278"/>
      <c r="AH623" s="278"/>
      <c r="AI623" s="278"/>
      <c r="AJ623" s="278"/>
      <c r="AK623" s="278"/>
      <c r="AL623" s="278"/>
      <c r="AM623" s="278"/>
      <c r="AN623" s="278"/>
      <c r="AO623" s="278"/>
      <c r="AP623" s="278"/>
      <c r="AQ623" s="278"/>
      <c r="AR623" s="278"/>
      <c r="AS623" s="278"/>
      <c r="AT623" s="278"/>
      <c r="AU623" s="278"/>
      <c r="AV623" s="278"/>
      <c r="AW623" s="278"/>
      <c r="AX623" s="278"/>
      <c r="AY623" s="278"/>
      <c r="AZ623" s="278"/>
      <c r="BA623" s="278"/>
      <c r="BB623" s="278"/>
      <c r="BC623" s="278"/>
      <c r="BD623" s="278"/>
    </row>
    <row r="624" spans="1:56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196"/>
      <c r="S624" s="196"/>
      <c r="T624" s="196"/>
      <c r="U624" s="278"/>
      <c r="V624" s="278"/>
      <c r="W624" s="278"/>
      <c r="X624" s="278"/>
      <c r="Y624" s="278"/>
      <c r="Z624" s="278"/>
      <c r="AA624" s="278"/>
      <c r="AB624" s="278"/>
      <c r="AC624" s="278"/>
      <c r="AD624" s="278"/>
      <c r="AE624" s="278"/>
      <c r="AF624" s="278"/>
      <c r="AG624" s="278"/>
      <c r="AH624" s="278"/>
      <c r="AI624" s="278"/>
      <c r="AJ624" s="278"/>
      <c r="AK624" s="278"/>
      <c r="AL624" s="278"/>
      <c r="AM624" s="278"/>
      <c r="AN624" s="278"/>
      <c r="AO624" s="278"/>
      <c r="AP624" s="278"/>
      <c r="AQ624" s="278"/>
      <c r="AR624" s="278"/>
      <c r="AS624" s="278"/>
      <c r="AT624" s="278"/>
      <c r="AU624" s="278"/>
      <c r="AV624" s="278"/>
      <c r="AW624" s="278"/>
      <c r="AX624" s="278"/>
      <c r="AY624" s="278"/>
      <c r="AZ624" s="278"/>
      <c r="BA624" s="278"/>
      <c r="BB624" s="278"/>
      <c r="BC624" s="278"/>
      <c r="BD624" s="278"/>
    </row>
    <row r="625" spans="1:56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196"/>
      <c r="S625" s="196"/>
      <c r="T625" s="196"/>
      <c r="U625" s="278"/>
      <c r="V625" s="278"/>
      <c r="W625" s="278"/>
      <c r="X625" s="278"/>
      <c r="Y625" s="278"/>
      <c r="Z625" s="278"/>
      <c r="AA625" s="278"/>
      <c r="AB625" s="278"/>
      <c r="AC625" s="278"/>
      <c r="AD625" s="278"/>
      <c r="AE625" s="278"/>
      <c r="AF625" s="278"/>
      <c r="AG625" s="278"/>
      <c r="AH625" s="278"/>
      <c r="AI625" s="278"/>
      <c r="AJ625" s="278"/>
      <c r="AK625" s="278"/>
      <c r="AL625" s="278"/>
      <c r="AM625" s="278"/>
      <c r="AN625" s="278"/>
      <c r="AO625" s="278"/>
      <c r="AP625" s="278"/>
      <c r="AQ625" s="278"/>
      <c r="AR625" s="278"/>
      <c r="AS625" s="278"/>
      <c r="AT625" s="278"/>
      <c r="AU625" s="278"/>
      <c r="AV625" s="278"/>
      <c r="AW625" s="278"/>
      <c r="AX625" s="278"/>
      <c r="AY625" s="278"/>
      <c r="AZ625" s="278"/>
      <c r="BA625" s="278"/>
      <c r="BB625" s="278"/>
      <c r="BC625" s="278"/>
      <c r="BD625" s="278"/>
    </row>
    <row r="626" spans="1:56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196"/>
      <c r="S626" s="196"/>
      <c r="T626" s="196"/>
      <c r="U626" s="278"/>
      <c r="V626" s="278"/>
      <c r="W626" s="278"/>
      <c r="X626" s="278"/>
      <c r="Y626" s="278"/>
      <c r="Z626" s="278"/>
      <c r="AA626" s="278"/>
      <c r="AB626" s="278"/>
      <c r="AC626" s="278"/>
      <c r="AD626" s="278"/>
      <c r="AE626" s="278"/>
      <c r="AF626" s="278"/>
      <c r="AG626" s="278"/>
      <c r="AH626" s="278"/>
      <c r="AI626" s="278"/>
      <c r="AJ626" s="278"/>
      <c r="AK626" s="278"/>
      <c r="AL626" s="278"/>
      <c r="AM626" s="278"/>
      <c r="AN626" s="278"/>
      <c r="AO626" s="278"/>
      <c r="AP626" s="278"/>
      <c r="AQ626" s="278"/>
      <c r="AR626" s="278"/>
      <c r="AS626" s="278"/>
      <c r="AT626" s="278"/>
      <c r="AU626" s="278"/>
      <c r="AV626" s="278"/>
      <c r="AW626" s="278"/>
      <c r="AX626" s="278"/>
      <c r="AY626" s="278"/>
      <c r="AZ626" s="278"/>
      <c r="BA626" s="278"/>
      <c r="BB626" s="278"/>
      <c r="BC626" s="278"/>
      <c r="BD626" s="278"/>
    </row>
    <row r="627" spans="1:56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196"/>
      <c r="S627" s="196"/>
      <c r="T627" s="196"/>
      <c r="U627" s="278"/>
      <c r="V627" s="278"/>
      <c r="W627" s="278"/>
      <c r="X627" s="278"/>
      <c r="Y627" s="278"/>
      <c r="Z627" s="278"/>
      <c r="AA627" s="278"/>
      <c r="AB627" s="278"/>
      <c r="AC627" s="278"/>
      <c r="AD627" s="278"/>
      <c r="AE627" s="278"/>
      <c r="AF627" s="278"/>
      <c r="AG627" s="278"/>
      <c r="AH627" s="278"/>
      <c r="AI627" s="278"/>
      <c r="AJ627" s="278"/>
      <c r="AK627" s="278"/>
      <c r="AL627" s="278"/>
      <c r="AM627" s="278"/>
      <c r="AN627" s="278"/>
      <c r="AO627" s="278"/>
      <c r="AP627" s="278"/>
      <c r="AQ627" s="278"/>
      <c r="AR627" s="278"/>
      <c r="AS627" s="278"/>
      <c r="AT627" s="278"/>
      <c r="AU627" s="278"/>
      <c r="AV627" s="278"/>
      <c r="AW627" s="278"/>
      <c r="AX627" s="278"/>
      <c r="AY627" s="278"/>
      <c r="AZ627" s="278"/>
      <c r="BA627" s="278"/>
      <c r="BB627" s="278"/>
      <c r="BC627" s="278"/>
      <c r="BD627" s="278"/>
    </row>
    <row r="628" spans="1:56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196"/>
      <c r="S628" s="196"/>
      <c r="T628" s="196"/>
      <c r="U628" s="278"/>
      <c r="V628" s="278"/>
      <c r="W628" s="278"/>
      <c r="X628" s="278"/>
      <c r="Y628" s="278"/>
      <c r="Z628" s="278"/>
      <c r="AA628" s="278"/>
      <c r="AB628" s="278"/>
      <c r="AC628" s="278"/>
      <c r="AD628" s="278"/>
      <c r="AE628" s="278"/>
      <c r="AF628" s="278"/>
      <c r="AG628" s="278"/>
      <c r="AH628" s="278"/>
      <c r="AI628" s="278"/>
      <c r="AJ628" s="278"/>
      <c r="AK628" s="278"/>
      <c r="AL628" s="278"/>
      <c r="AM628" s="278"/>
      <c r="AN628" s="278"/>
      <c r="AO628" s="278"/>
      <c r="AP628" s="278"/>
      <c r="AQ628" s="278"/>
      <c r="AR628" s="278"/>
      <c r="AS628" s="278"/>
      <c r="AT628" s="278"/>
      <c r="AU628" s="278"/>
      <c r="AV628" s="278"/>
      <c r="AW628" s="278"/>
      <c r="AX628" s="278"/>
      <c r="AY628" s="278"/>
      <c r="AZ628" s="278"/>
      <c r="BA628" s="278"/>
      <c r="BB628" s="278"/>
      <c r="BC628" s="278"/>
      <c r="BD628" s="278"/>
    </row>
    <row r="629" spans="1:56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196"/>
      <c r="S629" s="196"/>
      <c r="T629" s="196"/>
      <c r="U629" s="278"/>
      <c r="V629" s="278"/>
      <c r="W629" s="278"/>
      <c r="X629" s="278"/>
      <c r="Y629" s="278"/>
      <c r="Z629" s="278"/>
      <c r="AA629" s="278"/>
      <c r="AB629" s="278"/>
      <c r="AC629" s="278"/>
      <c r="AD629" s="278"/>
      <c r="AE629" s="278"/>
      <c r="AF629" s="278"/>
      <c r="AG629" s="278"/>
      <c r="AH629" s="278"/>
      <c r="AI629" s="278"/>
      <c r="AJ629" s="278"/>
      <c r="AK629" s="278"/>
      <c r="AL629" s="278"/>
      <c r="AM629" s="278"/>
      <c r="AN629" s="278"/>
      <c r="AO629" s="278"/>
      <c r="AP629" s="278"/>
      <c r="AQ629" s="278"/>
      <c r="AR629" s="278"/>
      <c r="AS629" s="278"/>
      <c r="AT629" s="278"/>
      <c r="AU629" s="278"/>
      <c r="AV629" s="278"/>
      <c r="AW629" s="278"/>
      <c r="AX629" s="278"/>
      <c r="AY629" s="278"/>
      <c r="AZ629" s="278"/>
      <c r="BA629" s="278"/>
      <c r="BB629" s="278"/>
      <c r="BC629" s="278"/>
      <c r="BD629" s="278"/>
    </row>
    <row r="630" spans="1:56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196"/>
      <c r="S630" s="196"/>
      <c r="T630" s="196"/>
      <c r="U630" s="278"/>
      <c r="V630" s="278"/>
      <c r="W630" s="278"/>
      <c r="X630" s="278"/>
      <c r="Y630" s="278"/>
      <c r="Z630" s="278"/>
      <c r="AA630" s="278"/>
      <c r="AB630" s="278"/>
      <c r="AC630" s="278"/>
      <c r="AD630" s="278"/>
      <c r="AE630" s="278"/>
      <c r="AF630" s="278"/>
      <c r="AG630" s="278"/>
      <c r="AH630" s="278"/>
      <c r="AI630" s="278"/>
      <c r="AJ630" s="278"/>
      <c r="AK630" s="278"/>
      <c r="AL630" s="278"/>
      <c r="AM630" s="278"/>
      <c r="AN630" s="278"/>
      <c r="AO630" s="278"/>
      <c r="AP630" s="278"/>
      <c r="AQ630" s="278"/>
      <c r="AR630" s="278"/>
      <c r="AS630" s="278"/>
      <c r="AT630" s="278"/>
      <c r="AU630" s="278"/>
      <c r="AV630" s="278"/>
      <c r="AW630" s="278"/>
      <c r="AX630" s="278"/>
      <c r="AY630" s="278"/>
      <c r="AZ630" s="278"/>
      <c r="BA630" s="278"/>
      <c r="BB630" s="278"/>
      <c r="BC630" s="278"/>
      <c r="BD630" s="278"/>
    </row>
    <row r="631" spans="1:56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196"/>
      <c r="S631" s="196"/>
      <c r="T631" s="196"/>
      <c r="U631" s="278"/>
      <c r="V631" s="278"/>
      <c r="W631" s="278"/>
      <c r="X631" s="278"/>
      <c r="Y631" s="278"/>
      <c r="Z631" s="278"/>
      <c r="AA631" s="278"/>
      <c r="AB631" s="278"/>
      <c r="AC631" s="278"/>
      <c r="AD631" s="278"/>
      <c r="AE631" s="278"/>
      <c r="AF631" s="278"/>
      <c r="AG631" s="278"/>
      <c r="AH631" s="278"/>
      <c r="AI631" s="278"/>
      <c r="AJ631" s="278"/>
      <c r="AK631" s="278"/>
      <c r="AL631" s="278"/>
      <c r="AM631" s="278"/>
      <c r="AN631" s="278"/>
      <c r="AO631" s="278"/>
      <c r="AP631" s="278"/>
      <c r="AQ631" s="278"/>
      <c r="AR631" s="278"/>
      <c r="AS631" s="278"/>
      <c r="AT631" s="278"/>
      <c r="AU631" s="278"/>
      <c r="AV631" s="278"/>
      <c r="AW631" s="278"/>
      <c r="AX631" s="278"/>
      <c r="AY631" s="278"/>
      <c r="AZ631" s="278"/>
      <c r="BA631" s="278"/>
      <c r="BB631" s="278"/>
      <c r="BC631" s="278"/>
      <c r="BD631" s="278"/>
    </row>
    <row r="632" spans="1:56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196"/>
      <c r="S632" s="196"/>
      <c r="T632" s="196"/>
      <c r="U632" s="278"/>
      <c r="V632" s="278"/>
      <c r="W632" s="278"/>
      <c r="X632" s="278"/>
      <c r="Y632" s="278"/>
      <c r="Z632" s="278"/>
      <c r="AA632" s="278"/>
      <c r="AB632" s="278"/>
      <c r="AC632" s="278"/>
      <c r="AD632" s="278"/>
      <c r="AE632" s="278"/>
      <c r="AF632" s="278"/>
      <c r="AG632" s="278"/>
      <c r="AH632" s="278"/>
      <c r="AI632" s="278"/>
      <c r="AJ632" s="278"/>
      <c r="AK632" s="278"/>
      <c r="AL632" s="278"/>
      <c r="AM632" s="278"/>
      <c r="AN632" s="278"/>
      <c r="AO632" s="278"/>
      <c r="AP632" s="278"/>
      <c r="AQ632" s="278"/>
      <c r="AR632" s="278"/>
      <c r="AS632" s="278"/>
      <c r="AT632" s="278"/>
      <c r="AU632" s="278"/>
      <c r="AV632" s="278"/>
      <c r="AW632" s="278"/>
      <c r="AX632" s="278"/>
      <c r="AY632" s="278"/>
      <c r="AZ632" s="278"/>
      <c r="BA632" s="278"/>
      <c r="BB632" s="278"/>
      <c r="BC632" s="278"/>
      <c r="BD632" s="278"/>
    </row>
    <row r="633" spans="1:56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196"/>
      <c r="S633" s="196"/>
      <c r="T633" s="196"/>
      <c r="U633" s="278"/>
      <c r="V633" s="278"/>
      <c r="W633" s="278"/>
      <c r="X633" s="278"/>
      <c r="Y633" s="278"/>
      <c r="Z633" s="278"/>
      <c r="AA633" s="278"/>
      <c r="AB633" s="278"/>
      <c r="AC633" s="278"/>
      <c r="AD633" s="278"/>
      <c r="AE633" s="278"/>
      <c r="AF633" s="278"/>
      <c r="AG633" s="278"/>
      <c r="AH633" s="278"/>
      <c r="AI633" s="278"/>
      <c r="AJ633" s="278"/>
      <c r="AK633" s="278"/>
      <c r="AL633" s="278"/>
      <c r="AM633" s="278"/>
      <c r="AN633" s="278"/>
      <c r="AO633" s="278"/>
      <c r="AP633" s="278"/>
      <c r="AQ633" s="278"/>
      <c r="AR633" s="278"/>
      <c r="AS633" s="278"/>
      <c r="AT633" s="278"/>
      <c r="AU633" s="278"/>
      <c r="AV633" s="278"/>
      <c r="AW633" s="278"/>
      <c r="AX633" s="278"/>
      <c r="AY633" s="278"/>
      <c r="AZ633" s="278"/>
      <c r="BA633" s="278"/>
      <c r="BB633" s="278"/>
      <c r="BC633" s="278"/>
      <c r="BD633" s="278"/>
    </row>
    <row r="634" spans="1:56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196"/>
      <c r="S634" s="196"/>
      <c r="T634" s="196"/>
      <c r="U634" s="278"/>
      <c r="V634" s="278"/>
      <c r="W634" s="278"/>
      <c r="X634" s="278"/>
      <c r="Y634" s="278"/>
      <c r="Z634" s="278"/>
      <c r="AA634" s="278"/>
      <c r="AB634" s="278"/>
      <c r="AC634" s="278"/>
      <c r="AD634" s="278"/>
      <c r="AE634" s="278"/>
      <c r="AF634" s="278"/>
      <c r="AG634" s="278"/>
      <c r="AH634" s="278"/>
      <c r="AI634" s="278"/>
      <c r="AJ634" s="278"/>
      <c r="AK634" s="278"/>
      <c r="AL634" s="278"/>
      <c r="AM634" s="278"/>
      <c r="AN634" s="278"/>
      <c r="AO634" s="278"/>
      <c r="AP634" s="278"/>
      <c r="AQ634" s="278"/>
      <c r="AR634" s="278"/>
      <c r="AS634" s="278"/>
      <c r="AT634" s="278"/>
      <c r="AU634" s="278"/>
      <c r="AV634" s="278"/>
      <c r="AW634" s="278"/>
      <c r="AX634" s="278"/>
      <c r="AY634" s="278"/>
      <c r="AZ634" s="278"/>
      <c r="BA634" s="278"/>
      <c r="BB634" s="278"/>
      <c r="BC634" s="278"/>
      <c r="BD634" s="278"/>
    </row>
    <row r="635" spans="1:56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196"/>
      <c r="S635" s="196"/>
      <c r="T635" s="196"/>
      <c r="U635" s="278"/>
      <c r="V635" s="278"/>
      <c r="W635" s="278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  <c r="AJ635" s="278"/>
      <c r="AK635" s="278"/>
      <c r="AL635" s="278"/>
      <c r="AM635" s="278"/>
      <c r="AN635" s="278"/>
      <c r="AO635" s="278"/>
      <c r="AP635" s="278"/>
      <c r="AQ635" s="278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</row>
    <row r="636" spans="1:56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196"/>
      <c r="S636" s="196"/>
      <c r="T636" s="196"/>
      <c r="U636" s="278"/>
      <c r="V636" s="278"/>
      <c r="W636" s="278"/>
      <c r="X636" s="278"/>
      <c r="Y636" s="278"/>
      <c r="Z636" s="278"/>
      <c r="AA636" s="278"/>
      <c r="AB636" s="278"/>
      <c r="AC636" s="278"/>
      <c r="AD636" s="278"/>
      <c r="AE636" s="278"/>
      <c r="AF636" s="278"/>
      <c r="AG636" s="278"/>
      <c r="AH636" s="278"/>
      <c r="AI636" s="278"/>
      <c r="AJ636" s="278"/>
      <c r="AK636" s="278"/>
      <c r="AL636" s="278"/>
      <c r="AM636" s="278"/>
      <c r="AN636" s="278"/>
      <c r="AO636" s="278"/>
      <c r="AP636" s="278"/>
      <c r="AQ636" s="278"/>
      <c r="AR636" s="278"/>
      <c r="AS636" s="278"/>
      <c r="AT636" s="278"/>
      <c r="AU636" s="278"/>
      <c r="AV636" s="278"/>
      <c r="AW636" s="278"/>
      <c r="AX636" s="278"/>
      <c r="AY636" s="278"/>
      <c r="AZ636" s="278"/>
      <c r="BA636" s="278"/>
      <c r="BB636" s="278"/>
      <c r="BC636" s="278"/>
      <c r="BD636" s="278"/>
    </row>
    <row r="637" spans="1:56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196"/>
      <c r="S637" s="196"/>
      <c r="T637" s="196"/>
      <c r="U637" s="278"/>
      <c r="V637" s="278"/>
      <c r="W637" s="278"/>
      <c r="X637" s="278"/>
      <c r="Y637" s="278"/>
      <c r="Z637" s="278"/>
      <c r="AA637" s="278"/>
      <c r="AB637" s="278"/>
      <c r="AC637" s="278"/>
      <c r="AD637" s="278"/>
      <c r="AE637" s="278"/>
      <c r="AF637" s="278"/>
      <c r="AG637" s="278"/>
      <c r="AH637" s="278"/>
      <c r="AI637" s="278"/>
      <c r="AJ637" s="278"/>
      <c r="AK637" s="278"/>
      <c r="AL637" s="278"/>
      <c r="AM637" s="278"/>
      <c r="AN637" s="278"/>
      <c r="AO637" s="278"/>
      <c r="AP637" s="278"/>
      <c r="AQ637" s="278"/>
      <c r="AR637" s="278"/>
      <c r="AS637" s="278"/>
      <c r="AT637" s="278"/>
      <c r="AU637" s="278"/>
      <c r="AV637" s="278"/>
      <c r="AW637" s="278"/>
      <c r="AX637" s="278"/>
      <c r="AY637" s="278"/>
      <c r="AZ637" s="278"/>
      <c r="BA637" s="278"/>
      <c r="BB637" s="278"/>
      <c r="BC637" s="278"/>
      <c r="BD637" s="278"/>
    </row>
    <row r="638" spans="1:56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196"/>
      <c r="S638" s="196"/>
      <c r="T638" s="196"/>
      <c r="U638" s="278"/>
      <c r="V638" s="278"/>
      <c r="W638" s="278"/>
      <c r="X638" s="278"/>
      <c r="Y638" s="278"/>
      <c r="Z638" s="278"/>
      <c r="AA638" s="278"/>
      <c r="AB638" s="278"/>
      <c r="AC638" s="278"/>
      <c r="AD638" s="278"/>
      <c r="AE638" s="278"/>
      <c r="AF638" s="278"/>
      <c r="AG638" s="278"/>
      <c r="AH638" s="278"/>
      <c r="AI638" s="278"/>
      <c r="AJ638" s="278"/>
      <c r="AK638" s="278"/>
      <c r="AL638" s="278"/>
      <c r="AM638" s="278"/>
      <c r="AN638" s="278"/>
      <c r="AO638" s="278"/>
      <c r="AP638" s="278"/>
      <c r="AQ638" s="278"/>
      <c r="AR638" s="278"/>
      <c r="AS638" s="278"/>
      <c r="AT638" s="278"/>
      <c r="AU638" s="278"/>
      <c r="AV638" s="278"/>
      <c r="AW638" s="278"/>
      <c r="AX638" s="278"/>
      <c r="AY638" s="278"/>
      <c r="AZ638" s="278"/>
      <c r="BA638" s="278"/>
      <c r="BB638" s="278"/>
      <c r="BC638" s="278"/>
      <c r="BD638" s="278"/>
    </row>
    <row r="639" spans="1:56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196"/>
      <c r="S639" s="196"/>
      <c r="T639" s="196"/>
      <c r="U639" s="278"/>
      <c r="V639" s="278"/>
      <c r="W639" s="278"/>
      <c r="X639" s="278"/>
      <c r="Y639" s="278"/>
      <c r="Z639" s="278"/>
      <c r="AA639" s="278"/>
      <c r="AB639" s="278"/>
      <c r="AC639" s="278"/>
      <c r="AD639" s="278"/>
      <c r="AE639" s="278"/>
      <c r="AF639" s="278"/>
      <c r="AG639" s="278"/>
      <c r="AH639" s="278"/>
      <c r="AI639" s="278"/>
      <c r="AJ639" s="278"/>
      <c r="AK639" s="278"/>
      <c r="AL639" s="278"/>
      <c r="AM639" s="278"/>
      <c r="AN639" s="278"/>
      <c r="AO639" s="278"/>
      <c r="AP639" s="278"/>
      <c r="AQ639" s="278"/>
      <c r="AR639" s="278"/>
      <c r="AS639" s="278"/>
      <c r="AT639" s="278"/>
      <c r="AU639" s="278"/>
      <c r="AV639" s="278"/>
      <c r="AW639" s="278"/>
      <c r="AX639" s="278"/>
      <c r="AY639" s="278"/>
      <c r="AZ639" s="278"/>
      <c r="BA639" s="278"/>
      <c r="BB639" s="278"/>
      <c r="BC639" s="278"/>
      <c r="BD639" s="278"/>
    </row>
    <row r="640" spans="1:56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196"/>
      <c r="S640" s="196"/>
      <c r="T640" s="196"/>
      <c r="U640" s="278"/>
      <c r="V640" s="278"/>
      <c r="W640" s="278"/>
      <c r="X640" s="278"/>
      <c r="Y640" s="278"/>
      <c r="Z640" s="278"/>
      <c r="AA640" s="278"/>
      <c r="AB640" s="278"/>
      <c r="AC640" s="278"/>
      <c r="AD640" s="278"/>
      <c r="AE640" s="278"/>
      <c r="AF640" s="278"/>
      <c r="AG640" s="278"/>
      <c r="AH640" s="278"/>
      <c r="AI640" s="278"/>
      <c r="AJ640" s="278"/>
      <c r="AK640" s="278"/>
      <c r="AL640" s="278"/>
      <c r="AM640" s="278"/>
      <c r="AN640" s="278"/>
      <c r="AO640" s="278"/>
      <c r="AP640" s="278"/>
      <c r="AQ640" s="278"/>
      <c r="AR640" s="278"/>
      <c r="AS640" s="278"/>
      <c r="AT640" s="278"/>
      <c r="AU640" s="278"/>
      <c r="AV640" s="278"/>
      <c r="AW640" s="278"/>
      <c r="AX640" s="278"/>
      <c r="AY640" s="278"/>
      <c r="AZ640" s="278"/>
      <c r="BA640" s="278"/>
      <c r="BB640" s="278"/>
      <c r="BC640" s="278"/>
      <c r="BD640" s="278"/>
    </row>
    <row r="641" spans="1:56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196"/>
      <c r="S641" s="196"/>
      <c r="T641" s="196"/>
      <c r="U641" s="278"/>
      <c r="V641" s="278"/>
      <c r="W641" s="278"/>
      <c r="X641" s="278"/>
      <c r="Y641" s="278"/>
      <c r="Z641" s="278"/>
      <c r="AA641" s="278"/>
      <c r="AB641" s="278"/>
      <c r="AC641" s="278"/>
      <c r="AD641" s="278"/>
      <c r="AE641" s="278"/>
      <c r="AF641" s="278"/>
      <c r="AG641" s="278"/>
      <c r="AH641" s="278"/>
      <c r="AI641" s="278"/>
      <c r="AJ641" s="278"/>
      <c r="AK641" s="278"/>
      <c r="AL641" s="278"/>
      <c r="AM641" s="278"/>
      <c r="AN641" s="278"/>
      <c r="AO641" s="278"/>
      <c r="AP641" s="278"/>
      <c r="AQ641" s="278"/>
      <c r="AR641" s="278"/>
      <c r="AS641" s="278"/>
      <c r="AT641" s="278"/>
      <c r="AU641" s="278"/>
      <c r="AV641" s="278"/>
      <c r="AW641" s="278"/>
      <c r="AX641" s="278"/>
      <c r="AY641" s="278"/>
      <c r="AZ641" s="278"/>
      <c r="BA641" s="278"/>
      <c r="BB641" s="278"/>
      <c r="BC641" s="278"/>
      <c r="BD641" s="278"/>
    </row>
    <row r="642" spans="1:56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196"/>
      <c r="S642" s="196"/>
      <c r="T642" s="196"/>
      <c r="U642" s="278"/>
      <c r="V642" s="278"/>
      <c r="W642" s="278"/>
      <c r="X642" s="278"/>
      <c r="Y642" s="278"/>
      <c r="Z642" s="278"/>
      <c r="AA642" s="278"/>
      <c r="AB642" s="278"/>
      <c r="AC642" s="278"/>
      <c r="AD642" s="278"/>
      <c r="AE642" s="278"/>
      <c r="AF642" s="278"/>
      <c r="AG642" s="278"/>
      <c r="AH642" s="278"/>
      <c r="AI642" s="278"/>
      <c r="AJ642" s="278"/>
      <c r="AK642" s="278"/>
      <c r="AL642" s="278"/>
      <c r="AM642" s="278"/>
      <c r="AN642" s="278"/>
      <c r="AO642" s="278"/>
      <c r="AP642" s="278"/>
      <c r="AQ642" s="278"/>
      <c r="AR642" s="278"/>
      <c r="AS642" s="278"/>
      <c r="AT642" s="278"/>
      <c r="AU642" s="278"/>
      <c r="AV642" s="278"/>
      <c r="AW642" s="278"/>
      <c r="AX642" s="278"/>
      <c r="AY642" s="278"/>
      <c r="AZ642" s="278"/>
      <c r="BA642" s="278"/>
      <c r="BB642" s="278"/>
      <c r="BC642" s="278"/>
      <c r="BD642" s="278"/>
    </row>
    <row r="643" spans="1:56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196"/>
      <c r="S643" s="196"/>
      <c r="T643" s="196"/>
      <c r="U643" s="278"/>
      <c r="V643" s="278"/>
      <c r="W643" s="278"/>
      <c r="X643" s="278"/>
      <c r="Y643" s="278"/>
      <c r="Z643" s="278"/>
      <c r="AA643" s="278"/>
      <c r="AB643" s="278"/>
      <c r="AC643" s="278"/>
      <c r="AD643" s="278"/>
      <c r="AE643" s="278"/>
      <c r="AF643" s="278"/>
      <c r="AG643" s="278"/>
      <c r="AH643" s="278"/>
      <c r="AI643" s="278"/>
      <c r="AJ643" s="278"/>
      <c r="AK643" s="278"/>
      <c r="AL643" s="278"/>
      <c r="AM643" s="278"/>
      <c r="AN643" s="278"/>
      <c r="AO643" s="278"/>
      <c r="AP643" s="278"/>
      <c r="AQ643" s="278"/>
      <c r="AR643" s="278"/>
      <c r="AS643" s="278"/>
      <c r="AT643" s="278"/>
      <c r="AU643" s="278"/>
      <c r="AV643" s="278"/>
      <c r="AW643" s="278"/>
      <c r="AX643" s="278"/>
      <c r="AY643" s="278"/>
      <c r="AZ643" s="278"/>
      <c r="BA643" s="278"/>
      <c r="BB643" s="278"/>
      <c r="BC643" s="278"/>
      <c r="BD643" s="278"/>
    </row>
    <row r="644" spans="1:56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196"/>
      <c r="S644" s="196"/>
      <c r="T644" s="196"/>
      <c r="U644" s="278"/>
      <c r="V644" s="278"/>
      <c r="W644" s="278"/>
      <c r="X644" s="278"/>
      <c r="Y644" s="278"/>
      <c r="Z644" s="278"/>
      <c r="AA644" s="278"/>
      <c r="AB644" s="278"/>
      <c r="AC644" s="278"/>
      <c r="AD644" s="278"/>
      <c r="AE644" s="278"/>
      <c r="AF644" s="278"/>
      <c r="AG644" s="278"/>
      <c r="AH644" s="278"/>
      <c r="AI644" s="278"/>
      <c r="AJ644" s="278"/>
      <c r="AK644" s="278"/>
      <c r="AL644" s="278"/>
      <c r="AM644" s="278"/>
      <c r="AN644" s="278"/>
      <c r="AO644" s="278"/>
      <c r="AP644" s="278"/>
      <c r="AQ644" s="278"/>
      <c r="AR644" s="278"/>
      <c r="AS644" s="278"/>
      <c r="AT644" s="278"/>
      <c r="AU644" s="278"/>
      <c r="AV644" s="278"/>
      <c r="AW644" s="278"/>
      <c r="AX644" s="278"/>
      <c r="AY644" s="278"/>
      <c r="AZ644" s="278"/>
      <c r="BA644" s="278"/>
      <c r="BB644" s="278"/>
      <c r="BC644" s="278"/>
      <c r="BD644" s="278"/>
    </row>
    <row r="645" spans="1:56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196"/>
      <c r="S645" s="196"/>
      <c r="T645" s="196"/>
      <c r="U645" s="278"/>
      <c r="V645" s="278"/>
      <c r="W645" s="278"/>
      <c r="X645" s="278"/>
      <c r="Y645" s="278"/>
      <c r="Z645" s="278"/>
      <c r="AA645" s="278"/>
      <c r="AB645" s="278"/>
      <c r="AC645" s="278"/>
      <c r="AD645" s="278"/>
      <c r="AE645" s="278"/>
      <c r="AF645" s="278"/>
      <c r="AG645" s="278"/>
      <c r="AH645" s="278"/>
      <c r="AI645" s="278"/>
      <c r="AJ645" s="278"/>
      <c r="AK645" s="278"/>
      <c r="AL645" s="278"/>
      <c r="AM645" s="278"/>
      <c r="AN645" s="278"/>
      <c r="AO645" s="278"/>
      <c r="AP645" s="278"/>
      <c r="AQ645" s="278"/>
      <c r="AR645" s="278"/>
      <c r="AS645" s="278"/>
      <c r="AT645" s="278"/>
      <c r="AU645" s="278"/>
      <c r="AV645" s="278"/>
      <c r="AW645" s="278"/>
      <c r="AX645" s="278"/>
      <c r="AY645" s="278"/>
      <c r="AZ645" s="278"/>
      <c r="BA645" s="278"/>
      <c r="BB645" s="278"/>
      <c r="BC645" s="278"/>
      <c r="BD645" s="278"/>
    </row>
    <row r="646" spans="1:56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196"/>
      <c r="S646" s="196"/>
      <c r="T646" s="196"/>
      <c r="U646" s="278"/>
      <c r="V646" s="278"/>
      <c r="W646" s="278"/>
      <c r="X646" s="278"/>
      <c r="Y646" s="278"/>
      <c r="Z646" s="278"/>
      <c r="AA646" s="278"/>
      <c r="AB646" s="278"/>
      <c r="AC646" s="278"/>
      <c r="AD646" s="278"/>
      <c r="AE646" s="278"/>
      <c r="AF646" s="278"/>
      <c r="AG646" s="278"/>
      <c r="AH646" s="278"/>
      <c r="AI646" s="278"/>
      <c r="AJ646" s="278"/>
      <c r="AK646" s="278"/>
      <c r="AL646" s="278"/>
      <c r="AM646" s="278"/>
      <c r="AN646" s="278"/>
      <c r="AO646" s="278"/>
      <c r="AP646" s="278"/>
      <c r="AQ646" s="278"/>
      <c r="AR646" s="278"/>
      <c r="AS646" s="278"/>
      <c r="AT646" s="278"/>
      <c r="AU646" s="278"/>
      <c r="AV646" s="278"/>
      <c r="AW646" s="278"/>
      <c r="AX646" s="278"/>
      <c r="AY646" s="278"/>
      <c r="AZ646" s="278"/>
      <c r="BA646" s="278"/>
      <c r="BB646" s="278"/>
      <c r="BC646" s="278"/>
      <c r="BD646" s="278"/>
    </row>
    <row r="647" spans="1:56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196"/>
      <c r="S647" s="196"/>
      <c r="T647" s="196"/>
      <c r="U647" s="278"/>
      <c r="V647" s="278"/>
      <c r="W647" s="278"/>
      <c r="X647" s="278"/>
      <c r="Y647" s="278"/>
      <c r="Z647" s="278"/>
      <c r="AA647" s="278"/>
      <c r="AB647" s="278"/>
      <c r="AC647" s="278"/>
      <c r="AD647" s="278"/>
      <c r="AE647" s="278"/>
      <c r="AF647" s="278"/>
      <c r="AG647" s="278"/>
      <c r="AH647" s="278"/>
      <c r="AI647" s="278"/>
      <c r="AJ647" s="278"/>
      <c r="AK647" s="278"/>
      <c r="AL647" s="278"/>
      <c r="AM647" s="278"/>
      <c r="AN647" s="278"/>
      <c r="AO647" s="278"/>
      <c r="AP647" s="278"/>
      <c r="AQ647" s="278"/>
      <c r="AR647" s="278"/>
      <c r="AS647" s="278"/>
      <c r="AT647" s="278"/>
      <c r="AU647" s="278"/>
      <c r="AV647" s="278"/>
      <c r="AW647" s="278"/>
      <c r="AX647" s="278"/>
      <c r="AY647" s="278"/>
      <c r="AZ647" s="278"/>
      <c r="BA647" s="278"/>
      <c r="BB647" s="278"/>
      <c r="BC647" s="278"/>
      <c r="BD647" s="278"/>
    </row>
    <row r="648" spans="1:56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196"/>
      <c r="S648" s="196"/>
      <c r="T648" s="196"/>
      <c r="U648" s="278"/>
      <c r="V648" s="278"/>
      <c r="W648" s="278"/>
      <c r="X648" s="278"/>
      <c r="Y648" s="278"/>
      <c r="Z648" s="278"/>
      <c r="AA648" s="278"/>
      <c r="AB648" s="278"/>
      <c r="AC648" s="278"/>
      <c r="AD648" s="278"/>
      <c r="AE648" s="278"/>
      <c r="AF648" s="278"/>
      <c r="AG648" s="278"/>
      <c r="AH648" s="278"/>
      <c r="AI648" s="278"/>
      <c r="AJ648" s="278"/>
      <c r="AK648" s="278"/>
      <c r="AL648" s="278"/>
      <c r="AM648" s="278"/>
      <c r="AN648" s="278"/>
      <c r="AO648" s="278"/>
      <c r="AP648" s="278"/>
      <c r="AQ648" s="278"/>
      <c r="AR648" s="278"/>
      <c r="AS648" s="278"/>
      <c r="AT648" s="278"/>
      <c r="AU648" s="278"/>
      <c r="AV648" s="278"/>
      <c r="AW648" s="278"/>
      <c r="AX648" s="278"/>
      <c r="AY648" s="278"/>
      <c r="AZ648" s="278"/>
      <c r="BA648" s="278"/>
      <c r="BB648" s="278"/>
      <c r="BC648" s="278"/>
      <c r="BD648" s="278"/>
    </row>
    <row r="649" spans="1:56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196"/>
      <c r="S649" s="196"/>
      <c r="T649" s="196"/>
      <c r="U649" s="278"/>
      <c r="V649" s="278"/>
      <c r="W649" s="278"/>
      <c r="X649" s="278"/>
      <c r="Y649" s="278"/>
      <c r="Z649" s="278"/>
      <c r="AA649" s="278"/>
      <c r="AB649" s="278"/>
      <c r="AC649" s="278"/>
      <c r="AD649" s="278"/>
      <c r="AE649" s="278"/>
      <c r="AF649" s="278"/>
      <c r="AG649" s="278"/>
      <c r="AH649" s="278"/>
      <c r="AI649" s="278"/>
      <c r="AJ649" s="278"/>
      <c r="AK649" s="278"/>
      <c r="AL649" s="278"/>
      <c r="AM649" s="278"/>
      <c r="AN649" s="278"/>
      <c r="AO649" s="278"/>
      <c r="AP649" s="278"/>
      <c r="AQ649" s="278"/>
      <c r="AR649" s="278"/>
      <c r="AS649" s="278"/>
      <c r="AT649" s="278"/>
      <c r="AU649" s="278"/>
      <c r="AV649" s="278"/>
      <c r="AW649" s="278"/>
      <c r="AX649" s="278"/>
      <c r="AY649" s="278"/>
      <c r="AZ649" s="278"/>
      <c r="BA649" s="278"/>
      <c r="BB649" s="278"/>
      <c r="BC649" s="278"/>
      <c r="BD649" s="278"/>
    </row>
    <row r="650" spans="1:56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196"/>
      <c r="S650" s="196"/>
      <c r="T650" s="196"/>
      <c r="U650" s="278"/>
      <c r="V650" s="278"/>
      <c r="W650" s="278"/>
      <c r="X650" s="278"/>
      <c r="Y650" s="278"/>
      <c r="Z650" s="278"/>
      <c r="AA650" s="278"/>
      <c r="AB650" s="278"/>
      <c r="AC650" s="278"/>
      <c r="AD650" s="278"/>
      <c r="AE650" s="278"/>
      <c r="AF650" s="278"/>
      <c r="AG650" s="278"/>
      <c r="AH650" s="278"/>
      <c r="AI650" s="278"/>
      <c r="AJ650" s="278"/>
      <c r="AK650" s="278"/>
      <c r="AL650" s="278"/>
      <c r="AM650" s="278"/>
      <c r="AN650" s="278"/>
      <c r="AO650" s="278"/>
      <c r="AP650" s="278"/>
      <c r="AQ650" s="278"/>
      <c r="AR650" s="278"/>
      <c r="AS650" s="278"/>
      <c r="AT650" s="278"/>
      <c r="AU650" s="278"/>
      <c r="AV650" s="278"/>
      <c r="AW650" s="278"/>
      <c r="AX650" s="278"/>
      <c r="AY650" s="278"/>
      <c r="AZ650" s="278"/>
      <c r="BA650" s="278"/>
      <c r="BB650" s="278"/>
      <c r="BC650" s="278"/>
      <c r="BD650" s="278"/>
    </row>
    <row r="651" spans="1:56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196"/>
      <c r="S651" s="196"/>
      <c r="T651" s="196"/>
      <c r="U651" s="278"/>
      <c r="V651" s="278"/>
      <c r="W651" s="278"/>
      <c r="X651" s="278"/>
      <c r="Y651" s="278"/>
      <c r="Z651" s="278"/>
      <c r="AA651" s="278"/>
      <c r="AB651" s="278"/>
      <c r="AC651" s="278"/>
      <c r="AD651" s="278"/>
      <c r="AE651" s="278"/>
      <c r="AF651" s="278"/>
      <c r="AG651" s="278"/>
      <c r="AH651" s="278"/>
      <c r="AI651" s="278"/>
      <c r="AJ651" s="278"/>
      <c r="AK651" s="278"/>
      <c r="AL651" s="278"/>
      <c r="AM651" s="278"/>
      <c r="AN651" s="278"/>
      <c r="AO651" s="278"/>
      <c r="AP651" s="278"/>
      <c r="AQ651" s="278"/>
      <c r="AR651" s="278"/>
      <c r="AS651" s="278"/>
      <c r="AT651" s="278"/>
      <c r="AU651" s="278"/>
      <c r="AV651" s="278"/>
      <c r="AW651" s="278"/>
      <c r="AX651" s="278"/>
      <c r="AY651" s="278"/>
      <c r="AZ651" s="278"/>
      <c r="BA651" s="278"/>
      <c r="BB651" s="278"/>
      <c r="BC651" s="278"/>
      <c r="BD651" s="278"/>
    </row>
    <row r="652" spans="1:56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196"/>
      <c r="S652" s="196"/>
      <c r="T652" s="196"/>
      <c r="U652" s="278"/>
      <c r="V652" s="278"/>
      <c r="W652" s="278"/>
      <c r="X652" s="278"/>
      <c r="Y652" s="278"/>
      <c r="Z652" s="278"/>
      <c r="AA652" s="278"/>
      <c r="AB652" s="278"/>
      <c r="AC652" s="278"/>
      <c r="AD652" s="278"/>
      <c r="AE652" s="278"/>
      <c r="AF652" s="278"/>
      <c r="AG652" s="278"/>
      <c r="AH652" s="278"/>
      <c r="AI652" s="278"/>
      <c r="AJ652" s="278"/>
      <c r="AK652" s="278"/>
      <c r="AL652" s="278"/>
      <c r="AM652" s="278"/>
      <c r="AN652" s="278"/>
      <c r="AO652" s="278"/>
      <c r="AP652" s="278"/>
      <c r="AQ652" s="278"/>
      <c r="AR652" s="278"/>
      <c r="AS652" s="278"/>
      <c r="AT652" s="278"/>
      <c r="AU652" s="278"/>
      <c r="AV652" s="278"/>
      <c r="AW652" s="278"/>
      <c r="AX652" s="278"/>
      <c r="AY652" s="278"/>
      <c r="AZ652" s="278"/>
      <c r="BA652" s="278"/>
      <c r="BB652" s="278"/>
      <c r="BC652" s="278"/>
      <c r="BD652" s="278"/>
    </row>
    <row r="653" spans="1:56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196"/>
      <c r="S653" s="196"/>
      <c r="T653" s="196"/>
      <c r="U653" s="278"/>
      <c r="V653" s="278"/>
      <c r="W653" s="278"/>
      <c r="X653" s="278"/>
      <c r="Y653" s="278"/>
      <c r="Z653" s="278"/>
      <c r="AA653" s="278"/>
      <c r="AB653" s="278"/>
      <c r="AC653" s="278"/>
      <c r="AD653" s="278"/>
      <c r="AE653" s="278"/>
      <c r="AF653" s="278"/>
      <c r="AG653" s="278"/>
      <c r="AH653" s="278"/>
      <c r="AI653" s="278"/>
      <c r="AJ653" s="278"/>
      <c r="AK653" s="278"/>
      <c r="AL653" s="278"/>
      <c r="AM653" s="278"/>
      <c r="AN653" s="278"/>
      <c r="AO653" s="278"/>
      <c r="AP653" s="278"/>
      <c r="AQ653" s="278"/>
      <c r="AR653" s="278"/>
      <c r="AS653" s="278"/>
      <c r="AT653" s="278"/>
      <c r="AU653" s="278"/>
      <c r="AV653" s="278"/>
      <c r="AW653" s="278"/>
      <c r="AX653" s="278"/>
      <c r="AY653" s="278"/>
      <c r="AZ653" s="278"/>
      <c r="BA653" s="278"/>
      <c r="BB653" s="278"/>
      <c r="BC653" s="278"/>
      <c r="BD653" s="278"/>
    </row>
    <row r="654" spans="1:56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196"/>
      <c r="S654" s="196"/>
      <c r="T654" s="196"/>
      <c r="U654" s="278"/>
      <c r="V654" s="278"/>
      <c r="W654" s="278"/>
      <c r="X654" s="278"/>
      <c r="Y654" s="278"/>
      <c r="Z654" s="278"/>
      <c r="AA654" s="278"/>
      <c r="AB654" s="278"/>
      <c r="AC654" s="278"/>
      <c r="AD654" s="278"/>
      <c r="AE654" s="278"/>
      <c r="AF654" s="278"/>
      <c r="AG654" s="278"/>
      <c r="AH654" s="278"/>
      <c r="AI654" s="278"/>
      <c r="AJ654" s="278"/>
      <c r="AK654" s="278"/>
      <c r="AL654" s="278"/>
      <c r="AM654" s="278"/>
      <c r="AN654" s="278"/>
      <c r="AO654" s="278"/>
      <c r="AP654" s="278"/>
      <c r="AQ654" s="278"/>
      <c r="AR654" s="278"/>
      <c r="AS654" s="278"/>
      <c r="AT654" s="278"/>
      <c r="AU654" s="278"/>
      <c r="AV654" s="278"/>
      <c r="AW654" s="278"/>
      <c r="AX654" s="278"/>
      <c r="AY654" s="278"/>
      <c r="AZ654" s="278"/>
      <c r="BA654" s="278"/>
      <c r="BB654" s="278"/>
      <c r="BC654" s="278"/>
      <c r="BD654" s="278"/>
    </row>
    <row r="655" spans="1:56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196"/>
      <c r="S655" s="196"/>
      <c r="T655" s="196"/>
      <c r="U655" s="278"/>
      <c r="V655" s="278"/>
      <c r="W655" s="278"/>
      <c r="X655" s="278"/>
      <c r="Y655" s="278"/>
      <c r="Z655" s="278"/>
      <c r="AA655" s="278"/>
      <c r="AB655" s="278"/>
      <c r="AC655" s="278"/>
      <c r="AD655" s="278"/>
      <c r="AE655" s="278"/>
      <c r="AF655" s="278"/>
      <c r="AG655" s="278"/>
      <c r="AH655" s="278"/>
      <c r="AI655" s="278"/>
      <c r="AJ655" s="278"/>
      <c r="AK655" s="278"/>
      <c r="AL655" s="278"/>
      <c r="AM655" s="278"/>
      <c r="AN655" s="278"/>
      <c r="AO655" s="278"/>
      <c r="AP655" s="278"/>
      <c r="AQ655" s="278"/>
      <c r="AR655" s="278"/>
      <c r="AS655" s="278"/>
      <c r="AT655" s="278"/>
      <c r="AU655" s="278"/>
      <c r="AV655" s="278"/>
      <c r="AW655" s="278"/>
      <c r="AX655" s="278"/>
      <c r="AY655" s="278"/>
      <c r="AZ655" s="278"/>
      <c r="BA655" s="278"/>
      <c r="BB655" s="278"/>
      <c r="BC655" s="278"/>
      <c r="BD655" s="278"/>
    </row>
    <row r="656" spans="1:56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196"/>
      <c r="S656" s="196"/>
      <c r="T656" s="196"/>
      <c r="U656" s="278"/>
      <c r="V656" s="278"/>
      <c r="W656" s="278"/>
      <c r="X656" s="278"/>
      <c r="Y656" s="278"/>
      <c r="Z656" s="278"/>
      <c r="AA656" s="278"/>
      <c r="AB656" s="278"/>
      <c r="AC656" s="278"/>
      <c r="AD656" s="278"/>
      <c r="AE656" s="278"/>
      <c r="AF656" s="278"/>
      <c r="AG656" s="278"/>
      <c r="AH656" s="278"/>
      <c r="AI656" s="278"/>
      <c r="AJ656" s="278"/>
      <c r="AK656" s="278"/>
      <c r="AL656" s="278"/>
      <c r="AM656" s="278"/>
      <c r="AN656" s="278"/>
      <c r="AO656" s="278"/>
      <c r="AP656" s="278"/>
      <c r="AQ656" s="278"/>
      <c r="AR656" s="278"/>
      <c r="AS656" s="278"/>
      <c r="AT656" s="278"/>
      <c r="AU656" s="278"/>
      <c r="AV656" s="278"/>
      <c r="AW656" s="278"/>
      <c r="AX656" s="278"/>
      <c r="AY656" s="278"/>
      <c r="AZ656" s="278"/>
      <c r="BA656" s="278"/>
      <c r="BB656" s="278"/>
      <c r="BC656" s="278"/>
      <c r="BD656" s="278"/>
    </row>
    <row r="657" spans="1:56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196"/>
      <c r="S657" s="196"/>
      <c r="T657" s="196"/>
      <c r="U657" s="278"/>
      <c r="V657" s="278"/>
      <c r="W657" s="278"/>
      <c r="X657" s="278"/>
      <c r="Y657" s="278"/>
      <c r="Z657" s="278"/>
      <c r="AA657" s="278"/>
      <c r="AB657" s="278"/>
      <c r="AC657" s="278"/>
      <c r="AD657" s="278"/>
      <c r="AE657" s="278"/>
      <c r="AF657" s="278"/>
      <c r="AG657" s="278"/>
      <c r="AH657" s="278"/>
      <c r="AI657" s="278"/>
      <c r="AJ657" s="278"/>
      <c r="AK657" s="278"/>
      <c r="AL657" s="278"/>
      <c r="AM657" s="278"/>
      <c r="AN657" s="278"/>
      <c r="AO657" s="278"/>
      <c r="AP657" s="278"/>
      <c r="AQ657" s="278"/>
      <c r="AR657" s="278"/>
      <c r="AS657" s="278"/>
      <c r="AT657" s="278"/>
      <c r="AU657" s="278"/>
      <c r="AV657" s="278"/>
      <c r="AW657" s="278"/>
      <c r="AX657" s="278"/>
      <c r="AY657" s="278"/>
      <c r="AZ657" s="278"/>
      <c r="BA657" s="278"/>
      <c r="BB657" s="278"/>
      <c r="BC657" s="278"/>
      <c r="BD657" s="278"/>
    </row>
    <row r="658" spans="1:56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196"/>
      <c r="S658" s="196"/>
      <c r="T658" s="196"/>
      <c r="U658" s="278"/>
      <c r="V658" s="278"/>
      <c r="W658" s="278"/>
      <c r="X658" s="278"/>
      <c r="Y658" s="278"/>
      <c r="Z658" s="278"/>
      <c r="AA658" s="278"/>
      <c r="AB658" s="278"/>
      <c r="AC658" s="278"/>
      <c r="AD658" s="278"/>
      <c r="AE658" s="278"/>
      <c r="AF658" s="278"/>
      <c r="AG658" s="278"/>
      <c r="AH658" s="278"/>
      <c r="AI658" s="278"/>
      <c r="AJ658" s="278"/>
      <c r="AK658" s="278"/>
      <c r="AL658" s="278"/>
      <c r="AM658" s="278"/>
      <c r="AN658" s="278"/>
      <c r="AO658" s="278"/>
      <c r="AP658" s="278"/>
      <c r="AQ658" s="278"/>
      <c r="AR658" s="278"/>
      <c r="AS658" s="278"/>
      <c r="AT658" s="278"/>
      <c r="AU658" s="278"/>
      <c r="AV658" s="278"/>
      <c r="AW658" s="278"/>
      <c r="AX658" s="278"/>
      <c r="AY658" s="278"/>
      <c r="AZ658" s="278"/>
      <c r="BA658" s="278"/>
      <c r="BB658" s="278"/>
      <c r="BC658" s="278"/>
      <c r="BD658" s="278"/>
    </row>
    <row r="659" spans="1:56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196"/>
      <c r="S659" s="196"/>
      <c r="T659" s="196"/>
      <c r="U659" s="278"/>
      <c r="V659" s="278"/>
      <c r="W659" s="278"/>
      <c r="X659" s="278"/>
      <c r="Y659" s="278"/>
      <c r="Z659" s="278"/>
      <c r="AA659" s="278"/>
      <c r="AB659" s="278"/>
      <c r="AC659" s="278"/>
      <c r="AD659" s="278"/>
      <c r="AE659" s="278"/>
      <c r="AF659" s="278"/>
      <c r="AG659" s="278"/>
      <c r="AH659" s="278"/>
      <c r="AI659" s="278"/>
      <c r="AJ659" s="278"/>
      <c r="AK659" s="278"/>
      <c r="AL659" s="278"/>
      <c r="AM659" s="278"/>
      <c r="AN659" s="278"/>
      <c r="AO659" s="278"/>
      <c r="AP659" s="278"/>
      <c r="AQ659" s="278"/>
      <c r="AR659" s="278"/>
      <c r="AS659" s="278"/>
      <c r="AT659" s="278"/>
      <c r="AU659" s="278"/>
      <c r="AV659" s="278"/>
      <c r="AW659" s="278"/>
      <c r="AX659" s="278"/>
      <c r="AY659" s="278"/>
      <c r="AZ659" s="278"/>
      <c r="BA659" s="278"/>
      <c r="BB659" s="278"/>
      <c r="BC659" s="278"/>
      <c r="BD659" s="278"/>
    </row>
    <row r="660" spans="1:56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196"/>
      <c r="S660" s="196"/>
      <c r="T660" s="196"/>
      <c r="U660" s="278"/>
      <c r="V660" s="278"/>
      <c r="W660" s="278"/>
      <c r="X660" s="278"/>
      <c r="Y660" s="278"/>
      <c r="Z660" s="278"/>
      <c r="AA660" s="278"/>
      <c r="AB660" s="278"/>
      <c r="AC660" s="278"/>
      <c r="AD660" s="278"/>
      <c r="AE660" s="278"/>
      <c r="AF660" s="278"/>
      <c r="AG660" s="278"/>
      <c r="AH660" s="278"/>
      <c r="AI660" s="278"/>
      <c r="AJ660" s="278"/>
      <c r="AK660" s="278"/>
      <c r="AL660" s="278"/>
      <c r="AM660" s="278"/>
      <c r="AN660" s="278"/>
      <c r="AO660" s="278"/>
      <c r="AP660" s="278"/>
      <c r="AQ660" s="278"/>
      <c r="AR660" s="278"/>
      <c r="AS660" s="278"/>
      <c r="AT660" s="278"/>
      <c r="AU660" s="278"/>
      <c r="AV660" s="278"/>
      <c r="AW660" s="278"/>
      <c r="AX660" s="278"/>
      <c r="AY660" s="278"/>
      <c r="AZ660" s="278"/>
      <c r="BA660" s="278"/>
      <c r="BB660" s="278"/>
      <c r="BC660" s="278"/>
      <c r="BD660" s="278"/>
    </row>
    <row r="661" spans="1:56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196"/>
      <c r="S661" s="196"/>
      <c r="T661" s="196"/>
      <c r="U661" s="278"/>
      <c r="V661" s="278"/>
      <c r="W661" s="278"/>
      <c r="X661" s="278"/>
      <c r="Y661" s="278"/>
      <c r="Z661" s="278"/>
      <c r="AA661" s="278"/>
      <c r="AB661" s="278"/>
      <c r="AC661" s="278"/>
      <c r="AD661" s="278"/>
      <c r="AE661" s="278"/>
      <c r="AF661" s="278"/>
      <c r="AG661" s="278"/>
      <c r="AH661" s="278"/>
      <c r="AI661" s="278"/>
      <c r="AJ661" s="278"/>
      <c r="AK661" s="278"/>
      <c r="AL661" s="278"/>
      <c r="AM661" s="278"/>
      <c r="AN661" s="278"/>
      <c r="AO661" s="278"/>
      <c r="AP661" s="278"/>
      <c r="AQ661" s="278"/>
      <c r="AR661" s="278"/>
      <c r="AS661" s="278"/>
      <c r="AT661" s="278"/>
      <c r="AU661" s="278"/>
      <c r="AV661" s="278"/>
      <c r="AW661" s="278"/>
      <c r="AX661" s="278"/>
      <c r="AY661" s="278"/>
      <c r="AZ661" s="278"/>
      <c r="BA661" s="278"/>
      <c r="BB661" s="278"/>
      <c r="BC661" s="278"/>
      <c r="BD661" s="278"/>
    </row>
    <row r="662" spans="1:56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196"/>
      <c r="S662" s="196"/>
      <c r="T662" s="196"/>
      <c r="U662" s="278"/>
      <c r="V662" s="278"/>
      <c r="W662" s="278"/>
      <c r="X662" s="278"/>
      <c r="Y662" s="278"/>
      <c r="Z662" s="278"/>
      <c r="AA662" s="278"/>
      <c r="AB662" s="278"/>
      <c r="AC662" s="278"/>
      <c r="AD662" s="278"/>
      <c r="AE662" s="278"/>
      <c r="AF662" s="278"/>
      <c r="AG662" s="278"/>
      <c r="AH662" s="278"/>
      <c r="AI662" s="278"/>
      <c r="AJ662" s="278"/>
      <c r="AK662" s="278"/>
      <c r="AL662" s="278"/>
      <c r="AM662" s="278"/>
      <c r="AN662" s="278"/>
      <c r="AO662" s="278"/>
      <c r="AP662" s="278"/>
      <c r="AQ662" s="278"/>
      <c r="AR662" s="278"/>
      <c r="AS662" s="278"/>
      <c r="AT662" s="278"/>
      <c r="AU662" s="278"/>
      <c r="AV662" s="278"/>
      <c r="AW662" s="278"/>
      <c r="AX662" s="278"/>
      <c r="AY662" s="278"/>
      <c r="AZ662" s="278"/>
      <c r="BA662" s="278"/>
      <c r="BB662" s="278"/>
      <c r="BC662" s="278"/>
      <c r="BD662" s="278"/>
    </row>
    <row r="663" spans="1:56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196"/>
      <c r="S663" s="196"/>
      <c r="T663" s="196"/>
      <c r="U663" s="278"/>
      <c r="V663" s="278"/>
      <c r="W663" s="278"/>
      <c r="X663" s="278"/>
      <c r="Y663" s="278"/>
      <c r="Z663" s="278"/>
      <c r="AA663" s="278"/>
      <c r="AB663" s="278"/>
      <c r="AC663" s="278"/>
      <c r="AD663" s="278"/>
      <c r="AE663" s="278"/>
      <c r="AF663" s="278"/>
      <c r="AG663" s="278"/>
      <c r="AH663" s="278"/>
      <c r="AI663" s="278"/>
      <c r="AJ663" s="278"/>
      <c r="AK663" s="278"/>
      <c r="AL663" s="278"/>
      <c r="AM663" s="278"/>
      <c r="AN663" s="278"/>
      <c r="AO663" s="278"/>
      <c r="AP663" s="278"/>
      <c r="AQ663" s="278"/>
      <c r="AR663" s="278"/>
      <c r="AS663" s="278"/>
      <c r="AT663" s="278"/>
      <c r="AU663" s="278"/>
      <c r="AV663" s="278"/>
      <c r="AW663" s="278"/>
      <c r="AX663" s="278"/>
      <c r="AY663" s="278"/>
      <c r="AZ663" s="278"/>
      <c r="BA663" s="278"/>
      <c r="BB663" s="278"/>
      <c r="BC663" s="278"/>
      <c r="BD663" s="278"/>
    </row>
    <row r="664" spans="1:56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196"/>
      <c r="S664" s="196"/>
      <c r="T664" s="196"/>
      <c r="U664" s="278"/>
      <c r="V664" s="278"/>
      <c r="W664" s="278"/>
      <c r="X664" s="278"/>
      <c r="Y664" s="278"/>
      <c r="Z664" s="278"/>
      <c r="AA664" s="278"/>
      <c r="AB664" s="278"/>
      <c r="AC664" s="278"/>
      <c r="AD664" s="278"/>
      <c r="AE664" s="278"/>
      <c r="AF664" s="278"/>
      <c r="AG664" s="278"/>
      <c r="AH664" s="278"/>
      <c r="AI664" s="278"/>
      <c r="AJ664" s="278"/>
      <c r="AK664" s="278"/>
      <c r="AL664" s="278"/>
      <c r="AM664" s="278"/>
      <c r="AN664" s="278"/>
      <c r="AO664" s="278"/>
      <c r="AP664" s="278"/>
      <c r="AQ664" s="278"/>
      <c r="AR664" s="278"/>
      <c r="AS664" s="278"/>
      <c r="AT664" s="278"/>
      <c r="AU664" s="278"/>
      <c r="AV664" s="278"/>
      <c r="AW664" s="278"/>
      <c r="AX664" s="278"/>
      <c r="AY664" s="278"/>
      <c r="AZ664" s="278"/>
      <c r="BA664" s="278"/>
      <c r="BB664" s="278"/>
      <c r="BC664" s="278"/>
      <c r="BD664" s="278"/>
    </row>
    <row r="665" spans="1:56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196"/>
      <c r="S665" s="196"/>
      <c r="T665" s="196"/>
      <c r="U665" s="278"/>
      <c r="V665" s="278"/>
      <c r="W665" s="278"/>
      <c r="X665" s="278"/>
      <c r="Y665" s="278"/>
      <c r="Z665" s="278"/>
      <c r="AA665" s="278"/>
      <c r="AB665" s="278"/>
      <c r="AC665" s="278"/>
      <c r="AD665" s="278"/>
      <c r="AE665" s="278"/>
      <c r="AF665" s="278"/>
      <c r="AG665" s="278"/>
      <c r="AH665" s="278"/>
      <c r="AI665" s="278"/>
      <c r="AJ665" s="278"/>
      <c r="AK665" s="278"/>
      <c r="AL665" s="278"/>
      <c r="AM665" s="278"/>
      <c r="AN665" s="278"/>
      <c r="AO665" s="278"/>
      <c r="AP665" s="278"/>
      <c r="AQ665" s="278"/>
      <c r="AR665" s="278"/>
      <c r="AS665" s="278"/>
      <c r="AT665" s="278"/>
      <c r="AU665" s="278"/>
      <c r="AV665" s="278"/>
      <c r="AW665" s="278"/>
      <c r="AX665" s="278"/>
      <c r="AY665" s="278"/>
      <c r="AZ665" s="278"/>
      <c r="BA665" s="278"/>
      <c r="BB665" s="278"/>
      <c r="BC665" s="278"/>
      <c r="BD665" s="278"/>
    </row>
    <row r="666" spans="1:56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196"/>
      <c r="S666" s="196"/>
      <c r="T666" s="196"/>
      <c r="U666" s="278"/>
      <c r="V666" s="278"/>
      <c r="W666" s="278"/>
      <c r="X666" s="278"/>
      <c r="Y666" s="278"/>
      <c r="Z666" s="278"/>
      <c r="AA666" s="278"/>
      <c r="AB666" s="278"/>
      <c r="AC666" s="278"/>
      <c r="AD666" s="278"/>
      <c r="AE666" s="278"/>
      <c r="AF666" s="278"/>
      <c r="AG666" s="278"/>
      <c r="AH666" s="278"/>
      <c r="AI666" s="278"/>
      <c r="AJ666" s="278"/>
      <c r="AK666" s="278"/>
      <c r="AL666" s="278"/>
      <c r="AM666" s="278"/>
      <c r="AN666" s="278"/>
      <c r="AO666" s="278"/>
      <c r="AP666" s="278"/>
      <c r="AQ666" s="278"/>
      <c r="AR666" s="278"/>
      <c r="AS666" s="278"/>
      <c r="AT666" s="278"/>
      <c r="AU666" s="278"/>
      <c r="AV666" s="278"/>
      <c r="AW666" s="278"/>
      <c r="AX666" s="278"/>
      <c r="AY666" s="278"/>
      <c r="AZ666" s="278"/>
      <c r="BA666" s="278"/>
      <c r="BB666" s="278"/>
      <c r="BC666" s="278"/>
      <c r="BD666" s="278"/>
    </row>
    <row r="667" spans="1:56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196"/>
      <c r="S667" s="196"/>
      <c r="T667" s="196"/>
      <c r="U667" s="278"/>
      <c r="V667" s="278"/>
      <c r="W667" s="278"/>
      <c r="X667" s="278"/>
      <c r="Y667" s="278"/>
      <c r="Z667" s="278"/>
      <c r="AA667" s="278"/>
      <c r="AB667" s="278"/>
      <c r="AC667" s="278"/>
      <c r="AD667" s="278"/>
      <c r="AE667" s="278"/>
      <c r="AF667" s="278"/>
      <c r="AG667" s="278"/>
      <c r="AH667" s="278"/>
      <c r="AI667" s="278"/>
      <c r="AJ667" s="278"/>
      <c r="AK667" s="278"/>
      <c r="AL667" s="278"/>
      <c r="AM667" s="278"/>
      <c r="AN667" s="278"/>
      <c r="AO667" s="278"/>
      <c r="AP667" s="278"/>
      <c r="AQ667" s="278"/>
      <c r="AR667" s="278"/>
      <c r="AS667" s="278"/>
      <c r="AT667" s="278"/>
      <c r="AU667" s="278"/>
      <c r="AV667" s="278"/>
      <c r="AW667" s="278"/>
      <c r="AX667" s="278"/>
      <c r="AY667" s="278"/>
      <c r="AZ667" s="278"/>
      <c r="BA667" s="278"/>
      <c r="BB667" s="278"/>
      <c r="BC667" s="278"/>
      <c r="BD667" s="278"/>
    </row>
    <row r="668" spans="1:56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196"/>
      <c r="S668" s="196"/>
      <c r="T668" s="196"/>
      <c r="U668" s="278"/>
      <c r="V668" s="278"/>
      <c r="W668" s="278"/>
      <c r="X668" s="278"/>
      <c r="Y668" s="278"/>
      <c r="Z668" s="278"/>
      <c r="AA668" s="278"/>
      <c r="AB668" s="278"/>
      <c r="AC668" s="278"/>
      <c r="AD668" s="278"/>
      <c r="AE668" s="278"/>
      <c r="AF668" s="278"/>
      <c r="AG668" s="278"/>
      <c r="AH668" s="278"/>
      <c r="AI668" s="278"/>
      <c r="AJ668" s="278"/>
      <c r="AK668" s="278"/>
      <c r="AL668" s="278"/>
      <c r="AM668" s="278"/>
      <c r="AN668" s="278"/>
      <c r="AO668" s="278"/>
      <c r="AP668" s="278"/>
      <c r="AQ668" s="278"/>
      <c r="AR668" s="278"/>
      <c r="AS668" s="278"/>
      <c r="AT668" s="278"/>
      <c r="AU668" s="278"/>
      <c r="AV668" s="278"/>
      <c r="AW668" s="278"/>
      <c r="AX668" s="278"/>
      <c r="AY668" s="278"/>
      <c r="AZ668" s="278"/>
      <c r="BA668" s="278"/>
      <c r="BB668" s="278"/>
      <c r="BC668" s="278"/>
      <c r="BD668" s="278"/>
    </row>
    <row r="669" spans="1:56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196"/>
      <c r="S669" s="196"/>
      <c r="T669" s="196"/>
      <c r="U669" s="278"/>
      <c r="V669" s="278"/>
      <c r="W669" s="278"/>
      <c r="X669" s="278"/>
      <c r="Y669" s="278"/>
      <c r="Z669" s="278"/>
      <c r="AA669" s="278"/>
      <c r="AB669" s="278"/>
      <c r="AC669" s="278"/>
      <c r="AD669" s="278"/>
      <c r="AE669" s="278"/>
      <c r="AF669" s="278"/>
      <c r="AG669" s="278"/>
      <c r="AH669" s="278"/>
      <c r="AI669" s="278"/>
      <c r="AJ669" s="278"/>
      <c r="AK669" s="278"/>
      <c r="AL669" s="278"/>
      <c r="AM669" s="278"/>
      <c r="AN669" s="278"/>
      <c r="AO669" s="278"/>
      <c r="AP669" s="278"/>
      <c r="AQ669" s="278"/>
      <c r="AR669" s="278"/>
      <c r="AS669" s="278"/>
      <c r="AT669" s="278"/>
      <c r="AU669" s="278"/>
      <c r="AV669" s="278"/>
      <c r="AW669" s="278"/>
      <c r="AX669" s="278"/>
      <c r="AY669" s="278"/>
      <c r="AZ669" s="278"/>
      <c r="BA669" s="278"/>
      <c r="BB669" s="278"/>
      <c r="BC669" s="278"/>
      <c r="BD669" s="278"/>
    </row>
    <row r="670" spans="1:56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196"/>
      <c r="S670" s="196"/>
      <c r="T670" s="196"/>
      <c r="U670" s="278"/>
      <c r="V670" s="278"/>
      <c r="W670" s="278"/>
      <c r="X670" s="278"/>
      <c r="Y670" s="278"/>
      <c r="Z670" s="278"/>
      <c r="AA670" s="278"/>
      <c r="AB670" s="278"/>
      <c r="AC670" s="278"/>
      <c r="AD670" s="278"/>
      <c r="AE670" s="278"/>
      <c r="AF670" s="278"/>
      <c r="AG670" s="278"/>
      <c r="AH670" s="278"/>
      <c r="AI670" s="278"/>
      <c r="AJ670" s="278"/>
      <c r="AK670" s="278"/>
      <c r="AL670" s="278"/>
      <c r="AM670" s="278"/>
      <c r="AN670" s="278"/>
      <c r="AO670" s="278"/>
      <c r="AP670" s="278"/>
      <c r="AQ670" s="278"/>
      <c r="AR670" s="278"/>
      <c r="AS670" s="278"/>
      <c r="AT670" s="278"/>
      <c r="AU670" s="278"/>
      <c r="AV670" s="278"/>
      <c r="AW670" s="278"/>
      <c r="AX670" s="278"/>
      <c r="AY670" s="278"/>
      <c r="AZ670" s="278"/>
      <c r="BA670" s="278"/>
      <c r="BB670" s="278"/>
      <c r="BC670" s="278"/>
      <c r="BD670" s="278"/>
    </row>
    <row r="671" spans="1:56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196"/>
      <c r="S671" s="196"/>
      <c r="T671" s="196"/>
      <c r="U671" s="278"/>
      <c r="V671" s="278"/>
      <c r="W671" s="278"/>
      <c r="X671" s="278"/>
      <c r="Y671" s="278"/>
      <c r="Z671" s="278"/>
      <c r="AA671" s="278"/>
      <c r="AB671" s="278"/>
      <c r="AC671" s="278"/>
      <c r="AD671" s="278"/>
      <c r="AE671" s="278"/>
      <c r="AF671" s="278"/>
      <c r="AG671" s="278"/>
      <c r="AH671" s="278"/>
      <c r="AI671" s="278"/>
      <c r="AJ671" s="278"/>
      <c r="AK671" s="278"/>
      <c r="AL671" s="278"/>
      <c r="AM671" s="278"/>
      <c r="AN671" s="278"/>
      <c r="AO671" s="278"/>
      <c r="AP671" s="278"/>
      <c r="AQ671" s="278"/>
      <c r="AR671" s="278"/>
      <c r="AS671" s="278"/>
      <c r="AT671" s="278"/>
      <c r="AU671" s="278"/>
      <c r="AV671" s="278"/>
      <c r="AW671" s="278"/>
      <c r="AX671" s="278"/>
      <c r="AY671" s="278"/>
      <c r="AZ671" s="278"/>
      <c r="BA671" s="278"/>
      <c r="BB671" s="278"/>
      <c r="BC671" s="278"/>
      <c r="BD671" s="278"/>
    </row>
    <row r="672" spans="1:56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196"/>
      <c r="S672" s="196"/>
      <c r="T672" s="196"/>
      <c r="U672" s="278"/>
      <c r="V672" s="278"/>
      <c r="W672" s="278"/>
      <c r="X672" s="278"/>
      <c r="Y672" s="278"/>
      <c r="Z672" s="278"/>
      <c r="AA672" s="278"/>
      <c r="AB672" s="278"/>
      <c r="AC672" s="278"/>
      <c r="AD672" s="278"/>
      <c r="AE672" s="278"/>
      <c r="AF672" s="278"/>
      <c r="AG672" s="278"/>
      <c r="AH672" s="278"/>
      <c r="AI672" s="278"/>
      <c r="AJ672" s="278"/>
      <c r="AK672" s="278"/>
      <c r="AL672" s="278"/>
      <c r="AM672" s="278"/>
      <c r="AN672" s="278"/>
      <c r="AO672" s="278"/>
      <c r="AP672" s="278"/>
      <c r="AQ672" s="278"/>
      <c r="AR672" s="278"/>
      <c r="AS672" s="278"/>
      <c r="AT672" s="278"/>
      <c r="AU672" s="278"/>
      <c r="AV672" s="278"/>
      <c r="AW672" s="278"/>
      <c r="AX672" s="278"/>
      <c r="AY672" s="278"/>
      <c r="AZ672" s="278"/>
      <c r="BA672" s="278"/>
      <c r="BB672" s="278"/>
      <c r="BC672" s="278"/>
      <c r="BD672" s="278"/>
    </row>
    <row r="673" spans="1:56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196"/>
      <c r="S673" s="196"/>
      <c r="T673" s="196"/>
      <c r="U673" s="278"/>
      <c r="V673" s="278"/>
      <c r="W673" s="278"/>
      <c r="X673" s="278"/>
      <c r="Y673" s="278"/>
      <c r="Z673" s="278"/>
      <c r="AA673" s="278"/>
      <c r="AB673" s="278"/>
      <c r="AC673" s="278"/>
      <c r="AD673" s="278"/>
      <c r="AE673" s="278"/>
      <c r="AF673" s="278"/>
      <c r="AG673" s="278"/>
      <c r="AH673" s="278"/>
      <c r="AI673" s="278"/>
      <c r="AJ673" s="278"/>
      <c r="AK673" s="278"/>
      <c r="AL673" s="278"/>
      <c r="AM673" s="278"/>
      <c r="AN673" s="278"/>
      <c r="AO673" s="278"/>
      <c r="AP673" s="278"/>
      <c r="AQ673" s="278"/>
      <c r="AR673" s="278"/>
      <c r="AS673" s="278"/>
      <c r="AT673" s="278"/>
      <c r="AU673" s="278"/>
      <c r="AV673" s="278"/>
      <c r="AW673" s="278"/>
      <c r="AX673" s="278"/>
      <c r="AY673" s="278"/>
      <c r="AZ673" s="278"/>
      <c r="BA673" s="278"/>
      <c r="BB673" s="278"/>
      <c r="BC673" s="278"/>
      <c r="BD673" s="278"/>
    </row>
    <row r="674" spans="1:56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196"/>
      <c r="S674" s="196"/>
      <c r="T674" s="196"/>
      <c r="U674" s="278"/>
      <c r="V674" s="278"/>
      <c r="W674" s="278"/>
      <c r="X674" s="278"/>
      <c r="Y674" s="278"/>
      <c r="Z674" s="278"/>
      <c r="AA674" s="278"/>
      <c r="AB674" s="278"/>
      <c r="AC674" s="278"/>
      <c r="AD674" s="278"/>
      <c r="AE674" s="278"/>
      <c r="AF674" s="278"/>
      <c r="AG674" s="278"/>
      <c r="AH674" s="278"/>
      <c r="AI674" s="278"/>
      <c r="AJ674" s="278"/>
      <c r="AK674" s="278"/>
      <c r="AL674" s="278"/>
      <c r="AM674" s="278"/>
      <c r="AN674" s="278"/>
      <c r="AO674" s="278"/>
      <c r="AP674" s="278"/>
      <c r="AQ674" s="278"/>
      <c r="AR674" s="278"/>
      <c r="AS674" s="278"/>
      <c r="AT674" s="278"/>
      <c r="AU674" s="278"/>
      <c r="AV674" s="278"/>
      <c r="AW674" s="278"/>
      <c r="AX674" s="278"/>
      <c r="AY674" s="278"/>
      <c r="AZ674" s="278"/>
      <c r="BA674" s="278"/>
      <c r="BB674" s="278"/>
      <c r="BC674" s="278"/>
      <c r="BD674" s="278"/>
    </row>
    <row r="675" spans="1:56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196"/>
      <c r="S675" s="196"/>
      <c r="T675" s="196"/>
      <c r="U675" s="278"/>
      <c r="V675" s="278"/>
      <c r="W675" s="278"/>
      <c r="X675" s="278"/>
      <c r="Y675" s="278"/>
      <c r="Z675" s="278"/>
      <c r="AA675" s="278"/>
      <c r="AB675" s="278"/>
      <c r="AC675" s="278"/>
      <c r="AD675" s="278"/>
      <c r="AE675" s="278"/>
      <c r="AF675" s="278"/>
      <c r="AG675" s="278"/>
      <c r="AH675" s="278"/>
      <c r="AI675" s="278"/>
      <c r="AJ675" s="278"/>
      <c r="AK675" s="278"/>
      <c r="AL675" s="278"/>
      <c r="AM675" s="278"/>
      <c r="AN675" s="278"/>
      <c r="AO675" s="278"/>
      <c r="AP675" s="278"/>
      <c r="AQ675" s="278"/>
      <c r="AR675" s="278"/>
      <c r="AS675" s="278"/>
      <c r="AT675" s="278"/>
      <c r="AU675" s="278"/>
      <c r="AV675" s="278"/>
      <c r="AW675" s="278"/>
      <c r="AX675" s="278"/>
      <c r="AY675" s="278"/>
      <c r="AZ675" s="278"/>
      <c r="BA675" s="278"/>
      <c r="BB675" s="278"/>
      <c r="BC675" s="278"/>
      <c r="BD675" s="278"/>
    </row>
    <row r="676" spans="1:56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196"/>
      <c r="S676" s="196"/>
      <c r="T676" s="196"/>
      <c r="U676" s="278"/>
      <c r="V676" s="278"/>
      <c r="W676" s="278"/>
      <c r="X676" s="278"/>
      <c r="Y676" s="278"/>
      <c r="Z676" s="278"/>
      <c r="AA676" s="278"/>
      <c r="AB676" s="278"/>
      <c r="AC676" s="278"/>
      <c r="AD676" s="278"/>
      <c r="AE676" s="278"/>
      <c r="AF676" s="278"/>
      <c r="AG676" s="278"/>
      <c r="AH676" s="278"/>
      <c r="AI676" s="278"/>
      <c r="AJ676" s="278"/>
      <c r="AK676" s="278"/>
      <c r="AL676" s="278"/>
      <c r="AM676" s="278"/>
      <c r="AN676" s="278"/>
      <c r="AO676" s="278"/>
      <c r="AP676" s="278"/>
      <c r="AQ676" s="278"/>
      <c r="AR676" s="278"/>
      <c r="AS676" s="278"/>
      <c r="AT676" s="278"/>
      <c r="AU676" s="278"/>
      <c r="AV676" s="278"/>
      <c r="AW676" s="278"/>
      <c r="AX676" s="278"/>
      <c r="AY676" s="278"/>
      <c r="AZ676" s="278"/>
      <c r="BA676" s="278"/>
      <c r="BB676" s="278"/>
      <c r="BC676" s="278"/>
      <c r="BD676" s="278"/>
    </row>
    <row r="677" spans="1:56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196"/>
      <c r="S677" s="196"/>
      <c r="T677" s="196"/>
      <c r="U677" s="278"/>
      <c r="V677" s="278"/>
      <c r="W677" s="278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  <c r="AJ677" s="278"/>
      <c r="AK677" s="278"/>
      <c r="AL677" s="278"/>
      <c r="AM677" s="278"/>
      <c r="AN677" s="278"/>
      <c r="AO677" s="278"/>
      <c r="AP677" s="278"/>
      <c r="AQ677" s="278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</row>
    <row r="678" spans="1:56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196"/>
      <c r="S678" s="196"/>
      <c r="T678" s="196"/>
      <c r="U678" s="278"/>
      <c r="V678" s="278"/>
      <c r="W678" s="278"/>
      <c r="X678" s="278"/>
      <c r="Y678" s="278"/>
      <c r="Z678" s="278"/>
      <c r="AA678" s="278"/>
      <c r="AB678" s="278"/>
      <c r="AC678" s="278"/>
      <c r="AD678" s="278"/>
      <c r="AE678" s="278"/>
      <c r="AF678" s="278"/>
      <c r="AG678" s="278"/>
      <c r="AH678" s="278"/>
      <c r="AI678" s="278"/>
      <c r="AJ678" s="278"/>
      <c r="AK678" s="278"/>
      <c r="AL678" s="278"/>
      <c r="AM678" s="278"/>
      <c r="AN678" s="278"/>
      <c r="AO678" s="278"/>
      <c r="AP678" s="278"/>
      <c r="AQ678" s="278"/>
      <c r="AR678" s="278"/>
      <c r="AS678" s="278"/>
      <c r="AT678" s="278"/>
      <c r="AU678" s="278"/>
      <c r="AV678" s="278"/>
      <c r="AW678" s="278"/>
      <c r="AX678" s="278"/>
      <c r="AY678" s="278"/>
      <c r="AZ678" s="278"/>
      <c r="BA678" s="278"/>
      <c r="BB678" s="278"/>
      <c r="BC678" s="278"/>
      <c r="BD678" s="278"/>
    </row>
    <row r="679" spans="1:56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196"/>
      <c r="S679" s="196"/>
      <c r="T679" s="196"/>
      <c r="U679" s="278"/>
      <c r="V679" s="278"/>
      <c r="W679" s="278"/>
      <c r="X679" s="278"/>
      <c r="Y679" s="278"/>
      <c r="Z679" s="278"/>
      <c r="AA679" s="278"/>
      <c r="AB679" s="278"/>
      <c r="AC679" s="278"/>
      <c r="AD679" s="278"/>
      <c r="AE679" s="278"/>
      <c r="AF679" s="278"/>
      <c r="AG679" s="278"/>
      <c r="AH679" s="278"/>
      <c r="AI679" s="278"/>
      <c r="AJ679" s="278"/>
      <c r="AK679" s="278"/>
      <c r="AL679" s="278"/>
      <c r="AM679" s="278"/>
      <c r="AN679" s="278"/>
      <c r="AO679" s="278"/>
      <c r="AP679" s="278"/>
      <c r="AQ679" s="278"/>
      <c r="AR679" s="278"/>
      <c r="AS679" s="278"/>
      <c r="AT679" s="278"/>
      <c r="AU679" s="278"/>
      <c r="AV679" s="278"/>
      <c r="AW679" s="278"/>
      <c r="AX679" s="278"/>
      <c r="AY679" s="278"/>
      <c r="AZ679" s="278"/>
      <c r="BA679" s="278"/>
      <c r="BB679" s="278"/>
      <c r="BC679" s="278"/>
      <c r="BD679" s="278"/>
    </row>
    <row r="680" spans="1:56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196"/>
      <c r="S680" s="196"/>
      <c r="T680" s="196"/>
      <c r="U680" s="278"/>
      <c r="V680" s="278"/>
      <c r="W680" s="278"/>
      <c r="X680" s="278"/>
      <c r="Y680" s="278"/>
      <c r="Z680" s="278"/>
      <c r="AA680" s="278"/>
      <c r="AB680" s="278"/>
      <c r="AC680" s="278"/>
      <c r="AD680" s="278"/>
      <c r="AE680" s="278"/>
      <c r="AF680" s="278"/>
      <c r="AG680" s="278"/>
      <c r="AH680" s="278"/>
      <c r="AI680" s="278"/>
      <c r="AJ680" s="278"/>
      <c r="AK680" s="278"/>
      <c r="AL680" s="278"/>
      <c r="AM680" s="278"/>
      <c r="AN680" s="278"/>
      <c r="AO680" s="278"/>
      <c r="AP680" s="278"/>
      <c r="AQ680" s="278"/>
      <c r="AR680" s="278"/>
      <c r="AS680" s="278"/>
      <c r="AT680" s="278"/>
      <c r="AU680" s="278"/>
      <c r="AV680" s="278"/>
      <c r="AW680" s="278"/>
      <c r="AX680" s="278"/>
      <c r="AY680" s="278"/>
      <c r="AZ680" s="278"/>
      <c r="BA680" s="278"/>
      <c r="BB680" s="278"/>
      <c r="BC680" s="278"/>
      <c r="BD680" s="278"/>
    </row>
    <row r="681" spans="1:56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196"/>
      <c r="S681" s="196"/>
      <c r="T681" s="196"/>
      <c r="U681" s="278"/>
      <c r="V681" s="278"/>
      <c r="W681" s="278"/>
      <c r="X681" s="278"/>
      <c r="Y681" s="278"/>
      <c r="Z681" s="278"/>
      <c r="AA681" s="278"/>
      <c r="AB681" s="278"/>
      <c r="AC681" s="278"/>
      <c r="AD681" s="278"/>
      <c r="AE681" s="278"/>
      <c r="AF681" s="278"/>
      <c r="AG681" s="278"/>
      <c r="AH681" s="278"/>
      <c r="AI681" s="278"/>
      <c r="AJ681" s="278"/>
      <c r="AK681" s="278"/>
      <c r="AL681" s="278"/>
      <c r="AM681" s="278"/>
      <c r="AN681" s="278"/>
      <c r="AO681" s="278"/>
      <c r="AP681" s="278"/>
      <c r="AQ681" s="278"/>
      <c r="AR681" s="278"/>
      <c r="AS681" s="278"/>
      <c r="AT681" s="278"/>
      <c r="AU681" s="278"/>
      <c r="AV681" s="278"/>
      <c r="AW681" s="278"/>
      <c r="AX681" s="278"/>
      <c r="AY681" s="278"/>
      <c r="AZ681" s="278"/>
      <c r="BA681" s="278"/>
      <c r="BB681" s="278"/>
      <c r="BC681" s="278"/>
      <c r="BD681" s="278"/>
    </row>
    <row r="682" spans="1:56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196"/>
      <c r="S682" s="196"/>
      <c r="T682" s="196"/>
      <c r="U682" s="278"/>
      <c r="V682" s="278"/>
      <c r="W682" s="278"/>
      <c r="X682" s="278"/>
      <c r="Y682" s="278"/>
      <c r="Z682" s="278"/>
      <c r="AA682" s="278"/>
      <c r="AB682" s="278"/>
      <c r="AC682" s="278"/>
      <c r="AD682" s="278"/>
      <c r="AE682" s="278"/>
      <c r="AF682" s="278"/>
      <c r="AG682" s="278"/>
      <c r="AH682" s="278"/>
      <c r="AI682" s="278"/>
      <c r="AJ682" s="278"/>
      <c r="AK682" s="278"/>
      <c r="AL682" s="278"/>
      <c r="AM682" s="278"/>
      <c r="AN682" s="278"/>
      <c r="AO682" s="278"/>
      <c r="AP682" s="278"/>
      <c r="AQ682" s="278"/>
      <c r="AR682" s="278"/>
      <c r="AS682" s="278"/>
      <c r="AT682" s="278"/>
      <c r="AU682" s="278"/>
      <c r="AV682" s="278"/>
      <c r="AW682" s="278"/>
      <c r="AX682" s="278"/>
      <c r="AY682" s="278"/>
      <c r="AZ682" s="278"/>
      <c r="BA682" s="278"/>
      <c r="BB682" s="278"/>
      <c r="BC682" s="278"/>
      <c r="BD682" s="278"/>
    </row>
    <row r="683" spans="1:56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196"/>
      <c r="S683" s="196"/>
      <c r="T683" s="196"/>
      <c r="U683" s="278"/>
      <c r="V683" s="278"/>
      <c r="W683" s="278"/>
      <c r="X683" s="278"/>
      <c r="Y683" s="278"/>
      <c r="Z683" s="278"/>
      <c r="AA683" s="278"/>
      <c r="AB683" s="278"/>
      <c r="AC683" s="278"/>
      <c r="AD683" s="278"/>
      <c r="AE683" s="278"/>
      <c r="AF683" s="278"/>
      <c r="AG683" s="278"/>
      <c r="AH683" s="278"/>
      <c r="AI683" s="278"/>
      <c r="AJ683" s="278"/>
      <c r="AK683" s="278"/>
      <c r="AL683" s="278"/>
      <c r="AM683" s="278"/>
      <c r="AN683" s="278"/>
      <c r="AO683" s="278"/>
      <c r="AP683" s="278"/>
      <c r="AQ683" s="278"/>
      <c r="AR683" s="278"/>
      <c r="AS683" s="278"/>
      <c r="AT683" s="278"/>
      <c r="AU683" s="278"/>
      <c r="AV683" s="278"/>
      <c r="AW683" s="278"/>
      <c r="AX683" s="278"/>
      <c r="AY683" s="278"/>
      <c r="AZ683" s="278"/>
      <c r="BA683" s="278"/>
      <c r="BB683" s="278"/>
      <c r="BC683" s="278"/>
      <c r="BD683" s="278"/>
    </row>
    <row r="684" spans="1:56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196"/>
      <c r="S684" s="196"/>
      <c r="T684" s="196"/>
      <c r="U684" s="278"/>
      <c r="V684" s="278"/>
      <c r="W684" s="278"/>
      <c r="X684" s="278"/>
      <c r="Y684" s="278"/>
      <c r="Z684" s="278"/>
      <c r="AA684" s="278"/>
      <c r="AB684" s="278"/>
      <c r="AC684" s="278"/>
      <c r="AD684" s="278"/>
      <c r="AE684" s="278"/>
      <c r="AF684" s="278"/>
      <c r="AG684" s="278"/>
      <c r="AH684" s="278"/>
      <c r="AI684" s="278"/>
      <c r="AJ684" s="278"/>
      <c r="AK684" s="278"/>
      <c r="AL684" s="278"/>
      <c r="AM684" s="278"/>
      <c r="AN684" s="278"/>
      <c r="AO684" s="278"/>
      <c r="AP684" s="278"/>
      <c r="AQ684" s="278"/>
      <c r="AR684" s="278"/>
      <c r="AS684" s="278"/>
      <c r="AT684" s="278"/>
      <c r="AU684" s="278"/>
      <c r="AV684" s="278"/>
      <c r="AW684" s="278"/>
      <c r="AX684" s="278"/>
      <c r="AY684" s="278"/>
      <c r="AZ684" s="278"/>
      <c r="BA684" s="278"/>
      <c r="BB684" s="278"/>
      <c r="BC684" s="278"/>
      <c r="BD684" s="278"/>
    </row>
    <row r="685" spans="1:56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196"/>
      <c r="S685" s="196"/>
      <c r="T685" s="196"/>
      <c r="U685" s="278"/>
      <c r="V685" s="278"/>
      <c r="W685" s="278"/>
      <c r="X685" s="278"/>
      <c r="Y685" s="278"/>
      <c r="Z685" s="278"/>
      <c r="AA685" s="278"/>
      <c r="AB685" s="278"/>
      <c r="AC685" s="278"/>
      <c r="AD685" s="278"/>
      <c r="AE685" s="278"/>
      <c r="AF685" s="278"/>
      <c r="AG685" s="278"/>
      <c r="AH685" s="278"/>
      <c r="AI685" s="278"/>
      <c r="AJ685" s="278"/>
      <c r="AK685" s="278"/>
      <c r="AL685" s="278"/>
      <c r="AM685" s="278"/>
      <c r="AN685" s="278"/>
      <c r="AO685" s="278"/>
      <c r="AP685" s="278"/>
      <c r="AQ685" s="278"/>
      <c r="AR685" s="278"/>
      <c r="AS685" s="278"/>
      <c r="AT685" s="278"/>
      <c r="AU685" s="278"/>
      <c r="AV685" s="278"/>
      <c r="AW685" s="278"/>
      <c r="AX685" s="278"/>
      <c r="AY685" s="278"/>
      <c r="AZ685" s="278"/>
      <c r="BA685" s="278"/>
      <c r="BB685" s="278"/>
      <c r="BC685" s="278"/>
      <c r="BD685" s="278"/>
    </row>
    <row r="686" spans="1:56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196"/>
      <c r="S686" s="196"/>
      <c r="T686" s="196"/>
      <c r="U686" s="278"/>
      <c r="V686" s="278"/>
      <c r="W686" s="278"/>
      <c r="X686" s="278"/>
      <c r="Y686" s="278"/>
      <c r="Z686" s="278"/>
      <c r="AA686" s="278"/>
      <c r="AB686" s="278"/>
      <c r="AC686" s="278"/>
      <c r="AD686" s="278"/>
      <c r="AE686" s="278"/>
      <c r="AF686" s="278"/>
      <c r="AG686" s="278"/>
      <c r="AH686" s="278"/>
      <c r="AI686" s="278"/>
      <c r="AJ686" s="278"/>
      <c r="AK686" s="278"/>
      <c r="AL686" s="278"/>
      <c r="AM686" s="278"/>
      <c r="AN686" s="278"/>
      <c r="AO686" s="278"/>
      <c r="AP686" s="278"/>
      <c r="AQ686" s="278"/>
      <c r="AR686" s="278"/>
      <c r="AS686" s="278"/>
      <c r="AT686" s="278"/>
      <c r="AU686" s="278"/>
      <c r="AV686" s="278"/>
      <c r="AW686" s="278"/>
      <c r="AX686" s="278"/>
      <c r="AY686" s="278"/>
      <c r="AZ686" s="278"/>
      <c r="BA686" s="278"/>
      <c r="BB686" s="278"/>
      <c r="BC686" s="278"/>
      <c r="BD686" s="278"/>
    </row>
    <row r="687" spans="1:56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196"/>
      <c r="S687" s="196"/>
      <c r="T687" s="196"/>
      <c r="U687" s="278"/>
      <c r="V687" s="278"/>
      <c r="W687" s="278"/>
      <c r="X687" s="278"/>
      <c r="Y687" s="278"/>
      <c r="Z687" s="278"/>
      <c r="AA687" s="278"/>
      <c r="AB687" s="278"/>
      <c r="AC687" s="278"/>
      <c r="AD687" s="278"/>
      <c r="AE687" s="278"/>
      <c r="AF687" s="278"/>
      <c r="AG687" s="278"/>
      <c r="AH687" s="278"/>
      <c r="AI687" s="278"/>
      <c r="AJ687" s="278"/>
      <c r="AK687" s="278"/>
      <c r="AL687" s="278"/>
      <c r="AM687" s="278"/>
      <c r="AN687" s="278"/>
      <c r="AO687" s="278"/>
      <c r="AP687" s="278"/>
      <c r="AQ687" s="278"/>
      <c r="AR687" s="278"/>
      <c r="AS687" s="278"/>
      <c r="AT687" s="278"/>
      <c r="AU687" s="278"/>
      <c r="AV687" s="278"/>
      <c r="AW687" s="278"/>
      <c r="AX687" s="278"/>
      <c r="AY687" s="278"/>
      <c r="AZ687" s="278"/>
      <c r="BA687" s="278"/>
      <c r="BB687" s="278"/>
      <c r="BC687" s="278"/>
      <c r="BD687" s="278"/>
    </row>
    <row r="688" spans="1:56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196"/>
      <c r="S688" s="196"/>
      <c r="T688" s="196"/>
      <c r="U688" s="278"/>
      <c r="V688" s="278"/>
      <c r="W688" s="278"/>
      <c r="X688" s="278"/>
      <c r="Y688" s="278"/>
      <c r="Z688" s="278"/>
      <c r="AA688" s="278"/>
      <c r="AB688" s="278"/>
      <c r="AC688" s="278"/>
      <c r="AD688" s="278"/>
      <c r="AE688" s="278"/>
      <c r="AF688" s="278"/>
      <c r="AG688" s="278"/>
      <c r="AH688" s="278"/>
      <c r="AI688" s="278"/>
      <c r="AJ688" s="278"/>
      <c r="AK688" s="278"/>
      <c r="AL688" s="278"/>
      <c r="AM688" s="278"/>
      <c r="AN688" s="278"/>
      <c r="AO688" s="278"/>
      <c r="AP688" s="278"/>
      <c r="AQ688" s="278"/>
      <c r="AR688" s="278"/>
      <c r="AS688" s="278"/>
      <c r="AT688" s="278"/>
      <c r="AU688" s="278"/>
      <c r="AV688" s="278"/>
      <c r="AW688" s="278"/>
      <c r="AX688" s="278"/>
      <c r="AY688" s="278"/>
      <c r="AZ688" s="278"/>
      <c r="BA688" s="278"/>
      <c r="BB688" s="278"/>
      <c r="BC688" s="278"/>
      <c r="BD688" s="278"/>
    </row>
    <row r="689" spans="1:56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196"/>
      <c r="S689" s="196"/>
      <c r="T689" s="196"/>
      <c r="U689" s="278"/>
      <c r="V689" s="278"/>
      <c r="W689" s="278"/>
      <c r="X689" s="278"/>
      <c r="Y689" s="278"/>
      <c r="Z689" s="278"/>
      <c r="AA689" s="278"/>
      <c r="AB689" s="278"/>
      <c r="AC689" s="278"/>
      <c r="AD689" s="278"/>
      <c r="AE689" s="278"/>
      <c r="AF689" s="278"/>
      <c r="AG689" s="278"/>
      <c r="AH689" s="278"/>
      <c r="AI689" s="278"/>
      <c r="AJ689" s="278"/>
      <c r="AK689" s="278"/>
      <c r="AL689" s="278"/>
      <c r="AM689" s="278"/>
      <c r="AN689" s="278"/>
      <c r="AO689" s="278"/>
      <c r="AP689" s="278"/>
      <c r="AQ689" s="278"/>
      <c r="AR689" s="278"/>
      <c r="AS689" s="278"/>
      <c r="AT689" s="278"/>
      <c r="AU689" s="278"/>
      <c r="AV689" s="278"/>
      <c r="AW689" s="278"/>
      <c r="AX689" s="278"/>
      <c r="AY689" s="278"/>
      <c r="AZ689" s="278"/>
      <c r="BA689" s="278"/>
      <c r="BB689" s="278"/>
      <c r="BC689" s="278"/>
      <c r="BD689" s="278"/>
    </row>
    <row r="690" spans="1:56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196"/>
      <c r="S690" s="196"/>
      <c r="T690" s="196"/>
      <c r="U690" s="278"/>
      <c r="V690" s="278"/>
      <c r="W690" s="278"/>
      <c r="X690" s="278"/>
      <c r="Y690" s="278"/>
      <c r="Z690" s="278"/>
      <c r="AA690" s="278"/>
      <c r="AB690" s="278"/>
      <c r="AC690" s="278"/>
      <c r="AD690" s="278"/>
      <c r="AE690" s="278"/>
      <c r="AF690" s="278"/>
      <c r="AG690" s="278"/>
      <c r="AH690" s="278"/>
      <c r="AI690" s="278"/>
      <c r="AJ690" s="278"/>
      <c r="AK690" s="278"/>
      <c r="AL690" s="278"/>
      <c r="AM690" s="278"/>
      <c r="AN690" s="278"/>
      <c r="AO690" s="278"/>
      <c r="AP690" s="278"/>
      <c r="AQ690" s="278"/>
      <c r="AR690" s="278"/>
      <c r="AS690" s="278"/>
      <c r="AT690" s="278"/>
      <c r="AU690" s="278"/>
      <c r="AV690" s="278"/>
      <c r="AW690" s="278"/>
      <c r="AX690" s="278"/>
      <c r="AY690" s="278"/>
      <c r="AZ690" s="278"/>
      <c r="BA690" s="278"/>
      <c r="BB690" s="278"/>
      <c r="BC690" s="278"/>
      <c r="BD690" s="278"/>
    </row>
    <row r="691" spans="1:56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196"/>
      <c r="S691" s="196"/>
      <c r="T691" s="196"/>
      <c r="U691" s="278"/>
      <c r="V691" s="278"/>
      <c r="W691" s="278"/>
      <c r="X691" s="278"/>
      <c r="Y691" s="278"/>
      <c r="Z691" s="278"/>
      <c r="AA691" s="278"/>
      <c r="AB691" s="278"/>
      <c r="AC691" s="278"/>
      <c r="AD691" s="278"/>
      <c r="AE691" s="278"/>
      <c r="AF691" s="278"/>
      <c r="AG691" s="278"/>
      <c r="AH691" s="278"/>
      <c r="AI691" s="278"/>
      <c r="AJ691" s="278"/>
      <c r="AK691" s="278"/>
      <c r="AL691" s="278"/>
      <c r="AM691" s="278"/>
      <c r="AN691" s="278"/>
      <c r="AO691" s="278"/>
      <c r="AP691" s="278"/>
      <c r="AQ691" s="278"/>
      <c r="AR691" s="278"/>
      <c r="AS691" s="278"/>
      <c r="AT691" s="278"/>
      <c r="AU691" s="278"/>
      <c r="AV691" s="278"/>
      <c r="AW691" s="278"/>
      <c r="AX691" s="278"/>
      <c r="AY691" s="278"/>
      <c r="AZ691" s="278"/>
      <c r="BA691" s="278"/>
      <c r="BB691" s="278"/>
      <c r="BC691" s="278"/>
      <c r="BD691" s="278"/>
    </row>
    <row r="692" spans="1:56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196"/>
      <c r="S692" s="196"/>
      <c r="T692" s="196"/>
      <c r="U692" s="278"/>
      <c r="V692" s="278"/>
      <c r="W692" s="278"/>
      <c r="X692" s="278"/>
      <c r="Y692" s="278"/>
      <c r="Z692" s="278"/>
      <c r="AA692" s="278"/>
      <c r="AB692" s="278"/>
      <c r="AC692" s="278"/>
      <c r="AD692" s="278"/>
      <c r="AE692" s="278"/>
      <c r="AF692" s="278"/>
      <c r="AG692" s="278"/>
      <c r="AH692" s="278"/>
      <c r="AI692" s="278"/>
      <c r="AJ692" s="278"/>
      <c r="AK692" s="278"/>
      <c r="AL692" s="278"/>
      <c r="AM692" s="278"/>
      <c r="AN692" s="278"/>
      <c r="AO692" s="278"/>
      <c r="AP692" s="278"/>
      <c r="AQ692" s="278"/>
      <c r="AR692" s="278"/>
      <c r="AS692" s="278"/>
      <c r="AT692" s="278"/>
      <c r="AU692" s="278"/>
      <c r="AV692" s="278"/>
      <c r="AW692" s="278"/>
      <c r="AX692" s="278"/>
      <c r="AY692" s="278"/>
      <c r="AZ692" s="278"/>
      <c r="BA692" s="278"/>
      <c r="BB692" s="278"/>
      <c r="BC692" s="278"/>
      <c r="BD692" s="278"/>
    </row>
    <row r="693" spans="1:56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196"/>
      <c r="S693" s="196"/>
      <c r="T693" s="196"/>
      <c r="U693" s="278"/>
      <c r="V693" s="278"/>
      <c r="W693" s="278"/>
      <c r="X693" s="278"/>
      <c r="Y693" s="278"/>
      <c r="Z693" s="278"/>
      <c r="AA693" s="278"/>
      <c r="AB693" s="278"/>
      <c r="AC693" s="278"/>
      <c r="AD693" s="278"/>
      <c r="AE693" s="278"/>
      <c r="AF693" s="278"/>
      <c r="AG693" s="278"/>
      <c r="AH693" s="278"/>
      <c r="AI693" s="278"/>
      <c r="AJ693" s="278"/>
      <c r="AK693" s="278"/>
      <c r="AL693" s="278"/>
      <c r="AM693" s="278"/>
      <c r="AN693" s="278"/>
      <c r="AO693" s="278"/>
      <c r="AP693" s="278"/>
      <c r="AQ693" s="278"/>
      <c r="AR693" s="278"/>
      <c r="AS693" s="278"/>
      <c r="AT693" s="278"/>
      <c r="AU693" s="278"/>
      <c r="AV693" s="278"/>
      <c r="AW693" s="278"/>
      <c r="AX693" s="278"/>
      <c r="AY693" s="278"/>
      <c r="AZ693" s="278"/>
      <c r="BA693" s="278"/>
      <c r="BB693" s="278"/>
      <c r="BC693" s="278"/>
      <c r="BD693" s="278"/>
    </row>
    <row r="694" spans="1:56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196"/>
      <c r="S694" s="196"/>
      <c r="T694" s="196"/>
      <c r="U694" s="278"/>
      <c r="V694" s="278"/>
      <c r="W694" s="278"/>
      <c r="X694" s="278"/>
      <c r="Y694" s="278"/>
      <c r="Z694" s="278"/>
      <c r="AA694" s="278"/>
      <c r="AB694" s="278"/>
      <c r="AC694" s="278"/>
      <c r="AD694" s="278"/>
      <c r="AE694" s="278"/>
      <c r="AF694" s="278"/>
      <c r="AG694" s="278"/>
      <c r="AH694" s="278"/>
      <c r="AI694" s="278"/>
      <c r="AJ694" s="278"/>
      <c r="AK694" s="278"/>
      <c r="AL694" s="278"/>
      <c r="AM694" s="278"/>
      <c r="AN694" s="278"/>
      <c r="AO694" s="278"/>
      <c r="AP694" s="278"/>
      <c r="AQ694" s="278"/>
      <c r="AR694" s="278"/>
      <c r="AS694" s="278"/>
      <c r="AT694" s="278"/>
      <c r="AU694" s="278"/>
      <c r="AV694" s="278"/>
      <c r="AW694" s="278"/>
      <c r="AX694" s="278"/>
      <c r="AY694" s="278"/>
      <c r="AZ694" s="278"/>
      <c r="BA694" s="278"/>
      <c r="BB694" s="278"/>
      <c r="BC694" s="278"/>
      <c r="BD694" s="278"/>
    </row>
    <row r="695" spans="1:56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196"/>
      <c r="S695" s="196"/>
      <c r="T695" s="196"/>
      <c r="U695" s="278"/>
      <c r="V695" s="278"/>
      <c r="W695" s="278"/>
      <c r="X695" s="278"/>
      <c r="Y695" s="278"/>
      <c r="Z695" s="278"/>
      <c r="AA695" s="278"/>
      <c r="AB695" s="278"/>
      <c r="AC695" s="278"/>
      <c r="AD695" s="278"/>
      <c r="AE695" s="278"/>
      <c r="AF695" s="278"/>
      <c r="AG695" s="278"/>
      <c r="AH695" s="278"/>
      <c r="AI695" s="278"/>
      <c r="AJ695" s="278"/>
      <c r="AK695" s="278"/>
      <c r="AL695" s="278"/>
      <c r="AM695" s="278"/>
      <c r="AN695" s="278"/>
      <c r="AO695" s="278"/>
      <c r="AP695" s="278"/>
      <c r="AQ695" s="278"/>
      <c r="AR695" s="278"/>
      <c r="AS695" s="278"/>
      <c r="AT695" s="278"/>
      <c r="AU695" s="278"/>
      <c r="AV695" s="278"/>
      <c r="AW695" s="278"/>
      <c r="AX695" s="278"/>
      <c r="AY695" s="278"/>
      <c r="AZ695" s="278"/>
      <c r="BA695" s="278"/>
      <c r="BB695" s="278"/>
      <c r="BC695" s="278"/>
      <c r="BD695" s="278"/>
    </row>
    <row r="696" spans="1:56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196"/>
      <c r="S696" s="196"/>
      <c r="T696" s="196"/>
      <c r="U696" s="278"/>
      <c r="V696" s="278"/>
      <c r="W696" s="278"/>
      <c r="X696" s="278"/>
      <c r="Y696" s="278"/>
      <c r="Z696" s="278"/>
      <c r="AA696" s="278"/>
      <c r="AB696" s="278"/>
      <c r="AC696" s="278"/>
      <c r="AD696" s="278"/>
      <c r="AE696" s="278"/>
      <c r="AF696" s="278"/>
      <c r="AG696" s="278"/>
      <c r="AH696" s="278"/>
      <c r="AI696" s="278"/>
      <c r="AJ696" s="278"/>
      <c r="AK696" s="278"/>
      <c r="AL696" s="278"/>
      <c r="AM696" s="278"/>
      <c r="AN696" s="278"/>
      <c r="AO696" s="278"/>
      <c r="AP696" s="278"/>
      <c r="AQ696" s="278"/>
      <c r="AR696" s="278"/>
      <c r="AS696" s="278"/>
      <c r="AT696" s="278"/>
      <c r="AU696" s="278"/>
      <c r="AV696" s="278"/>
      <c r="AW696" s="278"/>
      <c r="AX696" s="278"/>
      <c r="AY696" s="278"/>
      <c r="AZ696" s="278"/>
      <c r="BA696" s="278"/>
      <c r="BB696" s="278"/>
      <c r="BC696" s="278"/>
      <c r="BD696" s="278"/>
    </row>
    <row r="697" spans="1:56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196"/>
      <c r="S697" s="196"/>
      <c r="T697" s="196"/>
      <c r="U697" s="278"/>
      <c r="V697" s="278"/>
      <c r="W697" s="278"/>
      <c r="X697" s="278"/>
      <c r="Y697" s="278"/>
      <c r="Z697" s="278"/>
      <c r="AA697" s="278"/>
      <c r="AB697" s="278"/>
      <c r="AC697" s="278"/>
      <c r="AD697" s="278"/>
      <c r="AE697" s="278"/>
      <c r="AF697" s="278"/>
      <c r="AG697" s="278"/>
      <c r="AH697" s="278"/>
      <c r="AI697" s="278"/>
      <c r="AJ697" s="278"/>
      <c r="AK697" s="278"/>
      <c r="AL697" s="278"/>
      <c r="AM697" s="278"/>
      <c r="AN697" s="278"/>
      <c r="AO697" s="278"/>
      <c r="AP697" s="278"/>
      <c r="AQ697" s="278"/>
      <c r="AR697" s="278"/>
      <c r="AS697" s="278"/>
      <c r="AT697" s="278"/>
      <c r="AU697" s="278"/>
      <c r="AV697" s="278"/>
      <c r="AW697" s="278"/>
      <c r="AX697" s="278"/>
      <c r="AY697" s="278"/>
      <c r="AZ697" s="278"/>
      <c r="BA697" s="278"/>
      <c r="BB697" s="278"/>
      <c r="BC697" s="278"/>
      <c r="BD697" s="278"/>
    </row>
    <row r="698" spans="1:56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196"/>
      <c r="S698" s="196"/>
      <c r="T698" s="196"/>
      <c r="U698" s="278"/>
      <c r="V698" s="278"/>
      <c r="W698" s="278"/>
      <c r="X698" s="278"/>
      <c r="Y698" s="278"/>
      <c r="Z698" s="278"/>
      <c r="AA698" s="278"/>
      <c r="AB698" s="278"/>
      <c r="AC698" s="278"/>
      <c r="AD698" s="278"/>
      <c r="AE698" s="278"/>
      <c r="AF698" s="278"/>
      <c r="AG698" s="278"/>
      <c r="AH698" s="278"/>
      <c r="AI698" s="278"/>
      <c r="AJ698" s="278"/>
      <c r="AK698" s="278"/>
      <c r="AL698" s="278"/>
      <c r="AM698" s="278"/>
      <c r="AN698" s="278"/>
      <c r="AO698" s="278"/>
      <c r="AP698" s="278"/>
      <c r="AQ698" s="278"/>
      <c r="AR698" s="278"/>
      <c r="AS698" s="278"/>
      <c r="AT698" s="278"/>
      <c r="AU698" s="278"/>
      <c r="AV698" s="278"/>
      <c r="AW698" s="278"/>
      <c r="AX698" s="278"/>
      <c r="AY698" s="278"/>
      <c r="AZ698" s="278"/>
      <c r="BA698" s="278"/>
      <c r="BB698" s="278"/>
      <c r="BC698" s="278"/>
      <c r="BD698" s="278"/>
    </row>
    <row r="699" spans="1:56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196"/>
      <c r="S699" s="196"/>
      <c r="T699" s="196"/>
      <c r="U699" s="278"/>
      <c r="V699" s="278"/>
      <c r="W699" s="278"/>
      <c r="X699" s="278"/>
      <c r="Y699" s="278"/>
      <c r="Z699" s="278"/>
      <c r="AA699" s="278"/>
      <c r="AB699" s="278"/>
      <c r="AC699" s="278"/>
      <c r="AD699" s="278"/>
      <c r="AE699" s="278"/>
      <c r="AF699" s="278"/>
      <c r="AG699" s="278"/>
      <c r="AH699" s="278"/>
      <c r="AI699" s="278"/>
      <c r="AJ699" s="278"/>
      <c r="AK699" s="278"/>
      <c r="AL699" s="278"/>
      <c r="AM699" s="278"/>
      <c r="AN699" s="278"/>
      <c r="AO699" s="278"/>
      <c r="AP699" s="278"/>
      <c r="AQ699" s="278"/>
      <c r="AR699" s="278"/>
      <c r="AS699" s="278"/>
      <c r="AT699" s="278"/>
      <c r="AU699" s="278"/>
      <c r="AV699" s="278"/>
      <c r="AW699" s="278"/>
      <c r="AX699" s="278"/>
      <c r="AY699" s="278"/>
      <c r="AZ699" s="278"/>
      <c r="BA699" s="278"/>
      <c r="BB699" s="278"/>
      <c r="BC699" s="278"/>
      <c r="BD699" s="278"/>
    </row>
    <row r="700" spans="1:56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196"/>
      <c r="S700" s="196"/>
      <c r="T700" s="196"/>
      <c r="U700" s="278"/>
      <c r="V700" s="278"/>
      <c r="W700" s="278"/>
      <c r="X700" s="278"/>
      <c r="Y700" s="278"/>
      <c r="Z700" s="278"/>
      <c r="AA700" s="278"/>
      <c r="AB700" s="278"/>
      <c r="AC700" s="278"/>
      <c r="AD700" s="278"/>
      <c r="AE700" s="278"/>
      <c r="AF700" s="278"/>
      <c r="AG700" s="278"/>
      <c r="AH700" s="278"/>
      <c r="AI700" s="278"/>
      <c r="AJ700" s="278"/>
      <c r="AK700" s="278"/>
      <c r="AL700" s="278"/>
      <c r="AM700" s="278"/>
      <c r="AN700" s="278"/>
      <c r="AO700" s="278"/>
      <c r="AP700" s="278"/>
      <c r="AQ700" s="278"/>
      <c r="AR700" s="278"/>
      <c r="AS700" s="278"/>
      <c r="AT700" s="278"/>
      <c r="AU700" s="278"/>
      <c r="AV700" s="278"/>
      <c r="AW700" s="278"/>
      <c r="AX700" s="278"/>
      <c r="AY700" s="278"/>
      <c r="AZ700" s="278"/>
      <c r="BA700" s="278"/>
      <c r="BB700" s="278"/>
      <c r="BC700" s="278"/>
      <c r="BD700" s="278"/>
    </row>
    <row r="701" spans="1:56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196"/>
      <c r="S701" s="196"/>
      <c r="T701" s="196"/>
      <c r="U701" s="278"/>
      <c r="V701" s="278"/>
      <c r="W701" s="278"/>
      <c r="X701" s="278"/>
      <c r="Y701" s="278"/>
      <c r="Z701" s="278"/>
      <c r="AA701" s="278"/>
      <c r="AB701" s="278"/>
      <c r="AC701" s="278"/>
      <c r="AD701" s="278"/>
      <c r="AE701" s="278"/>
      <c r="AF701" s="278"/>
      <c r="AG701" s="278"/>
      <c r="AH701" s="278"/>
      <c r="AI701" s="278"/>
      <c r="AJ701" s="278"/>
      <c r="AK701" s="278"/>
      <c r="AL701" s="278"/>
      <c r="AM701" s="278"/>
      <c r="AN701" s="278"/>
      <c r="AO701" s="278"/>
      <c r="AP701" s="278"/>
      <c r="AQ701" s="278"/>
      <c r="AR701" s="278"/>
      <c r="AS701" s="278"/>
      <c r="AT701" s="278"/>
      <c r="AU701" s="278"/>
      <c r="AV701" s="278"/>
      <c r="AW701" s="278"/>
      <c r="AX701" s="278"/>
      <c r="AY701" s="278"/>
      <c r="AZ701" s="278"/>
      <c r="BA701" s="278"/>
      <c r="BB701" s="278"/>
      <c r="BC701" s="278"/>
      <c r="BD701" s="278"/>
    </row>
    <row r="702" spans="1:56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196"/>
      <c r="S702" s="196"/>
      <c r="T702" s="196"/>
      <c r="U702" s="278"/>
      <c r="V702" s="278"/>
      <c r="W702" s="278"/>
      <c r="X702" s="278"/>
      <c r="Y702" s="278"/>
      <c r="Z702" s="278"/>
      <c r="AA702" s="278"/>
      <c r="AB702" s="278"/>
      <c r="AC702" s="278"/>
      <c r="AD702" s="278"/>
      <c r="AE702" s="278"/>
      <c r="AF702" s="278"/>
      <c r="AG702" s="278"/>
      <c r="AH702" s="278"/>
      <c r="AI702" s="278"/>
      <c r="AJ702" s="278"/>
      <c r="AK702" s="278"/>
      <c r="AL702" s="278"/>
      <c r="AM702" s="278"/>
      <c r="AN702" s="278"/>
      <c r="AO702" s="278"/>
      <c r="AP702" s="278"/>
      <c r="AQ702" s="278"/>
      <c r="AR702" s="278"/>
      <c r="AS702" s="278"/>
      <c r="AT702" s="278"/>
      <c r="AU702" s="278"/>
      <c r="AV702" s="278"/>
      <c r="AW702" s="278"/>
      <c r="AX702" s="278"/>
      <c r="AY702" s="278"/>
      <c r="AZ702" s="278"/>
      <c r="BA702" s="278"/>
      <c r="BB702" s="278"/>
      <c r="BC702" s="278"/>
      <c r="BD702" s="278"/>
    </row>
    <row r="703" spans="1:56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196"/>
      <c r="S703" s="196"/>
      <c r="T703" s="196"/>
      <c r="U703" s="278"/>
      <c r="V703" s="278"/>
      <c r="W703" s="278"/>
      <c r="X703" s="278"/>
      <c r="Y703" s="278"/>
      <c r="Z703" s="278"/>
      <c r="AA703" s="278"/>
      <c r="AB703" s="278"/>
      <c r="AC703" s="278"/>
      <c r="AD703" s="278"/>
      <c r="AE703" s="278"/>
      <c r="AF703" s="278"/>
      <c r="AG703" s="278"/>
      <c r="AH703" s="278"/>
      <c r="AI703" s="278"/>
      <c r="AJ703" s="278"/>
      <c r="AK703" s="278"/>
      <c r="AL703" s="278"/>
      <c r="AM703" s="278"/>
      <c r="AN703" s="278"/>
      <c r="AO703" s="278"/>
      <c r="AP703" s="278"/>
      <c r="AQ703" s="278"/>
      <c r="AR703" s="278"/>
      <c r="AS703" s="278"/>
      <c r="AT703" s="278"/>
      <c r="AU703" s="278"/>
      <c r="AV703" s="278"/>
      <c r="AW703" s="278"/>
      <c r="AX703" s="278"/>
      <c r="AY703" s="278"/>
      <c r="AZ703" s="278"/>
      <c r="BA703" s="278"/>
      <c r="BB703" s="278"/>
      <c r="BC703" s="278"/>
      <c r="BD703" s="278"/>
    </row>
    <row r="704" spans="1:56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196"/>
      <c r="S704" s="196"/>
      <c r="T704" s="196"/>
      <c r="U704" s="278"/>
      <c r="V704" s="278"/>
      <c r="W704" s="278"/>
      <c r="X704" s="278"/>
      <c r="Y704" s="278"/>
      <c r="Z704" s="278"/>
      <c r="AA704" s="278"/>
      <c r="AB704" s="278"/>
      <c r="AC704" s="278"/>
      <c r="AD704" s="278"/>
      <c r="AE704" s="278"/>
      <c r="AF704" s="278"/>
      <c r="AG704" s="278"/>
      <c r="AH704" s="278"/>
      <c r="AI704" s="278"/>
      <c r="AJ704" s="278"/>
      <c r="AK704" s="278"/>
      <c r="AL704" s="278"/>
      <c r="AM704" s="278"/>
      <c r="AN704" s="278"/>
      <c r="AO704" s="278"/>
      <c r="AP704" s="278"/>
      <c r="AQ704" s="278"/>
      <c r="AR704" s="278"/>
      <c r="AS704" s="278"/>
      <c r="AT704" s="278"/>
      <c r="AU704" s="278"/>
      <c r="AV704" s="278"/>
      <c r="AW704" s="278"/>
      <c r="AX704" s="278"/>
      <c r="AY704" s="278"/>
      <c r="AZ704" s="278"/>
      <c r="BA704" s="278"/>
      <c r="BB704" s="278"/>
      <c r="BC704" s="278"/>
      <c r="BD704" s="278"/>
    </row>
    <row r="705" spans="1:56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196"/>
      <c r="S705" s="196"/>
      <c r="T705" s="196"/>
      <c r="U705" s="278"/>
      <c r="V705" s="278"/>
      <c r="W705" s="278"/>
      <c r="X705" s="278"/>
      <c r="Y705" s="278"/>
      <c r="Z705" s="278"/>
      <c r="AA705" s="278"/>
      <c r="AB705" s="278"/>
      <c r="AC705" s="278"/>
      <c r="AD705" s="278"/>
      <c r="AE705" s="278"/>
      <c r="AF705" s="278"/>
      <c r="AG705" s="278"/>
      <c r="AH705" s="278"/>
      <c r="AI705" s="278"/>
      <c r="AJ705" s="278"/>
      <c r="AK705" s="278"/>
      <c r="AL705" s="278"/>
      <c r="AM705" s="278"/>
      <c r="AN705" s="278"/>
      <c r="AO705" s="278"/>
      <c r="AP705" s="278"/>
      <c r="AQ705" s="278"/>
      <c r="AR705" s="278"/>
      <c r="AS705" s="278"/>
      <c r="AT705" s="278"/>
      <c r="AU705" s="278"/>
      <c r="AV705" s="278"/>
      <c r="AW705" s="278"/>
      <c r="AX705" s="278"/>
      <c r="AY705" s="278"/>
      <c r="AZ705" s="278"/>
      <c r="BA705" s="278"/>
      <c r="BB705" s="278"/>
      <c r="BC705" s="278"/>
      <c r="BD705" s="278"/>
    </row>
    <row r="706" spans="1:56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196"/>
      <c r="S706" s="196"/>
      <c r="T706" s="196"/>
      <c r="U706" s="278"/>
      <c r="V706" s="278"/>
      <c r="W706" s="278"/>
      <c r="X706" s="278"/>
      <c r="Y706" s="278"/>
      <c r="Z706" s="278"/>
      <c r="AA706" s="278"/>
      <c r="AB706" s="278"/>
      <c r="AC706" s="278"/>
      <c r="AD706" s="278"/>
      <c r="AE706" s="278"/>
      <c r="AF706" s="278"/>
      <c r="AG706" s="278"/>
      <c r="AH706" s="278"/>
      <c r="AI706" s="278"/>
      <c r="AJ706" s="278"/>
      <c r="AK706" s="278"/>
      <c r="AL706" s="278"/>
      <c r="AM706" s="278"/>
      <c r="AN706" s="278"/>
      <c r="AO706" s="278"/>
      <c r="AP706" s="278"/>
      <c r="AQ706" s="278"/>
      <c r="AR706" s="278"/>
      <c r="AS706" s="278"/>
      <c r="AT706" s="278"/>
      <c r="AU706" s="278"/>
      <c r="AV706" s="278"/>
      <c r="AW706" s="278"/>
      <c r="AX706" s="278"/>
      <c r="AY706" s="278"/>
      <c r="AZ706" s="278"/>
      <c r="BA706" s="278"/>
      <c r="BB706" s="278"/>
      <c r="BC706" s="278"/>
      <c r="BD706" s="278"/>
    </row>
    <row r="707" spans="1:56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196"/>
      <c r="S707" s="196"/>
      <c r="T707" s="196"/>
      <c r="U707" s="278"/>
      <c r="V707" s="278"/>
      <c r="W707" s="278"/>
      <c r="X707" s="278"/>
      <c r="Y707" s="278"/>
      <c r="Z707" s="278"/>
      <c r="AA707" s="278"/>
      <c r="AB707" s="278"/>
      <c r="AC707" s="278"/>
      <c r="AD707" s="278"/>
      <c r="AE707" s="278"/>
      <c r="AF707" s="278"/>
      <c r="AG707" s="278"/>
      <c r="AH707" s="278"/>
      <c r="AI707" s="278"/>
      <c r="AJ707" s="278"/>
      <c r="AK707" s="278"/>
      <c r="AL707" s="278"/>
      <c r="AM707" s="278"/>
      <c r="AN707" s="278"/>
      <c r="AO707" s="278"/>
      <c r="AP707" s="278"/>
      <c r="AQ707" s="278"/>
      <c r="AR707" s="278"/>
      <c r="AS707" s="278"/>
      <c r="AT707" s="278"/>
      <c r="AU707" s="278"/>
      <c r="AV707" s="278"/>
      <c r="AW707" s="278"/>
      <c r="AX707" s="278"/>
      <c r="AY707" s="278"/>
      <c r="AZ707" s="278"/>
      <c r="BA707" s="278"/>
      <c r="BB707" s="278"/>
      <c r="BC707" s="278"/>
      <c r="BD707" s="278"/>
    </row>
    <row r="708" spans="1:56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196"/>
      <c r="S708" s="196"/>
      <c r="T708" s="196"/>
      <c r="U708" s="278"/>
      <c r="V708" s="278"/>
      <c r="W708" s="278"/>
      <c r="X708" s="278"/>
      <c r="Y708" s="278"/>
      <c r="Z708" s="278"/>
      <c r="AA708" s="278"/>
      <c r="AB708" s="278"/>
      <c r="AC708" s="278"/>
      <c r="AD708" s="278"/>
      <c r="AE708" s="278"/>
      <c r="AF708" s="278"/>
      <c r="AG708" s="278"/>
      <c r="AH708" s="278"/>
      <c r="AI708" s="278"/>
      <c r="AJ708" s="278"/>
      <c r="AK708" s="278"/>
      <c r="AL708" s="278"/>
      <c r="AM708" s="278"/>
      <c r="AN708" s="278"/>
      <c r="AO708" s="278"/>
      <c r="AP708" s="278"/>
      <c r="AQ708" s="278"/>
      <c r="AR708" s="278"/>
      <c r="AS708" s="278"/>
      <c r="AT708" s="278"/>
      <c r="AU708" s="278"/>
      <c r="AV708" s="278"/>
      <c r="AW708" s="278"/>
      <c r="AX708" s="278"/>
      <c r="AY708" s="278"/>
      <c r="AZ708" s="278"/>
      <c r="BA708" s="278"/>
      <c r="BB708" s="278"/>
      <c r="BC708" s="278"/>
      <c r="BD708" s="278"/>
    </row>
    <row r="709" spans="1:56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196"/>
      <c r="S709" s="196"/>
      <c r="T709" s="196"/>
      <c r="U709" s="278"/>
      <c r="V709" s="278"/>
      <c r="W709" s="278"/>
      <c r="X709" s="278"/>
      <c r="Y709" s="278"/>
      <c r="Z709" s="278"/>
      <c r="AA709" s="278"/>
      <c r="AB709" s="278"/>
      <c r="AC709" s="278"/>
      <c r="AD709" s="278"/>
      <c r="AE709" s="278"/>
      <c r="AF709" s="278"/>
      <c r="AG709" s="278"/>
      <c r="AH709" s="278"/>
      <c r="AI709" s="278"/>
      <c r="AJ709" s="278"/>
      <c r="AK709" s="278"/>
      <c r="AL709" s="278"/>
      <c r="AM709" s="278"/>
      <c r="AN709" s="278"/>
      <c r="AO709" s="278"/>
      <c r="AP709" s="278"/>
      <c r="AQ709" s="278"/>
      <c r="AR709" s="278"/>
      <c r="AS709" s="278"/>
      <c r="AT709" s="278"/>
      <c r="AU709" s="278"/>
      <c r="AV709" s="278"/>
      <c r="AW709" s="278"/>
      <c r="AX709" s="278"/>
      <c r="AY709" s="278"/>
      <c r="AZ709" s="278"/>
      <c r="BA709" s="278"/>
      <c r="BB709" s="278"/>
      <c r="BC709" s="278"/>
      <c r="BD709" s="278"/>
    </row>
    <row r="710" spans="1:56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196"/>
      <c r="S710" s="196"/>
      <c r="T710" s="196"/>
      <c r="U710" s="278"/>
      <c r="V710" s="278"/>
      <c r="W710" s="278"/>
      <c r="X710" s="278"/>
      <c r="Y710" s="278"/>
      <c r="Z710" s="278"/>
      <c r="AA710" s="278"/>
      <c r="AB710" s="278"/>
      <c r="AC710" s="278"/>
      <c r="AD710" s="278"/>
      <c r="AE710" s="278"/>
      <c r="AF710" s="278"/>
      <c r="AG710" s="278"/>
      <c r="AH710" s="278"/>
      <c r="AI710" s="278"/>
      <c r="AJ710" s="278"/>
      <c r="AK710" s="278"/>
      <c r="AL710" s="278"/>
      <c r="AM710" s="278"/>
      <c r="AN710" s="278"/>
      <c r="AO710" s="278"/>
      <c r="AP710" s="278"/>
      <c r="AQ710" s="278"/>
      <c r="AR710" s="278"/>
      <c r="AS710" s="278"/>
      <c r="AT710" s="278"/>
      <c r="AU710" s="278"/>
      <c r="AV710" s="278"/>
      <c r="AW710" s="278"/>
      <c r="AX710" s="278"/>
      <c r="AY710" s="278"/>
      <c r="AZ710" s="278"/>
      <c r="BA710" s="278"/>
      <c r="BB710" s="278"/>
      <c r="BC710" s="278"/>
      <c r="BD710" s="278"/>
    </row>
    <row r="711" spans="1:56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196"/>
      <c r="S711" s="196"/>
      <c r="T711" s="196"/>
      <c r="U711" s="278"/>
      <c r="V711" s="278"/>
      <c r="W711" s="278"/>
      <c r="X711" s="278"/>
      <c r="Y711" s="278"/>
      <c r="Z711" s="278"/>
      <c r="AA711" s="278"/>
      <c r="AB711" s="278"/>
      <c r="AC711" s="278"/>
      <c r="AD711" s="278"/>
      <c r="AE711" s="278"/>
      <c r="AF711" s="278"/>
      <c r="AG711" s="278"/>
      <c r="AH711" s="278"/>
      <c r="AI711" s="278"/>
      <c r="AJ711" s="278"/>
      <c r="AK711" s="278"/>
      <c r="AL711" s="278"/>
      <c r="AM711" s="278"/>
      <c r="AN711" s="278"/>
      <c r="AO711" s="278"/>
      <c r="AP711" s="278"/>
      <c r="AQ711" s="278"/>
      <c r="AR711" s="278"/>
      <c r="AS711" s="278"/>
      <c r="AT711" s="278"/>
      <c r="AU711" s="278"/>
      <c r="AV711" s="278"/>
      <c r="AW711" s="278"/>
      <c r="AX711" s="278"/>
      <c r="AY711" s="278"/>
      <c r="AZ711" s="278"/>
      <c r="BA711" s="278"/>
      <c r="BB711" s="278"/>
      <c r="BC711" s="278"/>
      <c r="BD711" s="278"/>
    </row>
    <row r="712" spans="1:56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196"/>
      <c r="S712" s="196"/>
      <c r="T712" s="196"/>
      <c r="U712" s="278"/>
      <c r="V712" s="278"/>
      <c r="W712" s="278"/>
      <c r="X712" s="278"/>
      <c r="Y712" s="278"/>
      <c r="Z712" s="278"/>
      <c r="AA712" s="278"/>
      <c r="AB712" s="278"/>
      <c r="AC712" s="278"/>
      <c r="AD712" s="278"/>
      <c r="AE712" s="278"/>
      <c r="AF712" s="278"/>
      <c r="AG712" s="278"/>
      <c r="AH712" s="278"/>
      <c r="AI712" s="278"/>
      <c r="AJ712" s="278"/>
      <c r="AK712" s="278"/>
      <c r="AL712" s="278"/>
      <c r="AM712" s="278"/>
      <c r="AN712" s="278"/>
      <c r="AO712" s="278"/>
      <c r="AP712" s="278"/>
      <c r="AQ712" s="278"/>
      <c r="AR712" s="278"/>
      <c r="AS712" s="278"/>
      <c r="AT712" s="278"/>
      <c r="AU712" s="278"/>
      <c r="AV712" s="278"/>
      <c r="AW712" s="278"/>
      <c r="AX712" s="278"/>
      <c r="AY712" s="278"/>
      <c r="AZ712" s="278"/>
      <c r="BA712" s="278"/>
      <c r="BB712" s="278"/>
      <c r="BC712" s="278"/>
      <c r="BD712" s="278"/>
    </row>
    <row r="713" spans="1:56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196"/>
      <c r="S713" s="196"/>
      <c r="T713" s="196"/>
      <c r="U713" s="278"/>
      <c r="V713" s="278"/>
      <c r="W713" s="278"/>
      <c r="X713" s="278"/>
      <c r="Y713" s="278"/>
      <c r="Z713" s="278"/>
      <c r="AA713" s="278"/>
      <c r="AB713" s="278"/>
      <c r="AC713" s="278"/>
      <c r="AD713" s="278"/>
      <c r="AE713" s="278"/>
      <c r="AF713" s="278"/>
      <c r="AG713" s="278"/>
      <c r="AH713" s="278"/>
      <c r="AI713" s="278"/>
      <c r="AJ713" s="278"/>
      <c r="AK713" s="278"/>
      <c r="AL713" s="278"/>
      <c r="AM713" s="278"/>
      <c r="AN713" s="278"/>
      <c r="AO713" s="278"/>
      <c r="AP713" s="278"/>
      <c r="AQ713" s="278"/>
      <c r="AR713" s="278"/>
      <c r="AS713" s="278"/>
      <c r="AT713" s="278"/>
      <c r="AU713" s="278"/>
      <c r="AV713" s="278"/>
      <c r="AW713" s="278"/>
      <c r="AX713" s="278"/>
      <c r="AY713" s="278"/>
      <c r="AZ713" s="278"/>
      <c r="BA713" s="278"/>
      <c r="BB713" s="278"/>
      <c r="BC713" s="278"/>
      <c r="BD713" s="278"/>
    </row>
    <row r="714" spans="1:56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196"/>
      <c r="S714" s="196"/>
      <c r="T714" s="196"/>
      <c r="U714" s="278"/>
      <c r="V714" s="278"/>
      <c r="W714" s="278"/>
      <c r="X714" s="278"/>
      <c r="Y714" s="278"/>
      <c r="Z714" s="278"/>
      <c r="AA714" s="278"/>
      <c r="AB714" s="278"/>
      <c r="AC714" s="278"/>
      <c r="AD714" s="278"/>
      <c r="AE714" s="278"/>
      <c r="AF714" s="278"/>
      <c r="AG714" s="278"/>
      <c r="AH714" s="278"/>
      <c r="AI714" s="278"/>
      <c r="AJ714" s="278"/>
      <c r="AK714" s="278"/>
      <c r="AL714" s="278"/>
      <c r="AM714" s="278"/>
      <c r="AN714" s="278"/>
      <c r="AO714" s="278"/>
      <c r="AP714" s="278"/>
      <c r="AQ714" s="278"/>
      <c r="AR714" s="278"/>
      <c r="AS714" s="278"/>
      <c r="AT714" s="278"/>
      <c r="AU714" s="278"/>
      <c r="AV714" s="278"/>
      <c r="AW714" s="278"/>
      <c r="AX714" s="278"/>
      <c r="AY714" s="278"/>
      <c r="AZ714" s="278"/>
      <c r="BA714" s="278"/>
      <c r="BB714" s="278"/>
      <c r="BC714" s="278"/>
      <c r="BD714" s="278"/>
    </row>
    <row r="715" spans="1:56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196"/>
      <c r="S715" s="196"/>
      <c r="T715" s="196"/>
      <c r="U715" s="278"/>
      <c r="V715" s="278"/>
      <c r="W715" s="278"/>
      <c r="X715" s="278"/>
      <c r="Y715" s="278"/>
      <c r="Z715" s="278"/>
      <c r="AA715" s="278"/>
      <c r="AB715" s="278"/>
      <c r="AC715" s="278"/>
      <c r="AD715" s="278"/>
      <c r="AE715" s="278"/>
      <c r="AF715" s="278"/>
      <c r="AG715" s="278"/>
      <c r="AH715" s="278"/>
      <c r="AI715" s="278"/>
      <c r="AJ715" s="278"/>
      <c r="AK715" s="278"/>
      <c r="AL715" s="278"/>
      <c r="AM715" s="278"/>
      <c r="AN715" s="278"/>
      <c r="AO715" s="278"/>
      <c r="AP715" s="278"/>
      <c r="AQ715" s="278"/>
      <c r="AR715" s="278"/>
      <c r="AS715" s="278"/>
      <c r="AT715" s="278"/>
      <c r="AU715" s="278"/>
      <c r="AV715" s="278"/>
      <c r="AW715" s="278"/>
      <c r="AX715" s="278"/>
      <c r="AY715" s="278"/>
      <c r="AZ715" s="278"/>
      <c r="BA715" s="278"/>
      <c r="BB715" s="278"/>
      <c r="BC715" s="278"/>
      <c r="BD715" s="278"/>
    </row>
    <row r="716" spans="1:56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196"/>
      <c r="S716" s="196"/>
      <c r="T716" s="196"/>
      <c r="U716" s="278"/>
      <c r="V716" s="278"/>
      <c r="W716" s="278"/>
      <c r="X716" s="278"/>
      <c r="Y716" s="278"/>
      <c r="Z716" s="278"/>
      <c r="AA716" s="278"/>
      <c r="AB716" s="278"/>
      <c r="AC716" s="278"/>
      <c r="AD716" s="278"/>
      <c r="AE716" s="278"/>
      <c r="AF716" s="278"/>
      <c r="AG716" s="278"/>
      <c r="AH716" s="278"/>
      <c r="AI716" s="278"/>
      <c r="AJ716" s="278"/>
      <c r="AK716" s="278"/>
      <c r="AL716" s="278"/>
      <c r="AM716" s="278"/>
      <c r="AN716" s="278"/>
      <c r="AO716" s="278"/>
      <c r="AP716" s="278"/>
      <c r="AQ716" s="278"/>
      <c r="AR716" s="278"/>
      <c r="AS716" s="278"/>
      <c r="AT716" s="278"/>
      <c r="AU716" s="278"/>
      <c r="AV716" s="278"/>
      <c r="AW716" s="278"/>
      <c r="AX716" s="278"/>
      <c r="AY716" s="278"/>
      <c r="AZ716" s="278"/>
      <c r="BA716" s="278"/>
      <c r="BB716" s="278"/>
      <c r="BC716" s="278"/>
      <c r="BD716" s="278"/>
    </row>
    <row r="717" spans="1:56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196"/>
      <c r="S717" s="196"/>
      <c r="T717" s="196"/>
      <c r="U717" s="278"/>
      <c r="V717" s="278"/>
      <c r="W717" s="278"/>
      <c r="X717" s="278"/>
      <c r="Y717" s="278"/>
      <c r="Z717" s="278"/>
      <c r="AA717" s="278"/>
      <c r="AB717" s="278"/>
      <c r="AC717" s="278"/>
      <c r="AD717" s="278"/>
      <c r="AE717" s="278"/>
      <c r="AF717" s="278"/>
      <c r="AG717" s="278"/>
      <c r="AH717" s="278"/>
      <c r="AI717" s="278"/>
      <c r="AJ717" s="278"/>
      <c r="AK717" s="278"/>
      <c r="AL717" s="278"/>
      <c r="AM717" s="278"/>
      <c r="AN717" s="278"/>
      <c r="AO717" s="278"/>
      <c r="AP717" s="278"/>
      <c r="AQ717" s="278"/>
      <c r="AR717" s="278"/>
      <c r="AS717" s="278"/>
      <c r="AT717" s="278"/>
      <c r="AU717" s="278"/>
      <c r="AV717" s="278"/>
      <c r="AW717" s="278"/>
      <c r="AX717" s="278"/>
      <c r="AY717" s="278"/>
      <c r="AZ717" s="278"/>
      <c r="BA717" s="278"/>
      <c r="BB717" s="278"/>
      <c r="BC717" s="278"/>
      <c r="BD717" s="278"/>
    </row>
    <row r="718" spans="1:56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196"/>
      <c r="S718" s="196"/>
      <c r="T718" s="196"/>
      <c r="U718" s="278"/>
      <c r="V718" s="278"/>
      <c r="W718" s="278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  <c r="AJ718" s="278"/>
      <c r="AK718" s="278"/>
      <c r="AL718" s="278"/>
      <c r="AM718" s="278"/>
      <c r="AN718" s="278"/>
      <c r="AO718" s="278"/>
      <c r="AP718" s="278"/>
      <c r="AQ718" s="278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</row>
    <row r="719" spans="1:56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196"/>
      <c r="S719" s="196"/>
      <c r="T719" s="196"/>
      <c r="U719" s="278"/>
      <c r="V719" s="278"/>
      <c r="W719" s="278"/>
      <c r="X719" s="278"/>
      <c r="Y719" s="278"/>
      <c r="Z719" s="278"/>
      <c r="AA719" s="278"/>
      <c r="AB719" s="278"/>
      <c r="AC719" s="278"/>
      <c r="AD719" s="278"/>
      <c r="AE719" s="278"/>
      <c r="AF719" s="278"/>
      <c r="AG719" s="278"/>
      <c r="AH719" s="278"/>
      <c r="AI719" s="278"/>
      <c r="AJ719" s="278"/>
      <c r="AK719" s="278"/>
      <c r="AL719" s="278"/>
      <c r="AM719" s="278"/>
      <c r="AN719" s="278"/>
      <c r="AO719" s="278"/>
      <c r="AP719" s="278"/>
      <c r="AQ719" s="278"/>
      <c r="AR719" s="278"/>
      <c r="AS719" s="278"/>
      <c r="AT719" s="278"/>
      <c r="AU719" s="278"/>
      <c r="AV719" s="278"/>
      <c r="AW719" s="278"/>
      <c r="AX719" s="278"/>
      <c r="AY719" s="278"/>
      <c r="AZ719" s="278"/>
      <c r="BA719" s="278"/>
      <c r="BB719" s="278"/>
      <c r="BC719" s="278"/>
      <c r="BD719" s="278"/>
    </row>
    <row r="720" spans="1:56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196"/>
      <c r="S720" s="196"/>
      <c r="T720" s="196"/>
      <c r="U720" s="278"/>
      <c r="V720" s="278"/>
      <c r="W720" s="278"/>
      <c r="X720" s="278"/>
      <c r="Y720" s="278"/>
      <c r="Z720" s="278"/>
      <c r="AA720" s="278"/>
      <c r="AB720" s="278"/>
      <c r="AC720" s="278"/>
      <c r="AD720" s="278"/>
      <c r="AE720" s="278"/>
      <c r="AF720" s="278"/>
      <c r="AG720" s="278"/>
      <c r="AH720" s="278"/>
      <c r="AI720" s="278"/>
      <c r="AJ720" s="278"/>
      <c r="AK720" s="278"/>
      <c r="AL720" s="278"/>
      <c r="AM720" s="278"/>
      <c r="AN720" s="278"/>
      <c r="AO720" s="278"/>
      <c r="AP720" s="278"/>
      <c r="AQ720" s="278"/>
      <c r="AR720" s="278"/>
      <c r="AS720" s="278"/>
      <c r="AT720" s="278"/>
      <c r="AU720" s="278"/>
      <c r="AV720" s="278"/>
      <c r="AW720" s="278"/>
      <c r="AX720" s="278"/>
      <c r="AY720" s="278"/>
      <c r="AZ720" s="278"/>
      <c r="BA720" s="278"/>
      <c r="BB720" s="278"/>
      <c r="BC720" s="278"/>
      <c r="BD720" s="278"/>
    </row>
    <row r="721" spans="1:56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196"/>
      <c r="S721" s="196"/>
      <c r="T721" s="196"/>
      <c r="U721" s="278"/>
      <c r="V721" s="278"/>
      <c r="W721" s="278"/>
      <c r="X721" s="278"/>
      <c r="Y721" s="278"/>
      <c r="Z721" s="278"/>
      <c r="AA721" s="278"/>
      <c r="AB721" s="278"/>
      <c r="AC721" s="278"/>
      <c r="AD721" s="278"/>
      <c r="AE721" s="278"/>
      <c r="AF721" s="278"/>
      <c r="AG721" s="278"/>
      <c r="AH721" s="278"/>
      <c r="AI721" s="278"/>
      <c r="AJ721" s="278"/>
      <c r="AK721" s="278"/>
      <c r="AL721" s="278"/>
      <c r="AM721" s="278"/>
      <c r="AN721" s="278"/>
      <c r="AO721" s="278"/>
      <c r="AP721" s="278"/>
      <c r="AQ721" s="278"/>
      <c r="AR721" s="278"/>
      <c r="AS721" s="278"/>
      <c r="AT721" s="278"/>
      <c r="AU721" s="278"/>
      <c r="AV721" s="278"/>
      <c r="AW721" s="278"/>
      <c r="AX721" s="278"/>
      <c r="AY721" s="278"/>
      <c r="AZ721" s="278"/>
      <c r="BA721" s="278"/>
      <c r="BB721" s="278"/>
      <c r="BC721" s="278"/>
      <c r="BD721" s="278"/>
    </row>
    <row r="722" spans="1:56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196"/>
      <c r="S722" s="196"/>
      <c r="T722" s="196"/>
      <c r="U722" s="278"/>
      <c r="V722" s="278"/>
      <c r="W722" s="278"/>
      <c r="X722" s="278"/>
      <c r="Y722" s="278"/>
      <c r="Z722" s="278"/>
      <c r="AA722" s="278"/>
      <c r="AB722" s="278"/>
      <c r="AC722" s="278"/>
      <c r="AD722" s="278"/>
      <c r="AE722" s="278"/>
      <c r="AF722" s="278"/>
      <c r="AG722" s="278"/>
      <c r="AH722" s="278"/>
      <c r="AI722" s="278"/>
      <c r="AJ722" s="278"/>
      <c r="AK722" s="278"/>
      <c r="AL722" s="278"/>
      <c r="AM722" s="278"/>
      <c r="AN722" s="278"/>
      <c r="AO722" s="278"/>
      <c r="AP722" s="278"/>
      <c r="AQ722" s="278"/>
      <c r="AR722" s="278"/>
      <c r="AS722" s="278"/>
      <c r="AT722" s="278"/>
      <c r="AU722" s="278"/>
      <c r="AV722" s="278"/>
      <c r="AW722" s="278"/>
      <c r="AX722" s="278"/>
      <c r="AY722" s="278"/>
      <c r="AZ722" s="278"/>
      <c r="BA722" s="278"/>
      <c r="BB722" s="278"/>
      <c r="BC722" s="278"/>
      <c r="BD722" s="278"/>
    </row>
    <row r="723" spans="1:56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196"/>
      <c r="S723" s="196"/>
      <c r="T723" s="196"/>
      <c r="U723" s="278"/>
      <c r="V723" s="278"/>
      <c r="W723" s="278"/>
      <c r="X723" s="278"/>
      <c r="Y723" s="278"/>
      <c r="Z723" s="278"/>
      <c r="AA723" s="278"/>
      <c r="AB723" s="278"/>
      <c r="AC723" s="278"/>
      <c r="AD723" s="278"/>
      <c r="AE723" s="278"/>
      <c r="AF723" s="278"/>
      <c r="AG723" s="278"/>
      <c r="AH723" s="278"/>
      <c r="AI723" s="278"/>
      <c r="AJ723" s="278"/>
      <c r="AK723" s="278"/>
      <c r="AL723" s="278"/>
      <c r="AM723" s="278"/>
      <c r="AN723" s="278"/>
      <c r="AO723" s="278"/>
      <c r="AP723" s="278"/>
      <c r="AQ723" s="278"/>
      <c r="AR723" s="278"/>
      <c r="AS723" s="278"/>
      <c r="AT723" s="278"/>
      <c r="AU723" s="278"/>
      <c r="AV723" s="278"/>
      <c r="AW723" s="278"/>
      <c r="AX723" s="278"/>
      <c r="AY723" s="278"/>
      <c r="AZ723" s="278"/>
      <c r="BA723" s="278"/>
      <c r="BB723" s="278"/>
      <c r="BC723" s="278"/>
      <c r="BD723" s="278"/>
    </row>
    <row r="724" spans="1:56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196"/>
      <c r="S724" s="196"/>
      <c r="T724" s="196"/>
      <c r="U724" s="278"/>
      <c r="V724" s="278"/>
      <c r="W724" s="278"/>
      <c r="X724" s="278"/>
      <c r="Y724" s="278"/>
      <c r="Z724" s="278"/>
      <c r="AA724" s="278"/>
      <c r="AB724" s="278"/>
      <c r="AC724" s="278"/>
      <c r="AD724" s="278"/>
      <c r="AE724" s="278"/>
      <c r="AF724" s="278"/>
      <c r="AG724" s="278"/>
      <c r="AH724" s="278"/>
      <c r="AI724" s="278"/>
      <c r="AJ724" s="278"/>
      <c r="AK724" s="278"/>
      <c r="AL724" s="278"/>
      <c r="AM724" s="278"/>
      <c r="AN724" s="278"/>
      <c r="AO724" s="278"/>
      <c r="AP724" s="278"/>
      <c r="AQ724" s="278"/>
      <c r="AR724" s="278"/>
      <c r="AS724" s="278"/>
      <c r="AT724" s="278"/>
      <c r="AU724" s="278"/>
      <c r="AV724" s="278"/>
      <c r="AW724" s="278"/>
      <c r="AX724" s="278"/>
      <c r="AY724" s="278"/>
      <c r="AZ724" s="278"/>
      <c r="BA724" s="278"/>
      <c r="BB724" s="278"/>
      <c r="BC724" s="278"/>
      <c r="BD724" s="278"/>
    </row>
    <row r="725" spans="1:56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196"/>
      <c r="S725" s="196"/>
      <c r="T725" s="196"/>
      <c r="U725" s="278"/>
      <c r="V725" s="278"/>
      <c r="W725" s="278"/>
      <c r="X725" s="278"/>
      <c r="Y725" s="278"/>
      <c r="Z725" s="278"/>
      <c r="AA725" s="278"/>
      <c r="AB725" s="278"/>
      <c r="AC725" s="278"/>
      <c r="AD725" s="278"/>
      <c r="AE725" s="278"/>
      <c r="AF725" s="278"/>
      <c r="AG725" s="278"/>
      <c r="AH725" s="278"/>
      <c r="AI725" s="278"/>
      <c r="AJ725" s="278"/>
      <c r="AK725" s="278"/>
      <c r="AL725" s="278"/>
      <c r="AM725" s="278"/>
      <c r="AN725" s="278"/>
      <c r="AO725" s="278"/>
      <c r="AP725" s="278"/>
      <c r="AQ725" s="278"/>
      <c r="AR725" s="278"/>
      <c r="AS725" s="278"/>
      <c r="AT725" s="278"/>
      <c r="AU725" s="278"/>
      <c r="AV725" s="278"/>
      <c r="AW725" s="278"/>
      <c r="AX725" s="278"/>
      <c r="AY725" s="278"/>
      <c r="AZ725" s="278"/>
      <c r="BA725" s="278"/>
      <c r="BB725" s="278"/>
      <c r="BC725" s="278"/>
      <c r="BD725" s="278"/>
    </row>
    <row r="726" spans="1:56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196"/>
      <c r="S726" s="196"/>
      <c r="T726" s="196"/>
      <c r="U726" s="278"/>
      <c r="V726" s="278"/>
      <c r="W726" s="278"/>
      <c r="X726" s="278"/>
      <c r="Y726" s="278"/>
      <c r="Z726" s="278"/>
      <c r="AA726" s="278"/>
      <c r="AB726" s="278"/>
      <c r="AC726" s="278"/>
      <c r="AD726" s="278"/>
      <c r="AE726" s="278"/>
      <c r="AF726" s="278"/>
      <c r="AG726" s="278"/>
      <c r="AH726" s="278"/>
      <c r="AI726" s="278"/>
      <c r="AJ726" s="278"/>
      <c r="AK726" s="278"/>
      <c r="AL726" s="278"/>
      <c r="AM726" s="278"/>
      <c r="AN726" s="278"/>
      <c r="AO726" s="278"/>
      <c r="AP726" s="278"/>
      <c r="AQ726" s="278"/>
      <c r="AR726" s="278"/>
      <c r="AS726" s="278"/>
      <c r="AT726" s="278"/>
      <c r="AU726" s="278"/>
      <c r="AV726" s="278"/>
      <c r="AW726" s="278"/>
      <c r="AX726" s="278"/>
      <c r="AY726" s="278"/>
      <c r="AZ726" s="278"/>
      <c r="BA726" s="278"/>
      <c r="BB726" s="278"/>
      <c r="BC726" s="278"/>
      <c r="BD726" s="278"/>
    </row>
    <row r="727" spans="1:56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196"/>
      <c r="S727" s="196"/>
      <c r="T727" s="196"/>
      <c r="U727" s="278"/>
      <c r="V727" s="278"/>
      <c r="W727" s="278"/>
      <c r="X727" s="278"/>
      <c r="Y727" s="278"/>
      <c r="Z727" s="278"/>
      <c r="AA727" s="278"/>
      <c r="AB727" s="278"/>
      <c r="AC727" s="278"/>
      <c r="AD727" s="278"/>
      <c r="AE727" s="278"/>
      <c r="AF727" s="278"/>
      <c r="AG727" s="278"/>
      <c r="AH727" s="278"/>
      <c r="AI727" s="278"/>
      <c r="AJ727" s="278"/>
      <c r="AK727" s="278"/>
      <c r="AL727" s="278"/>
      <c r="AM727" s="278"/>
      <c r="AN727" s="278"/>
      <c r="AO727" s="278"/>
      <c r="AP727" s="278"/>
      <c r="AQ727" s="278"/>
      <c r="AR727" s="278"/>
      <c r="AS727" s="278"/>
      <c r="AT727" s="278"/>
      <c r="AU727" s="278"/>
      <c r="AV727" s="278"/>
      <c r="AW727" s="278"/>
      <c r="AX727" s="278"/>
      <c r="AY727" s="278"/>
      <c r="AZ727" s="278"/>
      <c r="BA727" s="278"/>
      <c r="BB727" s="278"/>
      <c r="BC727" s="278"/>
      <c r="BD727" s="278"/>
    </row>
    <row r="728" spans="1:56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196"/>
      <c r="S728" s="196"/>
      <c r="T728" s="196"/>
      <c r="U728" s="278"/>
      <c r="V728" s="278"/>
      <c r="W728" s="278"/>
      <c r="X728" s="278"/>
      <c r="Y728" s="278"/>
      <c r="Z728" s="278"/>
      <c r="AA728" s="278"/>
      <c r="AB728" s="278"/>
      <c r="AC728" s="278"/>
      <c r="AD728" s="278"/>
      <c r="AE728" s="278"/>
      <c r="AF728" s="278"/>
      <c r="AG728" s="278"/>
      <c r="AH728" s="278"/>
      <c r="AI728" s="278"/>
      <c r="AJ728" s="278"/>
      <c r="AK728" s="278"/>
      <c r="AL728" s="278"/>
      <c r="AM728" s="278"/>
      <c r="AN728" s="278"/>
      <c r="AO728" s="278"/>
      <c r="AP728" s="278"/>
      <c r="AQ728" s="278"/>
      <c r="AR728" s="278"/>
      <c r="AS728" s="278"/>
      <c r="AT728" s="278"/>
      <c r="AU728" s="278"/>
      <c r="AV728" s="278"/>
      <c r="AW728" s="278"/>
      <c r="AX728" s="278"/>
      <c r="AY728" s="278"/>
      <c r="AZ728" s="278"/>
      <c r="BA728" s="278"/>
      <c r="BB728" s="278"/>
      <c r="BC728" s="278"/>
      <c r="BD728" s="278"/>
    </row>
    <row r="729" spans="1:56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196"/>
      <c r="S729" s="196"/>
      <c r="T729" s="196"/>
      <c r="U729" s="278"/>
      <c r="V729" s="278"/>
      <c r="W729" s="278"/>
      <c r="X729" s="278"/>
      <c r="Y729" s="278"/>
      <c r="Z729" s="278"/>
      <c r="AA729" s="278"/>
      <c r="AB729" s="278"/>
      <c r="AC729" s="278"/>
      <c r="AD729" s="278"/>
      <c r="AE729" s="278"/>
      <c r="AF729" s="278"/>
      <c r="AG729" s="278"/>
      <c r="AH729" s="278"/>
      <c r="AI729" s="278"/>
      <c r="AJ729" s="278"/>
      <c r="AK729" s="278"/>
      <c r="AL729" s="278"/>
      <c r="AM729" s="278"/>
      <c r="AN729" s="278"/>
      <c r="AO729" s="278"/>
      <c r="AP729" s="278"/>
      <c r="AQ729" s="278"/>
      <c r="AR729" s="278"/>
      <c r="AS729" s="278"/>
      <c r="AT729" s="278"/>
      <c r="AU729" s="278"/>
      <c r="AV729" s="278"/>
      <c r="AW729" s="278"/>
      <c r="AX729" s="278"/>
      <c r="AY729" s="278"/>
      <c r="AZ729" s="278"/>
      <c r="BA729" s="278"/>
      <c r="BB729" s="278"/>
      <c r="BC729" s="278"/>
      <c r="BD729" s="278"/>
    </row>
    <row r="730" spans="1:56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196"/>
      <c r="S730" s="196"/>
      <c r="T730" s="196"/>
      <c r="U730" s="278"/>
      <c r="V730" s="278"/>
      <c r="W730" s="278"/>
      <c r="X730" s="278"/>
      <c r="Y730" s="278"/>
      <c r="Z730" s="278"/>
      <c r="AA730" s="278"/>
      <c r="AB730" s="278"/>
      <c r="AC730" s="278"/>
      <c r="AD730" s="278"/>
      <c r="AE730" s="278"/>
      <c r="AF730" s="278"/>
      <c r="AG730" s="278"/>
      <c r="AH730" s="278"/>
      <c r="AI730" s="278"/>
      <c r="AJ730" s="278"/>
      <c r="AK730" s="278"/>
      <c r="AL730" s="278"/>
      <c r="AM730" s="278"/>
      <c r="AN730" s="278"/>
      <c r="AO730" s="278"/>
      <c r="AP730" s="278"/>
      <c r="AQ730" s="278"/>
      <c r="AR730" s="278"/>
      <c r="AS730" s="278"/>
      <c r="AT730" s="278"/>
      <c r="AU730" s="278"/>
      <c r="AV730" s="278"/>
      <c r="AW730" s="278"/>
      <c r="AX730" s="278"/>
      <c r="AY730" s="278"/>
      <c r="AZ730" s="278"/>
      <c r="BA730" s="278"/>
      <c r="BB730" s="278"/>
      <c r="BC730" s="278"/>
      <c r="BD730" s="278"/>
    </row>
    <row r="731" spans="1:56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196"/>
      <c r="S731" s="196"/>
      <c r="T731" s="196"/>
      <c r="U731" s="278"/>
      <c r="V731" s="278"/>
      <c r="W731" s="278"/>
      <c r="X731" s="278"/>
      <c r="Y731" s="278"/>
      <c r="Z731" s="278"/>
      <c r="AA731" s="278"/>
      <c r="AB731" s="278"/>
      <c r="AC731" s="278"/>
      <c r="AD731" s="278"/>
      <c r="AE731" s="278"/>
      <c r="AF731" s="278"/>
      <c r="AG731" s="278"/>
      <c r="AH731" s="278"/>
      <c r="AI731" s="278"/>
      <c r="AJ731" s="278"/>
      <c r="AK731" s="278"/>
      <c r="AL731" s="278"/>
      <c r="AM731" s="278"/>
      <c r="AN731" s="278"/>
      <c r="AO731" s="278"/>
      <c r="AP731" s="278"/>
      <c r="AQ731" s="278"/>
      <c r="AR731" s="278"/>
      <c r="AS731" s="278"/>
      <c r="AT731" s="278"/>
      <c r="AU731" s="278"/>
      <c r="AV731" s="278"/>
      <c r="AW731" s="278"/>
      <c r="AX731" s="278"/>
      <c r="AY731" s="278"/>
      <c r="AZ731" s="278"/>
      <c r="BA731" s="278"/>
      <c r="BB731" s="278"/>
      <c r="BC731" s="278"/>
      <c r="BD731" s="278"/>
    </row>
    <row r="732" spans="1:56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196"/>
      <c r="S732" s="196"/>
      <c r="T732" s="196"/>
      <c r="U732" s="278"/>
      <c r="V732" s="278"/>
      <c r="W732" s="278"/>
      <c r="X732" s="278"/>
      <c r="Y732" s="278"/>
      <c r="Z732" s="278"/>
      <c r="AA732" s="278"/>
      <c r="AB732" s="278"/>
      <c r="AC732" s="278"/>
      <c r="AD732" s="278"/>
      <c r="AE732" s="278"/>
      <c r="AF732" s="278"/>
      <c r="AG732" s="278"/>
      <c r="AH732" s="278"/>
      <c r="AI732" s="278"/>
      <c r="AJ732" s="278"/>
      <c r="AK732" s="278"/>
      <c r="AL732" s="278"/>
      <c r="AM732" s="278"/>
      <c r="AN732" s="278"/>
      <c r="AO732" s="278"/>
      <c r="AP732" s="278"/>
      <c r="AQ732" s="278"/>
      <c r="AR732" s="278"/>
      <c r="AS732" s="278"/>
      <c r="AT732" s="278"/>
      <c r="AU732" s="278"/>
      <c r="AV732" s="278"/>
      <c r="AW732" s="278"/>
      <c r="AX732" s="278"/>
      <c r="AY732" s="278"/>
      <c r="AZ732" s="278"/>
      <c r="BA732" s="278"/>
      <c r="BB732" s="278"/>
      <c r="BC732" s="278"/>
      <c r="BD732" s="278"/>
    </row>
    <row r="733" spans="1:56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196"/>
      <c r="S733" s="196"/>
      <c r="T733" s="196"/>
      <c r="U733" s="278"/>
      <c r="V733" s="278"/>
      <c r="W733" s="278"/>
      <c r="X733" s="278"/>
      <c r="Y733" s="278"/>
      <c r="Z733" s="278"/>
      <c r="AA733" s="278"/>
      <c r="AB733" s="278"/>
      <c r="AC733" s="278"/>
      <c r="AD733" s="278"/>
      <c r="AE733" s="278"/>
      <c r="AF733" s="278"/>
      <c r="AG733" s="278"/>
      <c r="AH733" s="278"/>
      <c r="AI733" s="278"/>
      <c r="AJ733" s="278"/>
      <c r="AK733" s="278"/>
      <c r="AL733" s="278"/>
      <c r="AM733" s="278"/>
      <c r="AN733" s="278"/>
      <c r="AO733" s="278"/>
      <c r="AP733" s="278"/>
      <c r="AQ733" s="278"/>
      <c r="AR733" s="278"/>
      <c r="AS733" s="278"/>
      <c r="AT733" s="278"/>
      <c r="AU733" s="278"/>
      <c r="AV733" s="278"/>
      <c r="AW733" s="278"/>
      <c r="AX733" s="278"/>
      <c r="AY733" s="278"/>
      <c r="AZ733" s="278"/>
      <c r="BA733" s="278"/>
      <c r="BB733" s="278"/>
      <c r="BC733" s="278"/>
      <c r="BD733" s="278"/>
    </row>
    <row r="734" spans="1:56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196"/>
      <c r="S734" s="196"/>
      <c r="T734" s="196"/>
      <c r="U734" s="278"/>
      <c r="V734" s="278"/>
      <c r="W734" s="278"/>
      <c r="X734" s="278"/>
      <c r="Y734" s="278"/>
      <c r="Z734" s="278"/>
      <c r="AA734" s="278"/>
      <c r="AB734" s="278"/>
      <c r="AC734" s="278"/>
      <c r="AD734" s="278"/>
      <c r="AE734" s="278"/>
      <c r="AF734" s="278"/>
      <c r="AG734" s="278"/>
      <c r="AH734" s="278"/>
      <c r="AI734" s="278"/>
      <c r="AJ734" s="278"/>
      <c r="AK734" s="278"/>
      <c r="AL734" s="278"/>
      <c r="AM734" s="278"/>
      <c r="AN734" s="278"/>
      <c r="AO734" s="278"/>
      <c r="AP734" s="278"/>
      <c r="AQ734" s="278"/>
      <c r="AR734" s="278"/>
      <c r="AS734" s="278"/>
      <c r="AT734" s="278"/>
      <c r="AU734" s="278"/>
      <c r="AV734" s="278"/>
      <c r="AW734" s="278"/>
      <c r="AX734" s="278"/>
      <c r="AY734" s="278"/>
      <c r="AZ734" s="278"/>
      <c r="BA734" s="278"/>
      <c r="BB734" s="278"/>
      <c r="BC734" s="278"/>
      <c r="BD734" s="278"/>
    </row>
    <row r="735" spans="1:56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196"/>
      <c r="S735" s="196"/>
      <c r="T735" s="196"/>
      <c r="U735" s="278"/>
      <c r="V735" s="278"/>
      <c r="W735" s="278"/>
      <c r="X735" s="278"/>
      <c r="Y735" s="278"/>
      <c r="Z735" s="278"/>
      <c r="AA735" s="278"/>
      <c r="AB735" s="278"/>
      <c r="AC735" s="278"/>
      <c r="AD735" s="278"/>
      <c r="AE735" s="278"/>
      <c r="AF735" s="278"/>
      <c r="AG735" s="278"/>
      <c r="AH735" s="278"/>
      <c r="AI735" s="278"/>
      <c r="AJ735" s="278"/>
      <c r="AK735" s="278"/>
      <c r="AL735" s="278"/>
      <c r="AM735" s="278"/>
      <c r="AN735" s="278"/>
      <c r="AO735" s="278"/>
      <c r="AP735" s="278"/>
      <c r="AQ735" s="278"/>
      <c r="AR735" s="278"/>
      <c r="AS735" s="278"/>
      <c r="AT735" s="278"/>
      <c r="AU735" s="278"/>
      <c r="AV735" s="278"/>
      <c r="AW735" s="278"/>
      <c r="AX735" s="278"/>
      <c r="AY735" s="278"/>
      <c r="AZ735" s="278"/>
      <c r="BA735" s="278"/>
      <c r="BB735" s="278"/>
      <c r="BC735" s="278"/>
      <c r="BD735" s="278"/>
    </row>
    <row r="736" spans="1:56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196"/>
      <c r="S736" s="196"/>
      <c r="T736" s="196"/>
      <c r="U736" s="278"/>
      <c r="V736" s="278"/>
      <c r="W736" s="278"/>
      <c r="X736" s="278"/>
      <c r="Y736" s="278"/>
      <c r="Z736" s="278"/>
      <c r="AA736" s="278"/>
      <c r="AB736" s="278"/>
      <c r="AC736" s="278"/>
      <c r="AD736" s="278"/>
      <c r="AE736" s="278"/>
      <c r="AF736" s="278"/>
      <c r="AG736" s="278"/>
      <c r="AH736" s="278"/>
      <c r="AI736" s="278"/>
      <c r="AJ736" s="278"/>
      <c r="AK736" s="278"/>
      <c r="AL736" s="278"/>
      <c r="AM736" s="278"/>
      <c r="AN736" s="278"/>
      <c r="AO736" s="278"/>
      <c r="AP736" s="278"/>
      <c r="AQ736" s="278"/>
      <c r="AR736" s="278"/>
      <c r="AS736" s="278"/>
      <c r="AT736" s="278"/>
      <c r="AU736" s="278"/>
      <c r="AV736" s="278"/>
      <c r="AW736" s="278"/>
      <c r="AX736" s="278"/>
      <c r="AY736" s="278"/>
      <c r="AZ736" s="278"/>
      <c r="BA736" s="278"/>
      <c r="BB736" s="278"/>
      <c r="BC736" s="278"/>
      <c r="BD736" s="278"/>
    </row>
    <row r="737" spans="1:56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196"/>
      <c r="S737" s="196"/>
      <c r="T737" s="196"/>
      <c r="U737" s="278"/>
      <c r="V737" s="278"/>
      <c r="W737" s="278"/>
      <c r="X737" s="278"/>
      <c r="Y737" s="278"/>
      <c r="Z737" s="278"/>
      <c r="AA737" s="278"/>
      <c r="AB737" s="278"/>
      <c r="AC737" s="278"/>
      <c r="AD737" s="278"/>
      <c r="AE737" s="278"/>
      <c r="AF737" s="278"/>
      <c r="AG737" s="278"/>
      <c r="AH737" s="278"/>
      <c r="AI737" s="278"/>
      <c r="AJ737" s="278"/>
      <c r="AK737" s="278"/>
      <c r="AL737" s="278"/>
      <c r="AM737" s="278"/>
      <c r="AN737" s="278"/>
      <c r="AO737" s="278"/>
      <c r="AP737" s="278"/>
      <c r="AQ737" s="278"/>
      <c r="AR737" s="278"/>
      <c r="AS737" s="278"/>
      <c r="AT737" s="278"/>
      <c r="AU737" s="278"/>
      <c r="AV737" s="278"/>
      <c r="AW737" s="278"/>
      <c r="AX737" s="278"/>
      <c r="AY737" s="278"/>
      <c r="AZ737" s="278"/>
      <c r="BA737" s="278"/>
      <c r="BB737" s="278"/>
      <c r="BC737" s="278"/>
      <c r="BD737" s="278"/>
    </row>
    <row r="738" spans="1:56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196"/>
      <c r="S738" s="196"/>
      <c r="T738" s="196"/>
      <c r="U738" s="278"/>
      <c r="V738" s="278"/>
      <c r="W738" s="278"/>
      <c r="X738" s="278"/>
      <c r="Y738" s="278"/>
      <c r="Z738" s="278"/>
      <c r="AA738" s="278"/>
      <c r="AB738" s="278"/>
      <c r="AC738" s="278"/>
      <c r="AD738" s="278"/>
      <c r="AE738" s="278"/>
      <c r="AF738" s="278"/>
      <c r="AG738" s="278"/>
      <c r="AH738" s="278"/>
      <c r="AI738" s="278"/>
      <c r="AJ738" s="278"/>
      <c r="AK738" s="278"/>
      <c r="AL738" s="278"/>
      <c r="AM738" s="278"/>
      <c r="AN738" s="278"/>
      <c r="AO738" s="278"/>
      <c r="AP738" s="278"/>
      <c r="AQ738" s="278"/>
      <c r="AR738" s="278"/>
      <c r="AS738" s="278"/>
      <c r="AT738" s="278"/>
      <c r="AU738" s="278"/>
      <c r="AV738" s="278"/>
      <c r="AW738" s="278"/>
      <c r="AX738" s="278"/>
      <c r="AY738" s="278"/>
      <c r="AZ738" s="278"/>
      <c r="BA738" s="278"/>
      <c r="BB738" s="278"/>
      <c r="BC738" s="278"/>
      <c r="BD738" s="278"/>
    </row>
    <row r="739" spans="1:56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196"/>
      <c r="S739" s="196"/>
      <c r="T739" s="196"/>
      <c r="U739" s="278"/>
      <c r="V739" s="278"/>
      <c r="W739" s="278"/>
      <c r="X739" s="278"/>
      <c r="Y739" s="278"/>
      <c r="Z739" s="278"/>
      <c r="AA739" s="278"/>
      <c r="AB739" s="278"/>
      <c r="AC739" s="278"/>
      <c r="AD739" s="278"/>
      <c r="AE739" s="278"/>
      <c r="AF739" s="278"/>
      <c r="AG739" s="278"/>
      <c r="AH739" s="278"/>
      <c r="AI739" s="278"/>
      <c r="AJ739" s="278"/>
      <c r="AK739" s="278"/>
      <c r="AL739" s="278"/>
      <c r="AM739" s="278"/>
      <c r="AN739" s="278"/>
      <c r="AO739" s="278"/>
      <c r="AP739" s="278"/>
      <c r="AQ739" s="278"/>
      <c r="AR739" s="278"/>
      <c r="AS739" s="278"/>
      <c r="AT739" s="278"/>
      <c r="AU739" s="278"/>
      <c r="AV739" s="278"/>
      <c r="AW739" s="278"/>
      <c r="AX739" s="278"/>
      <c r="AY739" s="278"/>
      <c r="AZ739" s="278"/>
      <c r="BA739" s="278"/>
      <c r="BB739" s="278"/>
      <c r="BC739" s="278"/>
      <c r="BD739" s="278"/>
    </row>
    <row r="740" spans="1:56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196"/>
      <c r="S740" s="196"/>
      <c r="T740" s="196"/>
      <c r="U740" s="278"/>
      <c r="V740" s="278"/>
      <c r="W740" s="278"/>
      <c r="X740" s="278"/>
      <c r="Y740" s="278"/>
      <c r="Z740" s="278"/>
      <c r="AA740" s="278"/>
      <c r="AB740" s="278"/>
      <c r="AC740" s="278"/>
      <c r="AD740" s="278"/>
      <c r="AE740" s="278"/>
      <c r="AF740" s="278"/>
      <c r="AG740" s="278"/>
      <c r="AH740" s="278"/>
      <c r="AI740" s="278"/>
      <c r="AJ740" s="278"/>
      <c r="AK740" s="278"/>
      <c r="AL740" s="278"/>
      <c r="AM740" s="278"/>
      <c r="AN740" s="278"/>
      <c r="AO740" s="278"/>
      <c r="AP740" s="278"/>
      <c r="AQ740" s="278"/>
      <c r="AR740" s="278"/>
      <c r="AS740" s="278"/>
      <c r="AT740" s="278"/>
      <c r="AU740" s="278"/>
      <c r="AV740" s="278"/>
      <c r="AW740" s="278"/>
      <c r="AX740" s="278"/>
      <c r="AY740" s="278"/>
      <c r="AZ740" s="278"/>
      <c r="BA740" s="278"/>
      <c r="BB740" s="278"/>
      <c r="BC740" s="278"/>
      <c r="BD740" s="278"/>
    </row>
    <row r="741" spans="1:56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196"/>
      <c r="S741" s="196"/>
      <c r="T741" s="196"/>
      <c r="U741" s="278"/>
      <c r="V741" s="278"/>
      <c r="W741" s="278"/>
      <c r="X741" s="278"/>
      <c r="Y741" s="278"/>
      <c r="Z741" s="278"/>
      <c r="AA741" s="278"/>
      <c r="AB741" s="278"/>
      <c r="AC741" s="278"/>
      <c r="AD741" s="278"/>
      <c r="AE741" s="278"/>
      <c r="AF741" s="278"/>
      <c r="AG741" s="278"/>
      <c r="AH741" s="278"/>
      <c r="AI741" s="278"/>
      <c r="AJ741" s="278"/>
      <c r="AK741" s="278"/>
      <c r="AL741" s="278"/>
      <c r="AM741" s="278"/>
      <c r="AN741" s="278"/>
      <c r="AO741" s="278"/>
      <c r="AP741" s="278"/>
      <c r="AQ741" s="278"/>
      <c r="AR741" s="278"/>
      <c r="AS741" s="278"/>
      <c r="AT741" s="278"/>
      <c r="AU741" s="278"/>
      <c r="AV741" s="278"/>
      <c r="AW741" s="278"/>
      <c r="AX741" s="278"/>
      <c r="AY741" s="278"/>
      <c r="AZ741" s="278"/>
      <c r="BA741" s="278"/>
      <c r="BB741" s="278"/>
      <c r="BC741" s="278"/>
      <c r="BD741" s="278"/>
    </row>
    <row r="742" spans="1:56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196"/>
      <c r="S742" s="196"/>
      <c r="T742" s="196"/>
      <c r="U742" s="278"/>
      <c r="V742" s="278"/>
      <c r="W742" s="278"/>
      <c r="X742" s="278"/>
      <c r="Y742" s="278"/>
      <c r="Z742" s="278"/>
      <c r="AA742" s="278"/>
      <c r="AB742" s="278"/>
      <c r="AC742" s="278"/>
      <c r="AD742" s="278"/>
      <c r="AE742" s="278"/>
      <c r="AF742" s="278"/>
      <c r="AG742" s="278"/>
      <c r="AH742" s="278"/>
      <c r="AI742" s="278"/>
      <c r="AJ742" s="278"/>
      <c r="AK742" s="278"/>
      <c r="AL742" s="278"/>
      <c r="AM742" s="278"/>
      <c r="AN742" s="278"/>
      <c r="AO742" s="278"/>
      <c r="AP742" s="278"/>
      <c r="AQ742" s="278"/>
      <c r="AR742" s="278"/>
      <c r="AS742" s="278"/>
      <c r="AT742" s="278"/>
      <c r="AU742" s="278"/>
      <c r="AV742" s="278"/>
      <c r="AW742" s="278"/>
      <c r="AX742" s="278"/>
      <c r="AY742" s="278"/>
      <c r="AZ742" s="278"/>
      <c r="BA742" s="278"/>
      <c r="BB742" s="278"/>
      <c r="BC742" s="278"/>
      <c r="BD742" s="278"/>
    </row>
    <row r="743" spans="1:56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196"/>
      <c r="S743" s="196"/>
      <c r="T743" s="196"/>
      <c r="U743" s="278"/>
      <c r="V743" s="278"/>
      <c r="W743" s="278"/>
      <c r="X743" s="278"/>
      <c r="Y743" s="278"/>
      <c r="Z743" s="278"/>
      <c r="AA743" s="278"/>
      <c r="AB743" s="278"/>
      <c r="AC743" s="278"/>
      <c r="AD743" s="278"/>
      <c r="AE743" s="278"/>
      <c r="AF743" s="278"/>
      <c r="AG743" s="278"/>
      <c r="AH743" s="278"/>
      <c r="AI743" s="278"/>
      <c r="AJ743" s="278"/>
      <c r="AK743" s="278"/>
      <c r="AL743" s="278"/>
      <c r="AM743" s="278"/>
      <c r="AN743" s="278"/>
      <c r="AO743" s="278"/>
      <c r="AP743" s="278"/>
      <c r="AQ743" s="278"/>
      <c r="AR743" s="278"/>
      <c r="AS743" s="278"/>
      <c r="AT743" s="278"/>
      <c r="AU743" s="278"/>
      <c r="AV743" s="278"/>
      <c r="AW743" s="278"/>
      <c r="AX743" s="278"/>
      <c r="AY743" s="278"/>
      <c r="AZ743" s="278"/>
      <c r="BA743" s="278"/>
      <c r="BB743" s="278"/>
      <c r="BC743" s="278"/>
      <c r="BD743" s="278"/>
    </row>
    <row r="744" spans="1:56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196"/>
      <c r="S744" s="196"/>
      <c r="T744" s="196"/>
      <c r="U744" s="278"/>
      <c r="V744" s="278"/>
      <c r="W744" s="278"/>
      <c r="X744" s="278"/>
      <c r="Y744" s="278"/>
      <c r="Z744" s="278"/>
      <c r="AA744" s="278"/>
      <c r="AB744" s="278"/>
      <c r="AC744" s="278"/>
      <c r="AD744" s="278"/>
      <c r="AE744" s="278"/>
      <c r="AF744" s="278"/>
      <c r="AG744" s="278"/>
      <c r="AH744" s="278"/>
      <c r="AI744" s="278"/>
      <c r="AJ744" s="278"/>
      <c r="AK744" s="278"/>
      <c r="AL744" s="278"/>
      <c r="AM744" s="278"/>
      <c r="AN744" s="278"/>
      <c r="AO744" s="278"/>
      <c r="AP744" s="278"/>
      <c r="AQ744" s="278"/>
      <c r="AR744" s="278"/>
      <c r="AS744" s="278"/>
      <c r="AT744" s="278"/>
      <c r="AU744" s="278"/>
      <c r="AV744" s="278"/>
      <c r="AW744" s="278"/>
      <c r="AX744" s="278"/>
      <c r="AY744" s="278"/>
      <c r="AZ744" s="278"/>
      <c r="BA744" s="278"/>
      <c r="BB744" s="278"/>
      <c r="BC744" s="278"/>
      <c r="BD744" s="278"/>
    </row>
    <row r="745" spans="1:56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196"/>
      <c r="S745" s="196"/>
      <c r="T745" s="196"/>
      <c r="U745" s="278"/>
      <c r="V745" s="278"/>
      <c r="W745" s="278"/>
      <c r="X745" s="278"/>
      <c r="Y745" s="278"/>
      <c r="Z745" s="278"/>
      <c r="AA745" s="278"/>
      <c r="AB745" s="278"/>
      <c r="AC745" s="278"/>
      <c r="AD745" s="278"/>
      <c r="AE745" s="278"/>
      <c r="AF745" s="278"/>
      <c r="AG745" s="278"/>
      <c r="AH745" s="278"/>
      <c r="AI745" s="278"/>
      <c r="AJ745" s="278"/>
      <c r="AK745" s="278"/>
      <c r="AL745" s="278"/>
      <c r="AM745" s="278"/>
      <c r="AN745" s="278"/>
      <c r="AO745" s="278"/>
      <c r="AP745" s="278"/>
      <c r="AQ745" s="278"/>
      <c r="AR745" s="278"/>
      <c r="AS745" s="278"/>
      <c r="AT745" s="278"/>
      <c r="AU745" s="278"/>
      <c r="AV745" s="278"/>
      <c r="AW745" s="278"/>
      <c r="AX745" s="278"/>
      <c r="AY745" s="278"/>
      <c r="AZ745" s="278"/>
      <c r="BA745" s="278"/>
      <c r="BB745" s="278"/>
      <c r="BC745" s="278"/>
      <c r="BD745" s="278"/>
    </row>
    <row r="746" spans="1:56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196"/>
      <c r="S746" s="196"/>
      <c r="T746" s="196"/>
      <c r="U746" s="278"/>
      <c r="V746" s="278"/>
      <c r="W746" s="278"/>
      <c r="X746" s="278"/>
      <c r="Y746" s="278"/>
      <c r="Z746" s="278"/>
      <c r="AA746" s="278"/>
      <c r="AB746" s="278"/>
      <c r="AC746" s="278"/>
      <c r="AD746" s="278"/>
      <c r="AE746" s="278"/>
      <c r="AF746" s="278"/>
      <c r="AG746" s="278"/>
      <c r="AH746" s="278"/>
      <c r="AI746" s="278"/>
      <c r="AJ746" s="278"/>
      <c r="AK746" s="278"/>
      <c r="AL746" s="278"/>
      <c r="AM746" s="278"/>
      <c r="AN746" s="278"/>
      <c r="AO746" s="278"/>
      <c r="AP746" s="278"/>
      <c r="AQ746" s="278"/>
      <c r="AR746" s="278"/>
      <c r="AS746" s="278"/>
      <c r="AT746" s="278"/>
      <c r="AU746" s="278"/>
      <c r="AV746" s="278"/>
      <c r="AW746" s="278"/>
      <c r="AX746" s="278"/>
      <c r="AY746" s="278"/>
      <c r="AZ746" s="278"/>
      <c r="BA746" s="278"/>
      <c r="BB746" s="278"/>
      <c r="BC746" s="278"/>
      <c r="BD746" s="278"/>
    </row>
    <row r="747" spans="1:56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196"/>
      <c r="S747" s="196"/>
      <c r="T747" s="196"/>
      <c r="U747" s="278"/>
      <c r="V747" s="278"/>
      <c r="W747" s="278"/>
      <c r="X747" s="278"/>
      <c r="Y747" s="278"/>
      <c r="Z747" s="278"/>
      <c r="AA747" s="278"/>
      <c r="AB747" s="278"/>
      <c r="AC747" s="278"/>
      <c r="AD747" s="278"/>
      <c r="AE747" s="278"/>
      <c r="AF747" s="278"/>
      <c r="AG747" s="278"/>
      <c r="AH747" s="278"/>
      <c r="AI747" s="278"/>
      <c r="AJ747" s="278"/>
      <c r="AK747" s="278"/>
      <c r="AL747" s="278"/>
      <c r="AM747" s="278"/>
      <c r="AN747" s="278"/>
      <c r="AO747" s="278"/>
      <c r="AP747" s="278"/>
      <c r="AQ747" s="278"/>
      <c r="AR747" s="278"/>
      <c r="AS747" s="278"/>
      <c r="AT747" s="278"/>
      <c r="AU747" s="278"/>
      <c r="AV747" s="278"/>
      <c r="AW747" s="278"/>
      <c r="AX747" s="278"/>
      <c r="AY747" s="278"/>
      <c r="AZ747" s="278"/>
      <c r="BA747" s="278"/>
      <c r="BB747" s="278"/>
      <c r="BC747" s="278"/>
      <c r="BD747" s="278"/>
    </row>
    <row r="748" spans="1:56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196"/>
      <c r="S748" s="196"/>
      <c r="T748" s="196"/>
      <c r="U748" s="278"/>
      <c r="V748" s="278"/>
      <c r="W748" s="278"/>
      <c r="X748" s="278"/>
      <c r="Y748" s="278"/>
      <c r="Z748" s="278"/>
      <c r="AA748" s="278"/>
      <c r="AB748" s="278"/>
      <c r="AC748" s="278"/>
      <c r="AD748" s="278"/>
      <c r="AE748" s="278"/>
      <c r="AF748" s="278"/>
      <c r="AG748" s="278"/>
      <c r="AH748" s="278"/>
      <c r="AI748" s="278"/>
      <c r="AJ748" s="278"/>
      <c r="AK748" s="278"/>
      <c r="AL748" s="278"/>
      <c r="AM748" s="278"/>
      <c r="AN748" s="278"/>
      <c r="AO748" s="278"/>
      <c r="AP748" s="278"/>
      <c r="AQ748" s="278"/>
      <c r="AR748" s="278"/>
      <c r="AS748" s="278"/>
      <c r="AT748" s="278"/>
      <c r="AU748" s="278"/>
      <c r="AV748" s="278"/>
      <c r="AW748" s="278"/>
      <c r="AX748" s="278"/>
      <c r="AY748" s="278"/>
      <c r="AZ748" s="278"/>
      <c r="BA748" s="278"/>
      <c r="BB748" s="278"/>
      <c r="BC748" s="278"/>
      <c r="BD748" s="278"/>
    </row>
    <row r="749" spans="1:56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196"/>
      <c r="S749" s="196"/>
      <c r="T749" s="196"/>
      <c r="U749" s="278"/>
      <c r="V749" s="278"/>
      <c r="W749" s="278"/>
      <c r="X749" s="278"/>
      <c r="Y749" s="278"/>
      <c r="Z749" s="278"/>
      <c r="AA749" s="278"/>
      <c r="AB749" s="278"/>
      <c r="AC749" s="278"/>
      <c r="AD749" s="278"/>
      <c r="AE749" s="278"/>
      <c r="AF749" s="278"/>
      <c r="AG749" s="278"/>
      <c r="AH749" s="278"/>
      <c r="AI749" s="278"/>
      <c r="AJ749" s="278"/>
      <c r="AK749" s="278"/>
      <c r="AL749" s="278"/>
      <c r="AM749" s="278"/>
      <c r="AN749" s="278"/>
      <c r="AO749" s="278"/>
      <c r="AP749" s="278"/>
      <c r="AQ749" s="278"/>
      <c r="AR749" s="278"/>
      <c r="AS749" s="278"/>
      <c r="AT749" s="278"/>
      <c r="AU749" s="278"/>
      <c r="AV749" s="278"/>
      <c r="AW749" s="278"/>
      <c r="AX749" s="278"/>
      <c r="AY749" s="278"/>
      <c r="AZ749" s="278"/>
      <c r="BA749" s="278"/>
      <c r="BB749" s="278"/>
      <c r="BC749" s="278"/>
      <c r="BD749" s="278"/>
    </row>
    <row r="750" spans="1:56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196"/>
      <c r="S750" s="196"/>
      <c r="T750" s="196"/>
      <c r="U750" s="278"/>
      <c r="V750" s="278"/>
      <c r="W750" s="278"/>
      <c r="X750" s="278"/>
      <c r="Y750" s="278"/>
      <c r="Z750" s="278"/>
      <c r="AA750" s="278"/>
      <c r="AB750" s="278"/>
      <c r="AC750" s="278"/>
      <c r="AD750" s="278"/>
      <c r="AE750" s="278"/>
      <c r="AF750" s="278"/>
      <c r="AG750" s="278"/>
      <c r="AH750" s="278"/>
      <c r="AI750" s="278"/>
      <c r="AJ750" s="278"/>
      <c r="AK750" s="278"/>
      <c r="AL750" s="278"/>
      <c r="AM750" s="278"/>
      <c r="AN750" s="278"/>
      <c r="AO750" s="278"/>
      <c r="AP750" s="278"/>
      <c r="AQ750" s="278"/>
      <c r="AR750" s="278"/>
      <c r="AS750" s="278"/>
      <c r="AT750" s="278"/>
      <c r="AU750" s="278"/>
      <c r="AV750" s="278"/>
      <c r="AW750" s="278"/>
      <c r="AX750" s="278"/>
      <c r="AY750" s="278"/>
      <c r="AZ750" s="278"/>
      <c r="BA750" s="278"/>
      <c r="BB750" s="278"/>
      <c r="BC750" s="278"/>
      <c r="BD750" s="278"/>
    </row>
    <row r="751" spans="1:56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196"/>
      <c r="S751" s="196"/>
      <c r="T751" s="196"/>
      <c r="U751" s="278"/>
      <c r="V751" s="278"/>
      <c r="W751" s="278"/>
      <c r="X751" s="278"/>
      <c r="Y751" s="278"/>
      <c r="Z751" s="278"/>
      <c r="AA751" s="278"/>
      <c r="AB751" s="278"/>
      <c r="AC751" s="278"/>
      <c r="AD751" s="278"/>
      <c r="AE751" s="278"/>
      <c r="AF751" s="278"/>
      <c r="AG751" s="278"/>
      <c r="AH751" s="278"/>
      <c r="AI751" s="278"/>
      <c r="AJ751" s="278"/>
      <c r="AK751" s="278"/>
      <c r="AL751" s="278"/>
      <c r="AM751" s="278"/>
      <c r="AN751" s="278"/>
      <c r="AO751" s="278"/>
      <c r="AP751" s="278"/>
      <c r="AQ751" s="278"/>
      <c r="AR751" s="278"/>
      <c r="AS751" s="278"/>
      <c r="AT751" s="278"/>
      <c r="AU751" s="278"/>
      <c r="AV751" s="278"/>
      <c r="AW751" s="278"/>
      <c r="AX751" s="278"/>
      <c r="AY751" s="278"/>
      <c r="AZ751" s="278"/>
      <c r="BA751" s="278"/>
      <c r="BB751" s="278"/>
      <c r="BC751" s="278"/>
      <c r="BD751" s="278"/>
    </row>
    <row r="752" spans="1:56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196"/>
      <c r="S752" s="196"/>
      <c r="T752" s="196"/>
      <c r="U752" s="278"/>
      <c r="V752" s="278"/>
      <c r="W752" s="278"/>
      <c r="X752" s="278"/>
      <c r="Y752" s="278"/>
      <c r="Z752" s="278"/>
      <c r="AA752" s="278"/>
      <c r="AB752" s="278"/>
      <c r="AC752" s="278"/>
      <c r="AD752" s="278"/>
      <c r="AE752" s="278"/>
      <c r="AF752" s="278"/>
      <c r="AG752" s="278"/>
      <c r="AH752" s="278"/>
      <c r="AI752" s="278"/>
      <c r="AJ752" s="278"/>
      <c r="AK752" s="278"/>
      <c r="AL752" s="278"/>
      <c r="AM752" s="278"/>
      <c r="AN752" s="278"/>
      <c r="AO752" s="278"/>
      <c r="AP752" s="278"/>
      <c r="AQ752" s="278"/>
      <c r="AR752" s="278"/>
      <c r="AS752" s="278"/>
      <c r="AT752" s="278"/>
      <c r="AU752" s="278"/>
      <c r="AV752" s="278"/>
      <c r="AW752" s="278"/>
      <c r="AX752" s="278"/>
      <c r="AY752" s="278"/>
      <c r="AZ752" s="278"/>
      <c r="BA752" s="278"/>
      <c r="BB752" s="278"/>
      <c r="BC752" s="278"/>
      <c r="BD752" s="278"/>
    </row>
    <row r="753" spans="1:56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196"/>
      <c r="S753" s="196"/>
      <c r="T753" s="196"/>
      <c r="U753" s="278"/>
      <c r="V753" s="278"/>
      <c r="W753" s="278"/>
      <c r="X753" s="278"/>
      <c r="Y753" s="278"/>
      <c r="Z753" s="278"/>
      <c r="AA753" s="278"/>
      <c r="AB753" s="278"/>
      <c r="AC753" s="278"/>
      <c r="AD753" s="278"/>
      <c r="AE753" s="278"/>
      <c r="AF753" s="278"/>
      <c r="AG753" s="278"/>
      <c r="AH753" s="278"/>
      <c r="AI753" s="278"/>
      <c r="AJ753" s="278"/>
      <c r="AK753" s="278"/>
      <c r="AL753" s="278"/>
      <c r="AM753" s="278"/>
      <c r="AN753" s="278"/>
      <c r="AO753" s="278"/>
      <c r="AP753" s="278"/>
      <c r="AQ753" s="278"/>
      <c r="AR753" s="278"/>
      <c r="AS753" s="278"/>
      <c r="AT753" s="278"/>
      <c r="AU753" s="278"/>
      <c r="AV753" s="278"/>
      <c r="AW753" s="278"/>
      <c r="AX753" s="278"/>
      <c r="AY753" s="278"/>
      <c r="AZ753" s="278"/>
      <c r="BA753" s="278"/>
      <c r="BB753" s="278"/>
      <c r="BC753" s="278"/>
      <c r="BD753" s="278"/>
    </row>
    <row r="754" spans="1:56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196"/>
      <c r="S754" s="196"/>
      <c r="T754" s="196"/>
      <c r="U754" s="278"/>
      <c r="V754" s="278"/>
      <c r="W754" s="278"/>
      <c r="X754" s="278"/>
      <c r="Y754" s="278"/>
      <c r="Z754" s="278"/>
      <c r="AA754" s="278"/>
      <c r="AB754" s="278"/>
      <c r="AC754" s="278"/>
      <c r="AD754" s="278"/>
      <c r="AE754" s="278"/>
      <c r="AF754" s="278"/>
      <c r="AG754" s="278"/>
      <c r="AH754" s="278"/>
      <c r="AI754" s="278"/>
      <c r="AJ754" s="278"/>
      <c r="AK754" s="278"/>
      <c r="AL754" s="278"/>
      <c r="AM754" s="278"/>
      <c r="AN754" s="278"/>
      <c r="AO754" s="278"/>
      <c r="AP754" s="278"/>
      <c r="AQ754" s="278"/>
      <c r="AR754" s="278"/>
      <c r="AS754" s="278"/>
      <c r="AT754" s="278"/>
      <c r="AU754" s="278"/>
      <c r="AV754" s="278"/>
      <c r="AW754" s="278"/>
      <c r="AX754" s="278"/>
      <c r="AY754" s="278"/>
      <c r="AZ754" s="278"/>
      <c r="BA754" s="278"/>
      <c r="BB754" s="278"/>
      <c r="BC754" s="278"/>
      <c r="BD754" s="278"/>
    </row>
    <row r="755" spans="1:56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196"/>
      <c r="S755" s="196"/>
      <c r="T755" s="196"/>
      <c r="U755" s="278"/>
      <c r="V755" s="278"/>
      <c r="W755" s="278"/>
      <c r="X755" s="278"/>
      <c r="Y755" s="278"/>
      <c r="Z755" s="278"/>
      <c r="AA755" s="278"/>
      <c r="AB755" s="278"/>
      <c r="AC755" s="278"/>
      <c r="AD755" s="278"/>
      <c r="AE755" s="278"/>
      <c r="AF755" s="278"/>
      <c r="AG755" s="278"/>
      <c r="AH755" s="278"/>
      <c r="AI755" s="278"/>
      <c r="AJ755" s="278"/>
      <c r="AK755" s="278"/>
      <c r="AL755" s="278"/>
      <c r="AM755" s="278"/>
      <c r="AN755" s="278"/>
      <c r="AO755" s="278"/>
      <c r="AP755" s="278"/>
      <c r="AQ755" s="278"/>
      <c r="AR755" s="278"/>
      <c r="AS755" s="278"/>
      <c r="AT755" s="278"/>
      <c r="AU755" s="278"/>
      <c r="AV755" s="278"/>
      <c r="AW755" s="278"/>
      <c r="AX755" s="278"/>
      <c r="AY755" s="278"/>
      <c r="AZ755" s="278"/>
      <c r="BA755" s="278"/>
      <c r="BB755" s="278"/>
      <c r="BC755" s="278"/>
      <c r="BD755" s="278"/>
    </row>
    <row r="756" spans="1:56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196"/>
      <c r="S756" s="196"/>
      <c r="T756" s="196"/>
      <c r="U756" s="278"/>
      <c r="V756" s="278"/>
      <c r="W756" s="278"/>
      <c r="X756" s="278"/>
      <c r="Y756" s="278"/>
      <c r="Z756" s="278"/>
      <c r="AA756" s="278"/>
      <c r="AB756" s="278"/>
      <c r="AC756" s="278"/>
      <c r="AD756" s="278"/>
      <c r="AE756" s="278"/>
      <c r="AF756" s="278"/>
      <c r="AG756" s="278"/>
      <c r="AH756" s="278"/>
      <c r="AI756" s="278"/>
      <c r="AJ756" s="278"/>
      <c r="AK756" s="278"/>
      <c r="AL756" s="278"/>
      <c r="AM756" s="278"/>
      <c r="AN756" s="278"/>
      <c r="AO756" s="278"/>
      <c r="AP756" s="278"/>
      <c r="AQ756" s="278"/>
      <c r="AR756" s="278"/>
      <c r="AS756" s="278"/>
      <c r="AT756" s="278"/>
      <c r="AU756" s="278"/>
      <c r="AV756" s="278"/>
      <c r="AW756" s="278"/>
      <c r="AX756" s="278"/>
      <c r="AY756" s="278"/>
      <c r="AZ756" s="278"/>
      <c r="BA756" s="278"/>
      <c r="BB756" s="278"/>
      <c r="BC756" s="278"/>
      <c r="BD756" s="278"/>
    </row>
    <row r="757" spans="1:56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196"/>
      <c r="S757" s="196"/>
      <c r="T757" s="196"/>
      <c r="U757" s="278"/>
      <c r="V757" s="278"/>
      <c r="W757" s="278"/>
      <c r="X757" s="278"/>
      <c r="Y757" s="278"/>
      <c r="Z757" s="278"/>
      <c r="AA757" s="278"/>
      <c r="AB757" s="278"/>
      <c r="AC757" s="278"/>
      <c r="AD757" s="278"/>
      <c r="AE757" s="278"/>
      <c r="AF757" s="278"/>
      <c r="AG757" s="278"/>
      <c r="AH757" s="278"/>
      <c r="AI757" s="278"/>
      <c r="AJ757" s="278"/>
      <c r="AK757" s="278"/>
      <c r="AL757" s="278"/>
      <c r="AM757" s="278"/>
      <c r="AN757" s="278"/>
      <c r="AO757" s="278"/>
      <c r="AP757" s="278"/>
      <c r="AQ757" s="278"/>
      <c r="AR757" s="278"/>
      <c r="AS757" s="278"/>
      <c r="AT757" s="278"/>
      <c r="AU757" s="278"/>
      <c r="AV757" s="278"/>
      <c r="AW757" s="278"/>
      <c r="AX757" s="278"/>
      <c r="AY757" s="278"/>
      <c r="AZ757" s="278"/>
      <c r="BA757" s="278"/>
      <c r="BB757" s="278"/>
      <c r="BC757" s="278"/>
      <c r="BD757" s="278"/>
    </row>
    <row r="758" spans="1:56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196"/>
      <c r="S758" s="196"/>
      <c r="T758" s="196"/>
      <c r="U758" s="278"/>
      <c r="V758" s="278"/>
      <c r="W758" s="278"/>
      <c r="X758" s="278"/>
      <c r="Y758" s="278"/>
      <c r="Z758" s="278"/>
      <c r="AA758" s="278"/>
      <c r="AB758" s="278"/>
      <c r="AC758" s="278"/>
      <c r="AD758" s="278"/>
      <c r="AE758" s="278"/>
      <c r="AF758" s="278"/>
      <c r="AG758" s="278"/>
      <c r="AH758" s="278"/>
      <c r="AI758" s="278"/>
      <c r="AJ758" s="278"/>
      <c r="AK758" s="278"/>
      <c r="AL758" s="278"/>
      <c r="AM758" s="278"/>
      <c r="AN758" s="278"/>
      <c r="AO758" s="278"/>
      <c r="AP758" s="278"/>
      <c r="AQ758" s="278"/>
      <c r="AR758" s="278"/>
      <c r="AS758" s="278"/>
      <c r="AT758" s="278"/>
      <c r="AU758" s="278"/>
      <c r="AV758" s="278"/>
      <c r="AW758" s="278"/>
      <c r="AX758" s="278"/>
      <c r="AY758" s="278"/>
      <c r="AZ758" s="278"/>
      <c r="BA758" s="278"/>
      <c r="BB758" s="278"/>
      <c r="BC758" s="278"/>
      <c r="BD758" s="278"/>
    </row>
    <row r="759" spans="1:56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196"/>
      <c r="S759" s="196"/>
      <c r="T759" s="196"/>
      <c r="U759" s="278"/>
      <c r="V759" s="278"/>
      <c r="W759" s="278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  <c r="AJ759" s="278"/>
      <c r="AK759" s="278"/>
      <c r="AL759" s="278"/>
      <c r="AM759" s="278"/>
      <c r="AN759" s="278"/>
      <c r="AO759" s="278"/>
      <c r="AP759" s="278"/>
      <c r="AQ759" s="278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</row>
    <row r="760" spans="1:56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196"/>
      <c r="S760" s="196"/>
      <c r="T760" s="196"/>
      <c r="U760" s="278"/>
      <c r="V760" s="278"/>
      <c r="W760" s="278"/>
      <c r="X760" s="278"/>
      <c r="Y760" s="278"/>
      <c r="Z760" s="278"/>
      <c r="AA760" s="278"/>
      <c r="AB760" s="278"/>
      <c r="AC760" s="278"/>
      <c r="AD760" s="278"/>
      <c r="AE760" s="278"/>
      <c r="AF760" s="278"/>
      <c r="AG760" s="278"/>
      <c r="AH760" s="278"/>
      <c r="AI760" s="278"/>
      <c r="AJ760" s="278"/>
      <c r="AK760" s="278"/>
      <c r="AL760" s="278"/>
      <c r="AM760" s="278"/>
      <c r="AN760" s="278"/>
      <c r="AO760" s="278"/>
      <c r="AP760" s="278"/>
      <c r="AQ760" s="278"/>
      <c r="AR760" s="278"/>
      <c r="AS760" s="278"/>
      <c r="AT760" s="278"/>
      <c r="AU760" s="278"/>
      <c r="AV760" s="278"/>
      <c r="AW760" s="278"/>
      <c r="AX760" s="278"/>
      <c r="AY760" s="278"/>
      <c r="AZ760" s="278"/>
      <c r="BA760" s="278"/>
      <c r="BB760" s="278"/>
      <c r="BC760" s="278"/>
      <c r="BD760" s="278"/>
    </row>
    <row r="761" spans="1:56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196"/>
      <c r="S761" s="196"/>
      <c r="T761" s="196"/>
      <c r="U761" s="278"/>
      <c r="V761" s="278"/>
      <c r="W761" s="278"/>
      <c r="X761" s="278"/>
      <c r="Y761" s="278"/>
      <c r="Z761" s="278"/>
      <c r="AA761" s="278"/>
      <c r="AB761" s="278"/>
      <c r="AC761" s="278"/>
      <c r="AD761" s="278"/>
      <c r="AE761" s="278"/>
      <c r="AF761" s="278"/>
      <c r="AG761" s="278"/>
      <c r="AH761" s="278"/>
      <c r="AI761" s="278"/>
      <c r="AJ761" s="278"/>
      <c r="AK761" s="278"/>
      <c r="AL761" s="278"/>
      <c r="AM761" s="278"/>
      <c r="AN761" s="278"/>
      <c r="AO761" s="278"/>
      <c r="AP761" s="278"/>
      <c r="AQ761" s="278"/>
      <c r="AR761" s="278"/>
      <c r="AS761" s="278"/>
      <c r="AT761" s="278"/>
      <c r="AU761" s="278"/>
      <c r="AV761" s="278"/>
      <c r="AW761" s="278"/>
      <c r="AX761" s="278"/>
      <c r="AY761" s="278"/>
      <c r="AZ761" s="278"/>
      <c r="BA761" s="278"/>
      <c r="BB761" s="278"/>
      <c r="BC761" s="278"/>
      <c r="BD761" s="278"/>
    </row>
    <row r="762" spans="1:56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196"/>
      <c r="S762" s="196"/>
      <c r="T762" s="196"/>
      <c r="U762" s="278"/>
      <c r="V762" s="278"/>
      <c r="W762" s="278"/>
      <c r="X762" s="278"/>
      <c r="Y762" s="278"/>
      <c r="Z762" s="278"/>
      <c r="AA762" s="278"/>
      <c r="AB762" s="278"/>
      <c r="AC762" s="278"/>
      <c r="AD762" s="278"/>
      <c r="AE762" s="278"/>
      <c r="AF762" s="278"/>
      <c r="AG762" s="278"/>
      <c r="AH762" s="278"/>
      <c r="AI762" s="278"/>
      <c r="AJ762" s="278"/>
      <c r="AK762" s="278"/>
      <c r="AL762" s="278"/>
      <c r="AM762" s="278"/>
      <c r="AN762" s="278"/>
      <c r="AO762" s="278"/>
      <c r="AP762" s="278"/>
      <c r="AQ762" s="278"/>
      <c r="AR762" s="278"/>
      <c r="AS762" s="278"/>
      <c r="AT762" s="278"/>
      <c r="AU762" s="278"/>
      <c r="AV762" s="278"/>
      <c r="AW762" s="278"/>
      <c r="AX762" s="278"/>
      <c r="AY762" s="278"/>
      <c r="AZ762" s="278"/>
      <c r="BA762" s="278"/>
      <c r="BB762" s="278"/>
      <c r="BC762" s="278"/>
      <c r="BD762" s="278"/>
    </row>
    <row r="763" spans="1:56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196"/>
      <c r="S763" s="196"/>
      <c r="T763" s="196"/>
      <c r="U763" s="278"/>
      <c r="V763" s="278"/>
      <c r="W763" s="278"/>
      <c r="X763" s="278"/>
      <c r="Y763" s="278"/>
      <c r="Z763" s="278"/>
      <c r="AA763" s="278"/>
      <c r="AB763" s="278"/>
      <c r="AC763" s="278"/>
      <c r="AD763" s="278"/>
      <c r="AE763" s="278"/>
      <c r="AF763" s="278"/>
      <c r="AG763" s="278"/>
      <c r="AH763" s="278"/>
      <c r="AI763" s="278"/>
      <c r="AJ763" s="278"/>
      <c r="AK763" s="278"/>
      <c r="AL763" s="278"/>
      <c r="AM763" s="278"/>
      <c r="AN763" s="278"/>
      <c r="AO763" s="278"/>
      <c r="AP763" s="278"/>
      <c r="AQ763" s="278"/>
      <c r="AR763" s="278"/>
      <c r="AS763" s="278"/>
      <c r="AT763" s="278"/>
      <c r="AU763" s="278"/>
      <c r="AV763" s="278"/>
      <c r="AW763" s="278"/>
      <c r="AX763" s="278"/>
      <c r="AY763" s="278"/>
      <c r="AZ763" s="278"/>
      <c r="BA763" s="278"/>
      <c r="BB763" s="278"/>
      <c r="BC763" s="278"/>
      <c r="BD763" s="278"/>
    </row>
    <row r="764" spans="1:56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196"/>
      <c r="S764" s="196"/>
      <c r="T764" s="196"/>
      <c r="U764" s="278"/>
      <c r="V764" s="278"/>
      <c r="W764" s="278"/>
      <c r="X764" s="278"/>
      <c r="Y764" s="278"/>
      <c r="Z764" s="278"/>
      <c r="AA764" s="278"/>
      <c r="AB764" s="278"/>
      <c r="AC764" s="278"/>
      <c r="AD764" s="278"/>
      <c r="AE764" s="278"/>
      <c r="AF764" s="278"/>
      <c r="AG764" s="278"/>
      <c r="AH764" s="278"/>
      <c r="AI764" s="278"/>
      <c r="AJ764" s="278"/>
      <c r="AK764" s="278"/>
      <c r="AL764" s="278"/>
      <c r="AM764" s="278"/>
      <c r="AN764" s="278"/>
      <c r="AO764" s="278"/>
      <c r="AP764" s="278"/>
      <c r="AQ764" s="278"/>
      <c r="AR764" s="278"/>
      <c r="AS764" s="278"/>
      <c r="AT764" s="278"/>
      <c r="AU764" s="278"/>
      <c r="AV764" s="278"/>
      <c r="AW764" s="278"/>
      <c r="AX764" s="278"/>
      <c r="AY764" s="278"/>
      <c r="AZ764" s="278"/>
      <c r="BA764" s="278"/>
      <c r="BB764" s="278"/>
      <c r="BC764" s="278"/>
      <c r="BD764" s="278"/>
    </row>
    <row r="765" spans="1:56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196"/>
      <c r="S765" s="196"/>
      <c r="T765" s="196"/>
      <c r="U765" s="278"/>
      <c r="V765" s="278"/>
      <c r="W765" s="278"/>
      <c r="X765" s="278"/>
      <c r="Y765" s="278"/>
      <c r="Z765" s="278"/>
      <c r="AA765" s="278"/>
      <c r="AB765" s="278"/>
      <c r="AC765" s="278"/>
      <c r="AD765" s="278"/>
      <c r="AE765" s="278"/>
      <c r="AF765" s="278"/>
      <c r="AG765" s="278"/>
      <c r="AH765" s="278"/>
      <c r="AI765" s="278"/>
      <c r="AJ765" s="278"/>
      <c r="AK765" s="278"/>
      <c r="AL765" s="278"/>
      <c r="AM765" s="278"/>
      <c r="AN765" s="278"/>
      <c r="AO765" s="278"/>
      <c r="AP765" s="278"/>
      <c r="AQ765" s="278"/>
      <c r="AR765" s="278"/>
      <c r="AS765" s="278"/>
      <c r="AT765" s="278"/>
      <c r="AU765" s="278"/>
      <c r="AV765" s="278"/>
      <c r="AW765" s="278"/>
      <c r="AX765" s="278"/>
      <c r="AY765" s="278"/>
      <c r="AZ765" s="278"/>
      <c r="BA765" s="278"/>
      <c r="BB765" s="278"/>
      <c r="BC765" s="278"/>
      <c r="BD765" s="278"/>
    </row>
    <row r="766" spans="1:56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196"/>
      <c r="S766" s="196"/>
      <c r="T766" s="196"/>
      <c r="U766" s="278"/>
      <c r="V766" s="278"/>
      <c r="W766" s="278"/>
      <c r="X766" s="278"/>
      <c r="Y766" s="278"/>
      <c r="Z766" s="278"/>
      <c r="AA766" s="278"/>
      <c r="AB766" s="278"/>
      <c r="AC766" s="278"/>
      <c r="AD766" s="278"/>
      <c r="AE766" s="278"/>
      <c r="AF766" s="278"/>
      <c r="AG766" s="278"/>
      <c r="AH766" s="278"/>
      <c r="AI766" s="278"/>
      <c r="AJ766" s="278"/>
      <c r="AK766" s="278"/>
      <c r="AL766" s="278"/>
      <c r="AM766" s="278"/>
      <c r="AN766" s="278"/>
      <c r="AO766" s="278"/>
      <c r="AP766" s="278"/>
      <c r="AQ766" s="278"/>
      <c r="AR766" s="278"/>
      <c r="AS766" s="278"/>
      <c r="AT766" s="278"/>
      <c r="AU766" s="278"/>
      <c r="AV766" s="278"/>
      <c r="AW766" s="278"/>
      <c r="AX766" s="278"/>
      <c r="AY766" s="278"/>
      <c r="AZ766" s="278"/>
      <c r="BA766" s="278"/>
      <c r="BB766" s="278"/>
      <c r="BC766" s="278"/>
      <c r="BD766" s="278"/>
    </row>
    <row r="767" spans="1:56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196"/>
      <c r="S767" s="196"/>
      <c r="T767" s="196"/>
      <c r="U767" s="278"/>
      <c r="V767" s="278"/>
      <c r="W767" s="278"/>
      <c r="X767" s="278"/>
      <c r="Y767" s="278"/>
      <c r="Z767" s="278"/>
      <c r="AA767" s="278"/>
      <c r="AB767" s="278"/>
      <c r="AC767" s="278"/>
      <c r="AD767" s="278"/>
      <c r="AE767" s="278"/>
      <c r="AF767" s="278"/>
      <c r="AG767" s="278"/>
      <c r="AH767" s="278"/>
      <c r="AI767" s="278"/>
      <c r="AJ767" s="278"/>
      <c r="AK767" s="278"/>
      <c r="AL767" s="278"/>
      <c r="AM767" s="278"/>
      <c r="AN767" s="278"/>
      <c r="AO767" s="278"/>
      <c r="AP767" s="278"/>
      <c r="AQ767" s="278"/>
      <c r="AR767" s="278"/>
      <c r="AS767" s="278"/>
      <c r="AT767" s="278"/>
      <c r="AU767" s="278"/>
      <c r="AV767" s="278"/>
      <c r="AW767" s="278"/>
      <c r="AX767" s="278"/>
      <c r="AY767" s="278"/>
      <c r="AZ767" s="278"/>
      <c r="BA767" s="278"/>
      <c r="BB767" s="278"/>
      <c r="BC767" s="278"/>
      <c r="BD767" s="278"/>
    </row>
    <row r="768" spans="1:56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196"/>
      <c r="S768" s="196"/>
      <c r="T768" s="196"/>
      <c r="U768" s="278"/>
      <c r="V768" s="278"/>
      <c r="W768" s="278"/>
      <c r="X768" s="278"/>
      <c r="Y768" s="278"/>
      <c r="Z768" s="278"/>
      <c r="AA768" s="278"/>
      <c r="AB768" s="278"/>
      <c r="AC768" s="278"/>
      <c r="AD768" s="278"/>
      <c r="AE768" s="278"/>
      <c r="AF768" s="278"/>
      <c r="AG768" s="278"/>
      <c r="AH768" s="278"/>
      <c r="AI768" s="278"/>
      <c r="AJ768" s="278"/>
      <c r="AK768" s="278"/>
      <c r="AL768" s="278"/>
      <c r="AM768" s="278"/>
      <c r="AN768" s="278"/>
      <c r="AO768" s="278"/>
      <c r="AP768" s="278"/>
      <c r="AQ768" s="278"/>
      <c r="AR768" s="278"/>
      <c r="AS768" s="278"/>
      <c r="AT768" s="278"/>
      <c r="AU768" s="278"/>
      <c r="AV768" s="278"/>
      <c r="AW768" s="278"/>
      <c r="AX768" s="278"/>
      <c r="AY768" s="278"/>
      <c r="AZ768" s="278"/>
      <c r="BA768" s="278"/>
      <c r="BB768" s="278"/>
      <c r="BC768" s="278"/>
      <c r="BD768" s="278"/>
    </row>
    <row r="769" spans="1:56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196"/>
      <c r="S769" s="196"/>
      <c r="T769" s="196"/>
      <c r="U769" s="278"/>
      <c r="V769" s="278"/>
      <c r="W769" s="278"/>
      <c r="X769" s="278"/>
      <c r="Y769" s="278"/>
      <c r="Z769" s="278"/>
      <c r="AA769" s="278"/>
      <c r="AB769" s="278"/>
      <c r="AC769" s="278"/>
      <c r="AD769" s="278"/>
      <c r="AE769" s="278"/>
      <c r="AF769" s="278"/>
      <c r="AG769" s="278"/>
      <c r="AH769" s="278"/>
      <c r="AI769" s="278"/>
      <c r="AJ769" s="278"/>
      <c r="AK769" s="278"/>
      <c r="AL769" s="278"/>
      <c r="AM769" s="278"/>
      <c r="AN769" s="278"/>
      <c r="AO769" s="278"/>
      <c r="AP769" s="278"/>
      <c r="AQ769" s="278"/>
      <c r="AR769" s="278"/>
      <c r="AS769" s="278"/>
      <c r="AT769" s="278"/>
      <c r="AU769" s="278"/>
      <c r="AV769" s="278"/>
      <c r="AW769" s="278"/>
      <c r="AX769" s="278"/>
      <c r="AY769" s="278"/>
      <c r="AZ769" s="278"/>
      <c r="BA769" s="278"/>
      <c r="BB769" s="278"/>
      <c r="BC769" s="278"/>
      <c r="BD769" s="278"/>
    </row>
    <row r="770" spans="1:56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196"/>
      <c r="S770" s="196"/>
      <c r="T770" s="196"/>
      <c r="U770" s="278"/>
      <c r="V770" s="278"/>
      <c r="W770" s="278"/>
      <c r="X770" s="278"/>
      <c r="Y770" s="278"/>
      <c r="Z770" s="278"/>
      <c r="AA770" s="278"/>
      <c r="AB770" s="278"/>
      <c r="AC770" s="278"/>
      <c r="AD770" s="278"/>
      <c r="AE770" s="278"/>
      <c r="AF770" s="278"/>
      <c r="AG770" s="278"/>
      <c r="AH770" s="278"/>
      <c r="AI770" s="278"/>
      <c r="AJ770" s="278"/>
      <c r="AK770" s="278"/>
      <c r="AL770" s="278"/>
      <c r="AM770" s="278"/>
      <c r="AN770" s="278"/>
      <c r="AO770" s="278"/>
      <c r="AP770" s="278"/>
      <c r="AQ770" s="278"/>
      <c r="AR770" s="278"/>
      <c r="AS770" s="278"/>
      <c r="AT770" s="278"/>
      <c r="AU770" s="278"/>
      <c r="AV770" s="278"/>
      <c r="AW770" s="278"/>
      <c r="AX770" s="278"/>
      <c r="AY770" s="278"/>
      <c r="AZ770" s="278"/>
      <c r="BA770" s="278"/>
      <c r="BB770" s="278"/>
      <c r="BC770" s="278"/>
      <c r="BD770" s="278"/>
    </row>
    <row r="771" spans="1:56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196"/>
      <c r="S771" s="196"/>
      <c r="T771" s="196"/>
      <c r="U771" s="278"/>
      <c r="V771" s="278"/>
      <c r="W771" s="278"/>
      <c r="X771" s="278"/>
      <c r="Y771" s="278"/>
      <c r="Z771" s="278"/>
      <c r="AA771" s="278"/>
      <c r="AB771" s="278"/>
      <c r="AC771" s="278"/>
      <c r="AD771" s="278"/>
      <c r="AE771" s="278"/>
      <c r="AF771" s="278"/>
      <c r="AG771" s="278"/>
      <c r="AH771" s="278"/>
      <c r="AI771" s="278"/>
      <c r="AJ771" s="278"/>
      <c r="AK771" s="278"/>
      <c r="AL771" s="278"/>
      <c r="AM771" s="278"/>
      <c r="AN771" s="278"/>
      <c r="AO771" s="278"/>
      <c r="AP771" s="278"/>
      <c r="AQ771" s="278"/>
      <c r="AR771" s="278"/>
      <c r="AS771" s="278"/>
      <c r="AT771" s="278"/>
      <c r="AU771" s="278"/>
      <c r="AV771" s="278"/>
      <c r="AW771" s="278"/>
      <c r="AX771" s="278"/>
      <c r="AY771" s="278"/>
      <c r="AZ771" s="278"/>
      <c r="BA771" s="278"/>
      <c r="BB771" s="278"/>
      <c r="BC771" s="278"/>
      <c r="BD771" s="278"/>
    </row>
    <row r="772" spans="1:56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196"/>
      <c r="S772" s="196"/>
      <c r="T772" s="196"/>
      <c r="U772" s="278"/>
      <c r="V772" s="278"/>
      <c r="W772" s="278"/>
      <c r="X772" s="278"/>
      <c r="Y772" s="278"/>
      <c r="Z772" s="278"/>
      <c r="AA772" s="278"/>
      <c r="AB772" s="278"/>
      <c r="AC772" s="278"/>
      <c r="AD772" s="278"/>
      <c r="AE772" s="278"/>
      <c r="AF772" s="278"/>
      <c r="AG772" s="278"/>
      <c r="AH772" s="278"/>
      <c r="AI772" s="278"/>
      <c r="AJ772" s="278"/>
      <c r="AK772" s="278"/>
      <c r="AL772" s="278"/>
      <c r="AM772" s="278"/>
      <c r="AN772" s="278"/>
      <c r="AO772" s="278"/>
      <c r="AP772" s="278"/>
      <c r="AQ772" s="278"/>
      <c r="AR772" s="278"/>
      <c r="AS772" s="278"/>
      <c r="AT772" s="278"/>
      <c r="AU772" s="278"/>
      <c r="AV772" s="278"/>
      <c r="AW772" s="278"/>
      <c r="AX772" s="278"/>
      <c r="AY772" s="278"/>
      <c r="AZ772" s="278"/>
      <c r="BA772" s="278"/>
      <c r="BB772" s="278"/>
      <c r="BC772" s="278"/>
      <c r="BD772" s="278"/>
    </row>
    <row r="773" spans="1:56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196"/>
      <c r="S773" s="196"/>
      <c r="T773" s="196"/>
      <c r="U773" s="278"/>
      <c r="V773" s="278"/>
      <c r="W773" s="278"/>
      <c r="X773" s="278"/>
      <c r="Y773" s="278"/>
      <c r="Z773" s="278"/>
      <c r="AA773" s="278"/>
      <c r="AB773" s="278"/>
      <c r="AC773" s="278"/>
      <c r="AD773" s="278"/>
      <c r="AE773" s="278"/>
      <c r="AF773" s="278"/>
      <c r="AG773" s="278"/>
      <c r="AH773" s="278"/>
      <c r="AI773" s="278"/>
      <c r="AJ773" s="278"/>
      <c r="AK773" s="278"/>
      <c r="AL773" s="278"/>
      <c r="AM773" s="278"/>
      <c r="AN773" s="278"/>
      <c r="AO773" s="278"/>
      <c r="AP773" s="278"/>
      <c r="AQ773" s="278"/>
      <c r="AR773" s="278"/>
      <c r="AS773" s="278"/>
      <c r="AT773" s="278"/>
      <c r="AU773" s="278"/>
      <c r="AV773" s="278"/>
      <c r="AW773" s="278"/>
      <c r="AX773" s="278"/>
      <c r="AY773" s="278"/>
      <c r="AZ773" s="278"/>
      <c r="BA773" s="278"/>
      <c r="BB773" s="278"/>
      <c r="BC773" s="278"/>
      <c r="BD773" s="278"/>
    </row>
    <row r="774" spans="1:56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196"/>
      <c r="S774" s="196"/>
      <c r="T774" s="196"/>
      <c r="U774" s="278"/>
      <c r="V774" s="278"/>
      <c r="W774" s="278"/>
      <c r="X774" s="278"/>
      <c r="Y774" s="278"/>
      <c r="Z774" s="278"/>
      <c r="AA774" s="278"/>
      <c r="AB774" s="278"/>
      <c r="AC774" s="278"/>
      <c r="AD774" s="278"/>
      <c r="AE774" s="278"/>
      <c r="AF774" s="278"/>
      <c r="AG774" s="278"/>
      <c r="AH774" s="278"/>
      <c r="AI774" s="278"/>
      <c r="AJ774" s="278"/>
      <c r="AK774" s="278"/>
      <c r="AL774" s="278"/>
      <c r="AM774" s="278"/>
      <c r="AN774" s="278"/>
      <c r="AO774" s="278"/>
      <c r="AP774" s="278"/>
      <c r="AQ774" s="278"/>
      <c r="AR774" s="278"/>
      <c r="AS774" s="278"/>
      <c r="AT774" s="278"/>
      <c r="AU774" s="278"/>
      <c r="AV774" s="278"/>
      <c r="AW774" s="278"/>
      <c r="AX774" s="278"/>
      <c r="AY774" s="278"/>
      <c r="AZ774" s="278"/>
      <c r="BA774" s="278"/>
      <c r="BB774" s="278"/>
      <c r="BC774" s="278"/>
      <c r="BD774" s="278"/>
    </row>
    <row r="775" spans="1:56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196"/>
      <c r="S775" s="196"/>
      <c r="T775" s="196"/>
      <c r="U775" s="278"/>
      <c r="V775" s="278"/>
      <c r="W775" s="278"/>
      <c r="X775" s="278"/>
      <c r="Y775" s="278"/>
      <c r="Z775" s="278"/>
      <c r="AA775" s="278"/>
      <c r="AB775" s="278"/>
      <c r="AC775" s="278"/>
      <c r="AD775" s="278"/>
      <c r="AE775" s="278"/>
      <c r="AF775" s="278"/>
      <c r="AG775" s="278"/>
      <c r="AH775" s="278"/>
      <c r="AI775" s="278"/>
      <c r="AJ775" s="278"/>
      <c r="AK775" s="278"/>
      <c r="AL775" s="278"/>
      <c r="AM775" s="278"/>
      <c r="AN775" s="278"/>
      <c r="AO775" s="278"/>
      <c r="AP775" s="278"/>
      <c r="AQ775" s="278"/>
      <c r="AR775" s="278"/>
      <c r="AS775" s="278"/>
      <c r="AT775" s="278"/>
      <c r="AU775" s="278"/>
      <c r="AV775" s="278"/>
      <c r="AW775" s="278"/>
      <c r="AX775" s="278"/>
      <c r="AY775" s="278"/>
      <c r="AZ775" s="278"/>
      <c r="BA775" s="278"/>
      <c r="BB775" s="278"/>
      <c r="BC775" s="278"/>
      <c r="BD775" s="278"/>
    </row>
    <row r="776" spans="1:56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196"/>
      <c r="S776" s="196"/>
      <c r="T776" s="196"/>
      <c r="U776" s="278"/>
      <c r="V776" s="278"/>
      <c r="W776" s="278"/>
      <c r="X776" s="278"/>
      <c r="Y776" s="278"/>
      <c r="Z776" s="278"/>
      <c r="AA776" s="278"/>
      <c r="AB776" s="278"/>
      <c r="AC776" s="278"/>
      <c r="AD776" s="278"/>
      <c r="AE776" s="278"/>
      <c r="AF776" s="278"/>
      <c r="AG776" s="278"/>
      <c r="AH776" s="278"/>
      <c r="AI776" s="278"/>
      <c r="AJ776" s="278"/>
      <c r="AK776" s="278"/>
      <c r="AL776" s="278"/>
      <c r="AM776" s="278"/>
      <c r="AN776" s="278"/>
      <c r="AO776" s="278"/>
      <c r="AP776" s="278"/>
      <c r="AQ776" s="278"/>
      <c r="AR776" s="278"/>
      <c r="AS776" s="278"/>
      <c r="AT776" s="278"/>
      <c r="AU776" s="278"/>
      <c r="AV776" s="278"/>
      <c r="AW776" s="278"/>
      <c r="AX776" s="278"/>
      <c r="AY776" s="278"/>
      <c r="AZ776" s="278"/>
      <c r="BA776" s="278"/>
      <c r="BB776" s="278"/>
      <c r="BC776" s="278"/>
      <c r="BD776" s="278"/>
    </row>
    <row r="777" spans="1:56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196"/>
      <c r="S777" s="196"/>
      <c r="T777" s="196"/>
      <c r="U777" s="278"/>
      <c r="V777" s="278"/>
      <c r="W777" s="278"/>
      <c r="X777" s="278"/>
      <c r="Y777" s="278"/>
      <c r="Z777" s="278"/>
      <c r="AA777" s="278"/>
      <c r="AB777" s="278"/>
      <c r="AC777" s="278"/>
      <c r="AD777" s="278"/>
      <c r="AE777" s="278"/>
      <c r="AF777" s="278"/>
      <c r="AG777" s="278"/>
      <c r="AH777" s="278"/>
      <c r="AI777" s="278"/>
      <c r="AJ777" s="278"/>
      <c r="AK777" s="278"/>
      <c r="AL777" s="278"/>
      <c r="AM777" s="278"/>
      <c r="AN777" s="278"/>
      <c r="AO777" s="278"/>
      <c r="AP777" s="278"/>
      <c r="AQ777" s="278"/>
      <c r="AR777" s="278"/>
      <c r="AS777" s="278"/>
      <c r="AT777" s="278"/>
      <c r="AU777" s="278"/>
      <c r="AV777" s="278"/>
      <c r="AW777" s="278"/>
      <c r="AX777" s="278"/>
      <c r="AY777" s="278"/>
      <c r="AZ777" s="278"/>
      <c r="BA777" s="278"/>
      <c r="BB777" s="278"/>
      <c r="BC777" s="278"/>
      <c r="BD777" s="278"/>
    </row>
    <row r="778" spans="1:56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196"/>
      <c r="S778" s="196"/>
      <c r="T778" s="196"/>
      <c r="U778" s="278"/>
      <c r="V778" s="278"/>
      <c r="W778" s="278"/>
      <c r="X778" s="278"/>
      <c r="Y778" s="278"/>
      <c r="Z778" s="278"/>
      <c r="AA778" s="278"/>
      <c r="AB778" s="278"/>
      <c r="AC778" s="278"/>
      <c r="AD778" s="278"/>
      <c r="AE778" s="278"/>
      <c r="AF778" s="278"/>
      <c r="AG778" s="278"/>
      <c r="AH778" s="278"/>
      <c r="AI778" s="278"/>
      <c r="AJ778" s="278"/>
      <c r="AK778" s="278"/>
      <c r="AL778" s="278"/>
      <c r="AM778" s="278"/>
      <c r="AN778" s="278"/>
      <c r="AO778" s="278"/>
      <c r="AP778" s="278"/>
      <c r="AQ778" s="278"/>
      <c r="AR778" s="278"/>
      <c r="AS778" s="278"/>
      <c r="AT778" s="278"/>
      <c r="AU778" s="278"/>
      <c r="AV778" s="278"/>
      <c r="AW778" s="278"/>
      <c r="AX778" s="278"/>
      <c r="AY778" s="278"/>
      <c r="AZ778" s="278"/>
      <c r="BA778" s="278"/>
      <c r="BB778" s="278"/>
      <c r="BC778" s="278"/>
      <c r="BD778" s="278"/>
    </row>
    <row r="779" spans="1:56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196"/>
      <c r="S779" s="196"/>
      <c r="T779" s="196"/>
      <c r="U779" s="278"/>
      <c r="V779" s="278"/>
      <c r="W779" s="278"/>
      <c r="X779" s="278"/>
      <c r="Y779" s="278"/>
      <c r="Z779" s="278"/>
      <c r="AA779" s="278"/>
      <c r="AB779" s="278"/>
      <c r="AC779" s="278"/>
      <c r="AD779" s="278"/>
      <c r="AE779" s="278"/>
      <c r="AF779" s="278"/>
      <c r="AG779" s="278"/>
      <c r="AH779" s="278"/>
      <c r="AI779" s="278"/>
      <c r="AJ779" s="278"/>
      <c r="AK779" s="278"/>
      <c r="AL779" s="278"/>
      <c r="AM779" s="278"/>
      <c r="AN779" s="278"/>
      <c r="AO779" s="278"/>
      <c r="AP779" s="278"/>
      <c r="AQ779" s="278"/>
      <c r="AR779" s="278"/>
      <c r="AS779" s="278"/>
      <c r="AT779" s="278"/>
      <c r="AU779" s="278"/>
      <c r="AV779" s="278"/>
      <c r="AW779" s="278"/>
      <c r="AX779" s="278"/>
      <c r="AY779" s="278"/>
      <c r="AZ779" s="278"/>
      <c r="BA779" s="278"/>
      <c r="BB779" s="278"/>
      <c r="BC779" s="278"/>
      <c r="BD779" s="278"/>
    </row>
    <row r="780" spans="1:56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196"/>
      <c r="S780" s="196"/>
      <c r="T780" s="196"/>
      <c r="U780" s="278"/>
      <c r="V780" s="278"/>
      <c r="W780" s="278"/>
      <c r="X780" s="278"/>
      <c r="Y780" s="278"/>
      <c r="Z780" s="278"/>
      <c r="AA780" s="278"/>
      <c r="AB780" s="278"/>
      <c r="AC780" s="278"/>
      <c r="AD780" s="278"/>
      <c r="AE780" s="278"/>
      <c r="AF780" s="278"/>
      <c r="AG780" s="278"/>
      <c r="AH780" s="278"/>
      <c r="AI780" s="278"/>
      <c r="AJ780" s="278"/>
      <c r="AK780" s="278"/>
      <c r="AL780" s="278"/>
      <c r="AM780" s="278"/>
      <c r="AN780" s="278"/>
      <c r="AO780" s="278"/>
      <c r="AP780" s="278"/>
      <c r="AQ780" s="278"/>
      <c r="AR780" s="278"/>
      <c r="AS780" s="278"/>
      <c r="AT780" s="278"/>
      <c r="AU780" s="278"/>
      <c r="AV780" s="278"/>
      <c r="AW780" s="278"/>
      <c r="AX780" s="278"/>
      <c r="AY780" s="278"/>
      <c r="AZ780" s="278"/>
      <c r="BA780" s="278"/>
      <c r="BB780" s="278"/>
      <c r="BC780" s="278"/>
      <c r="BD780" s="278"/>
    </row>
    <row r="781" spans="1:56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196"/>
      <c r="S781" s="196"/>
      <c r="T781" s="196"/>
      <c r="U781" s="278"/>
      <c r="V781" s="278"/>
      <c r="W781" s="278"/>
      <c r="X781" s="278"/>
      <c r="Y781" s="278"/>
      <c r="Z781" s="278"/>
      <c r="AA781" s="278"/>
      <c r="AB781" s="278"/>
      <c r="AC781" s="278"/>
      <c r="AD781" s="278"/>
      <c r="AE781" s="278"/>
      <c r="AF781" s="278"/>
      <c r="AG781" s="278"/>
      <c r="AH781" s="278"/>
      <c r="AI781" s="278"/>
      <c r="AJ781" s="278"/>
      <c r="AK781" s="278"/>
      <c r="AL781" s="278"/>
      <c r="AM781" s="278"/>
      <c r="AN781" s="278"/>
      <c r="AO781" s="278"/>
      <c r="AP781" s="278"/>
      <c r="AQ781" s="278"/>
      <c r="AR781" s="278"/>
      <c r="AS781" s="278"/>
      <c r="AT781" s="278"/>
      <c r="AU781" s="278"/>
      <c r="AV781" s="278"/>
      <c r="AW781" s="278"/>
      <c r="AX781" s="278"/>
      <c r="AY781" s="278"/>
      <c r="AZ781" s="278"/>
      <c r="BA781" s="278"/>
      <c r="BB781" s="278"/>
      <c r="BC781" s="278"/>
      <c r="BD781" s="278"/>
    </row>
    <row r="782" spans="1:56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196"/>
      <c r="S782" s="196"/>
      <c r="T782" s="196"/>
      <c r="U782" s="278"/>
      <c r="V782" s="278"/>
      <c r="W782" s="278"/>
      <c r="X782" s="278"/>
      <c r="Y782" s="278"/>
      <c r="Z782" s="278"/>
      <c r="AA782" s="278"/>
      <c r="AB782" s="278"/>
      <c r="AC782" s="278"/>
      <c r="AD782" s="278"/>
      <c r="AE782" s="278"/>
      <c r="AF782" s="278"/>
      <c r="AG782" s="278"/>
      <c r="AH782" s="278"/>
      <c r="AI782" s="278"/>
      <c r="AJ782" s="278"/>
      <c r="AK782" s="278"/>
      <c r="AL782" s="278"/>
      <c r="AM782" s="278"/>
      <c r="AN782" s="278"/>
      <c r="AO782" s="278"/>
      <c r="AP782" s="278"/>
      <c r="AQ782" s="278"/>
      <c r="AR782" s="278"/>
      <c r="AS782" s="278"/>
      <c r="AT782" s="278"/>
      <c r="AU782" s="278"/>
      <c r="AV782" s="278"/>
      <c r="AW782" s="278"/>
      <c r="AX782" s="278"/>
      <c r="AY782" s="278"/>
      <c r="AZ782" s="278"/>
      <c r="BA782" s="278"/>
      <c r="BB782" s="278"/>
      <c r="BC782" s="278"/>
      <c r="BD782" s="278"/>
    </row>
    <row r="783" spans="1:56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196"/>
      <c r="S783" s="196"/>
      <c r="T783" s="196"/>
      <c r="U783" s="278"/>
      <c r="V783" s="278"/>
      <c r="W783" s="278"/>
      <c r="X783" s="278"/>
      <c r="Y783" s="278"/>
      <c r="Z783" s="278"/>
      <c r="AA783" s="278"/>
      <c r="AB783" s="278"/>
      <c r="AC783" s="278"/>
      <c r="AD783" s="278"/>
      <c r="AE783" s="278"/>
      <c r="AF783" s="278"/>
      <c r="AG783" s="278"/>
      <c r="AH783" s="278"/>
      <c r="AI783" s="278"/>
      <c r="AJ783" s="278"/>
      <c r="AK783" s="278"/>
      <c r="AL783" s="278"/>
      <c r="AM783" s="278"/>
      <c r="AN783" s="278"/>
      <c r="AO783" s="278"/>
      <c r="AP783" s="278"/>
      <c r="AQ783" s="278"/>
      <c r="AR783" s="278"/>
      <c r="AS783" s="278"/>
      <c r="AT783" s="278"/>
      <c r="AU783" s="278"/>
      <c r="AV783" s="278"/>
      <c r="AW783" s="278"/>
      <c r="AX783" s="278"/>
      <c r="AY783" s="278"/>
      <c r="AZ783" s="278"/>
      <c r="BA783" s="278"/>
      <c r="BB783" s="278"/>
      <c r="BC783" s="278"/>
      <c r="BD783" s="278"/>
    </row>
    <row r="784" spans="1:56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196"/>
      <c r="S784" s="196"/>
      <c r="T784" s="196"/>
      <c r="U784" s="278"/>
      <c r="V784" s="278"/>
      <c r="W784" s="278"/>
      <c r="X784" s="278"/>
      <c r="Y784" s="278"/>
      <c r="Z784" s="278"/>
      <c r="AA784" s="278"/>
      <c r="AB784" s="278"/>
      <c r="AC784" s="278"/>
      <c r="AD784" s="278"/>
      <c r="AE784" s="278"/>
      <c r="AF784" s="278"/>
      <c r="AG784" s="278"/>
      <c r="AH784" s="278"/>
      <c r="AI784" s="278"/>
      <c r="AJ784" s="278"/>
      <c r="AK784" s="278"/>
      <c r="AL784" s="278"/>
      <c r="AM784" s="278"/>
      <c r="AN784" s="278"/>
      <c r="AO784" s="278"/>
      <c r="AP784" s="278"/>
      <c r="AQ784" s="278"/>
      <c r="AR784" s="278"/>
      <c r="AS784" s="278"/>
      <c r="AT784" s="278"/>
      <c r="AU784" s="278"/>
      <c r="AV784" s="278"/>
      <c r="AW784" s="278"/>
      <c r="AX784" s="278"/>
      <c r="AY784" s="278"/>
      <c r="AZ784" s="278"/>
      <c r="BA784" s="278"/>
      <c r="BB784" s="278"/>
      <c r="BC784" s="278"/>
      <c r="BD784" s="278"/>
    </row>
    <row r="785" spans="1:56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196"/>
      <c r="S785" s="196"/>
      <c r="T785" s="196"/>
      <c r="U785" s="278"/>
      <c r="V785" s="278"/>
      <c r="W785" s="278"/>
      <c r="X785" s="278"/>
      <c r="Y785" s="278"/>
      <c r="Z785" s="278"/>
      <c r="AA785" s="278"/>
      <c r="AB785" s="278"/>
      <c r="AC785" s="278"/>
      <c r="AD785" s="278"/>
      <c r="AE785" s="278"/>
      <c r="AF785" s="278"/>
      <c r="AG785" s="278"/>
      <c r="AH785" s="278"/>
      <c r="AI785" s="278"/>
      <c r="AJ785" s="278"/>
      <c r="AK785" s="278"/>
      <c r="AL785" s="278"/>
      <c r="AM785" s="278"/>
      <c r="AN785" s="278"/>
      <c r="AO785" s="278"/>
      <c r="AP785" s="278"/>
      <c r="AQ785" s="278"/>
      <c r="AR785" s="278"/>
      <c r="AS785" s="278"/>
      <c r="AT785" s="278"/>
      <c r="AU785" s="278"/>
      <c r="AV785" s="278"/>
      <c r="AW785" s="278"/>
      <c r="AX785" s="278"/>
      <c r="AY785" s="278"/>
      <c r="AZ785" s="278"/>
      <c r="BA785" s="278"/>
      <c r="BB785" s="278"/>
      <c r="BC785" s="278"/>
      <c r="BD785" s="278"/>
    </row>
    <row r="786" spans="1:56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196"/>
      <c r="S786" s="196"/>
      <c r="T786" s="196"/>
      <c r="U786" s="278"/>
      <c r="V786" s="278"/>
      <c r="W786" s="278"/>
      <c r="X786" s="278"/>
      <c r="Y786" s="278"/>
      <c r="Z786" s="278"/>
      <c r="AA786" s="278"/>
      <c r="AB786" s="278"/>
      <c r="AC786" s="278"/>
      <c r="AD786" s="278"/>
      <c r="AE786" s="278"/>
      <c r="AF786" s="278"/>
      <c r="AG786" s="278"/>
      <c r="AH786" s="278"/>
      <c r="AI786" s="278"/>
      <c r="AJ786" s="278"/>
      <c r="AK786" s="278"/>
      <c r="AL786" s="278"/>
      <c r="AM786" s="278"/>
      <c r="AN786" s="278"/>
      <c r="AO786" s="278"/>
      <c r="AP786" s="278"/>
      <c r="AQ786" s="278"/>
      <c r="AR786" s="278"/>
      <c r="AS786" s="278"/>
      <c r="AT786" s="278"/>
      <c r="AU786" s="278"/>
      <c r="AV786" s="278"/>
      <c r="AW786" s="278"/>
      <c r="AX786" s="278"/>
      <c r="AY786" s="278"/>
      <c r="AZ786" s="278"/>
      <c r="BA786" s="278"/>
      <c r="BB786" s="278"/>
      <c r="BC786" s="278"/>
      <c r="BD786" s="278"/>
    </row>
    <row r="787" spans="1:56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196"/>
      <c r="S787" s="196"/>
      <c r="T787" s="196"/>
      <c r="U787" s="278"/>
      <c r="V787" s="278"/>
      <c r="W787" s="278"/>
      <c r="X787" s="278"/>
      <c r="Y787" s="278"/>
      <c r="Z787" s="278"/>
      <c r="AA787" s="278"/>
      <c r="AB787" s="278"/>
      <c r="AC787" s="278"/>
      <c r="AD787" s="278"/>
      <c r="AE787" s="278"/>
      <c r="AF787" s="278"/>
      <c r="AG787" s="278"/>
      <c r="AH787" s="278"/>
      <c r="AI787" s="278"/>
      <c r="AJ787" s="278"/>
      <c r="AK787" s="278"/>
      <c r="AL787" s="278"/>
      <c r="AM787" s="278"/>
      <c r="AN787" s="278"/>
      <c r="AO787" s="278"/>
      <c r="AP787" s="278"/>
      <c r="AQ787" s="278"/>
      <c r="AR787" s="278"/>
      <c r="AS787" s="278"/>
      <c r="AT787" s="278"/>
      <c r="AU787" s="278"/>
      <c r="AV787" s="278"/>
      <c r="AW787" s="278"/>
      <c r="AX787" s="278"/>
      <c r="AY787" s="278"/>
      <c r="AZ787" s="278"/>
      <c r="BA787" s="278"/>
      <c r="BB787" s="278"/>
      <c r="BC787" s="278"/>
      <c r="BD787" s="278"/>
    </row>
    <row r="788" spans="1:56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196"/>
      <c r="S788" s="196"/>
      <c r="T788" s="196"/>
      <c r="U788" s="278"/>
      <c r="V788" s="278"/>
      <c r="W788" s="278"/>
      <c r="X788" s="278"/>
      <c r="Y788" s="278"/>
      <c r="Z788" s="278"/>
      <c r="AA788" s="278"/>
      <c r="AB788" s="278"/>
      <c r="AC788" s="278"/>
      <c r="AD788" s="278"/>
      <c r="AE788" s="278"/>
      <c r="AF788" s="278"/>
      <c r="AG788" s="278"/>
      <c r="AH788" s="278"/>
      <c r="AI788" s="278"/>
      <c r="AJ788" s="278"/>
      <c r="AK788" s="278"/>
      <c r="AL788" s="278"/>
      <c r="AM788" s="278"/>
      <c r="AN788" s="278"/>
      <c r="AO788" s="278"/>
      <c r="AP788" s="278"/>
      <c r="AQ788" s="278"/>
      <c r="AR788" s="278"/>
      <c r="AS788" s="278"/>
      <c r="AT788" s="278"/>
      <c r="AU788" s="278"/>
      <c r="AV788" s="278"/>
      <c r="AW788" s="278"/>
      <c r="AX788" s="278"/>
      <c r="AY788" s="278"/>
      <c r="AZ788" s="278"/>
      <c r="BA788" s="278"/>
      <c r="BB788" s="278"/>
      <c r="BC788" s="278"/>
      <c r="BD788" s="278"/>
    </row>
    <row r="789" spans="1:56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196"/>
      <c r="S789" s="196"/>
      <c r="T789" s="196"/>
      <c r="U789" s="278"/>
      <c r="V789" s="278"/>
      <c r="W789" s="278"/>
      <c r="X789" s="278"/>
      <c r="Y789" s="278"/>
      <c r="Z789" s="278"/>
      <c r="AA789" s="278"/>
      <c r="AB789" s="278"/>
      <c r="AC789" s="278"/>
      <c r="AD789" s="278"/>
      <c r="AE789" s="278"/>
      <c r="AF789" s="278"/>
      <c r="AG789" s="278"/>
      <c r="AH789" s="278"/>
      <c r="AI789" s="278"/>
      <c r="AJ789" s="278"/>
      <c r="AK789" s="278"/>
      <c r="AL789" s="278"/>
      <c r="AM789" s="278"/>
      <c r="AN789" s="278"/>
      <c r="AO789" s="278"/>
      <c r="AP789" s="278"/>
      <c r="AQ789" s="278"/>
      <c r="AR789" s="278"/>
      <c r="AS789" s="278"/>
      <c r="AT789" s="278"/>
      <c r="AU789" s="278"/>
      <c r="AV789" s="278"/>
      <c r="AW789" s="278"/>
      <c r="AX789" s="278"/>
      <c r="AY789" s="278"/>
      <c r="AZ789" s="278"/>
      <c r="BA789" s="278"/>
      <c r="BB789" s="278"/>
      <c r="BC789" s="278"/>
      <c r="BD789" s="278"/>
    </row>
    <row r="790" spans="1:56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196"/>
      <c r="S790" s="196"/>
      <c r="T790" s="196"/>
      <c r="U790" s="278"/>
      <c r="V790" s="278"/>
      <c r="W790" s="278"/>
      <c r="X790" s="278"/>
      <c r="Y790" s="278"/>
      <c r="Z790" s="278"/>
      <c r="AA790" s="278"/>
      <c r="AB790" s="278"/>
      <c r="AC790" s="278"/>
      <c r="AD790" s="278"/>
      <c r="AE790" s="278"/>
      <c r="AF790" s="278"/>
      <c r="AG790" s="278"/>
      <c r="AH790" s="278"/>
      <c r="AI790" s="278"/>
      <c r="AJ790" s="278"/>
      <c r="AK790" s="278"/>
      <c r="AL790" s="278"/>
      <c r="AM790" s="278"/>
      <c r="AN790" s="278"/>
      <c r="AO790" s="278"/>
      <c r="AP790" s="278"/>
      <c r="AQ790" s="278"/>
      <c r="AR790" s="278"/>
      <c r="AS790" s="278"/>
      <c r="AT790" s="278"/>
      <c r="AU790" s="278"/>
      <c r="AV790" s="278"/>
      <c r="AW790" s="278"/>
      <c r="AX790" s="278"/>
      <c r="AY790" s="278"/>
      <c r="AZ790" s="278"/>
      <c r="BA790" s="278"/>
      <c r="BB790" s="278"/>
      <c r="BC790" s="278"/>
      <c r="BD790" s="278"/>
    </row>
    <row r="791" spans="1:56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196"/>
      <c r="S791" s="196"/>
      <c r="T791" s="196"/>
      <c r="U791" s="278"/>
      <c r="V791" s="278"/>
      <c r="W791" s="278"/>
      <c r="X791" s="278"/>
      <c r="Y791" s="278"/>
      <c r="Z791" s="278"/>
      <c r="AA791" s="278"/>
      <c r="AB791" s="278"/>
      <c r="AC791" s="278"/>
      <c r="AD791" s="278"/>
      <c r="AE791" s="278"/>
      <c r="AF791" s="278"/>
      <c r="AG791" s="278"/>
      <c r="AH791" s="278"/>
      <c r="AI791" s="278"/>
      <c r="AJ791" s="278"/>
      <c r="AK791" s="278"/>
      <c r="AL791" s="278"/>
      <c r="AM791" s="278"/>
      <c r="AN791" s="278"/>
      <c r="AO791" s="278"/>
      <c r="AP791" s="278"/>
      <c r="AQ791" s="278"/>
      <c r="AR791" s="278"/>
      <c r="AS791" s="278"/>
      <c r="AT791" s="278"/>
      <c r="AU791" s="278"/>
      <c r="AV791" s="278"/>
      <c r="AW791" s="278"/>
      <c r="AX791" s="278"/>
      <c r="AY791" s="278"/>
      <c r="AZ791" s="278"/>
      <c r="BA791" s="278"/>
      <c r="BB791" s="278"/>
      <c r="BC791" s="278"/>
      <c r="BD791" s="278"/>
    </row>
    <row r="792" spans="1:56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196"/>
      <c r="S792" s="196"/>
      <c r="T792" s="196"/>
      <c r="U792" s="278"/>
      <c r="V792" s="278"/>
      <c r="W792" s="278"/>
      <c r="X792" s="278"/>
      <c r="Y792" s="278"/>
      <c r="Z792" s="278"/>
      <c r="AA792" s="278"/>
      <c r="AB792" s="278"/>
      <c r="AC792" s="278"/>
      <c r="AD792" s="278"/>
      <c r="AE792" s="278"/>
      <c r="AF792" s="278"/>
      <c r="AG792" s="278"/>
      <c r="AH792" s="278"/>
      <c r="AI792" s="278"/>
      <c r="AJ792" s="278"/>
      <c r="AK792" s="278"/>
      <c r="AL792" s="278"/>
      <c r="AM792" s="278"/>
      <c r="AN792" s="278"/>
      <c r="AO792" s="278"/>
      <c r="AP792" s="278"/>
      <c r="AQ792" s="278"/>
      <c r="AR792" s="278"/>
      <c r="AS792" s="278"/>
      <c r="AT792" s="278"/>
      <c r="AU792" s="278"/>
      <c r="AV792" s="278"/>
      <c r="AW792" s="278"/>
      <c r="AX792" s="278"/>
      <c r="AY792" s="278"/>
      <c r="AZ792" s="278"/>
      <c r="BA792" s="278"/>
      <c r="BB792" s="278"/>
      <c r="BC792" s="278"/>
      <c r="BD792" s="278"/>
    </row>
    <row r="793" spans="1:56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196"/>
      <c r="S793" s="196"/>
      <c r="T793" s="196"/>
      <c r="U793" s="278"/>
      <c r="V793" s="278"/>
      <c r="W793" s="278"/>
      <c r="X793" s="278"/>
      <c r="Y793" s="278"/>
      <c r="Z793" s="278"/>
      <c r="AA793" s="278"/>
      <c r="AB793" s="278"/>
      <c r="AC793" s="278"/>
      <c r="AD793" s="278"/>
      <c r="AE793" s="278"/>
      <c r="AF793" s="278"/>
      <c r="AG793" s="278"/>
      <c r="AH793" s="278"/>
      <c r="AI793" s="278"/>
      <c r="AJ793" s="278"/>
      <c r="AK793" s="278"/>
      <c r="AL793" s="278"/>
      <c r="AM793" s="278"/>
      <c r="AN793" s="278"/>
      <c r="AO793" s="278"/>
      <c r="AP793" s="278"/>
      <c r="AQ793" s="278"/>
      <c r="AR793" s="278"/>
      <c r="AS793" s="278"/>
      <c r="AT793" s="278"/>
      <c r="AU793" s="278"/>
      <c r="AV793" s="278"/>
      <c r="AW793" s="278"/>
      <c r="AX793" s="278"/>
      <c r="AY793" s="278"/>
      <c r="AZ793" s="278"/>
      <c r="BA793" s="278"/>
      <c r="BB793" s="278"/>
      <c r="BC793" s="278"/>
      <c r="BD793" s="278"/>
    </row>
    <row r="794" spans="1:56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196"/>
      <c r="S794" s="196"/>
      <c r="T794" s="196"/>
      <c r="U794" s="278"/>
      <c r="V794" s="278"/>
      <c r="W794" s="278"/>
      <c r="X794" s="278"/>
      <c r="Y794" s="278"/>
      <c r="Z794" s="278"/>
      <c r="AA794" s="278"/>
      <c r="AB794" s="278"/>
      <c r="AC794" s="278"/>
      <c r="AD794" s="278"/>
      <c r="AE794" s="278"/>
      <c r="AF794" s="278"/>
      <c r="AG794" s="278"/>
      <c r="AH794" s="278"/>
      <c r="AI794" s="278"/>
      <c r="AJ794" s="278"/>
      <c r="AK794" s="278"/>
      <c r="AL794" s="278"/>
      <c r="AM794" s="278"/>
      <c r="AN794" s="278"/>
      <c r="AO794" s="278"/>
      <c r="AP794" s="278"/>
      <c r="AQ794" s="278"/>
      <c r="AR794" s="278"/>
      <c r="AS794" s="278"/>
      <c r="AT794" s="278"/>
      <c r="AU794" s="278"/>
      <c r="AV794" s="278"/>
      <c r="AW794" s="278"/>
      <c r="AX794" s="278"/>
      <c r="AY794" s="278"/>
      <c r="AZ794" s="278"/>
      <c r="BA794" s="278"/>
      <c r="BB794" s="278"/>
      <c r="BC794" s="278"/>
      <c r="BD794" s="278"/>
    </row>
    <row r="795" spans="1:56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196"/>
      <c r="S795" s="196"/>
      <c r="T795" s="196"/>
      <c r="U795" s="278"/>
      <c r="V795" s="278"/>
      <c r="W795" s="278"/>
      <c r="X795" s="278"/>
      <c r="Y795" s="278"/>
      <c r="Z795" s="278"/>
      <c r="AA795" s="278"/>
      <c r="AB795" s="278"/>
      <c r="AC795" s="278"/>
      <c r="AD795" s="278"/>
      <c r="AE795" s="278"/>
      <c r="AF795" s="278"/>
      <c r="AG795" s="278"/>
      <c r="AH795" s="278"/>
      <c r="AI795" s="278"/>
      <c r="AJ795" s="278"/>
      <c r="AK795" s="278"/>
      <c r="AL795" s="278"/>
      <c r="AM795" s="278"/>
      <c r="AN795" s="278"/>
      <c r="AO795" s="278"/>
      <c r="AP795" s="278"/>
      <c r="AQ795" s="278"/>
      <c r="AR795" s="278"/>
      <c r="AS795" s="278"/>
      <c r="AT795" s="278"/>
      <c r="AU795" s="278"/>
      <c r="AV795" s="278"/>
      <c r="AW795" s="278"/>
      <c r="AX795" s="278"/>
      <c r="AY795" s="278"/>
      <c r="AZ795" s="278"/>
      <c r="BA795" s="278"/>
      <c r="BB795" s="278"/>
      <c r="BC795" s="278"/>
      <c r="BD795" s="278"/>
    </row>
    <row r="796" spans="1:56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196"/>
      <c r="S796" s="196"/>
      <c r="T796" s="196"/>
      <c r="U796" s="278"/>
      <c r="V796" s="278"/>
      <c r="W796" s="278"/>
      <c r="X796" s="278"/>
      <c r="Y796" s="278"/>
      <c r="Z796" s="278"/>
      <c r="AA796" s="278"/>
      <c r="AB796" s="278"/>
      <c r="AC796" s="278"/>
      <c r="AD796" s="278"/>
      <c r="AE796" s="278"/>
      <c r="AF796" s="278"/>
      <c r="AG796" s="278"/>
      <c r="AH796" s="278"/>
      <c r="AI796" s="278"/>
      <c r="AJ796" s="278"/>
      <c r="AK796" s="278"/>
      <c r="AL796" s="278"/>
      <c r="AM796" s="278"/>
      <c r="AN796" s="278"/>
      <c r="AO796" s="278"/>
      <c r="AP796" s="278"/>
      <c r="AQ796" s="278"/>
      <c r="AR796" s="278"/>
      <c r="AS796" s="278"/>
      <c r="AT796" s="278"/>
      <c r="AU796" s="278"/>
      <c r="AV796" s="278"/>
      <c r="AW796" s="278"/>
      <c r="AX796" s="278"/>
      <c r="AY796" s="278"/>
      <c r="AZ796" s="278"/>
      <c r="BA796" s="278"/>
      <c r="BB796" s="278"/>
      <c r="BC796" s="278"/>
      <c r="BD796" s="278"/>
    </row>
    <row r="797" spans="1:56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196"/>
      <c r="S797" s="196"/>
      <c r="T797" s="196"/>
      <c r="U797" s="278"/>
      <c r="V797" s="278"/>
      <c r="W797" s="278"/>
      <c r="X797" s="278"/>
      <c r="Y797" s="278"/>
      <c r="Z797" s="278"/>
      <c r="AA797" s="278"/>
      <c r="AB797" s="278"/>
      <c r="AC797" s="278"/>
      <c r="AD797" s="278"/>
      <c r="AE797" s="278"/>
      <c r="AF797" s="278"/>
      <c r="AG797" s="278"/>
      <c r="AH797" s="278"/>
      <c r="AI797" s="278"/>
      <c r="AJ797" s="278"/>
      <c r="AK797" s="278"/>
      <c r="AL797" s="278"/>
      <c r="AM797" s="278"/>
      <c r="AN797" s="278"/>
      <c r="AO797" s="278"/>
      <c r="AP797" s="278"/>
      <c r="AQ797" s="278"/>
      <c r="AR797" s="278"/>
      <c r="AS797" s="278"/>
      <c r="AT797" s="278"/>
      <c r="AU797" s="278"/>
      <c r="AV797" s="278"/>
      <c r="AW797" s="278"/>
      <c r="AX797" s="278"/>
      <c r="AY797" s="278"/>
      <c r="AZ797" s="278"/>
      <c r="BA797" s="278"/>
      <c r="BB797" s="278"/>
      <c r="BC797" s="278"/>
      <c r="BD797" s="278"/>
    </row>
    <row r="798" spans="1:56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196"/>
      <c r="S798" s="196"/>
      <c r="T798" s="196"/>
      <c r="U798" s="278"/>
      <c r="V798" s="278"/>
      <c r="W798" s="278"/>
      <c r="X798" s="278"/>
      <c r="Y798" s="278"/>
      <c r="Z798" s="278"/>
      <c r="AA798" s="278"/>
      <c r="AB798" s="278"/>
      <c r="AC798" s="278"/>
      <c r="AD798" s="278"/>
      <c r="AE798" s="278"/>
      <c r="AF798" s="278"/>
      <c r="AG798" s="278"/>
      <c r="AH798" s="278"/>
      <c r="AI798" s="278"/>
      <c r="AJ798" s="278"/>
      <c r="AK798" s="278"/>
      <c r="AL798" s="278"/>
      <c r="AM798" s="278"/>
      <c r="AN798" s="278"/>
      <c r="AO798" s="278"/>
      <c r="AP798" s="278"/>
      <c r="AQ798" s="278"/>
      <c r="AR798" s="278"/>
      <c r="AS798" s="278"/>
      <c r="AT798" s="278"/>
      <c r="AU798" s="278"/>
      <c r="AV798" s="278"/>
      <c r="AW798" s="278"/>
      <c r="AX798" s="278"/>
      <c r="AY798" s="278"/>
      <c r="AZ798" s="278"/>
      <c r="BA798" s="278"/>
      <c r="BB798" s="278"/>
      <c r="BC798" s="278"/>
      <c r="BD798" s="278"/>
    </row>
    <row r="799" spans="1:56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196"/>
      <c r="S799" s="196"/>
      <c r="T799" s="196"/>
      <c r="U799" s="278"/>
      <c r="V799" s="278"/>
      <c r="W799" s="278"/>
      <c r="X799" s="278"/>
      <c r="Y799" s="278"/>
      <c r="Z799" s="278"/>
      <c r="AA799" s="278"/>
      <c r="AB799" s="278"/>
      <c r="AC799" s="278"/>
      <c r="AD799" s="278"/>
      <c r="AE799" s="278"/>
      <c r="AF799" s="278"/>
      <c r="AG799" s="278"/>
      <c r="AH799" s="278"/>
      <c r="AI799" s="278"/>
      <c r="AJ799" s="278"/>
      <c r="AK799" s="278"/>
      <c r="AL799" s="278"/>
      <c r="AM799" s="278"/>
      <c r="AN799" s="278"/>
      <c r="AO799" s="278"/>
      <c r="AP799" s="278"/>
      <c r="AQ799" s="278"/>
      <c r="AR799" s="278"/>
      <c r="AS799" s="278"/>
      <c r="AT799" s="278"/>
      <c r="AU799" s="278"/>
      <c r="AV799" s="278"/>
      <c r="AW799" s="278"/>
      <c r="AX799" s="278"/>
      <c r="AY799" s="278"/>
      <c r="AZ799" s="278"/>
      <c r="BA799" s="278"/>
      <c r="BB799" s="278"/>
      <c r="BC799" s="278"/>
      <c r="BD799" s="278"/>
    </row>
    <row r="800" spans="1:56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196"/>
      <c r="S800" s="196"/>
      <c r="T800" s="196"/>
      <c r="U800" s="278"/>
      <c r="V800" s="278"/>
      <c r="W800" s="278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  <c r="AJ800" s="278"/>
      <c r="AK800" s="278"/>
      <c r="AL800" s="278"/>
      <c r="AM800" s="278"/>
      <c r="AN800" s="278"/>
      <c r="AO800" s="278"/>
      <c r="AP800" s="278"/>
      <c r="AQ800" s="278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</row>
    <row r="801" spans="1:56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196"/>
      <c r="S801" s="196"/>
      <c r="T801" s="196"/>
      <c r="U801" s="278"/>
      <c r="V801" s="278"/>
      <c r="W801" s="278"/>
      <c r="X801" s="278"/>
      <c r="Y801" s="278"/>
      <c r="Z801" s="278"/>
      <c r="AA801" s="278"/>
      <c r="AB801" s="278"/>
      <c r="AC801" s="278"/>
      <c r="AD801" s="278"/>
      <c r="AE801" s="278"/>
      <c r="AF801" s="278"/>
      <c r="AG801" s="278"/>
      <c r="AH801" s="278"/>
      <c r="AI801" s="278"/>
      <c r="AJ801" s="278"/>
      <c r="AK801" s="278"/>
      <c r="AL801" s="278"/>
      <c r="AM801" s="278"/>
      <c r="AN801" s="278"/>
      <c r="AO801" s="278"/>
      <c r="AP801" s="278"/>
      <c r="AQ801" s="278"/>
      <c r="AR801" s="278"/>
      <c r="AS801" s="278"/>
      <c r="AT801" s="278"/>
      <c r="AU801" s="278"/>
      <c r="AV801" s="278"/>
      <c r="AW801" s="278"/>
      <c r="AX801" s="278"/>
      <c r="AY801" s="278"/>
      <c r="AZ801" s="278"/>
      <c r="BA801" s="278"/>
      <c r="BB801" s="278"/>
      <c r="BC801" s="278"/>
      <c r="BD801" s="278"/>
    </row>
    <row r="802" spans="1:56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196"/>
      <c r="S802" s="196"/>
      <c r="T802" s="196"/>
      <c r="U802" s="278"/>
      <c r="V802" s="278"/>
      <c r="W802" s="278"/>
      <c r="X802" s="278"/>
      <c r="Y802" s="278"/>
      <c r="Z802" s="278"/>
      <c r="AA802" s="278"/>
      <c r="AB802" s="278"/>
      <c r="AC802" s="278"/>
      <c r="AD802" s="278"/>
      <c r="AE802" s="278"/>
      <c r="AF802" s="278"/>
      <c r="AG802" s="278"/>
      <c r="AH802" s="278"/>
      <c r="AI802" s="278"/>
      <c r="AJ802" s="278"/>
      <c r="AK802" s="278"/>
      <c r="AL802" s="278"/>
      <c r="AM802" s="278"/>
      <c r="AN802" s="278"/>
      <c r="AO802" s="278"/>
      <c r="AP802" s="278"/>
      <c r="AQ802" s="278"/>
      <c r="AR802" s="278"/>
      <c r="AS802" s="278"/>
      <c r="AT802" s="278"/>
      <c r="AU802" s="278"/>
      <c r="AV802" s="278"/>
      <c r="AW802" s="278"/>
      <c r="AX802" s="278"/>
      <c r="AY802" s="278"/>
      <c r="AZ802" s="278"/>
      <c r="BA802" s="278"/>
      <c r="BB802" s="278"/>
      <c r="BC802" s="278"/>
      <c r="BD802" s="278"/>
    </row>
    <row r="803" spans="1:56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196"/>
      <c r="S803" s="196"/>
      <c r="T803" s="196"/>
      <c r="U803" s="278"/>
      <c r="V803" s="278"/>
      <c r="W803" s="278"/>
      <c r="X803" s="278"/>
      <c r="Y803" s="278"/>
      <c r="Z803" s="278"/>
      <c r="AA803" s="278"/>
      <c r="AB803" s="278"/>
      <c r="AC803" s="278"/>
      <c r="AD803" s="278"/>
      <c r="AE803" s="278"/>
      <c r="AF803" s="278"/>
      <c r="AG803" s="278"/>
      <c r="AH803" s="278"/>
      <c r="AI803" s="278"/>
      <c r="AJ803" s="278"/>
      <c r="AK803" s="278"/>
      <c r="AL803" s="278"/>
      <c r="AM803" s="278"/>
      <c r="AN803" s="278"/>
      <c r="AO803" s="278"/>
      <c r="AP803" s="278"/>
      <c r="AQ803" s="278"/>
      <c r="AR803" s="278"/>
      <c r="AS803" s="278"/>
      <c r="AT803" s="278"/>
      <c r="AU803" s="278"/>
      <c r="AV803" s="278"/>
      <c r="AW803" s="278"/>
      <c r="AX803" s="278"/>
      <c r="AY803" s="278"/>
      <c r="AZ803" s="278"/>
      <c r="BA803" s="278"/>
      <c r="BB803" s="278"/>
      <c r="BC803" s="278"/>
      <c r="BD803" s="278"/>
    </row>
    <row r="804" spans="1:56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196"/>
      <c r="S804" s="196"/>
      <c r="T804" s="196"/>
      <c r="U804" s="278"/>
      <c r="V804" s="278"/>
      <c r="W804" s="278"/>
      <c r="X804" s="278"/>
      <c r="Y804" s="278"/>
      <c r="Z804" s="278"/>
      <c r="AA804" s="278"/>
      <c r="AB804" s="278"/>
      <c r="AC804" s="278"/>
      <c r="AD804" s="278"/>
      <c r="AE804" s="278"/>
      <c r="AF804" s="278"/>
      <c r="AG804" s="278"/>
      <c r="AH804" s="278"/>
      <c r="AI804" s="278"/>
      <c r="AJ804" s="278"/>
      <c r="AK804" s="278"/>
      <c r="AL804" s="278"/>
      <c r="AM804" s="278"/>
      <c r="AN804" s="278"/>
      <c r="AO804" s="278"/>
      <c r="AP804" s="278"/>
      <c r="AQ804" s="278"/>
      <c r="AR804" s="278"/>
      <c r="AS804" s="278"/>
      <c r="AT804" s="278"/>
      <c r="AU804" s="278"/>
      <c r="AV804" s="278"/>
      <c r="AW804" s="278"/>
      <c r="AX804" s="278"/>
      <c r="AY804" s="278"/>
      <c r="AZ804" s="278"/>
      <c r="BA804" s="278"/>
      <c r="BB804" s="278"/>
      <c r="BC804" s="278"/>
      <c r="BD804" s="278"/>
    </row>
    <row r="805" spans="1:56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196"/>
      <c r="S805" s="196"/>
      <c r="T805" s="196"/>
      <c r="U805" s="278"/>
      <c r="V805" s="278"/>
      <c r="W805" s="278"/>
      <c r="X805" s="278"/>
      <c r="Y805" s="278"/>
      <c r="Z805" s="278"/>
      <c r="AA805" s="278"/>
      <c r="AB805" s="278"/>
      <c r="AC805" s="278"/>
      <c r="AD805" s="278"/>
      <c r="AE805" s="278"/>
      <c r="AF805" s="278"/>
      <c r="AG805" s="278"/>
      <c r="AH805" s="278"/>
      <c r="AI805" s="278"/>
      <c r="AJ805" s="278"/>
      <c r="AK805" s="278"/>
      <c r="AL805" s="278"/>
      <c r="AM805" s="278"/>
      <c r="AN805" s="278"/>
      <c r="AO805" s="278"/>
      <c r="AP805" s="278"/>
      <c r="AQ805" s="278"/>
      <c r="AR805" s="278"/>
      <c r="AS805" s="278"/>
      <c r="AT805" s="278"/>
      <c r="AU805" s="278"/>
      <c r="AV805" s="278"/>
      <c r="AW805" s="278"/>
      <c r="AX805" s="278"/>
      <c r="AY805" s="278"/>
      <c r="AZ805" s="278"/>
      <c r="BA805" s="278"/>
      <c r="BB805" s="278"/>
      <c r="BC805" s="278"/>
      <c r="BD805" s="278"/>
    </row>
    <row r="806" spans="1:56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196"/>
      <c r="S806" s="196"/>
      <c r="T806" s="196"/>
      <c r="U806" s="278"/>
      <c r="V806" s="278"/>
      <c r="W806" s="278"/>
      <c r="X806" s="278"/>
      <c r="Y806" s="278"/>
      <c r="Z806" s="278"/>
      <c r="AA806" s="278"/>
      <c r="AB806" s="278"/>
      <c r="AC806" s="278"/>
      <c r="AD806" s="278"/>
      <c r="AE806" s="278"/>
      <c r="AF806" s="278"/>
      <c r="AG806" s="278"/>
      <c r="AH806" s="278"/>
      <c r="AI806" s="278"/>
      <c r="AJ806" s="278"/>
      <c r="AK806" s="278"/>
      <c r="AL806" s="278"/>
      <c r="AM806" s="278"/>
      <c r="AN806" s="278"/>
      <c r="AO806" s="278"/>
      <c r="AP806" s="278"/>
      <c r="AQ806" s="278"/>
      <c r="AR806" s="278"/>
      <c r="AS806" s="278"/>
      <c r="AT806" s="278"/>
      <c r="AU806" s="278"/>
      <c r="AV806" s="278"/>
      <c r="AW806" s="278"/>
      <c r="AX806" s="278"/>
      <c r="AY806" s="278"/>
      <c r="AZ806" s="278"/>
      <c r="BA806" s="278"/>
      <c r="BB806" s="278"/>
      <c r="BC806" s="278"/>
      <c r="BD806" s="278"/>
    </row>
    <row r="807" spans="1:56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196"/>
      <c r="S807" s="196"/>
      <c r="T807" s="196"/>
      <c r="U807" s="278"/>
      <c r="V807" s="278"/>
      <c r="W807" s="278"/>
      <c r="X807" s="278"/>
      <c r="Y807" s="278"/>
      <c r="Z807" s="278"/>
      <c r="AA807" s="278"/>
      <c r="AB807" s="278"/>
      <c r="AC807" s="278"/>
      <c r="AD807" s="278"/>
      <c r="AE807" s="278"/>
      <c r="AF807" s="278"/>
      <c r="AG807" s="278"/>
      <c r="AH807" s="278"/>
      <c r="AI807" s="278"/>
      <c r="AJ807" s="278"/>
      <c r="AK807" s="278"/>
      <c r="AL807" s="278"/>
      <c r="AM807" s="278"/>
      <c r="AN807" s="278"/>
      <c r="AO807" s="278"/>
      <c r="AP807" s="278"/>
      <c r="AQ807" s="278"/>
      <c r="AR807" s="278"/>
      <c r="AS807" s="278"/>
      <c r="AT807" s="278"/>
      <c r="AU807" s="278"/>
      <c r="AV807" s="278"/>
      <c r="AW807" s="278"/>
      <c r="AX807" s="278"/>
      <c r="AY807" s="278"/>
      <c r="AZ807" s="278"/>
      <c r="BA807" s="278"/>
      <c r="BB807" s="278"/>
      <c r="BC807" s="278"/>
      <c r="BD807" s="278"/>
    </row>
    <row r="808" spans="1:56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196"/>
      <c r="S808" s="196"/>
      <c r="T808" s="196"/>
      <c r="U808" s="278"/>
      <c r="V808" s="278"/>
      <c r="W808" s="278"/>
      <c r="X808" s="278"/>
      <c r="Y808" s="278"/>
      <c r="Z808" s="278"/>
      <c r="AA808" s="278"/>
      <c r="AB808" s="278"/>
      <c r="AC808" s="278"/>
      <c r="AD808" s="278"/>
      <c r="AE808" s="278"/>
      <c r="AF808" s="278"/>
      <c r="AG808" s="278"/>
      <c r="AH808" s="278"/>
      <c r="AI808" s="278"/>
      <c r="AJ808" s="278"/>
      <c r="AK808" s="278"/>
      <c r="AL808" s="278"/>
      <c r="AM808" s="278"/>
      <c r="AN808" s="278"/>
      <c r="AO808" s="278"/>
      <c r="AP808" s="278"/>
      <c r="AQ808" s="278"/>
      <c r="AR808" s="278"/>
      <c r="AS808" s="278"/>
      <c r="AT808" s="278"/>
      <c r="AU808" s="278"/>
      <c r="AV808" s="278"/>
      <c r="AW808" s="278"/>
      <c r="AX808" s="278"/>
      <c r="AY808" s="278"/>
      <c r="AZ808" s="278"/>
      <c r="BA808" s="278"/>
      <c r="BB808" s="278"/>
      <c r="BC808" s="278"/>
      <c r="BD808" s="278"/>
    </row>
    <row r="809" spans="1:56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196"/>
      <c r="S809" s="196"/>
      <c r="T809" s="196"/>
      <c r="U809" s="278"/>
      <c r="V809" s="278"/>
      <c r="W809" s="278"/>
      <c r="X809" s="278"/>
      <c r="Y809" s="278"/>
      <c r="Z809" s="278"/>
      <c r="AA809" s="278"/>
      <c r="AB809" s="278"/>
      <c r="AC809" s="278"/>
      <c r="AD809" s="278"/>
      <c r="AE809" s="278"/>
      <c r="AF809" s="278"/>
      <c r="AG809" s="278"/>
      <c r="AH809" s="278"/>
      <c r="AI809" s="278"/>
      <c r="AJ809" s="278"/>
      <c r="AK809" s="278"/>
      <c r="AL809" s="278"/>
      <c r="AM809" s="278"/>
      <c r="AN809" s="278"/>
      <c r="AO809" s="278"/>
      <c r="AP809" s="278"/>
      <c r="AQ809" s="278"/>
      <c r="AR809" s="278"/>
      <c r="AS809" s="278"/>
      <c r="AT809" s="278"/>
      <c r="AU809" s="278"/>
      <c r="AV809" s="278"/>
      <c r="AW809" s="278"/>
      <c r="AX809" s="278"/>
      <c r="AY809" s="278"/>
      <c r="AZ809" s="278"/>
      <c r="BA809" s="278"/>
      <c r="BB809" s="278"/>
      <c r="BC809" s="278"/>
      <c r="BD809" s="278"/>
    </row>
    <row r="810" spans="1:56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196"/>
      <c r="S810" s="196"/>
      <c r="T810" s="196"/>
      <c r="U810" s="278"/>
      <c r="V810" s="278"/>
      <c r="W810" s="278"/>
      <c r="X810" s="278"/>
      <c r="Y810" s="278"/>
      <c r="Z810" s="278"/>
      <c r="AA810" s="278"/>
      <c r="AB810" s="278"/>
      <c r="AC810" s="278"/>
      <c r="AD810" s="278"/>
      <c r="AE810" s="278"/>
      <c r="AF810" s="278"/>
      <c r="AG810" s="278"/>
      <c r="AH810" s="278"/>
      <c r="AI810" s="278"/>
      <c r="AJ810" s="278"/>
      <c r="AK810" s="278"/>
      <c r="AL810" s="278"/>
      <c r="AM810" s="278"/>
      <c r="AN810" s="278"/>
      <c r="AO810" s="278"/>
      <c r="AP810" s="278"/>
      <c r="AQ810" s="278"/>
      <c r="AR810" s="278"/>
      <c r="AS810" s="278"/>
      <c r="AT810" s="278"/>
      <c r="AU810" s="278"/>
      <c r="AV810" s="278"/>
      <c r="AW810" s="278"/>
      <c r="AX810" s="278"/>
      <c r="AY810" s="278"/>
      <c r="AZ810" s="278"/>
      <c r="BA810" s="278"/>
      <c r="BB810" s="278"/>
      <c r="BC810" s="278"/>
      <c r="BD810" s="278"/>
    </row>
    <row r="811" spans="1:56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196"/>
      <c r="S811" s="196"/>
      <c r="T811" s="196"/>
      <c r="U811" s="278"/>
      <c r="V811" s="278"/>
      <c r="W811" s="278"/>
      <c r="X811" s="278"/>
      <c r="Y811" s="278"/>
      <c r="Z811" s="278"/>
      <c r="AA811" s="278"/>
      <c r="AB811" s="278"/>
      <c r="AC811" s="278"/>
      <c r="AD811" s="278"/>
      <c r="AE811" s="278"/>
      <c r="AF811" s="278"/>
      <c r="AG811" s="278"/>
      <c r="AH811" s="278"/>
      <c r="AI811" s="278"/>
      <c r="AJ811" s="278"/>
      <c r="AK811" s="278"/>
      <c r="AL811" s="278"/>
      <c r="AM811" s="278"/>
      <c r="AN811" s="278"/>
      <c r="AO811" s="278"/>
      <c r="AP811" s="278"/>
      <c r="AQ811" s="278"/>
      <c r="AR811" s="278"/>
      <c r="AS811" s="278"/>
      <c r="AT811" s="278"/>
      <c r="AU811" s="278"/>
      <c r="AV811" s="278"/>
      <c r="AW811" s="278"/>
      <c r="AX811" s="278"/>
      <c r="AY811" s="278"/>
      <c r="AZ811" s="278"/>
      <c r="BA811" s="278"/>
      <c r="BB811" s="278"/>
      <c r="BC811" s="278"/>
      <c r="BD811" s="278"/>
    </row>
    <row r="812" spans="1:56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196"/>
      <c r="S812" s="196"/>
      <c r="T812" s="196"/>
      <c r="U812" s="278"/>
      <c r="V812" s="278"/>
      <c r="W812" s="278"/>
      <c r="X812" s="278"/>
      <c r="Y812" s="278"/>
      <c r="Z812" s="278"/>
      <c r="AA812" s="278"/>
      <c r="AB812" s="278"/>
      <c r="AC812" s="278"/>
      <c r="AD812" s="278"/>
      <c r="AE812" s="278"/>
      <c r="AF812" s="278"/>
      <c r="AG812" s="278"/>
      <c r="AH812" s="278"/>
      <c r="AI812" s="278"/>
      <c r="AJ812" s="278"/>
      <c r="AK812" s="278"/>
      <c r="AL812" s="278"/>
      <c r="AM812" s="278"/>
      <c r="AN812" s="278"/>
      <c r="AO812" s="278"/>
      <c r="AP812" s="278"/>
      <c r="AQ812" s="278"/>
      <c r="AR812" s="278"/>
      <c r="AS812" s="278"/>
      <c r="AT812" s="278"/>
      <c r="AU812" s="278"/>
      <c r="AV812" s="278"/>
      <c r="AW812" s="278"/>
      <c r="AX812" s="278"/>
      <c r="AY812" s="278"/>
      <c r="AZ812" s="278"/>
      <c r="BA812" s="278"/>
      <c r="BB812" s="278"/>
      <c r="BC812" s="278"/>
      <c r="BD812" s="278"/>
    </row>
    <row r="813" spans="1:56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196"/>
      <c r="S813" s="196"/>
      <c r="T813" s="196"/>
      <c r="U813" s="278"/>
      <c r="V813" s="278"/>
      <c r="W813" s="278"/>
      <c r="X813" s="278"/>
      <c r="Y813" s="278"/>
      <c r="Z813" s="278"/>
      <c r="AA813" s="278"/>
      <c r="AB813" s="278"/>
      <c r="AC813" s="278"/>
      <c r="AD813" s="278"/>
      <c r="AE813" s="278"/>
      <c r="AF813" s="278"/>
      <c r="AG813" s="278"/>
      <c r="AH813" s="278"/>
      <c r="AI813" s="278"/>
      <c r="AJ813" s="278"/>
      <c r="AK813" s="278"/>
      <c r="AL813" s="278"/>
      <c r="AM813" s="278"/>
      <c r="AN813" s="278"/>
      <c r="AO813" s="278"/>
      <c r="AP813" s="278"/>
      <c r="AQ813" s="278"/>
      <c r="AR813" s="278"/>
      <c r="AS813" s="278"/>
      <c r="AT813" s="278"/>
      <c r="AU813" s="278"/>
      <c r="AV813" s="278"/>
      <c r="AW813" s="278"/>
      <c r="AX813" s="278"/>
      <c r="AY813" s="278"/>
      <c r="AZ813" s="278"/>
      <c r="BA813" s="278"/>
      <c r="BB813" s="278"/>
      <c r="BC813" s="278"/>
      <c r="BD813" s="278"/>
    </row>
    <row r="814" spans="1:56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196"/>
      <c r="S814" s="196"/>
      <c r="T814" s="196"/>
      <c r="U814" s="278"/>
      <c r="V814" s="278"/>
      <c r="W814" s="278"/>
      <c r="X814" s="278"/>
      <c r="Y814" s="278"/>
      <c r="Z814" s="278"/>
      <c r="AA814" s="278"/>
      <c r="AB814" s="278"/>
      <c r="AC814" s="278"/>
      <c r="AD814" s="278"/>
      <c r="AE814" s="278"/>
      <c r="AF814" s="278"/>
      <c r="AG814" s="278"/>
      <c r="AH814" s="278"/>
      <c r="AI814" s="278"/>
      <c r="AJ814" s="278"/>
      <c r="AK814" s="278"/>
      <c r="AL814" s="278"/>
      <c r="AM814" s="278"/>
      <c r="AN814" s="278"/>
      <c r="AO814" s="278"/>
      <c r="AP814" s="278"/>
      <c r="AQ814" s="278"/>
      <c r="AR814" s="278"/>
      <c r="AS814" s="278"/>
      <c r="AT814" s="278"/>
      <c r="AU814" s="278"/>
      <c r="AV814" s="278"/>
      <c r="AW814" s="278"/>
      <c r="AX814" s="278"/>
      <c r="AY814" s="278"/>
      <c r="AZ814" s="278"/>
      <c r="BA814" s="278"/>
      <c r="BB814" s="278"/>
      <c r="BC814" s="278"/>
      <c r="BD814" s="278"/>
    </row>
    <row r="815" spans="1:56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196"/>
      <c r="S815" s="196"/>
      <c r="T815" s="196"/>
      <c r="U815" s="278"/>
      <c r="V815" s="278"/>
      <c r="W815" s="278"/>
      <c r="X815" s="278"/>
      <c r="Y815" s="278"/>
      <c r="Z815" s="278"/>
      <c r="AA815" s="278"/>
      <c r="AB815" s="278"/>
      <c r="AC815" s="278"/>
      <c r="AD815" s="278"/>
      <c r="AE815" s="278"/>
      <c r="AF815" s="278"/>
      <c r="AG815" s="278"/>
      <c r="AH815" s="278"/>
      <c r="AI815" s="278"/>
      <c r="AJ815" s="278"/>
      <c r="AK815" s="278"/>
      <c r="AL815" s="278"/>
      <c r="AM815" s="278"/>
      <c r="AN815" s="278"/>
      <c r="AO815" s="278"/>
      <c r="AP815" s="278"/>
      <c r="AQ815" s="278"/>
      <c r="AR815" s="278"/>
      <c r="AS815" s="278"/>
      <c r="AT815" s="278"/>
      <c r="AU815" s="278"/>
      <c r="AV815" s="278"/>
      <c r="AW815" s="278"/>
      <c r="AX815" s="278"/>
      <c r="AY815" s="278"/>
      <c r="AZ815" s="278"/>
      <c r="BA815" s="278"/>
      <c r="BB815" s="278"/>
      <c r="BC815" s="278"/>
      <c r="BD815" s="278"/>
    </row>
    <row r="816" spans="1:56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196"/>
      <c r="S816" s="196"/>
      <c r="T816" s="196"/>
      <c r="U816" s="278"/>
      <c r="V816" s="278"/>
      <c r="W816" s="278"/>
      <c r="X816" s="278"/>
      <c r="Y816" s="278"/>
      <c r="Z816" s="278"/>
      <c r="AA816" s="278"/>
      <c r="AB816" s="278"/>
      <c r="AC816" s="278"/>
      <c r="AD816" s="278"/>
      <c r="AE816" s="278"/>
      <c r="AF816" s="278"/>
      <c r="AG816" s="278"/>
      <c r="AH816" s="278"/>
      <c r="AI816" s="278"/>
      <c r="AJ816" s="278"/>
      <c r="AK816" s="278"/>
      <c r="AL816" s="278"/>
      <c r="AM816" s="278"/>
      <c r="AN816" s="278"/>
      <c r="AO816" s="278"/>
      <c r="AP816" s="278"/>
      <c r="AQ816" s="278"/>
      <c r="AR816" s="278"/>
      <c r="AS816" s="278"/>
      <c r="AT816" s="278"/>
      <c r="AU816" s="278"/>
      <c r="AV816" s="278"/>
      <c r="AW816" s="278"/>
      <c r="AX816" s="278"/>
      <c r="AY816" s="278"/>
      <c r="AZ816" s="278"/>
      <c r="BA816" s="278"/>
      <c r="BB816" s="278"/>
      <c r="BC816" s="278"/>
      <c r="BD816" s="278"/>
    </row>
    <row r="817" spans="1:56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196"/>
      <c r="S817" s="196"/>
      <c r="T817" s="196"/>
      <c r="U817" s="278"/>
      <c r="V817" s="278"/>
      <c r="W817" s="278"/>
      <c r="X817" s="278"/>
      <c r="Y817" s="278"/>
      <c r="Z817" s="278"/>
      <c r="AA817" s="278"/>
      <c r="AB817" s="278"/>
      <c r="AC817" s="278"/>
      <c r="AD817" s="278"/>
      <c r="AE817" s="278"/>
      <c r="AF817" s="278"/>
      <c r="AG817" s="278"/>
      <c r="AH817" s="278"/>
      <c r="AI817" s="278"/>
      <c r="AJ817" s="278"/>
      <c r="AK817" s="278"/>
      <c r="AL817" s="278"/>
      <c r="AM817" s="278"/>
      <c r="AN817" s="278"/>
      <c r="AO817" s="278"/>
      <c r="AP817" s="278"/>
      <c r="AQ817" s="278"/>
      <c r="AR817" s="278"/>
      <c r="AS817" s="278"/>
      <c r="AT817" s="278"/>
      <c r="AU817" s="278"/>
      <c r="AV817" s="278"/>
      <c r="AW817" s="278"/>
      <c r="AX817" s="278"/>
      <c r="AY817" s="278"/>
      <c r="AZ817" s="278"/>
      <c r="BA817" s="278"/>
      <c r="BB817" s="278"/>
      <c r="BC817" s="278"/>
      <c r="BD817" s="278"/>
    </row>
    <row r="818" spans="1:56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196"/>
      <c r="S818" s="196"/>
      <c r="T818" s="196"/>
      <c r="U818" s="278"/>
      <c r="V818" s="278"/>
      <c r="W818" s="278"/>
      <c r="X818" s="278"/>
      <c r="Y818" s="278"/>
      <c r="Z818" s="278"/>
      <c r="AA818" s="278"/>
      <c r="AB818" s="278"/>
      <c r="AC818" s="278"/>
      <c r="AD818" s="278"/>
      <c r="AE818" s="278"/>
      <c r="AF818" s="278"/>
      <c r="AG818" s="278"/>
      <c r="AH818" s="278"/>
      <c r="AI818" s="278"/>
      <c r="AJ818" s="278"/>
      <c r="AK818" s="278"/>
      <c r="AL818" s="278"/>
      <c r="AM818" s="278"/>
      <c r="AN818" s="278"/>
      <c r="AO818" s="278"/>
      <c r="AP818" s="278"/>
      <c r="AQ818" s="278"/>
      <c r="AR818" s="278"/>
      <c r="AS818" s="278"/>
      <c r="AT818" s="278"/>
      <c r="AU818" s="278"/>
      <c r="AV818" s="278"/>
      <c r="AW818" s="278"/>
      <c r="AX818" s="278"/>
      <c r="AY818" s="278"/>
      <c r="AZ818" s="278"/>
      <c r="BA818" s="278"/>
      <c r="BB818" s="278"/>
      <c r="BC818" s="278"/>
      <c r="BD818" s="278"/>
    </row>
    <row r="819" spans="1:56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196"/>
      <c r="S819" s="196"/>
      <c r="T819" s="196"/>
      <c r="U819" s="278"/>
      <c r="V819" s="278"/>
      <c r="W819" s="278"/>
      <c r="X819" s="278"/>
      <c r="Y819" s="278"/>
      <c r="Z819" s="278"/>
      <c r="AA819" s="278"/>
      <c r="AB819" s="278"/>
      <c r="AC819" s="278"/>
      <c r="AD819" s="278"/>
      <c r="AE819" s="278"/>
      <c r="AF819" s="278"/>
      <c r="AG819" s="278"/>
      <c r="AH819" s="278"/>
      <c r="AI819" s="278"/>
      <c r="AJ819" s="278"/>
      <c r="AK819" s="278"/>
      <c r="AL819" s="278"/>
      <c r="AM819" s="278"/>
      <c r="AN819" s="278"/>
      <c r="AO819" s="278"/>
      <c r="AP819" s="278"/>
      <c r="AQ819" s="278"/>
      <c r="AR819" s="278"/>
      <c r="AS819" s="278"/>
      <c r="AT819" s="278"/>
      <c r="AU819" s="278"/>
      <c r="AV819" s="278"/>
      <c r="AW819" s="278"/>
      <c r="AX819" s="278"/>
      <c r="AY819" s="278"/>
      <c r="AZ819" s="278"/>
      <c r="BA819" s="278"/>
      <c r="BB819" s="278"/>
      <c r="BC819" s="278"/>
      <c r="BD819" s="278"/>
    </row>
    <row r="820" spans="1:56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196"/>
      <c r="S820" s="196"/>
      <c r="T820" s="196"/>
      <c r="U820" s="278"/>
      <c r="V820" s="278"/>
      <c r="W820" s="278"/>
      <c r="X820" s="278"/>
      <c r="Y820" s="278"/>
      <c r="Z820" s="278"/>
      <c r="AA820" s="278"/>
      <c r="AB820" s="278"/>
      <c r="AC820" s="278"/>
      <c r="AD820" s="278"/>
      <c r="AE820" s="278"/>
      <c r="AF820" s="278"/>
      <c r="AG820" s="278"/>
      <c r="AH820" s="278"/>
      <c r="AI820" s="278"/>
      <c r="AJ820" s="278"/>
      <c r="AK820" s="278"/>
      <c r="AL820" s="278"/>
      <c r="AM820" s="278"/>
      <c r="AN820" s="278"/>
      <c r="AO820" s="278"/>
      <c r="AP820" s="278"/>
      <c r="AQ820" s="278"/>
      <c r="AR820" s="278"/>
      <c r="AS820" s="278"/>
      <c r="AT820" s="278"/>
      <c r="AU820" s="278"/>
      <c r="AV820" s="278"/>
      <c r="AW820" s="278"/>
      <c r="AX820" s="278"/>
      <c r="AY820" s="278"/>
      <c r="AZ820" s="278"/>
      <c r="BA820" s="278"/>
      <c r="BB820" s="278"/>
      <c r="BC820" s="278"/>
      <c r="BD820" s="278"/>
    </row>
    <row r="821" spans="1:56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196"/>
      <c r="S821" s="196"/>
      <c r="T821" s="196"/>
      <c r="U821" s="278"/>
      <c r="V821" s="278"/>
      <c r="W821" s="278"/>
      <c r="X821" s="278"/>
      <c r="Y821" s="278"/>
      <c r="Z821" s="278"/>
      <c r="AA821" s="278"/>
      <c r="AB821" s="278"/>
      <c r="AC821" s="278"/>
      <c r="AD821" s="278"/>
      <c r="AE821" s="278"/>
      <c r="AF821" s="278"/>
      <c r="AG821" s="278"/>
      <c r="AH821" s="278"/>
      <c r="AI821" s="278"/>
      <c r="AJ821" s="278"/>
      <c r="AK821" s="278"/>
      <c r="AL821" s="278"/>
      <c r="AM821" s="278"/>
      <c r="AN821" s="278"/>
      <c r="AO821" s="278"/>
      <c r="AP821" s="278"/>
      <c r="AQ821" s="278"/>
      <c r="AR821" s="278"/>
      <c r="AS821" s="278"/>
      <c r="AT821" s="278"/>
      <c r="AU821" s="278"/>
      <c r="AV821" s="278"/>
      <c r="AW821" s="278"/>
      <c r="AX821" s="278"/>
      <c r="AY821" s="278"/>
      <c r="AZ821" s="278"/>
      <c r="BA821" s="278"/>
      <c r="BB821" s="278"/>
      <c r="BC821" s="278"/>
      <c r="BD821" s="278"/>
    </row>
    <row r="822" spans="1:56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196"/>
      <c r="S822" s="196"/>
      <c r="T822" s="196"/>
      <c r="U822" s="278"/>
      <c r="V822" s="278"/>
      <c r="W822" s="278"/>
      <c r="X822" s="278"/>
      <c r="Y822" s="278"/>
      <c r="Z822" s="278"/>
      <c r="AA822" s="278"/>
      <c r="AB822" s="278"/>
      <c r="AC822" s="278"/>
      <c r="AD822" s="278"/>
      <c r="AE822" s="278"/>
      <c r="AF822" s="278"/>
      <c r="AG822" s="278"/>
      <c r="AH822" s="278"/>
      <c r="AI822" s="278"/>
      <c r="AJ822" s="278"/>
      <c r="AK822" s="278"/>
      <c r="AL822" s="278"/>
      <c r="AM822" s="278"/>
      <c r="AN822" s="278"/>
      <c r="AO822" s="278"/>
      <c r="AP822" s="278"/>
      <c r="AQ822" s="278"/>
      <c r="AR822" s="278"/>
      <c r="AS822" s="278"/>
      <c r="AT822" s="278"/>
      <c r="AU822" s="278"/>
      <c r="AV822" s="278"/>
      <c r="AW822" s="278"/>
      <c r="AX822" s="278"/>
      <c r="AY822" s="278"/>
      <c r="AZ822" s="278"/>
      <c r="BA822" s="278"/>
      <c r="BB822" s="278"/>
      <c r="BC822" s="278"/>
      <c r="BD822" s="278"/>
    </row>
    <row r="823" spans="1:56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196"/>
      <c r="S823" s="196"/>
      <c r="T823" s="196"/>
      <c r="U823" s="278"/>
      <c r="V823" s="278"/>
      <c r="W823" s="278"/>
      <c r="X823" s="278"/>
      <c r="Y823" s="278"/>
      <c r="Z823" s="278"/>
      <c r="AA823" s="278"/>
      <c r="AB823" s="278"/>
      <c r="AC823" s="278"/>
      <c r="AD823" s="278"/>
      <c r="AE823" s="278"/>
      <c r="AF823" s="278"/>
      <c r="AG823" s="278"/>
      <c r="AH823" s="278"/>
      <c r="AI823" s="278"/>
      <c r="AJ823" s="278"/>
      <c r="AK823" s="278"/>
      <c r="AL823" s="278"/>
      <c r="AM823" s="278"/>
      <c r="AN823" s="278"/>
      <c r="AO823" s="278"/>
      <c r="AP823" s="278"/>
      <c r="AQ823" s="278"/>
      <c r="AR823" s="278"/>
      <c r="AS823" s="278"/>
      <c r="AT823" s="278"/>
      <c r="AU823" s="278"/>
      <c r="AV823" s="278"/>
      <c r="AW823" s="278"/>
      <c r="AX823" s="278"/>
      <c r="AY823" s="278"/>
      <c r="AZ823" s="278"/>
      <c r="BA823" s="278"/>
      <c r="BB823" s="278"/>
      <c r="BC823" s="278"/>
      <c r="BD823" s="278"/>
    </row>
    <row r="824" spans="1:56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196"/>
      <c r="S824" s="196"/>
      <c r="T824" s="196"/>
      <c r="U824" s="278"/>
      <c r="V824" s="278"/>
      <c r="W824" s="278"/>
      <c r="X824" s="278"/>
      <c r="Y824" s="278"/>
      <c r="Z824" s="278"/>
      <c r="AA824" s="278"/>
      <c r="AB824" s="278"/>
      <c r="AC824" s="278"/>
      <c r="AD824" s="278"/>
      <c r="AE824" s="278"/>
      <c r="AF824" s="278"/>
      <c r="AG824" s="278"/>
      <c r="AH824" s="278"/>
      <c r="AI824" s="278"/>
      <c r="AJ824" s="278"/>
      <c r="AK824" s="278"/>
      <c r="AL824" s="278"/>
      <c r="AM824" s="278"/>
      <c r="AN824" s="278"/>
      <c r="AO824" s="278"/>
      <c r="AP824" s="278"/>
      <c r="AQ824" s="278"/>
      <c r="AR824" s="278"/>
      <c r="AS824" s="278"/>
      <c r="AT824" s="278"/>
      <c r="AU824" s="278"/>
      <c r="AV824" s="278"/>
      <c r="AW824" s="278"/>
      <c r="AX824" s="278"/>
      <c r="AY824" s="278"/>
      <c r="AZ824" s="278"/>
      <c r="BA824" s="278"/>
      <c r="BB824" s="278"/>
      <c r="BC824" s="278"/>
      <c r="BD824" s="278"/>
    </row>
    <row r="825" spans="1:56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196"/>
      <c r="S825" s="196"/>
      <c r="T825" s="196"/>
      <c r="U825" s="278"/>
      <c r="V825" s="278"/>
      <c r="W825" s="278"/>
      <c r="X825" s="278"/>
      <c r="Y825" s="278"/>
      <c r="Z825" s="278"/>
      <c r="AA825" s="278"/>
      <c r="AB825" s="278"/>
      <c r="AC825" s="278"/>
      <c r="AD825" s="278"/>
      <c r="AE825" s="278"/>
      <c r="AF825" s="278"/>
      <c r="AG825" s="278"/>
      <c r="AH825" s="278"/>
      <c r="AI825" s="278"/>
      <c r="AJ825" s="278"/>
      <c r="AK825" s="278"/>
      <c r="AL825" s="278"/>
      <c r="AM825" s="278"/>
      <c r="AN825" s="278"/>
      <c r="AO825" s="278"/>
      <c r="AP825" s="278"/>
      <c r="AQ825" s="278"/>
      <c r="AR825" s="278"/>
      <c r="AS825" s="278"/>
      <c r="AT825" s="278"/>
      <c r="AU825" s="278"/>
      <c r="AV825" s="278"/>
      <c r="AW825" s="278"/>
      <c r="AX825" s="278"/>
      <c r="AY825" s="278"/>
      <c r="AZ825" s="278"/>
      <c r="BA825" s="278"/>
      <c r="BB825" s="278"/>
      <c r="BC825" s="278"/>
      <c r="BD825" s="278"/>
    </row>
    <row r="826" spans="1:56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196"/>
      <c r="S826" s="196"/>
      <c r="T826" s="196"/>
      <c r="U826" s="278"/>
      <c r="V826" s="278"/>
      <c r="W826" s="278"/>
      <c r="X826" s="278"/>
      <c r="Y826" s="278"/>
      <c r="Z826" s="278"/>
      <c r="AA826" s="278"/>
      <c r="AB826" s="278"/>
      <c r="AC826" s="278"/>
      <c r="AD826" s="278"/>
      <c r="AE826" s="278"/>
      <c r="AF826" s="278"/>
      <c r="AG826" s="278"/>
      <c r="AH826" s="278"/>
      <c r="AI826" s="278"/>
      <c r="AJ826" s="278"/>
      <c r="AK826" s="278"/>
      <c r="AL826" s="278"/>
      <c r="AM826" s="278"/>
      <c r="AN826" s="278"/>
      <c r="AO826" s="278"/>
      <c r="AP826" s="278"/>
      <c r="AQ826" s="278"/>
      <c r="AR826" s="278"/>
      <c r="AS826" s="278"/>
      <c r="AT826" s="278"/>
      <c r="AU826" s="278"/>
      <c r="AV826" s="278"/>
      <c r="AW826" s="278"/>
      <c r="AX826" s="278"/>
      <c r="AY826" s="278"/>
      <c r="AZ826" s="278"/>
      <c r="BA826" s="278"/>
      <c r="BB826" s="278"/>
      <c r="BC826" s="278"/>
      <c r="BD826" s="278"/>
    </row>
    <row r="827" spans="1:56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196"/>
      <c r="S827" s="196"/>
      <c r="T827" s="196"/>
      <c r="U827" s="278"/>
      <c r="V827" s="278"/>
      <c r="W827" s="278"/>
      <c r="X827" s="278"/>
      <c r="Y827" s="278"/>
      <c r="Z827" s="278"/>
      <c r="AA827" s="278"/>
      <c r="AB827" s="278"/>
      <c r="AC827" s="278"/>
      <c r="AD827" s="278"/>
      <c r="AE827" s="278"/>
      <c r="AF827" s="278"/>
      <c r="AG827" s="278"/>
      <c r="AH827" s="278"/>
      <c r="AI827" s="278"/>
      <c r="AJ827" s="278"/>
      <c r="AK827" s="278"/>
      <c r="AL827" s="278"/>
      <c r="AM827" s="278"/>
      <c r="AN827" s="278"/>
      <c r="AO827" s="278"/>
      <c r="AP827" s="278"/>
      <c r="AQ827" s="278"/>
      <c r="AR827" s="278"/>
      <c r="AS827" s="278"/>
      <c r="AT827" s="278"/>
      <c r="AU827" s="278"/>
      <c r="AV827" s="278"/>
      <c r="AW827" s="278"/>
      <c r="AX827" s="278"/>
      <c r="AY827" s="278"/>
      <c r="AZ827" s="278"/>
      <c r="BA827" s="278"/>
      <c r="BB827" s="278"/>
      <c r="BC827" s="278"/>
      <c r="BD827" s="278"/>
    </row>
    <row r="828" spans="1:56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196"/>
      <c r="S828" s="196"/>
      <c r="T828" s="196"/>
      <c r="U828" s="278"/>
      <c r="V828" s="278"/>
      <c r="W828" s="278"/>
      <c r="X828" s="278"/>
      <c r="Y828" s="278"/>
      <c r="Z828" s="278"/>
      <c r="AA828" s="278"/>
      <c r="AB828" s="278"/>
      <c r="AC828" s="278"/>
      <c r="AD828" s="278"/>
      <c r="AE828" s="278"/>
      <c r="AF828" s="278"/>
      <c r="AG828" s="278"/>
      <c r="AH828" s="278"/>
      <c r="AI828" s="278"/>
      <c r="AJ828" s="278"/>
      <c r="AK828" s="278"/>
      <c r="AL828" s="278"/>
      <c r="AM828" s="278"/>
      <c r="AN828" s="278"/>
      <c r="AO828" s="278"/>
      <c r="AP828" s="278"/>
      <c r="AQ828" s="278"/>
      <c r="AR828" s="278"/>
      <c r="AS828" s="278"/>
      <c r="AT828" s="278"/>
      <c r="AU828" s="278"/>
      <c r="AV828" s="278"/>
      <c r="AW828" s="278"/>
      <c r="AX828" s="278"/>
      <c r="AY828" s="278"/>
      <c r="AZ828" s="278"/>
      <c r="BA828" s="278"/>
      <c r="BB828" s="278"/>
      <c r="BC828" s="278"/>
      <c r="BD828" s="278"/>
    </row>
    <row r="829" spans="1:56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196"/>
      <c r="S829" s="196"/>
      <c r="T829" s="196"/>
      <c r="U829" s="278"/>
      <c r="V829" s="278"/>
      <c r="W829" s="278"/>
      <c r="X829" s="278"/>
      <c r="Y829" s="278"/>
      <c r="Z829" s="278"/>
      <c r="AA829" s="278"/>
      <c r="AB829" s="278"/>
      <c r="AC829" s="278"/>
      <c r="AD829" s="278"/>
      <c r="AE829" s="278"/>
      <c r="AF829" s="278"/>
      <c r="AG829" s="278"/>
      <c r="AH829" s="278"/>
      <c r="AI829" s="278"/>
      <c r="AJ829" s="278"/>
      <c r="AK829" s="278"/>
      <c r="AL829" s="278"/>
      <c r="AM829" s="278"/>
      <c r="AN829" s="278"/>
      <c r="AO829" s="278"/>
      <c r="AP829" s="278"/>
      <c r="AQ829" s="278"/>
      <c r="AR829" s="278"/>
      <c r="AS829" s="278"/>
      <c r="AT829" s="278"/>
      <c r="AU829" s="278"/>
      <c r="AV829" s="278"/>
      <c r="AW829" s="278"/>
      <c r="AX829" s="278"/>
      <c r="AY829" s="278"/>
      <c r="AZ829" s="278"/>
      <c r="BA829" s="278"/>
      <c r="BB829" s="278"/>
      <c r="BC829" s="278"/>
      <c r="BD829" s="278"/>
    </row>
    <row r="830" spans="1:56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196"/>
      <c r="S830" s="196"/>
      <c r="T830" s="196"/>
      <c r="U830" s="278"/>
      <c r="V830" s="278"/>
      <c r="W830" s="278"/>
      <c r="X830" s="278"/>
      <c r="Y830" s="278"/>
      <c r="Z830" s="278"/>
      <c r="AA830" s="278"/>
      <c r="AB830" s="278"/>
      <c r="AC830" s="278"/>
      <c r="AD830" s="278"/>
      <c r="AE830" s="278"/>
      <c r="AF830" s="278"/>
      <c r="AG830" s="278"/>
      <c r="AH830" s="278"/>
      <c r="AI830" s="278"/>
      <c r="AJ830" s="278"/>
      <c r="AK830" s="278"/>
      <c r="AL830" s="278"/>
      <c r="AM830" s="278"/>
      <c r="AN830" s="278"/>
      <c r="AO830" s="278"/>
      <c r="AP830" s="278"/>
      <c r="AQ830" s="278"/>
      <c r="AR830" s="278"/>
      <c r="AS830" s="278"/>
      <c r="AT830" s="278"/>
      <c r="AU830" s="278"/>
      <c r="AV830" s="278"/>
      <c r="AW830" s="278"/>
      <c r="AX830" s="278"/>
      <c r="AY830" s="278"/>
      <c r="AZ830" s="278"/>
      <c r="BA830" s="278"/>
      <c r="BB830" s="278"/>
      <c r="BC830" s="278"/>
      <c r="BD830" s="278"/>
    </row>
    <row r="831" spans="1:56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196"/>
      <c r="S831" s="196"/>
      <c r="T831" s="196"/>
      <c r="U831" s="278"/>
      <c r="V831" s="278"/>
      <c r="W831" s="278"/>
      <c r="X831" s="278"/>
      <c r="Y831" s="278"/>
      <c r="Z831" s="278"/>
      <c r="AA831" s="278"/>
      <c r="AB831" s="278"/>
      <c r="AC831" s="278"/>
      <c r="AD831" s="278"/>
      <c r="AE831" s="278"/>
      <c r="AF831" s="278"/>
      <c r="AG831" s="278"/>
      <c r="AH831" s="278"/>
      <c r="AI831" s="278"/>
      <c r="AJ831" s="278"/>
      <c r="AK831" s="278"/>
      <c r="AL831" s="278"/>
      <c r="AM831" s="278"/>
      <c r="AN831" s="278"/>
      <c r="AO831" s="278"/>
      <c r="AP831" s="278"/>
      <c r="AQ831" s="278"/>
      <c r="AR831" s="278"/>
      <c r="AS831" s="278"/>
      <c r="AT831" s="278"/>
      <c r="AU831" s="278"/>
      <c r="AV831" s="278"/>
      <c r="AW831" s="278"/>
      <c r="AX831" s="278"/>
      <c r="AY831" s="278"/>
      <c r="AZ831" s="278"/>
      <c r="BA831" s="278"/>
      <c r="BB831" s="278"/>
      <c r="BC831" s="278"/>
      <c r="BD831" s="278"/>
    </row>
    <row r="832" spans="1:56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196"/>
      <c r="S832" s="196"/>
      <c r="T832" s="196"/>
      <c r="U832" s="278"/>
      <c r="V832" s="278"/>
      <c r="W832" s="278"/>
      <c r="X832" s="278"/>
      <c r="Y832" s="278"/>
      <c r="Z832" s="278"/>
      <c r="AA832" s="278"/>
      <c r="AB832" s="278"/>
      <c r="AC832" s="278"/>
      <c r="AD832" s="278"/>
      <c r="AE832" s="278"/>
      <c r="AF832" s="278"/>
      <c r="AG832" s="278"/>
      <c r="AH832" s="278"/>
      <c r="AI832" s="278"/>
      <c r="AJ832" s="278"/>
      <c r="AK832" s="278"/>
      <c r="AL832" s="278"/>
      <c r="AM832" s="278"/>
      <c r="AN832" s="278"/>
      <c r="AO832" s="278"/>
      <c r="AP832" s="278"/>
      <c r="AQ832" s="278"/>
      <c r="AR832" s="278"/>
      <c r="AS832" s="278"/>
      <c r="AT832" s="278"/>
      <c r="AU832" s="278"/>
      <c r="AV832" s="278"/>
      <c r="AW832" s="278"/>
      <c r="AX832" s="278"/>
      <c r="AY832" s="278"/>
      <c r="AZ832" s="278"/>
      <c r="BA832" s="278"/>
      <c r="BB832" s="278"/>
      <c r="BC832" s="278"/>
      <c r="BD832" s="278"/>
    </row>
    <row r="833" spans="1:56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196"/>
      <c r="S833" s="196"/>
      <c r="T833" s="196"/>
      <c r="U833" s="278"/>
      <c r="V833" s="278"/>
      <c r="W833" s="278"/>
      <c r="X833" s="278"/>
      <c r="Y833" s="278"/>
      <c r="Z833" s="278"/>
      <c r="AA833" s="278"/>
      <c r="AB833" s="278"/>
      <c r="AC833" s="278"/>
      <c r="AD833" s="278"/>
      <c r="AE833" s="278"/>
      <c r="AF833" s="278"/>
      <c r="AG833" s="278"/>
      <c r="AH833" s="278"/>
      <c r="AI833" s="278"/>
      <c r="AJ833" s="278"/>
      <c r="AK833" s="278"/>
      <c r="AL833" s="278"/>
      <c r="AM833" s="278"/>
      <c r="AN833" s="278"/>
      <c r="AO833" s="278"/>
      <c r="AP833" s="278"/>
      <c r="AQ833" s="278"/>
      <c r="AR833" s="278"/>
      <c r="AS833" s="278"/>
      <c r="AT833" s="278"/>
      <c r="AU833" s="278"/>
      <c r="AV833" s="278"/>
      <c r="AW833" s="278"/>
      <c r="AX833" s="278"/>
      <c r="AY833" s="278"/>
      <c r="AZ833" s="278"/>
      <c r="BA833" s="278"/>
      <c r="BB833" s="278"/>
      <c r="BC833" s="278"/>
      <c r="BD833" s="278"/>
    </row>
    <row r="834" spans="1:56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196"/>
      <c r="S834" s="196"/>
      <c r="T834" s="196"/>
      <c r="U834" s="278"/>
      <c r="V834" s="278"/>
      <c r="W834" s="278"/>
      <c r="X834" s="278"/>
      <c r="Y834" s="278"/>
      <c r="Z834" s="278"/>
      <c r="AA834" s="278"/>
      <c r="AB834" s="278"/>
      <c r="AC834" s="278"/>
      <c r="AD834" s="278"/>
      <c r="AE834" s="278"/>
      <c r="AF834" s="278"/>
      <c r="AG834" s="278"/>
      <c r="AH834" s="278"/>
      <c r="AI834" s="278"/>
      <c r="AJ834" s="278"/>
      <c r="AK834" s="278"/>
      <c r="AL834" s="278"/>
      <c r="AM834" s="278"/>
      <c r="AN834" s="278"/>
      <c r="AO834" s="278"/>
      <c r="AP834" s="278"/>
      <c r="AQ834" s="278"/>
      <c r="AR834" s="278"/>
      <c r="AS834" s="278"/>
      <c r="AT834" s="278"/>
      <c r="AU834" s="278"/>
      <c r="AV834" s="278"/>
      <c r="AW834" s="278"/>
      <c r="AX834" s="278"/>
      <c r="AY834" s="278"/>
      <c r="AZ834" s="278"/>
      <c r="BA834" s="278"/>
      <c r="BB834" s="278"/>
      <c r="BC834" s="278"/>
      <c r="BD834" s="278"/>
    </row>
    <row r="835" spans="1:56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196"/>
      <c r="S835" s="196"/>
      <c r="T835" s="196"/>
      <c r="U835" s="278"/>
      <c r="V835" s="278"/>
      <c r="W835" s="278"/>
      <c r="X835" s="278"/>
      <c r="Y835" s="278"/>
      <c r="Z835" s="278"/>
      <c r="AA835" s="278"/>
      <c r="AB835" s="278"/>
      <c r="AC835" s="278"/>
      <c r="AD835" s="278"/>
      <c r="AE835" s="278"/>
      <c r="AF835" s="278"/>
      <c r="AG835" s="278"/>
      <c r="AH835" s="278"/>
      <c r="AI835" s="278"/>
      <c r="AJ835" s="278"/>
      <c r="AK835" s="278"/>
      <c r="AL835" s="278"/>
      <c r="AM835" s="278"/>
      <c r="AN835" s="278"/>
      <c r="AO835" s="278"/>
      <c r="AP835" s="278"/>
      <c r="AQ835" s="278"/>
      <c r="AR835" s="278"/>
      <c r="AS835" s="278"/>
      <c r="AT835" s="278"/>
      <c r="AU835" s="278"/>
      <c r="AV835" s="278"/>
      <c r="AW835" s="278"/>
      <c r="AX835" s="278"/>
      <c r="AY835" s="278"/>
      <c r="AZ835" s="278"/>
      <c r="BA835" s="278"/>
      <c r="BB835" s="278"/>
      <c r="BC835" s="278"/>
      <c r="BD835" s="278"/>
    </row>
    <row r="836" spans="1:56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196"/>
      <c r="S836" s="196"/>
      <c r="T836" s="196"/>
      <c r="U836" s="278"/>
      <c r="V836" s="278"/>
      <c r="W836" s="278"/>
      <c r="X836" s="278"/>
      <c r="Y836" s="278"/>
      <c r="Z836" s="278"/>
      <c r="AA836" s="278"/>
      <c r="AB836" s="278"/>
      <c r="AC836" s="278"/>
      <c r="AD836" s="278"/>
      <c r="AE836" s="278"/>
      <c r="AF836" s="278"/>
      <c r="AG836" s="278"/>
      <c r="AH836" s="278"/>
      <c r="AI836" s="278"/>
      <c r="AJ836" s="278"/>
      <c r="AK836" s="278"/>
      <c r="AL836" s="278"/>
      <c r="AM836" s="278"/>
      <c r="AN836" s="278"/>
      <c r="AO836" s="278"/>
      <c r="AP836" s="278"/>
      <c r="AQ836" s="278"/>
      <c r="AR836" s="278"/>
      <c r="AS836" s="278"/>
      <c r="AT836" s="278"/>
      <c r="AU836" s="278"/>
      <c r="AV836" s="278"/>
      <c r="AW836" s="278"/>
      <c r="AX836" s="278"/>
      <c r="AY836" s="278"/>
      <c r="AZ836" s="278"/>
      <c r="BA836" s="278"/>
      <c r="BB836" s="278"/>
      <c r="BC836" s="278"/>
      <c r="BD836" s="278"/>
    </row>
    <row r="837" spans="1:56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196"/>
      <c r="S837" s="196"/>
      <c r="T837" s="196"/>
      <c r="U837" s="278"/>
      <c r="V837" s="278"/>
      <c r="W837" s="278"/>
      <c r="X837" s="278"/>
      <c r="Y837" s="278"/>
      <c r="Z837" s="278"/>
      <c r="AA837" s="278"/>
      <c r="AB837" s="278"/>
      <c r="AC837" s="278"/>
      <c r="AD837" s="278"/>
      <c r="AE837" s="278"/>
      <c r="AF837" s="278"/>
      <c r="AG837" s="278"/>
      <c r="AH837" s="278"/>
      <c r="AI837" s="278"/>
      <c r="AJ837" s="278"/>
      <c r="AK837" s="278"/>
      <c r="AL837" s="278"/>
      <c r="AM837" s="278"/>
      <c r="AN837" s="278"/>
      <c r="AO837" s="278"/>
      <c r="AP837" s="278"/>
      <c r="AQ837" s="278"/>
      <c r="AR837" s="278"/>
      <c r="AS837" s="278"/>
      <c r="AT837" s="278"/>
      <c r="AU837" s="278"/>
      <c r="AV837" s="278"/>
      <c r="AW837" s="278"/>
      <c r="AX837" s="278"/>
      <c r="AY837" s="278"/>
      <c r="AZ837" s="278"/>
      <c r="BA837" s="278"/>
      <c r="BB837" s="278"/>
      <c r="BC837" s="278"/>
      <c r="BD837" s="278"/>
    </row>
    <row r="838" spans="1:56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196"/>
      <c r="S838" s="196"/>
      <c r="T838" s="196"/>
      <c r="U838" s="278"/>
      <c r="V838" s="278"/>
      <c r="W838" s="278"/>
      <c r="X838" s="278"/>
      <c r="Y838" s="278"/>
      <c r="Z838" s="278"/>
      <c r="AA838" s="278"/>
      <c r="AB838" s="278"/>
      <c r="AC838" s="278"/>
      <c r="AD838" s="278"/>
      <c r="AE838" s="278"/>
      <c r="AF838" s="278"/>
      <c r="AG838" s="278"/>
      <c r="AH838" s="278"/>
      <c r="AI838" s="278"/>
      <c r="AJ838" s="278"/>
      <c r="AK838" s="278"/>
      <c r="AL838" s="278"/>
      <c r="AM838" s="278"/>
      <c r="AN838" s="278"/>
      <c r="AO838" s="278"/>
      <c r="AP838" s="278"/>
      <c r="AQ838" s="278"/>
      <c r="AR838" s="278"/>
      <c r="AS838" s="278"/>
      <c r="AT838" s="278"/>
      <c r="AU838" s="278"/>
      <c r="AV838" s="278"/>
      <c r="AW838" s="278"/>
      <c r="AX838" s="278"/>
      <c r="AY838" s="278"/>
      <c r="AZ838" s="278"/>
      <c r="BA838" s="278"/>
      <c r="BB838" s="278"/>
      <c r="BC838" s="278"/>
      <c r="BD838" s="278"/>
    </row>
    <row r="839" spans="1:56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196"/>
      <c r="S839" s="196"/>
      <c r="T839" s="196"/>
      <c r="U839" s="278"/>
      <c r="V839" s="278"/>
      <c r="W839" s="278"/>
      <c r="X839" s="278"/>
      <c r="Y839" s="278"/>
      <c r="Z839" s="278"/>
      <c r="AA839" s="278"/>
      <c r="AB839" s="278"/>
      <c r="AC839" s="278"/>
      <c r="AD839" s="278"/>
      <c r="AE839" s="278"/>
      <c r="AF839" s="278"/>
      <c r="AG839" s="278"/>
      <c r="AH839" s="278"/>
      <c r="AI839" s="278"/>
      <c r="AJ839" s="278"/>
      <c r="AK839" s="278"/>
      <c r="AL839" s="278"/>
      <c r="AM839" s="278"/>
      <c r="AN839" s="278"/>
      <c r="AO839" s="278"/>
      <c r="AP839" s="278"/>
      <c r="AQ839" s="278"/>
      <c r="AR839" s="278"/>
      <c r="AS839" s="278"/>
      <c r="AT839" s="278"/>
      <c r="AU839" s="278"/>
      <c r="AV839" s="278"/>
      <c r="AW839" s="278"/>
      <c r="AX839" s="278"/>
      <c r="AY839" s="278"/>
      <c r="AZ839" s="278"/>
      <c r="BA839" s="278"/>
      <c r="BB839" s="278"/>
      <c r="BC839" s="278"/>
      <c r="BD839" s="278"/>
    </row>
    <row r="840" spans="1:56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196"/>
      <c r="S840" s="196"/>
      <c r="T840" s="196"/>
      <c r="U840" s="278"/>
      <c r="V840" s="278"/>
      <c r="W840" s="278"/>
      <c r="X840" s="278"/>
      <c r="Y840" s="278"/>
      <c r="Z840" s="278"/>
      <c r="AA840" s="278"/>
      <c r="AB840" s="278"/>
      <c r="AC840" s="278"/>
      <c r="AD840" s="278"/>
      <c r="AE840" s="278"/>
      <c r="AF840" s="278"/>
      <c r="AG840" s="278"/>
      <c r="AH840" s="278"/>
      <c r="AI840" s="278"/>
      <c r="AJ840" s="278"/>
      <c r="AK840" s="278"/>
      <c r="AL840" s="278"/>
      <c r="AM840" s="278"/>
      <c r="AN840" s="278"/>
      <c r="AO840" s="278"/>
      <c r="AP840" s="278"/>
      <c r="AQ840" s="278"/>
      <c r="AR840" s="278"/>
      <c r="AS840" s="278"/>
      <c r="AT840" s="278"/>
      <c r="AU840" s="278"/>
      <c r="AV840" s="278"/>
      <c r="AW840" s="278"/>
      <c r="AX840" s="278"/>
      <c r="AY840" s="278"/>
      <c r="AZ840" s="278"/>
      <c r="BA840" s="278"/>
      <c r="BB840" s="278"/>
      <c r="BC840" s="278"/>
      <c r="BD840" s="278"/>
    </row>
    <row r="841" spans="1:56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196"/>
      <c r="S841" s="196"/>
      <c r="T841" s="196"/>
      <c r="U841" s="278"/>
      <c r="V841" s="278"/>
      <c r="W841" s="278"/>
      <c r="X841" s="278"/>
      <c r="Y841" s="278"/>
      <c r="Z841" s="278"/>
      <c r="AA841" s="278"/>
      <c r="AB841" s="278"/>
      <c r="AC841" s="278"/>
      <c r="AD841" s="278"/>
      <c r="AE841" s="278"/>
      <c r="AF841" s="278"/>
      <c r="AG841" s="278"/>
      <c r="AH841" s="278"/>
      <c r="AI841" s="278"/>
      <c r="AJ841" s="278"/>
      <c r="AK841" s="278"/>
      <c r="AL841" s="278"/>
      <c r="AM841" s="278"/>
      <c r="AN841" s="278"/>
      <c r="AO841" s="278"/>
      <c r="AP841" s="278"/>
      <c r="AQ841" s="278"/>
      <c r="AR841" s="278"/>
      <c r="AS841" s="278"/>
      <c r="AT841" s="278"/>
      <c r="AU841" s="278"/>
      <c r="AV841" s="278"/>
      <c r="AW841" s="278"/>
      <c r="AX841" s="278"/>
      <c r="AY841" s="278"/>
      <c r="AZ841" s="278"/>
      <c r="BA841" s="278"/>
      <c r="BB841" s="278"/>
      <c r="BC841" s="278"/>
      <c r="BD841" s="278"/>
    </row>
    <row r="842" spans="1:56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196"/>
      <c r="S842" s="196"/>
      <c r="T842" s="196"/>
      <c r="U842" s="278"/>
      <c r="V842" s="278"/>
      <c r="W842" s="278"/>
      <c r="X842" s="278"/>
      <c r="Y842" s="278"/>
      <c r="Z842" s="278"/>
      <c r="AA842" s="278"/>
      <c r="AB842" s="278"/>
      <c r="AC842" s="278"/>
      <c r="AD842" s="278"/>
      <c r="AE842" s="278"/>
      <c r="AF842" s="278"/>
      <c r="AG842" s="278"/>
      <c r="AH842" s="278"/>
      <c r="AI842" s="278"/>
      <c r="AJ842" s="278"/>
      <c r="AK842" s="278"/>
      <c r="AL842" s="278"/>
      <c r="AM842" s="278"/>
      <c r="AN842" s="278"/>
      <c r="AO842" s="278"/>
      <c r="AP842" s="278"/>
      <c r="AQ842" s="278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</row>
    <row r="843" spans="1:56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196"/>
      <c r="S843" s="196"/>
      <c r="T843" s="196"/>
      <c r="U843" s="278"/>
      <c r="V843" s="278"/>
      <c r="W843" s="278"/>
      <c r="X843" s="278"/>
      <c r="Y843" s="278"/>
      <c r="Z843" s="278"/>
      <c r="AA843" s="278"/>
      <c r="AB843" s="278"/>
      <c r="AC843" s="278"/>
      <c r="AD843" s="278"/>
      <c r="AE843" s="278"/>
      <c r="AF843" s="278"/>
      <c r="AG843" s="278"/>
      <c r="AH843" s="278"/>
      <c r="AI843" s="278"/>
      <c r="AJ843" s="278"/>
      <c r="AK843" s="278"/>
      <c r="AL843" s="278"/>
      <c r="AM843" s="278"/>
      <c r="AN843" s="278"/>
      <c r="AO843" s="278"/>
      <c r="AP843" s="278"/>
      <c r="AQ843" s="278"/>
      <c r="AR843" s="278"/>
      <c r="AS843" s="278"/>
      <c r="AT843" s="278"/>
      <c r="AU843" s="278"/>
      <c r="AV843" s="278"/>
      <c r="AW843" s="278"/>
      <c r="AX843" s="278"/>
      <c r="AY843" s="278"/>
      <c r="AZ843" s="278"/>
      <c r="BA843" s="278"/>
      <c r="BB843" s="278"/>
      <c r="BC843" s="278"/>
      <c r="BD843" s="278"/>
    </row>
    <row r="844" spans="1:56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196"/>
      <c r="S844" s="196"/>
      <c r="T844" s="196"/>
      <c r="U844" s="278"/>
      <c r="V844" s="278"/>
      <c r="W844" s="278"/>
      <c r="X844" s="278"/>
      <c r="Y844" s="278"/>
      <c r="Z844" s="278"/>
      <c r="AA844" s="278"/>
      <c r="AB844" s="278"/>
      <c r="AC844" s="278"/>
      <c r="AD844" s="278"/>
      <c r="AE844" s="278"/>
      <c r="AF844" s="278"/>
      <c r="AG844" s="278"/>
      <c r="AH844" s="278"/>
      <c r="AI844" s="278"/>
      <c r="AJ844" s="278"/>
      <c r="AK844" s="278"/>
      <c r="AL844" s="278"/>
      <c r="AM844" s="278"/>
      <c r="AN844" s="278"/>
      <c r="AO844" s="278"/>
      <c r="AP844" s="278"/>
      <c r="AQ844" s="278"/>
      <c r="AR844" s="278"/>
      <c r="AS844" s="278"/>
      <c r="AT844" s="278"/>
      <c r="AU844" s="278"/>
      <c r="AV844" s="278"/>
      <c r="AW844" s="278"/>
      <c r="AX844" s="278"/>
      <c r="AY844" s="278"/>
      <c r="AZ844" s="278"/>
      <c r="BA844" s="278"/>
      <c r="BB844" s="278"/>
      <c r="BC844" s="278"/>
      <c r="BD844" s="278"/>
    </row>
    <row r="845" spans="1:56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196"/>
      <c r="S845" s="196"/>
      <c r="T845" s="196"/>
      <c r="U845" s="278"/>
      <c r="V845" s="278"/>
      <c r="W845" s="278"/>
      <c r="X845" s="278"/>
      <c r="Y845" s="278"/>
      <c r="Z845" s="278"/>
      <c r="AA845" s="278"/>
      <c r="AB845" s="278"/>
      <c r="AC845" s="278"/>
      <c r="AD845" s="278"/>
      <c r="AE845" s="278"/>
      <c r="AF845" s="278"/>
      <c r="AG845" s="278"/>
      <c r="AH845" s="278"/>
      <c r="AI845" s="278"/>
      <c r="AJ845" s="278"/>
      <c r="AK845" s="278"/>
      <c r="AL845" s="278"/>
      <c r="AM845" s="278"/>
      <c r="AN845" s="278"/>
      <c r="AO845" s="278"/>
      <c r="AP845" s="278"/>
      <c r="AQ845" s="278"/>
      <c r="AR845" s="278"/>
      <c r="AS845" s="278"/>
      <c r="AT845" s="278"/>
      <c r="AU845" s="278"/>
      <c r="AV845" s="278"/>
      <c r="AW845" s="278"/>
      <c r="AX845" s="278"/>
      <c r="AY845" s="278"/>
      <c r="AZ845" s="278"/>
      <c r="BA845" s="278"/>
      <c r="BB845" s="278"/>
      <c r="BC845" s="278"/>
      <c r="BD845" s="278"/>
    </row>
    <row r="846" spans="1:56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196"/>
      <c r="S846" s="196"/>
      <c r="T846" s="196"/>
      <c r="U846" s="278"/>
      <c r="V846" s="278"/>
      <c r="W846" s="278"/>
      <c r="X846" s="278"/>
      <c r="Y846" s="278"/>
      <c r="Z846" s="278"/>
      <c r="AA846" s="278"/>
      <c r="AB846" s="278"/>
      <c r="AC846" s="278"/>
      <c r="AD846" s="278"/>
      <c r="AE846" s="278"/>
      <c r="AF846" s="278"/>
      <c r="AG846" s="278"/>
      <c r="AH846" s="278"/>
      <c r="AI846" s="278"/>
      <c r="AJ846" s="278"/>
      <c r="AK846" s="278"/>
      <c r="AL846" s="278"/>
      <c r="AM846" s="278"/>
      <c r="AN846" s="278"/>
      <c r="AO846" s="278"/>
      <c r="AP846" s="278"/>
      <c r="AQ846" s="278"/>
      <c r="AR846" s="278"/>
      <c r="AS846" s="278"/>
      <c r="AT846" s="278"/>
      <c r="AU846" s="278"/>
      <c r="AV846" s="278"/>
      <c r="AW846" s="278"/>
      <c r="AX846" s="278"/>
      <c r="AY846" s="278"/>
      <c r="AZ846" s="278"/>
      <c r="BA846" s="278"/>
      <c r="BB846" s="278"/>
      <c r="BC846" s="278"/>
      <c r="BD846" s="278"/>
    </row>
    <row r="847" spans="1:56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196"/>
      <c r="S847" s="196"/>
      <c r="T847" s="196"/>
      <c r="U847" s="278"/>
      <c r="V847" s="278"/>
      <c r="W847" s="278"/>
      <c r="X847" s="278"/>
      <c r="Y847" s="278"/>
      <c r="Z847" s="278"/>
      <c r="AA847" s="278"/>
      <c r="AB847" s="278"/>
      <c r="AC847" s="278"/>
      <c r="AD847" s="278"/>
      <c r="AE847" s="278"/>
      <c r="AF847" s="278"/>
      <c r="AG847" s="278"/>
      <c r="AH847" s="278"/>
      <c r="AI847" s="278"/>
      <c r="AJ847" s="278"/>
      <c r="AK847" s="278"/>
      <c r="AL847" s="278"/>
      <c r="AM847" s="278"/>
      <c r="AN847" s="278"/>
      <c r="AO847" s="278"/>
      <c r="AP847" s="278"/>
      <c r="AQ847" s="278"/>
      <c r="AR847" s="278"/>
      <c r="AS847" s="278"/>
      <c r="AT847" s="278"/>
      <c r="AU847" s="278"/>
      <c r="AV847" s="278"/>
      <c r="AW847" s="278"/>
      <c r="AX847" s="278"/>
      <c r="AY847" s="278"/>
      <c r="AZ847" s="278"/>
      <c r="BA847" s="278"/>
      <c r="BB847" s="278"/>
      <c r="BC847" s="278"/>
      <c r="BD847" s="278"/>
    </row>
    <row r="848" spans="1:56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196"/>
      <c r="S848" s="196"/>
      <c r="T848" s="196"/>
      <c r="U848" s="278"/>
      <c r="V848" s="278"/>
      <c r="W848" s="278"/>
      <c r="X848" s="278"/>
      <c r="Y848" s="278"/>
      <c r="Z848" s="278"/>
      <c r="AA848" s="278"/>
      <c r="AB848" s="278"/>
      <c r="AC848" s="278"/>
      <c r="AD848" s="278"/>
      <c r="AE848" s="278"/>
      <c r="AF848" s="278"/>
      <c r="AG848" s="278"/>
      <c r="AH848" s="278"/>
      <c r="AI848" s="278"/>
      <c r="AJ848" s="278"/>
      <c r="AK848" s="278"/>
      <c r="AL848" s="278"/>
      <c r="AM848" s="278"/>
      <c r="AN848" s="278"/>
      <c r="AO848" s="278"/>
      <c r="AP848" s="278"/>
      <c r="AQ848" s="278"/>
      <c r="AR848" s="278"/>
      <c r="AS848" s="278"/>
      <c r="AT848" s="278"/>
      <c r="AU848" s="278"/>
      <c r="AV848" s="278"/>
      <c r="AW848" s="278"/>
      <c r="AX848" s="278"/>
      <c r="AY848" s="278"/>
      <c r="AZ848" s="278"/>
      <c r="BA848" s="278"/>
      <c r="BB848" s="278"/>
      <c r="BC848" s="278"/>
      <c r="BD848" s="278"/>
    </row>
    <row r="849" spans="1:56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196"/>
      <c r="S849" s="196"/>
      <c r="T849" s="196"/>
      <c r="U849" s="278"/>
      <c r="V849" s="278"/>
      <c r="W849" s="278"/>
      <c r="X849" s="278"/>
      <c r="Y849" s="278"/>
      <c r="Z849" s="278"/>
      <c r="AA849" s="278"/>
      <c r="AB849" s="278"/>
      <c r="AC849" s="278"/>
      <c r="AD849" s="278"/>
      <c r="AE849" s="278"/>
      <c r="AF849" s="278"/>
      <c r="AG849" s="278"/>
      <c r="AH849" s="278"/>
      <c r="AI849" s="278"/>
      <c r="AJ849" s="278"/>
      <c r="AK849" s="278"/>
      <c r="AL849" s="278"/>
      <c r="AM849" s="278"/>
      <c r="AN849" s="278"/>
      <c r="AO849" s="278"/>
      <c r="AP849" s="278"/>
      <c r="AQ849" s="278"/>
      <c r="AR849" s="278"/>
      <c r="AS849" s="278"/>
      <c r="AT849" s="278"/>
      <c r="AU849" s="278"/>
      <c r="AV849" s="278"/>
      <c r="AW849" s="278"/>
      <c r="AX849" s="278"/>
      <c r="AY849" s="278"/>
      <c r="AZ849" s="278"/>
      <c r="BA849" s="278"/>
      <c r="BB849" s="278"/>
      <c r="BC849" s="278"/>
      <c r="BD849" s="278"/>
    </row>
    <row r="850" spans="1:56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196"/>
      <c r="S850" s="196"/>
      <c r="T850" s="196"/>
      <c r="U850" s="278"/>
      <c r="V850" s="278"/>
      <c r="W850" s="278"/>
      <c r="X850" s="278"/>
      <c r="Y850" s="278"/>
      <c r="Z850" s="278"/>
      <c r="AA850" s="278"/>
      <c r="AB850" s="278"/>
      <c r="AC850" s="278"/>
      <c r="AD850" s="278"/>
      <c r="AE850" s="278"/>
      <c r="AF850" s="278"/>
      <c r="AG850" s="278"/>
      <c r="AH850" s="278"/>
      <c r="AI850" s="278"/>
      <c r="AJ850" s="278"/>
      <c r="AK850" s="278"/>
      <c r="AL850" s="278"/>
      <c r="AM850" s="278"/>
      <c r="AN850" s="278"/>
      <c r="AO850" s="278"/>
      <c r="AP850" s="278"/>
      <c r="AQ850" s="278"/>
      <c r="AR850" s="278"/>
      <c r="AS850" s="278"/>
      <c r="AT850" s="278"/>
      <c r="AU850" s="278"/>
      <c r="AV850" s="278"/>
      <c r="AW850" s="278"/>
      <c r="AX850" s="278"/>
      <c r="AY850" s="278"/>
      <c r="AZ850" s="278"/>
      <c r="BA850" s="278"/>
      <c r="BB850" s="278"/>
      <c r="BC850" s="278"/>
      <c r="BD850" s="278"/>
    </row>
    <row r="851" spans="1:56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196"/>
      <c r="S851" s="196"/>
      <c r="T851" s="196"/>
      <c r="U851" s="278"/>
      <c r="V851" s="278"/>
      <c r="W851" s="278"/>
      <c r="X851" s="278"/>
      <c r="Y851" s="278"/>
      <c r="Z851" s="278"/>
      <c r="AA851" s="278"/>
      <c r="AB851" s="278"/>
      <c r="AC851" s="278"/>
      <c r="AD851" s="278"/>
      <c r="AE851" s="278"/>
      <c r="AF851" s="278"/>
      <c r="AG851" s="278"/>
      <c r="AH851" s="278"/>
      <c r="AI851" s="278"/>
      <c r="AJ851" s="278"/>
      <c r="AK851" s="278"/>
      <c r="AL851" s="278"/>
      <c r="AM851" s="278"/>
      <c r="AN851" s="278"/>
      <c r="AO851" s="278"/>
      <c r="AP851" s="278"/>
      <c r="AQ851" s="278"/>
      <c r="AR851" s="278"/>
      <c r="AS851" s="278"/>
      <c r="AT851" s="278"/>
      <c r="AU851" s="278"/>
      <c r="AV851" s="278"/>
      <c r="AW851" s="278"/>
      <c r="AX851" s="278"/>
      <c r="AY851" s="278"/>
      <c r="AZ851" s="278"/>
      <c r="BA851" s="278"/>
      <c r="BB851" s="278"/>
      <c r="BC851" s="278"/>
      <c r="BD851" s="278"/>
    </row>
    <row r="852" spans="1:56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196"/>
      <c r="S852" s="196"/>
      <c r="T852" s="196"/>
      <c r="U852" s="278"/>
      <c r="V852" s="278"/>
      <c r="W852" s="278"/>
      <c r="X852" s="278"/>
      <c r="Y852" s="278"/>
      <c r="Z852" s="278"/>
      <c r="AA852" s="278"/>
      <c r="AB852" s="278"/>
      <c r="AC852" s="278"/>
      <c r="AD852" s="278"/>
      <c r="AE852" s="278"/>
      <c r="AF852" s="278"/>
      <c r="AG852" s="278"/>
      <c r="AH852" s="278"/>
      <c r="AI852" s="278"/>
      <c r="AJ852" s="278"/>
      <c r="AK852" s="278"/>
      <c r="AL852" s="278"/>
      <c r="AM852" s="278"/>
      <c r="AN852" s="278"/>
      <c r="AO852" s="278"/>
      <c r="AP852" s="278"/>
      <c r="AQ852" s="278"/>
      <c r="AR852" s="278"/>
      <c r="AS852" s="278"/>
      <c r="AT852" s="278"/>
      <c r="AU852" s="278"/>
      <c r="AV852" s="278"/>
      <c r="AW852" s="278"/>
      <c r="AX852" s="278"/>
      <c r="AY852" s="278"/>
      <c r="AZ852" s="278"/>
      <c r="BA852" s="278"/>
      <c r="BB852" s="278"/>
      <c r="BC852" s="278"/>
      <c r="BD852" s="278"/>
    </row>
    <row r="853" spans="1:56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196"/>
      <c r="S853" s="196"/>
      <c r="T853" s="196"/>
      <c r="U853" s="278"/>
      <c r="V853" s="278"/>
      <c r="W853" s="278"/>
      <c r="X853" s="278"/>
      <c r="Y853" s="278"/>
      <c r="Z853" s="278"/>
      <c r="AA853" s="278"/>
      <c r="AB853" s="278"/>
      <c r="AC853" s="278"/>
      <c r="AD853" s="278"/>
      <c r="AE853" s="278"/>
      <c r="AF853" s="278"/>
      <c r="AG853" s="278"/>
      <c r="AH853" s="278"/>
      <c r="AI853" s="278"/>
      <c r="AJ853" s="278"/>
      <c r="AK853" s="278"/>
      <c r="AL853" s="278"/>
      <c r="AM853" s="278"/>
      <c r="AN853" s="278"/>
      <c r="AO853" s="278"/>
      <c r="AP853" s="278"/>
      <c r="AQ853" s="278"/>
      <c r="AR853" s="278"/>
      <c r="AS853" s="278"/>
      <c r="AT853" s="278"/>
      <c r="AU853" s="278"/>
      <c r="AV853" s="278"/>
      <c r="AW853" s="278"/>
      <c r="AX853" s="278"/>
      <c r="AY853" s="278"/>
      <c r="AZ853" s="278"/>
      <c r="BA853" s="278"/>
      <c r="BB853" s="278"/>
      <c r="BC853" s="278"/>
      <c r="BD853" s="278"/>
    </row>
    <row r="854" spans="1:56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196"/>
      <c r="S854" s="196"/>
      <c r="T854" s="196"/>
      <c r="U854" s="278"/>
      <c r="V854" s="278"/>
      <c r="W854" s="278"/>
      <c r="X854" s="278"/>
      <c r="Y854" s="278"/>
      <c r="Z854" s="278"/>
      <c r="AA854" s="278"/>
      <c r="AB854" s="278"/>
      <c r="AC854" s="278"/>
      <c r="AD854" s="278"/>
      <c r="AE854" s="278"/>
      <c r="AF854" s="278"/>
      <c r="AG854" s="278"/>
      <c r="AH854" s="278"/>
      <c r="AI854" s="278"/>
      <c r="AJ854" s="278"/>
      <c r="AK854" s="278"/>
      <c r="AL854" s="278"/>
      <c r="AM854" s="278"/>
      <c r="AN854" s="278"/>
      <c r="AO854" s="278"/>
      <c r="AP854" s="278"/>
      <c r="AQ854" s="278"/>
      <c r="AR854" s="278"/>
      <c r="AS854" s="278"/>
      <c r="AT854" s="278"/>
      <c r="AU854" s="278"/>
      <c r="AV854" s="278"/>
      <c r="AW854" s="278"/>
      <c r="AX854" s="278"/>
      <c r="AY854" s="278"/>
      <c r="AZ854" s="278"/>
      <c r="BA854" s="278"/>
      <c r="BB854" s="278"/>
      <c r="BC854" s="278"/>
      <c r="BD854" s="278"/>
    </row>
    <row r="855" spans="1:56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196"/>
      <c r="S855" s="196"/>
      <c r="T855" s="196"/>
      <c r="U855" s="278"/>
      <c r="V855" s="278"/>
      <c r="W855" s="278"/>
      <c r="X855" s="278"/>
      <c r="Y855" s="278"/>
      <c r="Z855" s="278"/>
      <c r="AA855" s="278"/>
      <c r="AB855" s="278"/>
      <c r="AC855" s="278"/>
      <c r="AD855" s="278"/>
      <c r="AE855" s="278"/>
      <c r="AF855" s="278"/>
      <c r="AG855" s="278"/>
      <c r="AH855" s="278"/>
      <c r="AI855" s="278"/>
      <c r="AJ855" s="278"/>
      <c r="AK855" s="278"/>
      <c r="AL855" s="278"/>
      <c r="AM855" s="278"/>
      <c r="AN855" s="278"/>
      <c r="AO855" s="278"/>
      <c r="AP855" s="278"/>
      <c r="AQ855" s="278"/>
      <c r="AR855" s="278"/>
      <c r="AS855" s="278"/>
      <c r="AT855" s="278"/>
      <c r="AU855" s="278"/>
      <c r="AV855" s="278"/>
      <c r="AW855" s="278"/>
      <c r="AX855" s="278"/>
      <c r="AY855" s="278"/>
      <c r="AZ855" s="278"/>
      <c r="BA855" s="278"/>
      <c r="BB855" s="278"/>
      <c r="BC855" s="278"/>
      <c r="BD855" s="278"/>
    </row>
    <row r="856" spans="1:56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196"/>
      <c r="S856" s="196"/>
      <c r="T856" s="196"/>
      <c r="U856" s="278"/>
      <c r="V856" s="278"/>
      <c r="W856" s="278"/>
      <c r="X856" s="278"/>
      <c r="Y856" s="278"/>
      <c r="Z856" s="278"/>
      <c r="AA856" s="278"/>
      <c r="AB856" s="278"/>
      <c r="AC856" s="278"/>
      <c r="AD856" s="278"/>
      <c r="AE856" s="278"/>
      <c r="AF856" s="278"/>
      <c r="AG856" s="278"/>
      <c r="AH856" s="278"/>
      <c r="AI856" s="278"/>
      <c r="AJ856" s="278"/>
      <c r="AK856" s="278"/>
      <c r="AL856" s="278"/>
      <c r="AM856" s="278"/>
      <c r="AN856" s="278"/>
      <c r="AO856" s="278"/>
      <c r="AP856" s="278"/>
      <c r="AQ856" s="278"/>
      <c r="AR856" s="278"/>
      <c r="AS856" s="278"/>
      <c r="AT856" s="278"/>
      <c r="AU856" s="278"/>
      <c r="AV856" s="278"/>
      <c r="AW856" s="278"/>
      <c r="AX856" s="278"/>
      <c r="AY856" s="278"/>
      <c r="AZ856" s="278"/>
      <c r="BA856" s="278"/>
      <c r="BB856" s="278"/>
      <c r="BC856" s="278"/>
      <c r="BD856" s="278"/>
    </row>
    <row r="857" spans="1:56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196"/>
      <c r="S857" s="196"/>
      <c r="T857" s="196"/>
      <c r="U857" s="278"/>
      <c r="V857" s="278"/>
      <c r="W857" s="278"/>
      <c r="X857" s="278"/>
      <c r="Y857" s="278"/>
      <c r="Z857" s="278"/>
      <c r="AA857" s="278"/>
      <c r="AB857" s="278"/>
      <c r="AC857" s="278"/>
      <c r="AD857" s="278"/>
      <c r="AE857" s="278"/>
      <c r="AF857" s="278"/>
      <c r="AG857" s="278"/>
      <c r="AH857" s="278"/>
      <c r="AI857" s="278"/>
      <c r="AJ857" s="278"/>
      <c r="AK857" s="278"/>
      <c r="AL857" s="278"/>
      <c r="AM857" s="278"/>
      <c r="AN857" s="278"/>
      <c r="AO857" s="278"/>
      <c r="AP857" s="278"/>
      <c r="AQ857" s="278"/>
      <c r="AR857" s="278"/>
      <c r="AS857" s="278"/>
      <c r="AT857" s="278"/>
      <c r="AU857" s="278"/>
      <c r="AV857" s="278"/>
      <c r="AW857" s="278"/>
      <c r="AX857" s="278"/>
      <c r="AY857" s="278"/>
      <c r="AZ857" s="278"/>
      <c r="BA857" s="278"/>
      <c r="BB857" s="278"/>
      <c r="BC857" s="278"/>
      <c r="BD857" s="278"/>
    </row>
    <row r="858" spans="1:56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196"/>
      <c r="S858" s="196"/>
      <c r="T858" s="196"/>
      <c r="U858" s="278"/>
      <c r="V858" s="278"/>
      <c r="W858" s="278"/>
      <c r="X858" s="278"/>
      <c r="Y858" s="278"/>
      <c r="Z858" s="278"/>
      <c r="AA858" s="278"/>
      <c r="AB858" s="278"/>
      <c r="AC858" s="278"/>
      <c r="AD858" s="278"/>
      <c r="AE858" s="278"/>
      <c r="AF858" s="278"/>
      <c r="AG858" s="278"/>
      <c r="AH858" s="278"/>
      <c r="AI858" s="278"/>
      <c r="AJ858" s="278"/>
      <c r="AK858" s="278"/>
      <c r="AL858" s="278"/>
      <c r="AM858" s="278"/>
      <c r="AN858" s="278"/>
      <c r="AO858" s="278"/>
      <c r="AP858" s="278"/>
      <c r="AQ858" s="278"/>
      <c r="AR858" s="278"/>
      <c r="AS858" s="278"/>
      <c r="AT858" s="278"/>
      <c r="AU858" s="278"/>
      <c r="AV858" s="278"/>
      <c r="AW858" s="278"/>
      <c r="AX858" s="278"/>
      <c r="AY858" s="278"/>
      <c r="AZ858" s="278"/>
      <c r="BA858" s="278"/>
      <c r="BB858" s="278"/>
      <c r="BC858" s="278"/>
      <c r="BD858" s="278"/>
    </row>
    <row r="859" spans="1:56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196"/>
      <c r="S859" s="196"/>
      <c r="T859" s="196"/>
      <c r="U859" s="278"/>
      <c r="V859" s="278"/>
      <c r="W859" s="278"/>
      <c r="X859" s="278"/>
      <c r="Y859" s="278"/>
      <c r="Z859" s="278"/>
      <c r="AA859" s="278"/>
      <c r="AB859" s="278"/>
      <c r="AC859" s="278"/>
      <c r="AD859" s="278"/>
      <c r="AE859" s="278"/>
      <c r="AF859" s="278"/>
      <c r="AG859" s="278"/>
      <c r="AH859" s="278"/>
      <c r="AI859" s="278"/>
      <c r="AJ859" s="278"/>
      <c r="AK859" s="278"/>
      <c r="AL859" s="278"/>
      <c r="AM859" s="278"/>
      <c r="AN859" s="278"/>
      <c r="AO859" s="278"/>
      <c r="AP859" s="278"/>
      <c r="AQ859" s="278"/>
      <c r="AR859" s="278"/>
      <c r="AS859" s="278"/>
      <c r="AT859" s="278"/>
      <c r="AU859" s="278"/>
      <c r="AV859" s="278"/>
      <c r="AW859" s="278"/>
      <c r="AX859" s="278"/>
      <c r="AY859" s="278"/>
      <c r="AZ859" s="278"/>
      <c r="BA859" s="278"/>
      <c r="BB859" s="278"/>
      <c r="BC859" s="278"/>
      <c r="BD859" s="278"/>
    </row>
    <row r="860" spans="1:56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196"/>
      <c r="S860" s="196"/>
      <c r="T860" s="196"/>
      <c r="U860" s="278"/>
      <c r="V860" s="278"/>
      <c r="W860" s="278"/>
      <c r="X860" s="278"/>
      <c r="Y860" s="278"/>
      <c r="Z860" s="278"/>
      <c r="AA860" s="278"/>
      <c r="AB860" s="278"/>
      <c r="AC860" s="278"/>
      <c r="AD860" s="278"/>
      <c r="AE860" s="278"/>
      <c r="AF860" s="278"/>
      <c r="AG860" s="278"/>
      <c r="AH860" s="278"/>
      <c r="AI860" s="278"/>
      <c r="AJ860" s="278"/>
      <c r="AK860" s="278"/>
      <c r="AL860" s="278"/>
      <c r="AM860" s="278"/>
      <c r="AN860" s="278"/>
      <c r="AO860" s="278"/>
      <c r="AP860" s="278"/>
      <c r="AQ860" s="278"/>
      <c r="AR860" s="278"/>
      <c r="AS860" s="278"/>
      <c r="AT860" s="278"/>
      <c r="AU860" s="278"/>
      <c r="AV860" s="278"/>
      <c r="AW860" s="278"/>
      <c r="AX860" s="278"/>
      <c r="AY860" s="278"/>
      <c r="AZ860" s="278"/>
      <c r="BA860" s="278"/>
      <c r="BB860" s="278"/>
      <c r="BC860" s="278"/>
      <c r="BD860" s="278"/>
    </row>
    <row r="861" spans="1:56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196"/>
      <c r="S861" s="196"/>
      <c r="T861" s="196"/>
      <c r="U861" s="278"/>
      <c r="V861" s="278"/>
      <c r="W861" s="278"/>
      <c r="X861" s="278"/>
      <c r="Y861" s="278"/>
      <c r="Z861" s="278"/>
      <c r="AA861" s="278"/>
      <c r="AB861" s="278"/>
      <c r="AC861" s="278"/>
      <c r="AD861" s="278"/>
      <c r="AE861" s="278"/>
      <c r="AF861" s="278"/>
      <c r="AG861" s="278"/>
      <c r="AH861" s="278"/>
      <c r="AI861" s="278"/>
      <c r="AJ861" s="278"/>
      <c r="AK861" s="278"/>
      <c r="AL861" s="278"/>
      <c r="AM861" s="278"/>
      <c r="AN861" s="278"/>
      <c r="AO861" s="278"/>
      <c r="AP861" s="278"/>
      <c r="AQ861" s="278"/>
      <c r="AR861" s="278"/>
      <c r="AS861" s="278"/>
      <c r="AT861" s="278"/>
      <c r="AU861" s="278"/>
      <c r="AV861" s="278"/>
      <c r="AW861" s="278"/>
      <c r="AX861" s="278"/>
      <c r="AY861" s="278"/>
      <c r="AZ861" s="278"/>
      <c r="BA861" s="278"/>
      <c r="BB861" s="278"/>
      <c r="BC861" s="278"/>
      <c r="BD861" s="278"/>
    </row>
    <row r="862" spans="1:56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196"/>
      <c r="S862" s="196"/>
      <c r="T862" s="196"/>
      <c r="U862" s="278"/>
      <c r="V862" s="278"/>
      <c r="W862" s="278"/>
      <c r="X862" s="278"/>
      <c r="Y862" s="278"/>
      <c r="Z862" s="278"/>
      <c r="AA862" s="278"/>
      <c r="AB862" s="278"/>
      <c r="AC862" s="278"/>
      <c r="AD862" s="278"/>
      <c r="AE862" s="278"/>
      <c r="AF862" s="278"/>
      <c r="AG862" s="278"/>
      <c r="AH862" s="278"/>
      <c r="AI862" s="278"/>
      <c r="AJ862" s="278"/>
      <c r="AK862" s="278"/>
      <c r="AL862" s="278"/>
      <c r="AM862" s="278"/>
      <c r="AN862" s="278"/>
      <c r="AO862" s="278"/>
      <c r="AP862" s="278"/>
      <c r="AQ862" s="278"/>
      <c r="AR862" s="278"/>
      <c r="AS862" s="278"/>
      <c r="AT862" s="278"/>
      <c r="AU862" s="278"/>
      <c r="AV862" s="278"/>
      <c r="AW862" s="278"/>
      <c r="AX862" s="278"/>
      <c r="AY862" s="278"/>
      <c r="AZ862" s="278"/>
      <c r="BA862" s="278"/>
      <c r="BB862" s="278"/>
      <c r="BC862" s="278"/>
      <c r="BD862" s="278"/>
    </row>
    <row r="863" spans="1:56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196"/>
      <c r="S863" s="196"/>
      <c r="T863" s="196"/>
      <c r="U863" s="278"/>
      <c r="V863" s="278"/>
      <c r="W863" s="278"/>
      <c r="X863" s="278"/>
      <c r="Y863" s="278"/>
      <c r="Z863" s="278"/>
      <c r="AA863" s="278"/>
      <c r="AB863" s="278"/>
      <c r="AC863" s="278"/>
      <c r="AD863" s="278"/>
      <c r="AE863" s="278"/>
      <c r="AF863" s="278"/>
      <c r="AG863" s="278"/>
      <c r="AH863" s="278"/>
      <c r="AI863" s="278"/>
      <c r="AJ863" s="278"/>
      <c r="AK863" s="278"/>
      <c r="AL863" s="278"/>
      <c r="AM863" s="278"/>
      <c r="AN863" s="278"/>
      <c r="AO863" s="278"/>
      <c r="AP863" s="278"/>
      <c r="AQ863" s="278"/>
      <c r="AR863" s="278"/>
      <c r="AS863" s="278"/>
      <c r="AT863" s="278"/>
      <c r="AU863" s="278"/>
      <c r="AV863" s="278"/>
      <c r="AW863" s="278"/>
      <c r="AX863" s="278"/>
      <c r="AY863" s="278"/>
      <c r="AZ863" s="278"/>
      <c r="BA863" s="278"/>
      <c r="BB863" s="278"/>
      <c r="BC863" s="278"/>
      <c r="BD863" s="278"/>
    </row>
    <row r="864" spans="1:56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196"/>
      <c r="S864" s="196"/>
      <c r="T864" s="196"/>
      <c r="U864" s="278"/>
      <c r="V864" s="278"/>
      <c r="W864" s="278"/>
      <c r="X864" s="278"/>
      <c r="Y864" s="278"/>
      <c r="Z864" s="278"/>
      <c r="AA864" s="278"/>
      <c r="AB864" s="278"/>
      <c r="AC864" s="278"/>
      <c r="AD864" s="278"/>
      <c r="AE864" s="278"/>
      <c r="AF864" s="278"/>
      <c r="AG864" s="278"/>
      <c r="AH864" s="278"/>
      <c r="AI864" s="278"/>
      <c r="AJ864" s="278"/>
      <c r="AK864" s="278"/>
      <c r="AL864" s="278"/>
      <c r="AM864" s="278"/>
      <c r="AN864" s="278"/>
      <c r="AO864" s="278"/>
      <c r="AP864" s="278"/>
      <c r="AQ864" s="278"/>
      <c r="AR864" s="278"/>
      <c r="AS864" s="278"/>
      <c r="AT864" s="278"/>
      <c r="AU864" s="278"/>
      <c r="AV864" s="278"/>
      <c r="AW864" s="278"/>
      <c r="AX864" s="278"/>
      <c r="AY864" s="278"/>
      <c r="AZ864" s="278"/>
      <c r="BA864" s="278"/>
      <c r="BB864" s="278"/>
      <c r="BC864" s="278"/>
      <c r="BD864" s="278"/>
    </row>
    <row r="865" spans="1:56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196"/>
      <c r="S865" s="196"/>
      <c r="T865" s="196"/>
      <c r="U865" s="278"/>
      <c r="V865" s="278"/>
      <c r="W865" s="278"/>
      <c r="X865" s="278"/>
      <c r="Y865" s="278"/>
      <c r="Z865" s="278"/>
      <c r="AA865" s="278"/>
      <c r="AB865" s="278"/>
      <c r="AC865" s="278"/>
      <c r="AD865" s="278"/>
      <c r="AE865" s="278"/>
      <c r="AF865" s="278"/>
      <c r="AG865" s="278"/>
      <c r="AH865" s="278"/>
      <c r="AI865" s="278"/>
      <c r="AJ865" s="278"/>
      <c r="AK865" s="278"/>
      <c r="AL865" s="278"/>
      <c r="AM865" s="278"/>
      <c r="AN865" s="278"/>
      <c r="AO865" s="278"/>
      <c r="AP865" s="278"/>
      <c r="AQ865" s="278"/>
      <c r="AR865" s="278"/>
      <c r="AS865" s="278"/>
      <c r="AT865" s="278"/>
      <c r="AU865" s="278"/>
      <c r="AV865" s="278"/>
      <c r="AW865" s="278"/>
      <c r="AX865" s="278"/>
      <c r="AY865" s="278"/>
      <c r="AZ865" s="278"/>
      <c r="BA865" s="278"/>
      <c r="BB865" s="278"/>
      <c r="BC865" s="278"/>
      <c r="BD865" s="278"/>
    </row>
    <row r="866" spans="1:56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196"/>
      <c r="S866" s="196"/>
      <c r="T866" s="196"/>
      <c r="U866" s="278"/>
      <c r="V866" s="278"/>
      <c r="W866" s="278"/>
      <c r="X866" s="278"/>
      <c r="Y866" s="278"/>
      <c r="Z866" s="278"/>
      <c r="AA866" s="278"/>
      <c r="AB866" s="278"/>
      <c r="AC866" s="278"/>
      <c r="AD866" s="278"/>
      <c r="AE866" s="278"/>
      <c r="AF866" s="278"/>
      <c r="AG866" s="278"/>
      <c r="AH866" s="278"/>
      <c r="AI866" s="278"/>
      <c r="AJ866" s="278"/>
      <c r="AK866" s="278"/>
      <c r="AL866" s="278"/>
      <c r="AM866" s="278"/>
      <c r="AN866" s="278"/>
      <c r="AO866" s="278"/>
      <c r="AP866" s="278"/>
      <c r="AQ866" s="278"/>
      <c r="AR866" s="278"/>
      <c r="AS866" s="278"/>
      <c r="AT866" s="278"/>
      <c r="AU866" s="278"/>
      <c r="AV866" s="278"/>
      <c r="AW866" s="278"/>
      <c r="AX866" s="278"/>
      <c r="AY866" s="278"/>
      <c r="AZ866" s="278"/>
      <c r="BA866" s="278"/>
      <c r="BB866" s="278"/>
      <c r="BC866" s="278"/>
      <c r="BD866" s="278"/>
    </row>
    <row r="867" spans="1:56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196"/>
      <c r="S867" s="196"/>
      <c r="T867" s="196"/>
      <c r="U867" s="278"/>
      <c r="V867" s="278"/>
      <c r="W867" s="278"/>
      <c r="X867" s="278"/>
      <c r="Y867" s="278"/>
      <c r="Z867" s="278"/>
      <c r="AA867" s="278"/>
      <c r="AB867" s="278"/>
      <c r="AC867" s="278"/>
      <c r="AD867" s="278"/>
      <c r="AE867" s="278"/>
      <c r="AF867" s="278"/>
      <c r="AG867" s="278"/>
      <c r="AH867" s="278"/>
      <c r="AI867" s="278"/>
      <c r="AJ867" s="278"/>
      <c r="AK867" s="278"/>
      <c r="AL867" s="278"/>
      <c r="AM867" s="278"/>
      <c r="AN867" s="278"/>
      <c r="AO867" s="278"/>
      <c r="AP867" s="278"/>
      <c r="AQ867" s="278"/>
      <c r="AR867" s="278"/>
      <c r="AS867" s="278"/>
      <c r="AT867" s="278"/>
      <c r="AU867" s="278"/>
      <c r="AV867" s="278"/>
      <c r="AW867" s="278"/>
      <c r="AX867" s="278"/>
      <c r="AY867" s="278"/>
      <c r="AZ867" s="278"/>
      <c r="BA867" s="278"/>
      <c r="BB867" s="278"/>
      <c r="BC867" s="278"/>
      <c r="BD867" s="278"/>
    </row>
    <row r="868" spans="1:56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196"/>
      <c r="S868" s="196"/>
      <c r="T868" s="196"/>
      <c r="U868" s="278"/>
      <c r="V868" s="278"/>
      <c r="W868" s="278"/>
      <c r="X868" s="278"/>
      <c r="Y868" s="278"/>
      <c r="Z868" s="278"/>
      <c r="AA868" s="278"/>
      <c r="AB868" s="278"/>
      <c r="AC868" s="278"/>
      <c r="AD868" s="278"/>
      <c r="AE868" s="278"/>
      <c r="AF868" s="278"/>
      <c r="AG868" s="278"/>
      <c r="AH868" s="278"/>
      <c r="AI868" s="278"/>
      <c r="AJ868" s="278"/>
      <c r="AK868" s="278"/>
      <c r="AL868" s="278"/>
      <c r="AM868" s="278"/>
      <c r="AN868" s="278"/>
      <c r="AO868" s="278"/>
      <c r="AP868" s="278"/>
      <c r="AQ868" s="278"/>
      <c r="AR868" s="278"/>
      <c r="AS868" s="278"/>
      <c r="AT868" s="278"/>
      <c r="AU868" s="278"/>
      <c r="AV868" s="278"/>
      <c r="AW868" s="278"/>
      <c r="AX868" s="278"/>
      <c r="AY868" s="278"/>
      <c r="AZ868" s="278"/>
      <c r="BA868" s="278"/>
      <c r="BB868" s="278"/>
      <c r="BC868" s="278"/>
      <c r="BD868" s="278"/>
    </row>
    <row r="869" spans="1:56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196"/>
      <c r="S869" s="196"/>
      <c r="T869" s="196"/>
      <c r="U869" s="278"/>
      <c r="V869" s="278"/>
      <c r="W869" s="278"/>
      <c r="X869" s="278"/>
      <c r="Y869" s="278"/>
      <c r="Z869" s="278"/>
      <c r="AA869" s="278"/>
      <c r="AB869" s="278"/>
      <c r="AC869" s="278"/>
      <c r="AD869" s="278"/>
      <c r="AE869" s="278"/>
      <c r="AF869" s="278"/>
      <c r="AG869" s="278"/>
      <c r="AH869" s="278"/>
      <c r="AI869" s="278"/>
      <c r="AJ869" s="278"/>
      <c r="AK869" s="278"/>
      <c r="AL869" s="278"/>
      <c r="AM869" s="278"/>
      <c r="AN869" s="278"/>
      <c r="AO869" s="278"/>
      <c r="AP869" s="278"/>
      <c r="AQ869" s="278"/>
      <c r="AR869" s="278"/>
      <c r="AS869" s="278"/>
      <c r="AT869" s="278"/>
      <c r="AU869" s="278"/>
      <c r="AV869" s="278"/>
      <c r="AW869" s="278"/>
      <c r="AX869" s="278"/>
      <c r="AY869" s="278"/>
      <c r="AZ869" s="278"/>
      <c r="BA869" s="278"/>
      <c r="BB869" s="278"/>
      <c r="BC869" s="278"/>
      <c r="BD869" s="278"/>
    </row>
    <row r="870" spans="1:56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196"/>
      <c r="S870" s="196"/>
      <c r="T870" s="196"/>
      <c r="U870" s="278"/>
      <c r="V870" s="278"/>
      <c r="W870" s="278"/>
      <c r="X870" s="278"/>
      <c r="Y870" s="278"/>
      <c r="Z870" s="278"/>
      <c r="AA870" s="278"/>
      <c r="AB870" s="278"/>
      <c r="AC870" s="278"/>
      <c r="AD870" s="278"/>
      <c r="AE870" s="278"/>
      <c r="AF870" s="278"/>
      <c r="AG870" s="278"/>
      <c r="AH870" s="278"/>
      <c r="AI870" s="278"/>
      <c r="AJ870" s="278"/>
      <c r="AK870" s="278"/>
      <c r="AL870" s="278"/>
      <c r="AM870" s="278"/>
      <c r="AN870" s="278"/>
      <c r="AO870" s="278"/>
      <c r="AP870" s="278"/>
      <c r="AQ870" s="278"/>
      <c r="AR870" s="278"/>
      <c r="AS870" s="278"/>
      <c r="AT870" s="278"/>
      <c r="AU870" s="278"/>
      <c r="AV870" s="278"/>
      <c r="AW870" s="278"/>
      <c r="AX870" s="278"/>
      <c r="AY870" s="278"/>
      <c r="AZ870" s="278"/>
      <c r="BA870" s="278"/>
      <c r="BB870" s="278"/>
      <c r="BC870" s="278"/>
      <c r="BD870" s="278"/>
    </row>
    <row r="871" spans="1:56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196"/>
      <c r="S871" s="196"/>
      <c r="T871" s="196"/>
      <c r="U871" s="278"/>
      <c r="V871" s="278"/>
      <c r="W871" s="278"/>
      <c r="X871" s="278"/>
      <c r="Y871" s="278"/>
      <c r="Z871" s="278"/>
      <c r="AA871" s="278"/>
      <c r="AB871" s="278"/>
      <c r="AC871" s="278"/>
      <c r="AD871" s="278"/>
      <c r="AE871" s="278"/>
      <c r="AF871" s="278"/>
      <c r="AG871" s="278"/>
      <c r="AH871" s="278"/>
      <c r="AI871" s="278"/>
      <c r="AJ871" s="278"/>
      <c r="AK871" s="278"/>
      <c r="AL871" s="278"/>
      <c r="AM871" s="278"/>
      <c r="AN871" s="278"/>
      <c r="AO871" s="278"/>
      <c r="AP871" s="278"/>
      <c r="AQ871" s="278"/>
      <c r="AR871" s="278"/>
      <c r="AS871" s="278"/>
      <c r="AT871" s="278"/>
      <c r="AU871" s="278"/>
      <c r="AV871" s="278"/>
      <c r="AW871" s="278"/>
      <c r="AX871" s="278"/>
      <c r="AY871" s="278"/>
      <c r="AZ871" s="278"/>
      <c r="BA871" s="278"/>
      <c r="BB871" s="278"/>
      <c r="BC871" s="278"/>
      <c r="BD871" s="278"/>
    </row>
    <row r="872" spans="1:56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196"/>
      <c r="S872" s="196"/>
      <c r="T872" s="196"/>
      <c r="U872" s="278"/>
      <c r="V872" s="278"/>
      <c r="W872" s="278"/>
      <c r="X872" s="278"/>
      <c r="Y872" s="278"/>
      <c r="Z872" s="278"/>
      <c r="AA872" s="278"/>
      <c r="AB872" s="278"/>
      <c r="AC872" s="278"/>
      <c r="AD872" s="278"/>
      <c r="AE872" s="278"/>
      <c r="AF872" s="278"/>
      <c r="AG872" s="278"/>
      <c r="AH872" s="278"/>
      <c r="AI872" s="278"/>
      <c r="AJ872" s="278"/>
      <c r="AK872" s="278"/>
      <c r="AL872" s="278"/>
      <c r="AM872" s="278"/>
      <c r="AN872" s="278"/>
      <c r="AO872" s="278"/>
      <c r="AP872" s="278"/>
      <c r="AQ872" s="278"/>
      <c r="AR872" s="278"/>
      <c r="AS872" s="278"/>
      <c r="AT872" s="278"/>
      <c r="AU872" s="278"/>
      <c r="AV872" s="278"/>
      <c r="AW872" s="278"/>
      <c r="AX872" s="278"/>
      <c r="AY872" s="278"/>
      <c r="AZ872" s="278"/>
      <c r="BA872" s="278"/>
      <c r="BB872" s="278"/>
      <c r="BC872" s="278"/>
      <c r="BD872" s="278"/>
    </row>
    <row r="873" spans="1:56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196"/>
      <c r="S873" s="196"/>
      <c r="T873" s="196"/>
      <c r="U873" s="278"/>
      <c r="V873" s="278"/>
      <c r="W873" s="278"/>
      <c r="X873" s="278"/>
      <c r="Y873" s="278"/>
      <c r="Z873" s="278"/>
      <c r="AA873" s="278"/>
      <c r="AB873" s="278"/>
      <c r="AC873" s="278"/>
      <c r="AD873" s="278"/>
      <c r="AE873" s="278"/>
      <c r="AF873" s="278"/>
      <c r="AG873" s="278"/>
      <c r="AH873" s="278"/>
      <c r="AI873" s="278"/>
      <c r="AJ873" s="278"/>
      <c r="AK873" s="278"/>
      <c r="AL873" s="278"/>
      <c r="AM873" s="278"/>
      <c r="AN873" s="278"/>
      <c r="AO873" s="278"/>
      <c r="AP873" s="278"/>
      <c r="AQ873" s="278"/>
      <c r="AR873" s="278"/>
      <c r="AS873" s="278"/>
      <c r="AT873" s="278"/>
      <c r="AU873" s="278"/>
      <c r="AV873" s="278"/>
      <c r="AW873" s="278"/>
      <c r="AX873" s="278"/>
      <c r="AY873" s="278"/>
      <c r="AZ873" s="278"/>
      <c r="BA873" s="278"/>
      <c r="BB873" s="278"/>
      <c r="BC873" s="278"/>
      <c r="BD873" s="278"/>
    </row>
    <row r="874" spans="1:56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196"/>
      <c r="S874" s="196"/>
      <c r="T874" s="196"/>
      <c r="U874" s="278"/>
      <c r="V874" s="278"/>
      <c r="W874" s="278"/>
      <c r="X874" s="278"/>
      <c r="Y874" s="278"/>
      <c r="Z874" s="278"/>
      <c r="AA874" s="278"/>
      <c r="AB874" s="278"/>
      <c r="AC874" s="278"/>
      <c r="AD874" s="278"/>
      <c r="AE874" s="278"/>
      <c r="AF874" s="278"/>
      <c r="AG874" s="278"/>
      <c r="AH874" s="278"/>
      <c r="AI874" s="278"/>
      <c r="AJ874" s="278"/>
      <c r="AK874" s="278"/>
      <c r="AL874" s="278"/>
      <c r="AM874" s="278"/>
      <c r="AN874" s="278"/>
      <c r="AO874" s="278"/>
      <c r="AP874" s="278"/>
      <c r="AQ874" s="278"/>
      <c r="AR874" s="278"/>
      <c r="AS874" s="278"/>
      <c r="AT874" s="278"/>
      <c r="AU874" s="278"/>
      <c r="AV874" s="278"/>
      <c r="AW874" s="278"/>
      <c r="AX874" s="278"/>
      <c r="AY874" s="278"/>
      <c r="AZ874" s="278"/>
      <c r="BA874" s="278"/>
      <c r="BB874" s="278"/>
      <c r="BC874" s="278"/>
      <c r="BD874" s="278"/>
    </row>
    <row r="875" spans="1:56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196"/>
      <c r="S875" s="196"/>
      <c r="T875" s="196"/>
      <c r="U875" s="278"/>
      <c r="V875" s="278"/>
      <c r="W875" s="278"/>
      <c r="X875" s="278"/>
      <c r="Y875" s="278"/>
      <c r="Z875" s="278"/>
      <c r="AA875" s="278"/>
      <c r="AB875" s="278"/>
      <c r="AC875" s="278"/>
      <c r="AD875" s="278"/>
      <c r="AE875" s="278"/>
      <c r="AF875" s="278"/>
      <c r="AG875" s="278"/>
      <c r="AH875" s="278"/>
      <c r="AI875" s="278"/>
      <c r="AJ875" s="278"/>
      <c r="AK875" s="278"/>
      <c r="AL875" s="278"/>
      <c r="AM875" s="278"/>
      <c r="AN875" s="278"/>
      <c r="AO875" s="278"/>
      <c r="AP875" s="278"/>
      <c r="AQ875" s="278"/>
      <c r="AR875" s="278"/>
      <c r="AS875" s="278"/>
      <c r="AT875" s="278"/>
      <c r="AU875" s="278"/>
      <c r="AV875" s="278"/>
      <c r="AW875" s="278"/>
      <c r="AX875" s="278"/>
      <c r="AY875" s="278"/>
      <c r="AZ875" s="278"/>
      <c r="BA875" s="278"/>
      <c r="BB875" s="278"/>
      <c r="BC875" s="278"/>
      <c r="BD875" s="278"/>
    </row>
    <row r="876" spans="1:56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196"/>
      <c r="S876" s="196"/>
      <c r="T876" s="196"/>
      <c r="U876" s="278"/>
      <c r="V876" s="278"/>
      <c r="W876" s="278"/>
      <c r="X876" s="278"/>
      <c r="Y876" s="278"/>
      <c r="Z876" s="278"/>
      <c r="AA876" s="278"/>
      <c r="AB876" s="278"/>
      <c r="AC876" s="278"/>
      <c r="AD876" s="278"/>
      <c r="AE876" s="278"/>
      <c r="AF876" s="278"/>
      <c r="AG876" s="278"/>
      <c r="AH876" s="278"/>
      <c r="AI876" s="278"/>
      <c r="AJ876" s="278"/>
      <c r="AK876" s="278"/>
      <c r="AL876" s="278"/>
      <c r="AM876" s="278"/>
      <c r="AN876" s="278"/>
      <c r="AO876" s="278"/>
      <c r="AP876" s="278"/>
      <c r="AQ876" s="278"/>
      <c r="AR876" s="278"/>
      <c r="AS876" s="278"/>
      <c r="AT876" s="278"/>
      <c r="AU876" s="278"/>
      <c r="AV876" s="278"/>
      <c r="AW876" s="278"/>
      <c r="AX876" s="278"/>
      <c r="AY876" s="278"/>
      <c r="AZ876" s="278"/>
      <c r="BA876" s="278"/>
      <c r="BB876" s="278"/>
      <c r="BC876" s="278"/>
      <c r="BD876" s="278"/>
    </row>
    <row r="877" spans="1:56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196"/>
      <c r="S877" s="196"/>
      <c r="T877" s="196"/>
      <c r="U877" s="278"/>
      <c r="V877" s="278"/>
      <c r="W877" s="278"/>
      <c r="X877" s="278"/>
      <c r="Y877" s="278"/>
      <c r="Z877" s="278"/>
      <c r="AA877" s="278"/>
      <c r="AB877" s="278"/>
      <c r="AC877" s="278"/>
      <c r="AD877" s="278"/>
      <c r="AE877" s="278"/>
      <c r="AF877" s="278"/>
      <c r="AG877" s="278"/>
      <c r="AH877" s="278"/>
      <c r="AI877" s="278"/>
      <c r="AJ877" s="278"/>
      <c r="AK877" s="278"/>
      <c r="AL877" s="278"/>
      <c r="AM877" s="278"/>
      <c r="AN877" s="278"/>
      <c r="AO877" s="278"/>
      <c r="AP877" s="278"/>
      <c r="AQ877" s="278"/>
      <c r="AR877" s="278"/>
      <c r="AS877" s="278"/>
      <c r="AT877" s="278"/>
      <c r="AU877" s="278"/>
      <c r="AV877" s="278"/>
      <c r="AW877" s="278"/>
      <c r="AX877" s="278"/>
      <c r="AY877" s="278"/>
      <c r="AZ877" s="278"/>
      <c r="BA877" s="278"/>
      <c r="BB877" s="278"/>
      <c r="BC877" s="278"/>
      <c r="BD877" s="278"/>
    </row>
    <row r="878" spans="1:56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196"/>
      <c r="S878" s="196"/>
      <c r="T878" s="196"/>
      <c r="U878" s="278"/>
      <c r="V878" s="278"/>
      <c r="W878" s="278"/>
      <c r="X878" s="278"/>
      <c r="Y878" s="278"/>
      <c r="Z878" s="278"/>
      <c r="AA878" s="278"/>
      <c r="AB878" s="278"/>
      <c r="AC878" s="278"/>
      <c r="AD878" s="278"/>
      <c r="AE878" s="278"/>
      <c r="AF878" s="278"/>
      <c r="AG878" s="278"/>
      <c r="AH878" s="278"/>
      <c r="AI878" s="278"/>
      <c r="AJ878" s="278"/>
      <c r="AK878" s="278"/>
      <c r="AL878" s="278"/>
      <c r="AM878" s="278"/>
      <c r="AN878" s="278"/>
      <c r="AO878" s="278"/>
      <c r="AP878" s="278"/>
      <c r="AQ878" s="278"/>
      <c r="AR878" s="278"/>
      <c r="AS878" s="278"/>
      <c r="AT878" s="278"/>
      <c r="AU878" s="278"/>
      <c r="AV878" s="278"/>
      <c r="AW878" s="278"/>
      <c r="AX878" s="278"/>
      <c r="AY878" s="278"/>
      <c r="AZ878" s="278"/>
      <c r="BA878" s="278"/>
      <c r="BB878" s="278"/>
      <c r="BC878" s="278"/>
      <c r="BD878" s="278"/>
    </row>
    <row r="879" spans="1:56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196"/>
      <c r="S879" s="196"/>
      <c r="T879" s="196"/>
      <c r="U879" s="278"/>
      <c r="V879" s="278"/>
      <c r="W879" s="278"/>
      <c r="X879" s="278"/>
      <c r="Y879" s="278"/>
      <c r="Z879" s="278"/>
      <c r="AA879" s="278"/>
      <c r="AB879" s="278"/>
      <c r="AC879" s="278"/>
      <c r="AD879" s="278"/>
      <c r="AE879" s="278"/>
      <c r="AF879" s="278"/>
      <c r="AG879" s="278"/>
      <c r="AH879" s="278"/>
      <c r="AI879" s="278"/>
      <c r="AJ879" s="278"/>
      <c r="AK879" s="278"/>
      <c r="AL879" s="278"/>
      <c r="AM879" s="278"/>
      <c r="AN879" s="278"/>
      <c r="AO879" s="278"/>
      <c r="AP879" s="278"/>
      <c r="AQ879" s="278"/>
      <c r="AR879" s="278"/>
      <c r="AS879" s="278"/>
      <c r="AT879" s="278"/>
      <c r="AU879" s="278"/>
      <c r="AV879" s="278"/>
      <c r="AW879" s="278"/>
      <c r="AX879" s="278"/>
      <c r="AY879" s="278"/>
      <c r="AZ879" s="278"/>
      <c r="BA879" s="278"/>
      <c r="BB879" s="278"/>
      <c r="BC879" s="278"/>
      <c r="BD879" s="278"/>
    </row>
    <row r="880" spans="1:56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196"/>
      <c r="S880" s="196"/>
      <c r="T880" s="196"/>
      <c r="U880" s="278"/>
      <c r="V880" s="278"/>
      <c r="W880" s="278"/>
      <c r="X880" s="278"/>
      <c r="Y880" s="278"/>
      <c r="Z880" s="278"/>
      <c r="AA880" s="278"/>
      <c r="AB880" s="278"/>
      <c r="AC880" s="278"/>
      <c r="AD880" s="278"/>
      <c r="AE880" s="278"/>
      <c r="AF880" s="278"/>
      <c r="AG880" s="278"/>
      <c r="AH880" s="278"/>
      <c r="AI880" s="278"/>
      <c r="AJ880" s="278"/>
      <c r="AK880" s="278"/>
      <c r="AL880" s="278"/>
      <c r="AM880" s="278"/>
      <c r="AN880" s="278"/>
      <c r="AO880" s="278"/>
      <c r="AP880" s="278"/>
      <c r="AQ880" s="278"/>
      <c r="AR880" s="278"/>
      <c r="AS880" s="278"/>
      <c r="AT880" s="278"/>
      <c r="AU880" s="278"/>
      <c r="AV880" s="278"/>
      <c r="AW880" s="278"/>
      <c r="AX880" s="278"/>
      <c r="AY880" s="278"/>
      <c r="AZ880" s="278"/>
      <c r="BA880" s="278"/>
      <c r="BB880" s="278"/>
      <c r="BC880" s="278"/>
      <c r="BD880" s="278"/>
    </row>
    <row r="881" spans="1:56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196"/>
      <c r="S881" s="196"/>
      <c r="T881" s="196"/>
      <c r="U881" s="278"/>
      <c r="V881" s="278"/>
      <c r="W881" s="278"/>
      <c r="X881" s="278"/>
      <c r="Y881" s="278"/>
      <c r="Z881" s="278"/>
      <c r="AA881" s="278"/>
      <c r="AB881" s="278"/>
      <c r="AC881" s="278"/>
      <c r="AD881" s="278"/>
      <c r="AE881" s="278"/>
      <c r="AF881" s="278"/>
      <c r="AG881" s="278"/>
      <c r="AH881" s="278"/>
      <c r="AI881" s="278"/>
      <c r="AJ881" s="278"/>
      <c r="AK881" s="278"/>
      <c r="AL881" s="278"/>
      <c r="AM881" s="278"/>
      <c r="AN881" s="278"/>
      <c r="AO881" s="278"/>
      <c r="AP881" s="278"/>
      <c r="AQ881" s="278"/>
      <c r="AR881" s="278"/>
      <c r="AS881" s="278"/>
      <c r="AT881" s="278"/>
      <c r="AU881" s="278"/>
      <c r="AV881" s="278"/>
      <c r="AW881" s="278"/>
      <c r="AX881" s="278"/>
      <c r="AY881" s="278"/>
      <c r="AZ881" s="278"/>
      <c r="BA881" s="278"/>
      <c r="BB881" s="278"/>
      <c r="BC881" s="278"/>
      <c r="BD881" s="278"/>
    </row>
    <row r="882" spans="1:56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196"/>
      <c r="S882" s="196"/>
      <c r="T882" s="196"/>
      <c r="U882" s="278"/>
      <c r="V882" s="278"/>
      <c r="W882" s="278"/>
      <c r="X882" s="278"/>
      <c r="Y882" s="278"/>
      <c r="Z882" s="278"/>
      <c r="AA882" s="278"/>
      <c r="AB882" s="278"/>
      <c r="AC882" s="278"/>
      <c r="AD882" s="278"/>
      <c r="AE882" s="278"/>
      <c r="AF882" s="278"/>
      <c r="AG882" s="278"/>
      <c r="AH882" s="278"/>
      <c r="AI882" s="278"/>
      <c r="AJ882" s="278"/>
      <c r="AK882" s="278"/>
      <c r="AL882" s="278"/>
      <c r="AM882" s="278"/>
      <c r="AN882" s="278"/>
      <c r="AO882" s="278"/>
      <c r="AP882" s="278"/>
      <c r="AQ882" s="278"/>
      <c r="AR882" s="278"/>
      <c r="AS882" s="278"/>
      <c r="AT882" s="278"/>
      <c r="AU882" s="278"/>
      <c r="AV882" s="278"/>
      <c r="AW882" s="278"/>
      <c r="AX882" s="278"/>
      <c r="AY882" s="278"/>
      <c r="AZ882" s="278"/>
      <c r="BA882" s="278"/>
      <c r="BB882" s="278"/>
      <c r="BC882" s="278"/>
      <c r="BD882" s="278"/>
    </row>
    <row r="883" spans="1:56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196"/>
      <c r="S883" s="196"/>
      <c r="T883" s="196"/>
      <c r="U883" s="278"/>
      <c r="V883" s="278"/>
      <c r="W883" s="278"/>
      <c r="X883" s="278"/>
      <c r="Y883" s="278"/>
      <c r="Z883" s="278"/>
      <c r="AA883" s="278"/>
      <c r="AB883" s="278"/>
      <c r="AC883" s="278"/>
      <c r="AD883" s="278"/>
      <c r="AE883" s="278"/>
      <c r="AF883" s="278"/>
      <c r="AG883" s="278"/>
      <c r="AH883" s="278"/>
      <c r="AI883" s="278"/>
      <c r="AJ883" s="278"/>
      <c r="AK883" s="278"/>
      <c r="AL883" s="278"/>
      <c r="AM883" s="278"/>
      <c r="AN883" s="278"/>
      <c r="AO883" s="278"/>
      <c r="AP883" s="278"/>
      <c r="AQ883" s="278"/>
      <c r="AR883" s="278"/>
      <c r="AS883" s="278"/>
      <c r="AT883" s="278"/>
      <c r="AU883" s="278"/>
      <c r="AV883" s="278"/>
      <c r="AW883" s="278"/>
      <c r="AX883" s="278"/>
      <c r="AY883" s="278"/>
      <c r="AZ883" s="278"/>
      <c r="BA883" s="278"/>
      <c r="BB883" s="278"/>
      <c r="BC883" s="278"/>
      <c r="BD883" s="278"/>
    </row>
    <row r="884" spans="1:56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196"/>
      <c r="S884" s="196"/>
      <c r="T884" s="196"/>
      <c r="U884" s="278"/>
      <c r="V884" s="278"/>
      <c r="W884" s="278"/>
      <c r="X884" s="278"/>
      <c r="Y884" s="278"/>
      <c r="Z884" s="278"/>
      <c r="AA884" s="278"/>
      <c r="AB884" s="278"/>
      <c r="AC884" s="278"/>
      <c r="AD884" s="278"/>
      <c r="AE884" s="278"/>
      <c r="AF884" s="278"/>
      <c r="AG884" s="278"/>
      <c r="AH884" s="278"/>
      <c r="AI884" s="278"/>
      <c r="AJ884" s="278"/>
      <c r="AK884" s="278"/>
      <c r="AL884" s="278"/>
      <c r="AM884" s="278"/>
      <c r="AN884" s="278"/>
      <c r="AO884" s="278"/>
      <c r="AP884" s="278"/>
      <c r="AQ884" s="278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</row>
    <row r="885" spans="1:56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196"/>
      <c r="S885" s="196"/>
      <c r="T885" s="196"/>
      <c r="U885" s="278"/>
      <c r="V885" s="278"/>
      <c r="W885" s="278"/>
      <c r="X885" s="278"/>
      <c r="Y885" s="278"/>
      <c r="Z885" s="278"/>
      <c r="AA885" s="278"/>
      <c r="AB885" s="278"/>
      <c r="AC885" s="278"/>
      <c r="AD885" s="278"/>
      <c r="AE885" s="278"/>
      <c r="AF885" s="278"/>
      <c r="AG885" s="278"/>
      <c r="AH885" s="278"/>
      <c r="AI885" s="278"/>
      <c r="AJ885" s="278"/>
      <c r="AK885" s="278"/>
      <c r="AL885" s="278"/>
      <c r="AM885" s="278"/>
      <c r="AN885" s="278"/>
      <c r="AO885" s="278"/>
      <c r="AP885" s="278"/>
      <c r="AQ885" s="278"/>
      <c r="AR885" s="278"/>
      <c r="AS885" s="278"/>
      <c r="AT885" s="278"/>
      <c r="AU885" s="278"/>
      <c r="AV885" s="278"/>
      <c r="AW885" s="278"/>
      <c r="AX885" s="278"/>
      <c r="AY885" s="278"/>
      <c r="AZ885" s="278"/>
      <c r="BA885" s="278"/>
      <c r="BB885" s="278"/>
      <c r="BC885" s="278"/>
      <c r="BD885" s="278"/>
    </row>
    <row r="886" spans="1:56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196"/>
      <c r="S886" s="196"/>
      <c r="T886" s="196"/>
      <c r="U886" s="278"/>
      <c r="V886" s="278"/>
      <c r="W886" s="278"/>
      <c r="X886" s="278"/>
      <c r="Y886" s="278"/>
      <c r="Z886" s="278"/>
      <c r="AA886" s="278"/>
      <c r="AB886" s="278"/>
      <c r="AC886" s="278"/>
      <c r="AD886" s="278"/>
      <c r="AE886" s="278"/>
      <c r="AF886" s="278"/>
      <c r="AG886" s="278"/>
      <c r="AH886" s="278"/>
      <c r="AI886" s="278"/>
      <c r="AJ886" s="278"/>
      <c r="AK886" s="278"/>
      <c r="AL886" s="278"/>
      <c r="AM886" s="278"/>
      <c r="AN886" s="278"/>
      <c r="AO886" s="278"/>
      <c r="AP886" s="278"/>
      <c r="AQ886" s="278"/>
      <c r="AR886" s="278"/>
      <c r="AS886" s="278"/>
      <c r="AT886" s="278"/>
      <c r="AU886" s="278"/>
      <c r="AV886" s="278"/>
      <c r="AW886" s="278"/>
      <c r="AX886" s="278"/>
      <c r="AY886" s="278"/>
      <c r="AZ886" s="278"/>
      <c r="BA886" s="278"/>
      <c r="BB886" s="278"/>
      <c r="BC886" s="278"/>
      <c r="BD886" s="278"/>
    </row>
    <row r="887" spans="1:56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196"/>
      <c r="S887" s="196"/>
      <c r="T887" s="196"/>
      <c r="U887" s="278"/>
      <c r="V887" s="278"/>
      <c r="W887" s="278"/>
      <c r="X887" s="278"/>
      <c r="Y887" s="278"/>
      <c r="Z887" s="278"/>
      <c r="AA887" s="278"/>
      <c r="AB887" s="278"/>
      <c r="AC887" s="278"/>
      <c r="AD887" s="278"/>
      <c r="AE887" s="278"/>
      <c r="AF887" s="278"/>
      <c r="AG887" s="278"/>
      <c r="AH887" s="278"/>
      <c r="AI887" s="278"/>
      <c r="AJ887" s="278"/>
      <c r="AK887" s="278"/>
      <c r="AL887" s="278"/>
      <c r="AM887" s="278"/>
      <c r="AN887" s="278"/>
      <c r="AO887" s="278"/>
      <c r="AP887" s="278"/>
      <c r="AQ887" s="278"/>
      <c r="AR887" s="278"/>
      <c r="AS887" s="278"/>
      <c r="AT887" s="278"/>
      <c r="AU887" s="278"/>
      <c r="AV887" s="278"/>
      <c r="AW887" s="278"/>
      <c r="AX887" s="278"/>
      <c r="AY887" s="278"/>
      <c r="AZ887" s="278"/>
      <c r="BA887" s="278"/>
      <c r="BB887" s="278"/>
      <c r="BC887" s="278"/>
      <c r="BD887" s="278"/>
    </row>
    <row r="888" spans="1:56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196"/>
      <c r="S888" s="196"/>
      <c r="T888" s="196"/>
      <c r="U888" s="278"/>
      <c r="V888" s="278"/>
      <c r="W888" s="278"/>
      <c r="X888" s="278"/>
      <c r="Y888" s="278"/>
      <c r="Z888" s="278"/>
      <c r="AA888" s="278"/>
      <c r="AB888" s="278"/>
      <c r="AC888" s="278"/>
      <c r="AD888" s="278"/>
      <c r="AE888" s="278"/>
      <c r="AF888" s="278"/>
      <c r="AG888" s="278"/>
      <c r="AH888" s="278"/>
      <c r="AI888" s="278"/>
      <c r="AJ888" s="278"/>
      <c r="AK888" s="278"/>
      <c r="AL888" s="278"/>
      <c r="AM888" s="278"/>
      <c r="AN888" s="278"/>
      <c r="AO888" s="278"/>
      <c r="AP888" s="278"/>
      <c r="AQ888" s="278"/>
      <c r="AR888" s="278"/>
      <c r="AS888" s="278"/>
      <c r="AT888" s="278"/>
      <c r="AU888" s="278"/>
      <c r="AV888" s="278"/>
      <c r="AW888" s="278"/>
      <c r="AX888" s="278"/>
      <c r="AY888" s="278"/>
      <c r="AZ888" s="278"/>
      <c r="BA888" s="278"/>
      <c r="BB888" s="278"/>
      <c r="BC888" s="278"/>
      <c r="BD888" s="278"/>
    </row>
    <row r="889" spans="1:56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196"/>
      <c r="S889" s="196"/>
      <c r="T889" s="196"/>
      <c r="U889" s="278"/>
      <c r="V889" s="278"/>
      <c r="W889" s="278"/>
      <c r="X889" s="278"/>
      <c r="Y889" s="278"/>
      <c r="Z889" s="278"/>
      <c r="AA889" s="278"/>
      <c r="AB889" s="278"/>
      <c r="AC889" s="278"/>
      <c r="AD889" s="278"/>
      <c r="AE889" s="278"/>
      <c r="AF889" s="278"/>
      <c r="AG889" s="278"/>
      <c r="AH889" s="278"/>
      <c r="AI889" s="278"/>
      <c r="AJ889" s="278"/>
      <c r="AK889" s="278"/>
      <c r="AL889" s="278"/>
      <c r="AM889" s="278"/>
      <c r="AN889" s="278"/>
      <c r="AO889" s="278"/>
      <c r="AP889" s="278"/>
      <c r="AQ889" s="278"/>
      <c r="AR889" s="278"/>
      <c r="AS889" s="278"/>
      <c r="AT889" s="278"/>
      <c r="AU889" s="278"/>
      <c r="AV889" s="278"/>
      <c r="AW889" s="278"/>
      <c r="AX889" s="278"/>
      <c r="AY889" s="278"/>
      <c r="AZ889" s="278"/>
      <c r="BA889" s="278"/>
      <c r="BB889" s="278"/>
      <c r="BC889" s="278"/>
      <c r="BD889" s="278"/>
    </row>
    <row r="890" spans="1:56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196"/>
      <c r="S890" s="196"/>
      <c r="T890" s="196"/>
      <c r="U890" s="278"/>
      <c r="V890" s="278"/>
      <c r="W890" s="278"/>
      <c r="X890" s="278"/>
      <c r="Y890" s="278"/>
      <c r="Z890" s="278"/>
      <c r="AA890" s="278"/>
      <c r="AB890" s="278"/>
      <c r="AC890" s="278"/>
      <c r="AD890" s="278"/>
      <c r="AE890" s="278"/>
      <c r="AF890" s="278"/>
      <c r="AG890" s="278"/>
      <c r="AH890" s="278"/>
      <c r="AI890" s="278"/>
      <c r="AJ890" s="278"/>
      <c r="AK890" s="278"/>
      <c r="AL890" s="278"/>
      <c r="AM890" s="278"/>
      <c r="AN890" s="278"/>
      <c r="AO890" s="278"/>
      <c r="AP890" s="278"/>
      <c r="AQ890" s="278"/>
      <c r="AR890" s="278"/>
      <c r="AS890" s="278"/>
      <c r="AT890" s="278"/>
      <c r="AU890" s="278"/>
      <c r="AV890" s="278"/>
      <c r="AW890" s="278"/>
      <c r="AX890" s="278"/>
      <c r="AY890" s="278"/>
      <c r="AZ890" s="278"/>
      <c r="BA890" s="278"/>
      <c r="BB890" s="278"/>
      <c r="BC890" s="278"/>
      <c r="BD890" s="278"/>
    </row>
    <row r="891" spans="1:56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196"/>
      <c r="S891" s="196"/>
      <c r="T891" s="196"/>
      <c r="U891" s="278"/>
      <c r="V891" s="278"/>
      <c r="W891" s="278"/>
      <c r="X891" s="278"/>
      <c r="Y891" s="278"/>
      <c r="Z891" s="278"/>
      <c r="AA891" s="278"/>
      <c r="AB891" s="278"/>
      <c r="AC891" s="278"/>
      <c r="AD891" s="278"/>
      <c r="AE891" s="278"/>
      <c r="AF891" s="278"/>
      <c r="AG891" s="278"/>
      <c r="AH891" s="278"/>
      <c r="AI891" s="278"/>
      <c r="AJ891" s="278"/>
      <c r="AK891" s="278"/>
      <c r="AL891" s="278"/>
      <c r="AM891" s="278"/>
      <c r="AN891" s="278"/>
      <c r="AO891" s="278"/>
      <c r="AP891" s="278"/>
      <c r="AQ891" s="278"/>
      <c r="AR891" s="278"/>
      <c r="AS891" s="278"/>
      <c r="AT891" s="278"/>
      <c r="AU891" s="278"/>
      <c r="AV891" s="278"/>
      <c r="AW891" s="278"/>
      <c r="AX891" s="278"/>
      <c r="AY891" s="278"/>
      <c r="AZ891" s="278"/>
      <c r="BA891" s="278"/>
      <c r="BB891" s="278"/>
      <c r="BC891" s="278"/>
      <c r="BD891" s="278"/>
    </row>
    <row r="892" spans="1:56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196"/>
      <c r="S892" s="196"/>
      <c r="T892" s="196"/>
      <c r="U892" s="278"/>
      <c r="V892" s="278"/>
      <c r="W892" s="278"/>
      <c r="X892" s="278"/>
      <c r="Y892" s="278"/>
      <c r="Z892" s="278"/>
      <c r="AA892" s="278"/>
      <c r="AB892" s="278"/>
      <c r="AC892" s="278"/>
      <c r="AD892" s="278"/>
      <c r="AE892" s="278"/>
      <c r="AF892" s="278"/>
      <c r="AG892" s="278"/>
      <c r="AH892" s="278"/>
      <c r="AI892" s="278"/>
      <c r="AJ892" s="278"/>
      <c r="AK892" s="278"/>
      <c r="AL892" s="278"/>
      <c r="AM892" s="278"/>
      <c r="AN892" s="278"/>
      <c r="AO892" s="278"/>
      <c r="AP892" s="278"/>
      <c r="AQ892" s="278"/>
      <c r="AR892" s="278"/>
      <c r="AS892" s="278"/>
      <c r="AT892" s="278"/>
      <c r="AU892" s="278"/>
      <c r="AV892" s="278"/>
      <c r="AW892" s="278"/>
      <c r="AX892" s="278"/>
      <c r="AY892" s="278"/>
      <c r="AZ892" s="278"/>
      <c r="BA892" s="278"/>
      <c r="BB892" s="278"/>
      <c r="BC892" s="278"/>
      <c r="BD892" s="278"/>
    </row>
    <row r="893" spans="1:56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196"/>
      <c r="S893" s="196"/>
      <c r="T893" s="196"/>
      <c r="U893" s="278"/>
      <c r="V893" s="278"/>
      <c r="W893" s="278"/>
      <c r="X893" s="278"/>
      <c r="Y893" s="278"/>
      <c r="Z893" s="278"/>
      <c r="AA893" s="278"/>
      <c r="AB893" s="278"/>
      <c r="AC893" s="278"/>
      <c r="AD893" s="278"/>
      <c r="AE893" s="278"/>
      <c r="AF893" s="278"/>
      <c r="AG893" s="278"/>
      <c r="AH893" s="278"/>
      <c r="AI893" s="278"/>
      <c r="AJ893" s="278"/>
      <c r="AK893" s="278"/>
      <c r="AL893" s="278"/>
      <c r="AM893" s="278"/>
      <c r="AN893" s="278"/>
      <c r="AO893" s="278"/>
      <c r="AP893" s="278"/>
      <c r="AQ893" s="278"/>
      <c r="AR893" s="278"/>
      <c r="AS893" s="278"/>
      <c r="AT893" s="278"/>
      <c r="AU893" s="278"/>
      <c r="AV893" s="278"/>
      <c r="AW893" s="278"/>
      <c r="AX893" s="278"/>
      <c r="AY893" s="278"/>
      <c r="AZ893" s="278"/>
      <c r="BA893" s="278"/>
      <c r="BB893" s="278"/>
      <c r="BC893" s="278"/>
      <c r="BD893" s="278"/>
    </row>
    <row r="894" spans="1:56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196"/>
      <c r="S894" s="196"/>
      <c r="T894" s="196"/>
      <c r="U894" s="278"/>
      <c r="V894" s="278"/>
      <c r="W894" s="278"/>
      <c r="X894" s="278"/>
      <c r="Y894" s="278"/>
      <c r="Z894" s="278"/>
      <c r="AA894" s="278"/>
      <c r="AB894" s="278"/>
      <c r="AC894" s="278"/>
      <c r="AD894" s="278"/>
      <c r="AE894" s="278"/>
      <c r="AF894" s="278"/>
      <c r="AG894" s="278"/>
      <c r="AH894" s="278"/>
      <c r="AI894" s="278"/>
      <c r="AJ894" s="278"/>
      <c r="AK894" s="278"/>
      <c r="AL894" s="278"/>
      <c r="AM894" s="278"/>
      <c r="AN894" s="278"/>
      <c r="AO894" s="278"/>
      <c r="AP894" s="278"/>
      <c r="AQ894" s="278"/>
      <c r="AR894" s="278"/>
      <c r="AS894" s="278"/>
      <c r="AT894" s="278"/>
      <c r="AU894" s="278"/>
      <c r="AV894" s="278"/>
      <c r="AW894" s="278"/>
      <c r="AX894" s="278"/>
      <c r="AY894" s="278"/>
      <c r="AZ894" s="278"/>
      <c r="BA894" s="278"/>
      <c r="BB894" s="278"/>
      <c r="BC894" s="278"/>
      <c r="BD894" s="278"/>
    </row>
    <row r="895" spans="1:56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196"/>
      <c r="S895" s="196"/>
      <c r="T895" s="196"/>
      <c r="U895" s="278"/>
      <c r="V895" s="278"/>
      <c r="W895" s="278"/>
      <c r="X895" s="278"/>
      <c r="Y895" s="278"/>
      <c r="Z895" s="278"/>
      <c r="AA895" s="278"/>
      <c r="AB895" s="278"/>
      <c r="AC895" s="278"/>
      <c r="AD895" s="278"/>
      <c r="AE895" s="278"/>
      <c r="AF895" s="278"/>
      <c r="AG895" s="278"/>
      <c r="AH895" s="278"/>
      <c r="AI895" s="278"/>
      <c r="AJ895" s="278"/>
      <c r="AK895" s="278"/>
      <c r="AL895" s="278"/>
      <c r="AM895" s="278"/>
      <c r="AN895" s="278"/>
      <c r="AO895" s="278"/>
      <c r="AP895" s="278"/>
      <c r="AQ895" s="278"/>
      <c r="AR895" s="278"/>
      <c r="AS895" s="278"/>
      <c r="AT895" s="278"/>
      <c r="AU895" s="278"/>
      <c r="AV895" s="278"/>
      <c r="AW895" s="278"/>
      <c r="AX895" s="278"/>
      <c r="AY895" s="278"/>
      <c r="AZ895" s="278"/>
      <c r="BA895" s="278"/>
      <c r="BB895" s="278"/>
      <c r="BC895" s="278"/>
      <c r="BD895" s="278"/>
    </row>
    <row r="896" spans="1:56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196"/>
      <c r="S896" s="196"/>
      <c r="T896" s="196"/>
      <c r="U896" s="278"/>
      <c r="V896" s="278"/>
      <c r="W896" s="278"/>
      <c r="X896" s="278"/>
      <c r="Y896" s="278"/>
      <c r="Z896" s="278"/>
      <c r="AA896" s="278"/>
      <c r="AB896" s="278"/>
      <c r="AC896" s="278"/>
      <c r="AD896" s="278"/>
      <c r="AE896" s="278"/>
      <c r="AF896" s="278"/>
      <c r="AG896" s="278"/>
      <c r="AH896" s="278"/>
      <c r="AI896" s="278"/>
      <c r="AJ896" s="278"/>
      <c r="AK896" s="278"/>
      <c r="AL896" s="278"/>
      <c r="AM896" s="278"/>
      <c r="AN896" s="278"/>
      <c r="AO896" s="278"/>
      <c r="AP896" s="278"/>
      <c r="AQ896" s="278"/>
      <c r="AR896" s="278"/>
      <c r="AS896" s="278"/>
      <c r="AT896" s="278"/>
      <c r="AU896" s="278"/>
      <c r="AV896" s="278"/>
      <c r="AW896" s="278"/>
      <c r="AX896" s="278"/>
      <c r="AY896" s="278"/>
      <c r="AZ896" s="278"/>
      <c r="BA896" s="278"/>
      <c r="BB896" s="278"/>
      <c r="BC896" s="278"/>
      <c r="BD896" s="278"/>
    </row>
    <row r="897" spans="1:56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196"/>
      <c r="S897" s="196"/>
      <c r="T897" s="196"/>
      <c r="U897" s="278"/>
      <c r="V897" s="278"/>
      <c r="W897" s="278"/>
      <c r="X897" s="278"/>
      <c r="Y897" s="278"/>
      <c r="Z897" s="278"/>
      <c r="AA897" s="278"/>
      <c r="AB897" s="278"/>
      <c r="AC897" s="278"/>
      <c r="AD897" s="278"/>
      <c r="AE897" s="278"/>
      <c r="AF897" s="278"/>
      <c r="AG897" s="278"/>
      <c r="AH897" s="278"/>
      <c r="AI897" s="278"/>
      <c r="AJ897" s="278"/>
      <c r="AK897" s="278"/>
      <c r="AL897" s="278"/>
      <c r="AM897" s="278"/>
      <c r="AN897" s="278"/>
      <c r="AO897" s="278"/>
      <c r="AP897" s="278"/>
      <c r="AQ897" s="278"/>
      <c r="AR897" s="278"/>
      <c r="AS897" s="278"/>
      <c r="AT897" s="278"/>
      <c r="AU897" s="278"/>
      <c r="AV897" s="278"/>
      <c r="AW897" s="278"/>
      <c r="AX897" s="278"/>
      <c r="AY897" s="278"/>
      <c r="AZ897" s="278"/>
      <c r="BA897" s="278"/>
      <c r="BB897" s="278"/>
      <c r="BC897" s="278"/>
      <c r="BD897" s="278"/>
    </row>
    <row r="898" spans="1:56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196"/>
      <c r="S898" s="196"/>
      <c r="T898" s="196"/>
      <c r="U898" s="278"/>
      <c r="V898" s="278"/>
      <c r="W898" s="278"/>
      <c r="X898" s="278"/>
      <c r="Y898" s="278"/>
      <c r="Z898" s="278"/>
      <c r="AA898" s="278"/>
      <c r="AB898" s="278"/>
      <c r="AC898" s="278"/>
      <c r="AD898" s="278"/>
      <c r="AE898" s="278"/>
      <c r="AF898" s="278"/>
      <c r="AG898" s="278"/>
      <c r="AH898" s="278"/>
      <c r="AI898" s="278"/>
      <c r="AJ898" s="278"/>
      <c r="AK898" s="278"/>
      <c r="AL898" s="278"/>
      <c r="AM898" s="278"/>
      <c r="AN898" s="278"/>
      <c r="AO898" s="278"/>
      <c r="AP898" s="278"/>
      <c r="AQ898" s="278"/>
      <c r="AR898" s="278"/>
      <c r="AS898" s="278"/>
      <c r="AT898" s="278"/>
      <c r="AU898" s="278"/>
      <c r="AV898" s="278"/>
      <c r="AW898" s="278"/>
      <c r="AX898" s="278"/>
      <c r="AY898" s="278"/>
      <c r="AZ898" s="278"/>
      <c r="BA898" s="278"/>
      <c r="BB898" s="278"/>
      <c r="BC898" s="278"/>
      <c r="BD898" s="278"/>
    </row>
    <row r="899" spans="1:56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196"/>
      <c r="S899" s="196"/>
      <c r="T899" s="196"/>
      <c r="U899" s="278"/>
      <c r="V899" s="278"/>
      <c r="W899" s="278"/>
      <c r="X899" s="278"/>
      <c r="Y899" s="278"/>
      <c r="Z899" s="278"/>
      <c r="AA899" s="278"/>
      <c r="AB899" s="278"/>
      <c r="AC899" s="278"/>
      <c r="AD899" s="278"/>
      <c r="AE899" s="278"/>
      <c r="AF899" s="278"/>
      <c r="AG899" s="278"/>
      <c r="AH899" s="278"/>
      <c r="AI899" s="278"/>
      <c r="AJ899" s="278"/>
      <c r="AK899" s="278"/>
      <c r="AL899" s="278"/>
      <c r="AM899" s="278"/>
      <c r="AN899" s="278"/>
      <c r="AO899" s="278"/>
      <c r="AP899" s="278"/>
      <c r="AQ899" s="278"/>
      <c r="AR899" s="278"/>
      <c r="AS899" s="278"/>
      <c r="AT899" s="278"/>
      <c r="AU899" s="278"/>
      <c r="AV899" s="278"/>
      <c r="AW899" s="278"/>
      <c r="AX899" s="278"/>
      <c r="AY899" s="278"/>
      <c r="AZ899" s="278"/>
      <c r="BA899" s="278"/>
      <c r="BB899" s="278"/>
      <c r="BC899" s="278"/>
      <c r="BD899" s="278"/>
    </row>
    <row r="900" spans="1:56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196"/>
      <c r="S900" s="196"/>
      <c r="T900" s="196"/>
      <c r="U900" s="278"/>
      <c r="V900" s="278"/>
      <c r="W900" s="278"/>
      <c r="X900" s="278"/>
      <c r="Y900" s="278"/>
      <c r="Z900" s="278"/>
      <c r="AA900" s="278"/>
      <c r="AB900" s="278"/>
      <c r="AC900" s="278"/>
      <c r="AD900" s="278"/>
      <c r="AE900" s="278"/>
      <c r="AF900" s="278"/>
      <c r="AG900" s="278"/>
      <c r="AH900" s="278"/>
      <c r="AI900" s="278"/>
      <c r="AJ900" s="278"/>
      <c r="AK900" s="278"/>
      <c r="AL900" s="278"/>
      <c r="AM900" s="278"/>
      <c r="AN900" s="278"/>
      <c r="AO900" s="278"/>
      <c r="AP900" s="278"/>
      <c r="AQ900" s="278"/>
      <c r="AR900" s="278"/>
      <c r="AS900" s="278"/>
      <c r="AT900" s="278"/>
      <c r="AU900" s="278"/>
      <c r="AV900" s="278"/>
      <c r="AW900" s="278"/>
      <c r="AX900" s="278"/>
      <c r="AY900" s="278"/>
      <c r="AZ900" s="278"/>
      <c r="BA900" s="278"/>
      <c r="BB900" s="278"/>
      <c r="BC900" s="278"/>
      <c r="BD900" s="278"/>
    </row>
    <row r="901" spans="1:56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196"/>
      <c r="S901" s="196"/>
      <c r="T901" s="196"/>
      <c r="U901" s="278"/>
      <c r="V901" s="278"/>
      <c r="W901" s="278"/>
      <c r="X901" s="278"/>
      <c r="Y901" s="278"/>
      <c r="Z901" s="278"/>
      <c r="AA901" s="278"/>
      <c r="AB901" s="278"/>
      <c r="AC901" s="278"/>
      <c r="AD901" s="278"/>
      <c r="AE901" s="278"/>
      <c r="AF901" s="278"/>
      <c r="AG901" s="278"/>
      <c r="AH901" s="278"/>
      <c r="AI901" s="278"/>
      <c r="AJ901" s="278"/>
      <c r="AK901" s="278"/>
      <c r="AL901" s="278"/>
      <c r="AM901" s="278"/>
      <c r="AN901" s="278"/>
      <c r="AO901" s="278"/>
      <c r="AP901" s="278"/>
      <c r="AQ901" s="278"/>
      <c r="AR901" s="278"/>
      <c r="AS901" s="278"/>
      <c r="AT901" s="278"/>
      <c r="AU901" s="278"/>
      <c r="AV901" s="278"/>
      <c r="AW901" s="278"/>
      <c r="AX901" s="278"/>
      <c r="AY901" s="278"/>
      <c r="AZ901" s="278"/>
      <c r="BA901" s="278"/>
      <c r="BB901" s="278"/>
      <c r="BC901" s="278"/>
      <c r="BD901" s="278"/>
    </row>
    <row r="902" spans="1:56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196"/>
      <c r="S902" s="196"/>
      <c r="T902" s="196"/>
      <c r="U902" s="278"/>
      <c r="V902" s="278"/>
      <c r="W902" s="278"/>
      <c r="X902" s="278"/>
      <c r="Y902" s="278"/>
      <c r="Z902" s="278"/>
      <c r="AA902" s="278"/>
      <c r="AB902" s="278"/>
      <c r="AC902" s="278"/>
      <c r="AD902" s="278"/>
      <c r="AE902" s="278"/>
      <c r="AF902" s="278"/>
      <c r="AG902" s="278"/>
      <c r="AH902" s="278"/>
      <c r="AI902" s="278"/>
      <c r="AJ902" s="278"/>
      <c r="AK902" s="278"/>
      <c r="AL902" s="278"/>
      <c r="AM902" s="278"/>
      <c r="AN902" s="278"/>
      <c r="AO902" s="278"/>
      <c r="AP902" s="278"/>
      <c r="AQ902" s="278"/>
      <c r="AR902" s="278"/>
      <c r="AS902" s="278"/>
      <c r="AT902" s="278"/>
      <c r="AU902" s="278"/>
      <c r="AV902" s="278"/>
      <c r="AW902" s="278"/>
      <c r="AX902" s="278"/>
      <c r="AY902" s="278"/>
      <c r="AZ902" s="278"/>
      <c r="BA902" s="278"/>
      <c r="BB902" s="278"/>
      <c r="BC902" s="278"/>
      <c r="BD902" s="278"/>
    </row>
    <row r="903" spans="1:56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196"/>
      <c r="S903" s="196"/>
      <c r="T903" s="196"/>
      <c r="U903" s="278"/>
      <c r="V903" s="278"/>
      <c r="W903" s="278"/>
      <c r="X903" s="278"/>
      <c r="Y903" s="278"/>
      <c r="Z903" s="278"/>
      <c r="AA903" s="278"/>
      <c r="AB903" s="278"/>
      <c r="AC903" s="278"/>
      <c r="AD903" s="278"/>
      <c r="AE903" s="278"/>
      <c r="AF903" s="278"/>
      <c r="AG903" s="278"/>
      <c r="AH903" s="278"/>
      <c r="AI903" s="278"/>
      <c r="AJ903" s="278"/>
      <c r="AK903" s="278"/>
      <c r="AL903" s="278"/>
      <c r="AM903" s="278"/>
      <c r="AN903" s="278"/>
      <c r="AO903" s="278"/>
      <c r="AP903" s="278"/>
      <c r="AQ903" s="278"/>
      <c r="AR903" s="278"/>
      <c r="AS903" s="278"/>
      <c r="AT903" s="278"/>
      <c r="AU903" s="278"/>
      <c r="AV903" s="278"/>
      <c r="AW903" s="278"/>
      <c r="AX903" s="278"/>
      <c r="AY903" s="278"/>
      <c r="AZ903" s="278"/>
      <c r="BA903" s="278"/>
      <c r="BB903" s="278"/>
      <c r="BC903" s="278"/>
      <c r="BD903" s="278"/>
    </row>
    <row r="904" spans="1:56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196"/>
      <c r="S904" s="196"/>
      <c r="T904" s="196"/>
      <c r="U904" s="278"/>
      <c r="V904" s="278"/>
      <c r="W904" s="278"/>
      <c r="X904" s="278"/>
      <c r="Y904" s="278"/>
      <c r="Z904" s="278"/>
      <c r="AA904" s="278"/>
      <c r="AB904" s="278"/>
      <c r="AC904" s="278"/>
      <c r="AD904" s="278"/>
      <c r="AE904" s="278"/>
      <c r="AF904" s="278"/>
      <c r="AG904" s="278"/>
      <c r="AH904" s="278"/>
      <c r="AI904" s="278"/>
      <c r="AJ904" s="278"/>
      <c r="AK904" s="278"/>
      <c r="AL904" s="278"/>
      <c r="AM904" s="278"/>
      <c r="AN904" s="278"/>
      <c r="AO904" s="278"/>
      <c r="AP904" s="278"/>
      <c r="AQ904" s="278"/>
      <c r="AR904" s="278"/>
      <c r="AS904" s="278"/>
      <c r="AT904" s="278"/>
      <c r="AU904" s="278"/>
      <c r="AV904" s="278"/>
      <c r="AW904" s="278"/>
      <c r="AX904" s="278"/>
      <c r="AY904" s="278"/>
      <c r="AZ904" s="278"/>
      <c r="BA904" s="278"/>
      <c r="BB904" s="278"/>
      <c r="BC904" s="278"/>
      <c r="BD904" s="278"/>
    </row>
    <row r="905" spans="1:56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196"/>
      <c r="S905" s="196"/>
      <c r="T905" s="196"/>
      <c r="U905" s="278"/>
      <c r="V905" s="278"/>
      <c r="W905" s="278"/>
      <c r="X905" s="278"/>
      <c r="Y905" s="278"/>
      <c r="Z905" s="278"/>
      <c r="AA905" s="278"/>
      <c r="AB905" s="278"/>
      <c r="AC905" s="278"/>
      <c r="AD905" s="278"/>
      <c r="AE905" s="278"/>
      <c r="AF905" s="278"/>
      <c r="AG905" s="278"/>
      <c r="AH905" s="278"/>
      <c r="AI905" s="278"/>
      <c r="AJ905" s="278"/>
      <c r="AK905" s="278"/>
      <c r="AL905" s="278"/>
      <c r="AM905" s="278"/>
      <c r="AN905" s="278"/>
      <c r="AO905" s="278"/>
      <c r="AP905" s="278"/>
      <c r="AQ905" s="278"/>
      <c r="AR905" s="278"/>
      <c r="AS905" s="278"/>
      <c r="AT905" s="278"/>
      <c r="AU905" s="278"/>
      <c r="AV905" s="278"/>
      <c r="AW905" s="278"/>
      <c r="AX905" s="278"/>
      <c r="AY905" s="278"/>
      <c r="AZ905" s="278"/>
      <c r="BA905" s="278"/>
      <c r="BB905" s="278"/>
      <c r="BC905" s="278"/>
      <c r="BD905" s="278"/>
    </row>
    <row r="906" spans="1:56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196"/>
      <c r="S906" s="196"/>
      <c r="T906" s="196"/>
      <c r="U906" s="278"/>
      <c r="V906" s="278"/>
      <c r="W906" s="278"/>
      <c r="X906" s="278"/>
      <c r="Y906" s="278"/>
      <c r="Z906" s="278"/>
      <c r="AA906" s="278"/>
      <c r="AB906" s="278"/>
      <c r="AC906" s="278"/>
      <c r="AD906" s="278"/>
      <c r="AE906" s="278"/>
      <c r="AF906" s="278"/>
      <c r="AG906" s="278"/>
      <c r="AH906" s="278"/>
      <c r="AI906" s="278"/>
      <c r="AJ906" s="278"/>
      <c r="AK906" s="278"/>
      <c r="AL906" s="278"/>
      <c r="AM906" s="278"/>
      <c r="AN906" s="278"/>
      <c r="AO906" s="278"/>
      <c r="AP906" s="278"/>
      <c r="AQ906" s="278"/>
      <c r="AR906" s="278"/>
      <c r="AS906" s="278"/>
      <c r="AT906" s="278"/>
      <c r="AU906" s="278"/>
      <c r="AV906" s="278"/>
      <c r="AW906" s="278"/>
      <c r="AX906" s="278"/>
      <c r="AY906" s="278"/>
      <c r="AZ906" s="278"/>
      <c r="BA906" s="278"/>
      <c r="BB906" s="278"/>
      <c r="BC906" s="278"/>
      <c r="BD906" s="278"/>
    </row>
    <row r="907" spans="1:56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196"/>
      <c r="S907" s="196"/>
      <c r="T907" s="196"/>
      <c r="U907" s="278"/>
      <c r="V907" s="278"/>
      <c r="W907" s="278"/>
      <c r="X907" s="278"/>
      <c r="Y907" s="278"/>
      <c r="Z907" s="278"/>
      <c r="AA907" s="278"/>
      <c r="AB907" s="278"/>
      <c r="AC907" s="278"/>
      <c r="AD907" s="278"/>
      <c r="AE907" s="278"/>
      <c r="AF907" s="278"/>
      <c r="AG907" s="278"/>
      <c r="AH907" s="278"/>
      <c r="AI907" s="278"/>
      <c r="AJ907" s="278"/>
      <c r="AK907" s="278"/>
      <c r="AL907" s="278"/>
      <c r="AM907" s="278"/>
      <c r="AN907" s="278"/>
      <c r="AO907" s="278"/>
      <c r="AP907" s="278"/>
      <c r="AQ907" s="278"/>
      <c r="AR907" s="278"/>
      <c r="AS907" s="278"/>
      <c r="AT907" s="278"/>
      <c r="AU907" s="278"/>
      <c r="AV907" s="278"/>
      <c r="AW907" s="278"/>
      <c r="AX907" s="278"/>
      <c r="AY907" s="278"/>
      <c r="AZ907" s="278"/>
      <c r="BA907" s="278"/>
      <c r="BB907" s="278"/>
      <c r="BC907" s="278"/>
      <c r="BD907" s="278"/>
    </row>
    <row r="908" spans="1:56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196"/>
      <c r="S908" s="196"/>
      <c r="T908" s="196"/>
      <c r="U908" s="278"/>
      <c r="V908" s="278"/>
      <c r="W908" s="278"/>
      <c r="X908" s="278"/>
      <c r="Y908" s="278"/>
      <c r="Z908" s="278"/>
      <c r="AA908" s="278"/>
      <c r="AB908" s="278"/>
      <c r="AC908" s="278"/>
      <c r="AD908" s="278"/>
      <c r="AE908" s="278"/>
      <c r="AF908" s="278"/>
      <c r="AG908" s="278"/>
      <c r="AH908" s="278"/>
      <c r="AI908" s="278"/>
      <c r="AJ908" s="278"/>
      <c r="AK908" s="278"/>
      <c r="AL908" s="278"/>
      <c r="AM908" s="278"/>
      <c r="AN908" s="278"/>
      <c r="AO908" s="278"/>
      <c r="AP908" s="278"/>
      <c r="AQ908" s="278"/>
      <c r="AR908" s="278"/>
      <c r="AS908" s="278"/>
      <c r="AT908" s="278"/>
      <c r="AU908" s="278"/>
      <c r="AV908" s="278"/>
      <c r="AW908" s="278"/>
      <c r="AX908" s="278"/>
      <c r="AY908" s="278"/>
      <c r="AZ908" s="278"/>
      <c r="BA908" s="278"/>
      <c r="BB908" s="278"/>
      <c r="BC908" s="278"/>
      <c r="BD908" s="278"/>
    </row>
    <row r="909" spans="1:56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196"/>
      <c r="S909" s="196"/>
      <c r="T909" s="196"/>
      <c r="U909" s="278"/>
      <c r="V909" s="278"/>
      <c r="W909" s="278"/>
      <c r="X909" s="278"/>
      <c r="Y909" s="278"/>
      <c r="Z909" s="278"/>
      <c r="AA909" s="278"/>
      <c r="AB909" s="278"/>
      <c r="AC909" s="278"/>
      <c r="AD909" s="278"/>
      <c r="AE909" s="278"/>
      <c r="AF909" s="278"/>
      <c r="AG909" s="278"/>
      <c r="AH909" s="278"/>
      <c r="AI909" s="278"/>
      <c r="AJ909" s="278"/>
      <c r="AK909" s="278"/>
      <c r="AL909" s="278"/>
      <c r="AM909" s="278"/>
      <c r="AN909" s="278"/>
      <c r="AO909" s="278"/>
      <c r="AP909" s="278"/>
      <c r="AQ909" s="278"/>
      <c r="AR909" s="278"/>
      <c r="AS909" s="278"/>
      <c r="AT909" s="278"/>
      <c r="AU909" s="278"/>
      <c r="AV909" s="278"/>
      <c r="AW909" s="278"/>
      <c r="AX909" s="278"/>
      <c r="AY909" s="278"/>
      <c r="AZ909" s="278"/>
      <c r="BA909" s="278"/>
      <c r="BB909" s="278"/>
      <c r="BC909" s="278"/>
      <c r="BD909" s="278"/>
    </row>
    <row r="910" spans="1:56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196"/>
      <c r="S910" s="196"/>
      <c r="T910" s="196"/>
      <c r="U910" s="278"/>
      <c r="V910" s="278"/>
      <c r="W910" s="278"/>
      <c r="X910" s="278"/>
      <c r="Y910" s="278"/>
      <c r="Z910" s="278"/>
      <c r="AA910" s="278"/>
      <c r="AB910" s="278"/>
      <c r="AC910" s="278"/>
      <c r="AD910" s="278"/>
      <c r="AE910" s="278"/>
      <c r="AF910" s="278"/>
      <c r="AG910" s="278"/>
      <c r="AH910" s="278"/>
      <c r="AI910" s="278"/>
      <c r="AJ910" s="278"/>
      <c r="AK910" s="278"/>
      <c r="AL910" s="278"/>
      <c r="AM910" s="278"/>
      <c r="AN910" s="278"/>
      <c r="AO910" s="278"/>
      <c r="AP910" s="278"/>
      <c r="AQ910" s="278"/>
      <c r="AR910" s="278"/>
      <c r="AS910" s="278"/>
      <c r="AT910" s="278"/>
      <c r="AU910" s="278"/>
      <c r="AV910" s="278"/>
      <c r="AW910" s="278"/>
      <c r="AX910" s="278"/>
      <c r="AY910" s="278"/>
      <c r="AZ910" s="278"/>
      <c r="BA910" s="278"/>
      <c r="BB910" s="278"/>
      <c r="BC910" s="278"/>
      <c r="BD910" s="278"/>
    </row>
    <row r="911" spans="1:56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196"/>
      <c r="S911" s="196"/>
      <c r="T911" s="196"/>
      <c r="U911" s="278"/>
      <c r="V911" s="278"/>
      <c r="W911" s="278"/>
      <c r="X911" s="278"/>
      <c r="Y911" s="278"/>
      <c r="Z911" s="278"/>
      <c r="AA911" s="278"/>
      <c r="AB911" s="278"/>
      <c r="AC911" s="278"/>
      <c r="AD911" s="278"/>
      <c r="AE911" s="278"/>
      <c r="AF911" s="278"/>
      <c r="AG911" s="278"/>
      <c r="AH911" s="278"/>
      <c r="AI911" s="278"/>
      <c r="AJ911" s="278"/>
      <c r="AK911" s="278"/>
      <c r="AL911" s="278"/>
      <c r="AM911" s="278"/>
      <c r="AN911" s="278"/>
      <c r="AO911" s="278"/>
      <c r="AP911" s="278"/>
      <c r="AQ911" s="278"/>
      <c r="AR911" s="278"/>
      <c r="AS911" s="278"/>
      <c r="AT911" s="278"/>
      <c r="AU911" s="278"/>
      <c r="AV911" s="278"/>
      <c r="AW911" s="278"/>
      <c r="AX911" s="278"/>
      <c r="AY911" s="278"/>
      <c r="AZ911" s="278"/>
      <c r="BA911" s="278"/>
      <c r="BB911" s="278"/>
      <c r="BC911" s="278"/>
      <c r="BD911" s="278"/>
    </row>
    <row r="912" spans="1:56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196"/>
      <c r="S912" s="196"/>
      <c r="T912" s="196"/>
      <c r="U912" s="278"/>
      <c r="V912" s="278"/>
      <c r="W912" s="278"/>
      <c r="X912" s="278"/>
      <c r="Y912" s="278"/>
      <c r="Z912" s="278"/>
      <c r="AA912" s="278"/>
      <c r="AB912" s="278"/>
      <c r="AC912" s="278"/>
      <c r="AD912" s="278"/>
      <c r="AE912" s="278"/>
      <c r="AF912" s="278"/>
      <c r="AG912" s="278"/>
      <c r="AH912" s="278"/>
      <c r="AI912" s="278"/>
      <c r="AJ912" s="278"/>
      <c r="AK912" s="278"/>
      <c r="AL912" s="278"/>
      <c r="AM912" s="278"/>
      <c r="AN912" s="278"/>
      <c r="AO912" s="278"/>
      <c r="AP912" s="278"/>
      <c r="AQ912" s="278"/>
      <c r="AR912" s="278"/>
      <c r="AS912" s="278"/>
      <c r="AT912" s="278"/>
      <c r="AU912" s="278"/>
      <c r="AV912" s="278"/>
      <c r="AW912" s="278"/>
      <c r="AX912" s="278"/>
      <c r="AY912" s="278"/>
      <c r="AZ912" s="278"/>
      <c r="BA912" s="278"/>
      <c r="BB912" s="278"/>
      <c r="BC912" s="278"/>
      <c r="BD912" s="278"/>
    </row>
    <row r="913" spans="1:56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196"/>
      <c r="S913" s="196"/>
      <c r="T913" s="196"/>
      <c r="U913" s="278"/>
      <c r="V913" s="278"/>
      <c r="W913" s="278"/>
      <c r="X913" s="278"/>
      <c r="Y913" s="278"/>
      <c r="Z913" s="278"/>
      <c r="AA913" s="278"/>
      <c r="AB913" s="278"/>
      <c r="AC913" s="278"/>
      <c r="AD913" s="278"/>
      <c r="AE913" s="278"/>
      <c r="AF913" s="278"/>
      <c r="AG913" s="278"/>
      <c r="AH913" s="278"/>
      <c r="AI913" s="278"/>
      <c r="AJ913" s="278"/>
      <c r="AK913" s="278"/>
      <c r="AL913" s="278"/>
      <c r="AM913" s="278"/>
      <c r="AN913" s="278"/>
      <c r="AO913" s="278"/>
      <c r="AP913" s="278"/>
      <c r="AQ913" s="278"/>
      <c r="AR913" s="278"/>
      <c r="AS913" s="278"/>
      <c r="AT913" s="278"/>
      <c r="AU913" s="278"/>
      <c r="AV913" s="278"/>
      <c r="AW913" s="278"/>
      <c r="AX913" s="278"/>
      <c r="AY913" s="278"/>
      <c r="AZ913" s="278"/>
      <c r="BA913" s="278"/>
      <c r="BB913" s="278"/>
      <c r="BC913" s="278"/>
      <c r="BD913" s="278"/>
    </row>
    <row r="914" spans="1:56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196"/>
      <c r="S914" s="196"/>
      <c r="T914" s="196"/>
      <c r="U914" s="278"/>
      <c r="V914" s="278"/>
      <c r="W914" s="278"/>
      <c r="X914" s="278"/>
      <c r="Y914" s="278"/>
      <c r="Z914" s="278"/>
      <c r="AA914" s="278"/>
      <c r="AB914" s="278"/>
      <c r="AC914" s="278"/>
      <c r="AD914" s="278"/>
      <c r="AE914" s="278"/>
      <c r="AF914" s="278"/>
      <c r="AG914" s="278"/>
      <c r="AH914" s="278"/>
      <c r="AI914" s="278"/>
      <c r="AJ914" s="278"/>
      <c r="AK914" s="278"/>
      <c r="AL914" s="278"/>
      <c r="AM914" s="278"/>
      <c r="AN914" s="278"/>
      <c r="AO914" s="278"/>
      <c r="AP914" s="278"/>
      <c r="AQ914" s="278"/>
      <c r="AR914" s="278"/>
      <c r="AS914" s="278"/>
      <c r="AT914" s="278"/>
      <c r="AU914" s="278"/>
      <c r="AV914" s="278"/>
      <c r="AW914" s="278"/>
      <c r="AX914" s="278"/>
      <c r="AY914" s="278"/>
      <c r="AZ914" s="278"/>
      <c r="BA914" s="278"/>
      <c r="BB914" s="278"/>
      <c r="BC914" s="278"/>
      <c r="BD914" s="278"/>
    </row>
    <row r="915" spans="1:56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196"/>
      <c r="S915" s="196"/>
      <c r="T915" s="196"/>
      <c r="U915" s="278"/>
      <c r="V915" s="278"/>
      <c r="W915" s="278"/>
      <c r="X915" s="278"/>
      <c r="Y915" s="278"/>
      <c r="Z915" s="278"/>
      <c r="AA915" s="278"/>
      <c r="AB915" s="278"/>
      <c r="AC915" s="278"/>
      <c r="AD915" s="278"/>
      <c r="AE915" s="278"/>
      <c r="AF915" s="278"/>
      <c r="AG915" s="278"/>
      <c r="AH915" s="278"/>
      <c r="AI915" s="278"/>
      <c r="AJ915" s="278"/>
      <c r="AK915" s="278"/>
      <c r="AL915" s="278"/>
      <c r="AM915" s="278"/>
      <c r="AN915" s="278"/>
      <c r="AO915" s="278"/>
      <c r="AP915" s="278"/>
      <c r="AQ915" s="278"/>
      <c r="AR915" s="278"/>
      <c r="AS915" s="278"/>
      <c r="AT915" s="278"/>
      <c r="AU915" s="278"/>
      <c r="AV915" s="278"/>
      <c r="AW915" s="278"/>
      <c r="AX915" s="278"/>
      <c r="AY915" s="278"/>
      <c r="AZ915" s="278"/>
      <c r="BA915" s="278"/>
      <c r="BB915" s="278"/>
      <c r="BC915" s="278"/>
      <c r="BD915" s="278"/>
    </row>
    <row r="916" spans="1:56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196"/>
      <c r="S916" s="196"/>
      <c r="T916" s="196"/>
      <c r="U916" s="278"/>
      <c r="V916" s="278"/>
      <c r="W916" s="278"/>
      <c r="X916" s="278"/>
      <c r="Y916" s="278"/>
      <c r="Z916" s="278"/>
      <c r="AA916" s="278"/>
      <c r="AB916" s="278"/>
      <c r="AC916" s="278"/>
      <c r="AD916" s="278"/>
      <c r="AE916" s="278"/>
      <c r="AF916" s="278"/>
      <c r="AG916" s="278"/>
      <c r="AH916" s="278"/>
      <c r="AI916" s="278"/>
      <c r="AJ916" s="278"/>
      <c r="AK916" s="278"/>
      <c r="AL916" s="278"/>
      <c r="AM916" s="278"/>
      <c r="AN916" s="278"/>
      <c r="AO916" s="278"/>
      <c r="AP916" s="278"/>
      <c r="AQ916" s="278"/>
      <c r="AR916" s="278"/>
      <c r="AS916" s="278"/>
      <c r="AT916" s="278"/>
      <c r="AU916" s="278"/>
      <c r="AV916" s="278"/>
      <c r="AW916" s="278"/>
      <c r="AX916" s="278"/>
      <c r="AY916" s="278"/>
      <c r="AZ916" s="278"/>
      <c r="BA916" s="278"/>
      <c r="BB916" s="278"/>
      <c r="BC916" s="278"/>
      <c r="BD916" s="278"/>
    </row>
    <row r="917" spans="1:56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196"/>
      <c r="S917" s="196"/>
      <c r="T917" s="196"/>
      <c r="U917" s="278"/>
      <c r="V917" s="278"/>
      <c r="W917" s="278"/>
      <c r="X917" s="278"/>
      <c r="Y917" s="278"/>
      <c r="Z917" s="278"/>
      <c r="AA917" s="278"/>
      <c r="AB917" s="278"/>
      <c r="AC917" s="278"/>
      <c r="AD917" s="278"/>
      <c r="AE917" s="278"/>
      <c r="AF917" s="278"/>
      <c r="AG917" s="278"/>
      <c r="AH917" s="278"/>
      <c r="AI917" s="278"/>
      <c r="AJ917" s="278"/>
      <c r="AK917" s="278"/>
      <c r="AL917" s="278"/>
      <c r="AM917" s="278"/>
      <c r="AN917" s="278"/>
      <c r="AO917" s="278"/>
      <c r="AP917" s="278"/>
      <c r="AQ917" s="278"/>
      <c r="AR917" s="278"/>
      <c r="AS917" s="278"/>
      <c r="AT917" s="278"/>
      <c r="AU917" s="278"/>
      <c r="AV917" s="278"/>
      <c r="AW917" s="278"/>
      <c r="AX917" s="278"/>
      <c r="AY917" s="278"/>
      <c r="AZ917" s="278"/>
      <c r="BA917" s="278"/>
      <c r="BB917" s="278"/>
      <c r="BC917" s="278"/>
      <c r="BD917" s="278"/>
    </row>
    <row r="918" spans="1:56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196"/>
      <c r="S918" s="196"/>
      <c r="T918" s="196"/>
      <c r="U918" s="278"/>
      <c r="V918" s="278"/>
      <c r="W918" s="278"/>
      <c r="X918" s="278"/>
      <c r="Y918" s="278"/>
      <c r="Z918" s="278"/>
      <c r="AA918" s="278"/>
      <c r="AB918" s="278"/>
      <c r="AC918" s="278"/>
      <c r="AD918" s="278"/>
      <c r="AE918" s="278"/>
      <c r="AF918" s="278"/>
      <c r="AG918" s="278"/>
      <c r="AH918" s="278"/>
      <c r="AI918" s="278"/>
      <c r="AJ918" s="278"/>
      <c r="AK918" s="278"/>
      <c r="AL918" s="278"/>
      <c r="AM918" s="278"/>
      <c r="AN918" s="278"/>
      <c r="AO918" s="278"/>
      <c r="AP918" s="278"/>
      <c r="AQ918" s="278"/>
      <c r="AR918" s="278"/>
      <c r="AS918" s="278"/>
      <c r="AT918" s="278"/>
      <c r="AU918" s="278"/>
      <c r="AV918" s="278"/>
      <c r="AW918" s="278"/>
      <c r="AX918" s="278"/>
      <c r="AY918" s="278"/>
      <c r="AZ918" s="278"/>
      <c r="BA918" s="278"/>
      <c r="BB918" s="278"/>
      <c r="BC918" s="278"/>
      <c r="BD918" s="278"/>
    </row>
    <row r="919" spans="1:56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196"/>
      <c r="S919" s="196"/>
      <c r="T919" s="196"/>
      <c r="U919" s="278"/>
      <c r="V919" s="278"/>
      <c r="W919" s="278"/>
      <c r="X919" s="278"/>
      <c r="Y919" s="278"/>
      <c r="Z919" s="278"/>
      <c r="AA919" s="278"/>
      <c r="AB919" s="278"/>
      <c r="AC919" s="278"/>
      <c r="AD919" s="278"/>
      <c r="AE919" s="278"/>
      <c r="AF919" s="278"/>
      <c r="AG919" s="278"/>
      <c r="AH919" s="278"/>
      <c r="AI919" s="278"/>
      <c r="AJ919" s="278"/>
      <c r="AK919" s="278"/>
      <c r="AL919" s="278"/>
      <c r="AM919" s="278"/>
      <c r="AN919" s="278"/>
      <c r="AO919" s="278"/>
      <c r="AP919" s="278"/>
      <c r="AQ919" s="278"/>
      <c r="AR919" s="278"/>
      <c r="AS919" s="278"/>
      <c r="AT919" s="278"/>
      <c r="AU919" s="278"/>
      <c r="AV919" s="278"/>
      <c r="AW919" s="278"/>
      <c r="AX919" s="278"/>
      <c r="AY919" s="278"/>
      <c r="AZ919" s="278"/>
      <c r="BA919" s="278"/>
      <c r="BB919" s="278"/>
      <c r="BC919" s="278"/>
      <c r="BD919" s="278"/>
    </row>
    <row r="920" spans="1:56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196"/>
      <c r="S920" s="196"/>
      <c r="T920" s="196"/>
      <c r="U920" s="278"/>
      <c r="V920" s="278"/>
      <c r="W920" s="278"/>
      <c r="X920" s="278"/>
      <c r="Y920" s="278"/>
      <c r="Z920" s="278"/>
      <c r="AA920" s="278"/>
      <c r="AB920" s="278"/>
      <c r="AC920" s="278"/>
      <c r="AD920" s="278"/>
      <c r="AE920" s="278"/>
      <c r="AF920" s="278"/>
      <c r="AG920" s="278"/>
      <c r="AH920" s="278"/>
      <c r="AI920" s="278"/>
      <c r="AJ920" s="278"/>
      <c r="AK920" s="278"/>
      <c r="AL920" s="278"/>
      <c r="AM920" s="278"/>
      <c r="AN920" s="278"/>
      <c r="AO920" s="278"/>
      <c r="AP920" s="278"/>
      <c r="AQ920" s="278"/>
      <c r="AR920" s="278"/>
      <c r="AS920" s="278"/>
      <c r="AT920" s="278"/>
      <c r="AU920" s="278"/>
      <c r="AV920" s="278"/>
      <c r="AW920" s="278"/>
      <c r="AX920" s="278"/>
      <c r="AY920" s="278"/>
      <c r="AZ920" s="278"/>
      <c r="BA920" s="278"/>
      <c r="BB920" s="278"/>
      <c r="BC920" s="278"/>
      <c r="BD920" s="278"/>
    </row>
    <row r="921" spans="1:56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196"/>
      <c r="S921" s="196"/>
      <c r="T921" s="196"/>
      <c r="U921" s="278"/>
      <c r="V921" s="278"/>
      <c r="W921" s="278"/>
      <c r="X921" s="278"/>
      <c r="Y921" s="278"/>
      <c r="Z921" s="278"/>
      <c r="AA921" s="278"/>
      <c r="AB921" s="278"/>
      <c r="AC921" s="278"/>
      <c r="AD921" s="278"/>
      <c r="AE921" s="278"/>
      <c r="AF921" s="278"/>
      <c r="AG921" s="278"/>
      <c r="AH921" s="278"/>
      <c r="AI921" s="278"/>
      <c r="AJ921" s="278"/>
      <c r="AK921" s="278"/>
      <c r="AL921" s="278"/>
      <c r="AM921" s="278"/>
      <c r="AN921" s="278"/>
      <c r="AO921" s="278"/>
      <c r="AP921" s="278"/>
      <c r="AQ921" s="278"/>
      <c r="AR921" s="278"/>
      <c r="AS921" s="278"/>
      <c r="AT921" s="278"/>
      <c r="AU921" s="278"/>
      <c r="AV921" s="278"/>
      <c r="AW921" s="278"/>
      <c r="AX921" s="278"/>
      <c r="AY921" s="278"/>
      <c r="AZ921" s="278"/>
      <c r="BA921" s="278"/>
      <c r="BB921" s="278"/>
      <c r="BC921" s="278"/>
      <c r="BD921" s="278"/>
    </row>
    <row r="922" spans="1:56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196"/>
      <c r="S922" s="196"/>
      <c r="T922" s="196"/>
      <c r="U922" s="278"/>
      <c r="V922" s="278"/>
      <c r="W922" s="278"/>
      <c r="X922" s="278"/>
      <c r="Y922" s="278"/>
      <c r="Z922" s="278"/>
      <c r="AA922" s="278"/>
      <c r="AB922" s="278"/>
      <c r="AC922" s="278"/>
      <c r="AD922" s="278"/>
      <c r="AE922" s="278"/>
      <c r="AF922" s="278"/>
      <c r="AG922" s="278"/>
      <c r="AH922" s="278"/>
      <c r="AI922" s="278"/>
      <c r="AJ922" s="278"/>
      <c r="AK922" s="278"/>
      <c r="AL922" s="278"/>
      <c r="AM922" s="278"/>
      <c r="AN922" s="278"/>
      <c r="AO922" s="278"/>
      <c r="AP922" s="278"/>
      <c r="AQ922" s="278"/>
      <c r="AR922" s="278"/>
      <c r="AS922" s="278"/>
      <c r="AT922" s="278"/>
      <c r="AU922" s="278"/>
      <c r="AV922" s="278"/>
      <c r="AW922" s="278"/>
      <c r="AX922" s="278"/>
      <c r="AY922" s="278"/>
      <c r="AZ922" s="278"/>
      <c r="BA922" s="278"/>
      <c r="BB922" s="278"/>
      <c r="BC922" s="278"/>
      <c r="BD922" s="278"/>
    </row>
    <row r="923" spans="1:56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196"/>
      <c r="S923" s="196"/>
      <c r="T923" s="196"/>
      <c r="U923" s="278"/>
      <c r="V923" s="278"/>
      <c r="W923" s="278"/>
      <c r="X923" s="278"/>
      <c r="Y923" s="278"/>
      <c r="Z923" s="278"/>
      <c r="AA923" s="278"/>
      <c r="AB923" s="278"/>
      <c r="AC923" s="278"/>
      <c r="AD923" s="278"/>
      <c r="AE923" s="278"/>
      <c r="AF923" s="278"/>
      <c r="AG923" s="278"/>
      <c r="AH923" s="278"/>
      <c r="AI923" s="278"/>
      <c r="AJ923" s="278"/>
      <c r="AK923" s="278"/>
      <c r="AL923" s="278"/>
      <c r="AM923" s="278"/>
      <c r="AN923" s="278"/>
      <c r="AO923" s="278"/>
      <c r="AP923" s="278"/>
      <c r="AQ923" s="278"/>
      <c r="AR923" s="278"/>
      <c r="AS923" s="278"/>
      <c r="AT923" s="278"/>
      <c r="AU923" s="278"/>
      <c r="AV923" s="278"/>
      <c r="AW923" s="278"/>
      <c r="AX923" s="278"/>
      <c r="AY923" s="278"/>
      <c r="AZ923" s="278"/>
      <c r="BA923" s="278"/>
      <c r="BB923" s="278"/>
      <c r="BC923" s="278"/>
      <c r="BD923" s="278"/>
    </row>
    <row r="924" spans="1:56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196"/>
      <c r="S924" s="196"/>
      <c r="T924" s="196"/>
      <c r="U924" s="278"/>
      <c r="V924" s="278"/>
      <c r="W924" s="278"/>
      <c r="X924" s="278"/>
      <c r="Y924" s="278"/>
      <c r="Z924" s="278"/>
      <c r="AA924" s="278"/>
      <c r="AB924" s="278"/>
      <c r="AC924" s="278"/>
      <c r="AD924" s="278"/>
      <c r="AE924" s="278"/>
      <c r="AF924" s="278"/>
      <c r="AG924" s="278"/>
      <c r="AH924" s="278"/>
      <c r="AI924" s="278"/>
      <c r="AJ924" s="278"/>
      <c r="AK924" s="278"/>
      <c r="AL924" s="278"/>
      <c r="AM924" s="278"/>
      <c r="AN924" s="278"/>
      <c r="AO924" s="278"/>
      <c r="AP924" s="278"/>
      <c r="AQ924" s="278"/>
      <c r="AR924" s="278"/>
      <c r="AS924" s="278"/>
      <c r="AT924" s="278"/>
      <c r="AU924" s="278"/>
      <c r="AV924" s="278"/>
      <c r="AW924" s="278"/>
      <c r="AX924" s="278"/>
      <c r="AY924" s="278"/>
      <c r="AZ924" s="278"/>
      <c r="BA924" s="278"/>
      <c r="BB924" s="278"/>
      <c r="BC924" s="278"/>
      <c r="BD924" s="278"/>
    </row>
    <row r="925" spans="1:56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196"/>
      <c r="S925" s="196"/>
      <c r="T925" s="196"/>
      <c r="U925" s="278"/>
      <c r="V925" s="278"/>
      <c r="W925" s="278"/>
      <c r="X925" s="278"/>
      <c r="Y925" s="278"/>
      <c r="Z925" s="278"/>
      <c r="AA925" s="278"/>
      <c r="AB925" s="278"/>
      <c r="AC925" s="278"/>
      <c r="AD925" s="278"/>
      <c r="AE925" s="278"/>
      <c r="AF925" s="278"/>
      <c r="AG925" s="278"/>
      <c r="AH925" s="278"/>
      <c r="AI925" s="278"/>
      <c r="AJ925" s="278"/>
      <c r="AK925" s="278"/>
      <c r="AL925" s="278"/>
      <c r="AM925" s="278"/>
      <c r="AN925" s="278"/>
      <c r="AO925" s="278"/>
      <c r="AP925" s="278"/>
      <c r="AQ925" s="278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</row>
    <row r="926" spans="1:56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196"/>
      <c r="S926" s="196"/>
      <c r="T926" s="196"/>
      <c r="U926" s="278"/>
      <c r="V926" s="278"/>
      <c r="W926" s="278"/>
      <c r="X926" s="278"/>
      <c r="Y926" s="278"/>
      <c r="Z926" s="278"/>
      <c r="AA926" s="278"/>
      <c r="AB926" s="278"/>
      <c r="AC926" s="278"/>
      <c r="AD926" s="278"/>
      <c r="AE926" s="278"/>
      <c r="AF926" s="278"/>
      <c r="AG926" s="278"/>
      <c r="AH926" s="278"/>
      <c r="AI926" s="278"/>
      <c r="AJ926" s="278"/>
      <c r="AK926" s="278"/>
      <c r="AL926" s="278"/>
      <c r="AM926" s="278"/>
      <c r="AN926" s="278"/>
      <c r="AO926" s="278"/>
      <c r="AP926" s="278"/>
      <c r="AQ926" s="278"/>
      <c r="AR926" s="278"/>
      <c r="AS926" s="278"/>
      <c r="AT926" s="278"/>
      <c r="AU926" s="278"/>
      <c r="AV926" s="278"/>
      <c r="AW926" s="278"/>
      <c r="AX926" s="278"/>
      <c r="AY926" s="278"/>
      <c r="AZ926" s="278"/>
      <c r="BA926" s="278"/>
      <c r="BB926" s="278"/>
      <c r="BC926" s="278"/>
      <c r="BD926" s="278"/>
    </row>
    <row r="927" spans="1:56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196"/>
      <c r="S927" s="196"/>
      <c r="T927" s="196"/>
      <c r="U927" s="278"/>
      <c r="V927" s="278"/>
      <c r="W927" s="278"/>
      <c r="X927" s="278"/>
      <c r="Y927" s="278"/>
      <c r="Z927" s="278"/>
      <c r="AA927" s="278"/>
      <c r="AB927" s="278"/>
      <c r="AC927" s="278"/>
      <c r="AD927" s="278"/>
      <c r="AE927" s="278"/>
      <c r="AF927" s="278"/>
      <c r="AG927" s="278"/>
      <c r="AH927" s="278"/>
      <c r="AI927" s="278"/>
      <c r="AJ927" s="278"/>
      <c r="AK927" s="278"/>
      <c r="AL927" s="278"/>
      <c r="AM927" s="278"/>
      <c r="AN927" s="278"/>
      <c r="AO927" s="278"/>
      <c r="AP927" s="278"/>
      <c r="AQ927" s="278"/>
      <c r="AR927" s="278"/>
      <c r="AS927" s="278"/>
      <c r="AT927" s="278"/>
      <c r="AU927" s="278"/>
      <c r="AV927" s="278"/>
      <c r="AW927" s="278"/>
      <c r="AX927" s="278"/>
      <c r="AY927" s="278"/>
      <c r="AZ927" s="278"/>
      <c r="BA927" s="278"/>
      <c r="BB927" s="278"/>
      <c r="BC927" s="278"/>
      <c r="BD927" s="278"/>
    </row>
    <row r="928" spans="1:56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196"/>
      <c r="S928" s="196"/>
      <c r="T928" s="196"/>
      <c r="U928" s="278"/>
      <c r="V928" s="278"/>
      <c r="W928" s="278"/>
      <c r="X928" s="278"/>
      <c r="Y928" s="278"/>
      <c r="Z928" s="278"/>
      <c r="AA928" s="278"/>
      <c r="AB928" s="278"/>
      <c r="AC928" s="278"/>
      <c r="AD928" s="278"/>
      <c r="AE928" s="278"/>
      <c r="AF928" s="278"/>
      <c r="AG928" s="278"/>
      <c r="AH928" s="278"/>
      <c r="AI928" s="278"/>
      <c r="AJ928" s="278"/>
      <c r="AK928" s="278"/>
      <c r="AL928" s="278"/>
      <c r="AM928" s="278"/>
      <c r="AN928" s="278"/>
      <c r="AO928" s="278"/>
      <c r="AP928" s="278"/>
      <c r="AQ928" s="278"/>
      <c r="AR928" s="278"/>
      <c r="AS928" s="278"/>
      <c r="AT928" s="278"/>
      <c r="AU928" s="278"/>
      <c r="AV928" s="278"/>
      <c r="AW928" s="278"/>
      <c r="AX928" s="278"/>
      <c r="AY928" s="278"/>
      <c r="AZ928" s="278"/>
      <c r="BA928" s="278"/>
      <c r="BB928" s="278"/>
      <c r="BC928" s="278"/>
      <c r="BD928" s="278"/>
    </row>
    <row r="929" spans="1:56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196"/>
      <c r="S929" s="196"/>
      <c r="T929" s="196"/>
      <c r="U929" s="278"/>
      <c r="V929" s="278"/>
      <c r="W929" s="278"/>
      <c r="X929" s="278"/>
      <c r="Y929" s="278"/>
      <c r="Z929" s="278"/>
      <c r="AA929" s="278"/>
      <c r="AB929" s="278"/>
      <c r="AC929" s="278"/>
      <c r="AD929" s="278"/>
      <c r="AE929" s="278"/>
      <c r="AF929" s="278"/>
      <c r="AG929" s="278"/>
      <c r="AH929" s="278"/>
      <c r="AI929" s="278"/>
      <c r="AJ929" s="278"/>
      <c r="AK929" s="278"/>
      <c r="AL929" s="278"/>
      <c r="AM929" s="278"/>
      <c r="AN929" s="278"/>
      <c r="AO929" s="278"/>
      <c r="AP929" s="278"/>
      <c r="AQ929" s="278"/>
      <c r="AR929" s="278"/>
      <c r="AS929" s="278"/>
      <c r="AT929" s="278"/>
      <c r="AU929" s="278"/>
      <c r="AV929" s="278"/>
      <c r="AW929" s="278"/>
      <c r="AX929" s="278"/>
      <c r="AY929" s="278"/>
      <c r="AZ929" s="278"/>
      <c r="BA929" s="278"/>
      <c r="BB929" s="278"/>
      <c r="BC929" s="278"/>
      <c r="BD929" s="278"/>
    </row>
    <row r="930" spans="1:56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196"/>
      <c r="S930" s="196"/>
      <c r="T930" s="196"/>
      <c r="U930" s="278"/>
      <c r="V930" s="278"/>
      <c r="W930" s="278"/>
      <c r="X930" s="278"/>
      <c r="Y930" s="278"/>
      <c r="Z930" s="278"/>
      <c r="AA930" s="278"/>
      <c r="AB930" s="278"/>
      <c r="AC930" s="278"/>
      <c r="AD930" s="278"/>
      <c r="AE930" s="278"/>
      <c r="AF930" s="278"/>
      <c r="AG930" s="278"/>
      <c r="AH930" s="278"/>
      <c r="AI930" s="278"/>
      <c r="AJ930" s="278"/>
      <c r="AK930" s="278"/>
      <c r="AL930" s="278"/>
      <c r="AM930" s="278"/>
      <c r="AN930" s="278"/>
      <c r="AO930" s="278"/>
      <c r="AP930" s="278"/>
      <c r="AQ930" s="278"/>
      <c r="AR930" s="278"/>
      <c r="AS930" s="278"/>
      <c r="AT930" s="278"/>
      <c r="AU930" s="278"/>
      <c r="AV930" s="278"/>
      <c r="AW930" s="278"/>
      <c r="AX930" s="278"/>
      <c r="AY930" s="278"/>
      <c r="AZ930" s="278"/>
      <c r="BA930" s="278"/>
      <c r="BB930" s="278"/>
      <c r="BC930" s="278"/>
      <c r="BD930" s="278"/>
    </row>
    <row r="931" spans="1:56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196"/>
      <c r="S931" s="196"/>
      <c r="T931" s="196"/>
      <c r="U931" s="278"/>
      <c r="V931" s="278"/>
      <c r="W931" s="278"/>
      <c r="X931" s="278"/>
      <c r="Y931" s="278"/>
      <c r="Z931" s="278"/>
      <c r="AA931" s="278"/>
      <c r="AB931" s="278"/>
      <c r="AC931" s="278"/>
      <c r="AD931" s="278"/>
      <c r="AE931" s="278"/>
      <c r="AF931" s="278"/>
      <c r="AG931" s="278"/>
      <c r="AH931" s="278"/>
      <c r="AI931" s="278"/>
      <c r="AJ931" s="278"/>
      <c r="AK931" s="278"/>
      <c r="AL931" s="278"/>
      <c r="AM931" s="278"/>
      <c r="AN931" s="278"/>
      <c r="AO931" s="278"/>
      <c r="AP931" s="278"/>
      <c r="AQ931" s="278"/>
      <c r="AR931" s="278"/>
      <c r="AS931" s="278"/>
      <c r="AT931" s="278"/>
      <c r="AU931" s="278"/>
      <c r="AV931" s="278"/>
      <c r="AW931" s="278"/>
      <c r="AX931" s="278"/>
      <c r="AY931" s="278"/>
      <c r="AZ931" s="278"/>
      <c r="BA931" s="278"/>
      <c r="BB931" s="278"/>
      <c r="BC931" s="278"/>
      <c r="BD931" s="278"/>
    </row>
    <row r="932" spans="1:56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196"/>
      <c r="S932" s="196"/>
      <c r="T932" s="196"/>
      <c r="U932" s="278"/>
      <c r="V932" s="278"/>
      <c r="W932" s="278"/>
      <c r="X932" s="278"/>
      <c r="Y932" s="278"/>
      <c r="Z932" s="278"/>
      <c r="AA932" s="278"/>
      <c r="AB932" s="278"/>
      <c r="AC932" s="278"/>
      <c r="AD932" s="278"/>
      <c r="AE932" s="278"/>
      <c r="AF932" s="278"/>
      <c r="AG932" s="278"/>
      <c r="AH932" s="278"/>
      <c r="AI932" s="278"/>
      <c r="AJ932" s="278"/>
      <c r="AK932" s="278"/>
      <c r="AL932" s="278"/>
      <c r="AM932" s="278"/>
      <c r="AN932" s="278"/>
      <c r="AO932" s="278"/>
      <c r="AP932" s="278"/>
      <c r="AQ932" s="278"/>
      <c r="AR932" s="278"/>
      <c r="AS932" s="278"/>
      <c r="AT932" s="278"/>
      <c r="AU932" s="278"/>
      <c r="AV932" s="278"/>
      <c r="AW932" s="278"/>
      <c r="AX932" s="278"/>
      <c r="AY932" s="278"/>
      <c r="AZ932" s="278"/>
      <c r="BA932" s="278"/>
      <c r="BB932" s="278"/>
      <c r="BC932" s="278"/>
      <c r="BD932" s="278"/>
    </row>
    <row r="933" spans="1:56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196"/>
      <c r="S933" s="196"/>
      <c r="T933" s="196"/>
      <c r="U933" s="278"/>
      <c r="V933" s="278"/>
      <c r="W933" s="278"/>
      <c r="X933" s="278"/>
      <c r="Y933" s="278"/>
      <c r="Z933" s="278"/>
      <c r="AA933" s="278"/>
      <c r="AB933" s="278"/>
      <c r="AC933" s="278"/>
      <c r="AD933" s="278"/>
      <c r="AE933" s="278"/>
      <c r="AF933" s="278"/>
      <c r="AG933" s="278"/>
      <c r="AH933" s="278"/>
      <c r="AI933" s="278"/>
      <c r="AJ933" s="278"/>
      <c r="AK933" s="278"/>
      <c r="AL933" s="278"/>
      <c r="AM933" s="278"/>
      <c r="AN933" s="278"/>
      <c r="AO933" s="278"/>
      <c r="AP933" s="278"/>
      <c r="AQ933" s="278"/>
      <c r="AR933" s="278"/>
      <c r="AS933" s="278"/>
      <c r="AT933" s="278"/>
      <c r="AU933" s="278"/>
      <c r="AV933" s="278"/>
      <c r="AW933" s="278"/>
      <c r="AX933" s="278"/>
      <c r="AY933" s="278"/>
      <c r="AZ933" s="278"/>
      <c r="BA933" s="278"/>
      <c r="BB933" s="278"/>
      <c r="BC933" s="278"/>
      <c r="BD933" s="278"/>
    </row>
    <row r="934" spans="1:56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196"/>
      <c r="S934" s="196"/>
      <c r="T934" s="196"/>
      <c r="U934" s="278"/>
      <c r="V934" s="278"/>
      <c r="W934" s="278"/>
      <c r="X934" s="278"/>
      <c r="Y934" s="278"/>
      <c r="Z934" s="278"/>
      <c r="AA934" s="278"/>
      <c r="AB934" s="278"/>
      <c r="AC934" s="278"/>
      <c r="AD934" s="278"/>
      <c r="AE934" s="278"/>
      <c r="AF934" s="278"/>
      <c r="AG934" s="278"/>
      <c r="AH934" s="278"/>
      <c r="AI934" s="278"/>
      <c r="AJ934" s="278"/>
      <c r="AK934" s="278"/>
      <c r="AL934" s="278"/>
      <c r="AM934" s="278"/>
      <c r="AN934" s="278"/>
      <c r="AO934" s="278"/>
      <c r="AP934" s="278"/>
      <c r="AQ934" s="278"/>
      <c r="AR934" s="278"/>
      <c r="AS934" s="278"/>
      <c r="AT934" s="278"/>
      <c r="AU934" s="278"/>
      <c r="AV934" s="278"/>
      <c r="AW934" s="278"/>
      <c r="AX934" s="278"/>
      <c r="AY934" s="278"/>
      <c r="AZ934" s="278"/>
      <c r="BA934" s="278"/>
      <c r="BB934" s="278"/>
      <c r="BC934" s="278"/>
      <c r="BD934" s="278"/>
    </row>
    <row r="935" spans="1:56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196"/>
      <c r="S935" s="196"/>
      <c r="T935" s="196"/>
      <c r="U935" s="278"/>
      <c r="V935" s="278"/>
      <c r="W935" s="278"/>
      <c r="X935" s="278"/>
      <c r="Y935" s="278"/>
      <c r="Z935" s="278"/>
      <c r="AA935" s="278"/>
      <c r="AB935" s="278"/>
      <c r="AC935" s="278"/>
      <c r="AD935" s="278"/>
      <c r="AE935" s="278"/>
      <c r="AF935" s="278"/>
      <c r="AG935" s="278"/>
      <c r="AH935" s="278"/>
      <c r="AI935" s="278"/>
      <c r="AJ935" s="278"/>
      <c r="AK935" s="278"/>
      <c r="AL935" s="278"/>
      <c r="AM935" s="278"/>
      <c r="AN935" s="278"/>
      <c r="AO935" s="278"/>
      <c r="AP935" s="278"/>
      <c r="AQ935" s="278"/>
      <c r="AR935" s="278"/>
      <c r="AS935" s="278"/>
      <c r="AT935" s="278"/>
      <c r="AU935" s="278"/>
      <c r="AV935" s="278"/>
      <c r="AW935" s="278"/>
      <c r="AX935" s="278"/>
      <c r="AY935" s="278"/>
      <c r="AZ935" s="278"/>
      <c r="BA935" s="278"/>
      <c r="BB935" s="278"/>
      <c r="BC935" s="278"/>
      <c r="BD935" s="278"/>
    </row>
    <row r="936" spans="1:56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196"/>
      <c r="S936" s="196"/>
      <c r="T936" s="196"/>
      <c r="U936" s="278"/>
      <c r="V936" s="278"/>
      <c r="W936" s="278"/>
      <c r="X936" s="278"/>
      <c r="Y936" s="278"/>
      <c r="Z936" s="278"/>
      <c r="AA936" s="278"/>
      <c r="AB936" s="278"/>
      <c r="AC936" s="278"/>
      <c r="AD936" s="278"/>
      <c r="AE936" s="278"/>
      <c r="AF936" s="278"/>
      <c r="AG936" s="278"/>
      <c r="AH936" s="278"/>
      <c r="AI936" s="278"/>
      <c r="AJ936" s="278"/>
      <c r="AK936" s="278"/>
      <c r="AL936" s="278"/>
      <c r="AM936" s="278"/>
      <c r="AN936" s="278"/>
      <c r="AO936" s="278"/>
      <c r="AP936" s="278"/>
      <c r="AQ936" s="278"/>
      <c r="AR936" s="278"/>
      <c r="AS936" s="278"/>
      <c r="AT936" s="278"/>
      <c r="AU936" s="278"/>
      <c r="AV936" s="278"/>
      <c r="AW936" s="278"/>
      <c r="AX936" s="278"/>
      <c r="AY936" s="278"/>
      <c r="AZ936" s="278"/>
      <c r="BA936" s="278"/>
      <c r="BB936" s="278"/>
      <c r="BC936" s="278"/>
      <c r="BD936" s="278"/>
    </row>
    <row r="937" spans="1:56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196"/>
      <c r="S937" s="196"/>
      <c r="T937" s="196"/>
      <c r="U937" s="278"/>
      <c r="V937" s="278"/>
      <c r="W937" s="278"/>
      <c r="X937" s="278"/>
      <c r="Y937" s="278"/>
      <c r="Z937" s="278"/>
      <c r="AA937" s="278"/>
      <c r="AB937" s="278"/>
      <c r="AC937" s="278"/>
      <c r="AD937" s="278"/>
      <c r="AE937" s="278"/>
      <c r="AF937" s="278"/>
      <c r="AG937" s="278"/>
      <c r="AH937" s="278"/>
      <c r="AI937" s="278"/>
      <c r="AJ937" s="278"/>
      <c r="AK937" s="278"/>
      <c r="AL937" s="278"/>
      <c r="AM937" s="278"/>
      <c r="AN937" s="278"/>
      <c r="AO937" s="278"/>
      <c r="AP937" s="278"/>
      <c r="AQ937" s="278"/>
      <c r="AR937" s="278"/>
      <c r="AS937" s="278"/>
      <c r="AT937" s="278"/>
      <c r="AU937" s="278"/>
      <c r="AV937" s="278"/>
      <c r="AW937" s="278"/>
      <c r="AX937" s="278"/>
      <c r="AY937" s="278"/>
      <c r="AZ937" s="278"/>
      <c r="BA937" s="278"/>
      <c r="BB937" s="278"/>
      <c r="BC937" s="278"/>
      <c r="BD937" s="278"/>
    </row>
    <row r="938" spans="1:56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196"/>
      <c r="S938" s="196"/>
      <c r="T938" s="196"/>
      <c r="U938" s="278"/>
      <c r="V938" s="278"/>
      <c r="W938" s="278"/>
      <c r="X938" s="278"/>
      <c r="Y938" s="278"/>
      <c r="Z938" s="278"/>
      <c r="AA938" s="278"/>
      <c r="AB938" s="278"/>
      <c r="AC938" s="278"/>
      <c r="AD938" s="278"/>
      <c r="AE938" s="278"/>
      <c r="AF938" s="278"/>
      <c r="AG938" s="278"/>
      <c r="AH938" s="278"/>
      <c r="AI938" s="278"/>
      <c r="AJ938" s="278"/>
      <c r="AK938" s="278"/>
      <c r="AL938" s="278"/>
      <c r="AM938" s="278"/>
      <c r="AN938" s="278"/>
      <c r="AO938" s="278"/>
      <c r="AP938" s="278"/>
      <c r="AQ938" s="278"/>
      <c r="AR938" s="278"/>
      <c r="AS938" s="278"/>
      <c r="AT938" s="278"/>
      <c r="AU938" s="278"/>
      <c r="AV938" s="278"/>
      <c r="AW938" s="278"/>
      <c r="AX938" s="278"/>
      <c r="AY938" s="278"/>
      <c r="AZ938" s="278"/>
      <c r="BA938" s="278"/>
      <c r="BB938" s="278"/>
      <c r="BC938" s="278"/>
      <c r="BD938" s="278"/>
    </row>
    <row r="939" spans="1:56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196"/>
      <c r="S939" s="196"/>
      <c r="T939" s="196"/>
      <c r="U939" s="278"/>
      <c r="V939" s="278"/>
      <c r="W939" s="278"/>
      <c r="X939" s="278"/>
      <c r="Y939" s="278"/>
      <c r="Z939" s="278"/>
      <c r="AA939" s="278"/>
      <c r="AB939" s="278"/>
      <c r="AC939" s="278"/>
      <c r="AD939" s="278"/>
      <c r="AE939" s="278"/>
      <c r="AF939" s="278"/>
      <c r="AG939" s="278"/>
      <c r="AH939" s="278"/>
      <c r="AI939" s="278"/>
      <c r="AJ939" s="278"/>
      <c r="AK939" s="278"/>
      <c r="AL939" s="278"/>
      <c r="AM939" s="278"/>
      <c r="AN939" s="278"/>
      <c r="AO939" s="278"/>
      <c r="AP939" s="278"/>
      <c r="AQ939" s="278"/>
      <c r="AR939" s="278"/>
      <c r="AS939" s="278"/>
      <c r="AT939" s="278"/>
      <c r="AU939" s="278"/>
      <c r="AV939" s="278"/>
      <c r="AW939" s="278"/>
      <c r="AX939" s="278"/>
      <c r="AY939" s="278"/>
      <c r="AZ939" s="278"/>
      <c r="BA939" s="278"/>
      <c r="BB939" s="278"/>
      <c r="BC939" s="278"/>
      <c r="BD939" s="278"/>
    </row>
    <row r="940" spans="1:56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196"/>
      <c r="S940" s="196"/>
      <c r="T940" s="196"/>
      <c r="U940" s="278"/>
      <c r="V940" s="278"/>
      <c r="W940" s="278"/>
      <c r="X940" s="278"/>
      <c r="Y940" s="278"/>
      <c r="Z940" s="278"/>
      <c r="AA940" s="278"/>
      <c r="AB940" s="278"/>
      <c r="AC940" s="278"/>
      <c r="AD940" s="278"/>
      <c r="AE940" s="278"/>
      <c r="AF940" s="278"/>
      <c r="AG940" s="278"/>
      <c r="AH940" s="278"/>
      <c r="AI940" s="278"/>
      <c r="AJ940" s="278"/>
      <c r="AK940" s="278"/>
      <c r="AL940" s="278"/>
      <c r="AM940" s="278"/>
      <c r="AN940" s="278"/>
      <c r="AO940" s="278"/>
      <c r="AP940" s="278"/>
      <c r="AQ940" s="278"/>
      <c r="AR940" s="278"/>
      <c r="AS940" s="278"/>
      <c r="AT940" s="278"/>
      <c r="AU940" s="278"/>
      <c r="AV940" s="278"/>
      <c r="AW940" s="278"/>
      <c r="AX940" s="278"/>
      <c r="AY940" s="278"/>
      <c r="AZ940" s="278"/>
      <c r="BA940" s="278"/>
      <c r="BB940" s="278"/>
      <c r="BC940" s="278"/>
      <c r="BD940" s="278"/>
    </row>
    <row r="941" spans="1:56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196"/>
      <c r="S941" s="196"/>
      <c r="T941" s="196"/>
      <c r="U941" s="278"/>
      <c r="V941" s="278"/>
      <c r="W941" s="278"/>
      <c r="X941" s="278"/>
      <c r="Y941" s="278"/>
      <c r="Z941" s="278"/>
      <c r="AA941" s="278"/>
      <c r="AB941" s="278"/>
      <c r="AC941" s="278"/>
      <c r="AD941" s="278"/>
      <c r="AE941" s="278"/>
      <c r="AF941" s="278"/>
      <c r="AG941" s="278"/>
      <c r="AH941" s="278"/>
      <c r="AI941" s="278"/>
      <c r="AJ941" s="278"/>
      <c r="AK941" s="278"/>
      <c r="AL941" s="278"/>
      <c r="AM941" s="278"/>
      <c r="AN941" s="278"/>
      <c r="AO941" s="278"/>
      <c r="AP941" s="278"/>
      <c r="AQ941" s="278"/>
      <c r="AR941" s="278"/>
      <c r="AS941" s="278"/>
      <c r="AT941" s="278"/>
      <c r="AU941" s="278"/>
      <c r="AV941" s="278"/>
      <c r="AW941" s="278"/>
      <c r="AX941" s="278"/>
      <c r="AY941" s="278"/>
      <c r="AZ941" s="278"/>
      <c r="BA941" s="278"/>
      <c r="BB941" s="278"/>
      <c r="BC941" s="278"/>
      <c r="BD941" s="278"/>
    </row>
    <row r="942" spans="1:56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196"/>
      <c r="S942" s="196"/>
      <c r="T942" s="196"/>
      <c r="U942" s="278"/>
      <c r="V942" s="278"/>
      <c r="W942" s="278"/>
      <c r="X942" s="278"/>
      <c r="Y942" s="278"/>
      <c r="Z942" s="278"/>
      <c r="AA942" s="278"/>
      <c r="AB942" s="278"/>
      <c r="AC942" s="278"/>
      <c r="AD942" s="278"/>
      <c r="AE942" s="278"/>
      <c r="AF942" s="278"/>
      <c r="AG942" s="278"/>
      <c r="AH942" s="278"/>
      <c r="AI942" s="278"/>
      <c r="AJ942" s="278"/>
      <c r="AK942" s="278"/>
      <c r="AL942" s="278"/>
      <c r="AM942" s="278"/>
      <c r="AN942" s="278"/>
      <c r="AO942" s="278"/>
      <c r="AP942" s="278"/>
      <c r="AQ942" s="278"/>
      <c r="AR942" s="278"/>
      <c r="AS942" s="278"/>
      <c r="AT942" s="278"/>
      <c r="AU942" s="278"/>
      <c r="AV942" s="278"/>
      <c r="AW942" s="278"/>
      <c r="AX942" s="278"/>
      <c r="AY942" s="278"/>
      <c r="AZ942" s="278"/>
      <c r="BA942" s="278"/>
      <c r="BB942" s="278"/>
      <c r="BC942" s="278"/>
      <c r="BD942" s="278"/>
    </row>
    <row r="943" spans="1:56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196"/>
      <c r="S943" s="196"/>
      <c r="T943" s="196"/>
      <c r="U943" s="278"/>
      <c r="V943" s="278"/>
      <c r="W943" s="278"/>
      <c r="X943" s="278"/>
      <c r="Y943" s="278"/>
      <c r="Z943" s="278"/>
      <c r="AA943" s="278"/>
      <c r="AB943" s="278"/>
      <c r="AC943" s="278"/>
      <c r="AD943" s="278"/>
      <c r="AE943" s="278"/>
      <c r="AF943" s="278"/>
      <c r="AG943" s="278"/>
      <c r="AH943" s="278"/>
      <c r="AI943" s="278"/>
      <c r="AJ943" s="278"/>
      <c r="AK943" s="278"/>
      <c r="AL943" s="278"/>
      <c r="AM943" s="278"/>
      <c r="AN943" s="278"/>
      <c r="AO943" s="278"/>
      <c r="AP943" s="278"/>
      <c r="AQ943" s="278"/>
      <c r="AR943" s="278"/>
      <c r="AS943" s="278"/>
      <c r="AT943" s="278"/>
      <c r="AU943" s="278"/>
      <c r="AV943" s="278"/>
      <c r="AW943" s="278"/>
      <c r="AX943" s="278"/>
      <c r="AY943" s="278"/>
      <c r="AZ943" s="278"/>
      <c r="BA943" s="278"/>
      <c r="BB943" s="278"/>
      <c r="BC943" s="278"/>
      <c r="BD943" s="278"/>
    </row>
    <row r="944" spans="1:56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196"/>
      <c r="S944" s="196"/>
      <c r="T944" s="196"/>
      <c r="U944" s="278"/>
      <c r="V944" s="278"/>
      <c r="W944" s="278"/>
      <c r="X944" s="278"/>
      <c r="Y944" s="278"/>
      <c r="Z944" s="278"/>
      <c r="AA944" s="278"/>
      <c r="AB944" s="278"/>
      <c r="AC944" s="278"/>
      <c r="AD944" s="278"/>
      <c r="AE944" s="278"/>
      <c r="AF944" s="278"/>
      <c r="AG944" s="278"/>
      <c r="AH944" s="278"/>
      <c r="AI944" s="278"/>
      <c r="AJ944" s="278"/>
      <c r="AK944" s="278"/>
      <c r="AL944" s="278"/>
      <c r="AM944" s="278"/>
      <c r="AN944" s="278"/>
      <c r="AO944" s="278"/>
      <c r="AP944" s="278"/>
      <c r="AQ944" s="278"/>
      <c r="AR944" s="278"/>
      <c r="AS944" s="278"/>
      <c r="AT944" s="278"/>
      <c r="AU944" s="278"/>
      <c r="AV944" s="278"/>
      <c r="AW944" s="278"/>
      <c r="AX944" s="278"/>
      <c r="AY944" s="278"/>
      <c r="AZ944" s="278"/>
      <c r="BA944" s="278"/>
      <c r="BB944" s="278"/>
      <c r="BC944" s="278"/>
      <c r="BD944" s="278"/>
    </row>
    <row r="945" spans="1:56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196"/>
      <c r="S945" s="196"/>
      <c r="T945" s="196"/>
      <c r="U945" s="278"/>
      <c r="V945" s="278"/>
      <c r="W945" s="278"/>
      <c r="X945" s="278"/>
      <c r="Y945" s="278"/>
      <c r="Z945" s="278"/>
      <c r="AA945" s="278"/>
      <c r="AB945" s="278"/>
      <c r="AC945" s="278"/>
      <c r="AD945" s="278"/>
      <c r="AE945" s="278"/>
      <c r="AF945" s="278"/>
      <c r="AG945" s="278"/>
      <c r="AH945" s="278"/>
      <c r="AI945" s="278"/>
      <c r="AJ945" s="278"/>
      <c r="AK945" s="278"/>
      <c r="AL945" s="278"/>
      <c r="AM945" s="278"/>
      <c r="AN945" s="278"/>
      <c r="AO945" s="278"/>
      <c r="AP945" s="278"/>
      <c r="AQ945" s="278"/>
      <c r="AR945" s="278"/>
      <c r="AS945" s="278"/>
      <c r="AT945" s="278"/>
      <c r="AU945" s="278"/>
      <c r="AV945" s="278"/>
      <c r="AW945" s="278"/>
      <c r="AX945" s="278"/>
      <c r="AY945" s="278"/>
      <c r="AZ945" s="278"/>
      <c r="BA945" s="278"/>
      <c r="BB945" s="278"/>
      <c r="BC945" s="278"/>
      <c r="BD945" s="278"/>
    </row>
    <row r="946" spans="1:56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196"/>
      <c r="S946" s="196"/>
      <c r="T946" s="196"/>
      <c r="U946" s="278"/>
      <c r="V946" s="278"/>
      <c r="W946" s="278"/>
      <c r="X946" s="278"/>
      <c r="Y946" s="278"/>
      <c r="Z946" s="278"/>
      <c r="AA946" s="278"/>
      <c r="AB946" s="278"/>
      <c r="AC946" s="278"/>
      <c r="AD946" s="278"/>
      <c r="AE946" s="278"/>
      <c r="AF946" s="278"/>
      <c r="AG946" s="278"/>
      <c r="AH946" s="278"/>
      <c r="AI946" s="278"/>
      <c r="AJ946" s="278"/>
      <c r="AK946" s="278"/>
      <c r="AL946" s="278"/>
      <c r="AM946" s="278"/>
      <c r="AN946" s="278"/>
      <c r="AO946" s="278"/>
      <c r="AP946" s="278"/>
      <c r="AQ946" s="278"/>
      <c r="AR946" s="278"/>
      <c r="AS946" s="278"/>
      <c r="AT946" s="278"/>
      <c r="AU946" s="278"/>
      <c r="AV946" s="278"/>
      <c r="AW946" s="278"/>
      <c r="AX946" s="278"/>
      <c r="AY946" s="278"/>
      <c r="AZ946" s="278"/>
      <c r="BA946" s="278"/>
      <c r="BB946" s="278"/>
      <c r="BC946" s="278"/>
      <c r="BD946" s="278"/>
    </row>
    <row r="947" spans="1:56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196"/>
      <c r="S947" s="196"/>
      <c r="T947" s="196"/>
      <c r="U947" s="278"/>
      <c r="V947" s="278"/>
      <c r="W947" s="278"/>
      <c r="X947" s="278"/>
      <c r="Y947" s="278"/>
      <c r="Z947" s="278"/>
      <c r="AA947" s="278"/>
      <c r="AB947" s="278"/>
      <c r="AC947" s="278"/>
      <c r="AD947" s="278"/>
      <c r="AE947" s="278"/>
      <c r="AF947" s="278"/>
      <c r="AG947" s="278"/>
      <c r="AH947" s="278"/>
      <c r="AI947" s="278"/>
      <c r="AJ947" s="278"/>
      <c r="AK947" s="278"/>
      <c r="AL947" s="278"/>
      <c r="AM947" s="278"/>
      <c r="AN947" s="278"/>
      <c r="AO947" s="278"/>
      <c r="AP947" s="278"/>
      <c r="AQ947" s="278"/>
      <c r="AR947" s="278"/>
      <c r="AS947" s="278"/>
      <c r="AT947" s="278"/>
      <c r="AU947" s="278"/>
      <c r="AV947" s="278"/>
      <c r="AW947" s="278"/>
      <c r="AX947" s="278"/>
      <c r="AY947" s="278"/>
      <c r="AZ947" s="278"/>
      <c r="BA947" s="278"/>
      <c r="BB947" s="278"/>
      <c r="BC947" s="278"/>
      <c r="BD947" s="278"/>
    </row>
    <row r="948" spans="1:56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196"/>
      <c r="S948" s="196"/>
      <c r="T948" s="196"/>
      <c r="U948" s="278"/>
      <c r="V948" s="278"/>
      <c r="W948" s="278"/>
      <c r="X948" s="278"/>
      <c r="Y948" s="278"/>
      <c r="Z948" s="278"/>
      <c r="AA948" s="278"/>
      <c r="AB948" s="278"/>
      <c r="AC948" s="278"/>
      <c r="AD948" s="278"/>
      <c r="AE948" s="278"/>
      <c r="AF948" s="278"/>
      <c r="AG948" s="278"/>
      <c r="AH948" s="278"/>
      <c r="AI948" s="278"/>
      <c r="AJ948" s="278"/>
      <c r="AK948" s="278"/>
      <c r="AL948" s="278"/>
      <c r="AM948" s="278"/>
      <c r="AN948" s="278"/>
      <c r="AO948" s="278"/>
      <c r="AP948" s="278"/>
      <c r="AQ948" s="278"/>
      <c r="AR948" s="278"/>
      <c r="AS948" s="278"/>
      <c r="AT948" s="278"/>
      <c r="AU948" s="278"/>
      <c r="AV948" s="278"/>
      <c r="AW948" s="278"/>
      <c r="AX948" s="278"/>
      <c r="AY948" s="278"/>
      <c r="AZ948" s="278"/>
      <c r="BA948" s="278"/>
      <c r="BB948" s="278"/>
      <c r="BC948" s="278"/>
      <c r="BD948" s="278"/>
    </row>
    <row r="949" spans="1:56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196"/>
      <c r="S949" s="196"/>
      <c r="T949" s="196"/>
      <c r="U949" s="278"/>
      <c r="V949" s="278"/>
      <c r="W949" s="278"/>
      <c r="X949" s="278"/>
      <c r="Y949" s="278"/>
      <c r="Z949" s="278"/>
      <c r="AA949" s="278"/>
      <c r="AB949" s="278"/>
      <c r="AC949" s="278"/>
      <c r="AD949" s="278"/>
      <c r="AE949" s="278"/>
      <c r="AF949" s="278"/>
      <c r="AG949" s="278"/>
      <c r="AH949" s="278"/>
      <c r="AI949" s="278"/>
      <c r="AJ949" s="278"/>
      <c r="AK949" s="278"/>
      <c r="AL949" s="278"/>
      <c r="AM949" s="278"/>
      <c r="AN949" s="278"/>
      <c r="AO949" s="278"/>
      <c r="AP949" s="278"/>
      <c r="AQ949" s="278"/>
      <c r="AR949" s="278"/>
      <c r="AS949" s="278"/>
      <c r="AT949" s="278"/>
      <c r="AU949" s="278"/>
      <c r="AV949" s="278"/>
      <c r="AW949" s="278"/>
      <c r="AX949" s="278"/>
      <c r="AY949" s="278"/>
      <c r="AZ949" s="278"/>
      <c r="BA949" s="278"/>
      <c r="BB949" s="278"/>
      <c r="BC949" s="278"/>
      <c r="BD949" s="278"/>
    </row>
    <row r="950" spans="1:56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196"/>
      <c r="S950" s="196"/>
      <c r="T950" s="196"/>
      <c r="U950" s="278"/>
      <c r="V950" s="278"/>
      <c r="W950" s="278"/>
      <c r="X950" s="278"/>
      <c r="Y950" s="278"/>
      <c r="Z950" s="278"/>
      <c r="AA950" s="278"/>
      <c r="AB950" s="278"/>
      <c r="AC950" s="278"/>
      <c r="AD950" s="278"/>
      <c r="AE950" s="278"/>
      <c r="AF950" s="278"/>
      <c r="AG950" s="278"/>
      <c r="AH950" s="278"/>
      <c r="AI950" s="278"/>
      <c r="AJ950" s="278"/>
      <c r="AK950" s="278"/>
      <c r="AL950" s="278"/>
      <c r="AM950" s="278"/>
      <c r="AN950" s="278"/>
      <c r="AO950" s="278"/>
      <c r="AP950" s="278"/>
      <c r="AQ950" s="278"/>
      <c r="AR950" s="278"/>
      <c r="AS950" s="278"/>
      <c r="AT950" s="278"/>
      <c r="AU950" s="278"/>
      <c r="AV950" s="278"/>
      <c r="AW950" s="278"/>
      <c r="AX950" s="278"/>
      <c r="AY950" s="278"/>
      <c r="AZ950" s="278"/>
      <c r="BA950" s="278"/>
      <c r="BB950" s="278"/>
      <c r="BC950" s="278"/>
      <c r="BD950" s="278"/>
    </row>
    <row r="951" spans="1:56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196"/>
      <c r="S951" s="196"/>
      <c r="T951" s="196"/>
      <c r="U951" s="278"/>
      <c r="V951" s="278"/>
      <c r="W951" s="278"/>
      <c r="X951" s="278"/>
      <c r="Y951" s="278"/>
      <c r="Z951" s="278"/>
      <c r="AA951" s="278"/>
      <c r="AB951" s="278"/>
      <c r="AC951" s="278"/>
      <c r="AD951" s="278"/>
      <c r="AE951" s="278"/>
      <c r="AF951" s="278"/>
      <c r="AG951" s="278"/>
      <c r="AH951" s="278"/>
      <c r="AI951" s="278"/>
      <c r="AJ951" s="278"/>
      <c r="AK951" s="278"/>
      <c r="AL951" s="278"/>
      <c r="AM951" s="278"/>
      <c r="AN951" s="278"/>
      <c r="AO951" s="278"/>
      <c r="AP951" s="278"/>
      <c r="AQ951" s="278"/>
      <c r="AR951" s="278"/>
      <c r="AS951" s="278"/>
      <c r="AT951" s="278"/>
      <c r="AU951" s="278"/>
      <c r="AV951" s="278"/>
      <c r="AW951" s="278"/>
      <c r="AX951" s="278"/>
      <c r="AY951" s="278"/>
      <c r="AZ951" s="278"/>
      <c r="BA951" s="278"/>
      <c r="BB951" s="278"/>
      <c r="BC951" s="278"/>
      <c r="BD951" s="278"/>
    </row>
    <row r="952" spans="1:56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196"/>
      <c r="S952" s="196"/>
      <c r="T952" s="196"/>
      <c r="U952" s="278"/>
      <c r="V952" s="278"/>
      <c r="W952" s="278"/>
      <c r="X952" s="278"/>
      <c r="Y952" s="278"/>
      <c r="Z952" s="278"/>
      <c r="AA952" s="278"/>
      <c r="AB952" s="278"/>
      <c r="AC952" s="278"/>
      <c r="AD952" s="278"/>
      <c r="AE952" s="278"/>
      <c r="AF952" s="278"/>
      <c r="AG952" s="278"/>
      <c r="AH952" s="278"/>
      <c r="AI952" s="278"/>
      <c r="AJ952" s="278"/>
      <c r="AK952" s="278"/>
      <c r="AL952" s="278"/>
      <c r="AM952" s="278"/>
      <c r="AN952" s="278"/>
      <c r="AO952" s="278"/>
      <c r="AP952" s="278"/>
      <c r="AQ952" s="278"/>
      <c r="AR952" s="278"/>
      <c r="AS952" s="278"/>
      <c r="AT952" s="278"/>
      <c r="AU952" s="278"/>
      <c r="AV952" s="278"/>
      <c r="AW952" s="278"/>
      <c r="AX952" s="278"/>
      <c r="AY952" s="278"/>
      <c r="AZ952" s="278"/>
      <c r="BA952" s="278"/>
      <c r="BB952" s="278"/>
      <c r="BC952" s="278"/>
      <c r="BD952" s="278"/>
    </row>
    <row r="953" spans="1:56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196"/>
      <c r="S953" s="196"/>
      <c r="T953" s="196"/>
      <c r="U953" s="278"/>
      <c r="V953" s="278"/>
      <c r="W953" s="278"/>
      <c r="X953" s="278"/>
      <c r="Y953" s="278"/>
      <c r="Z953" s="278"/>
      <c r="AA953" s="278"/>
      <c r="AB953" s="278"/>
      <c r="AC953" s="278"/>
      <c r="AD953" s="278"/>
      <c r="AE953" s="278"/>
      <c r="AF953" s="278"/>
      <c r="AG953" s="278"/>
      <c r="AH953" s="278"/>
      <c r="AI953" s="278"/>
      <c r="AJ953" s="278"/>
      <c r="AK953" s="278"/>
      <c r="AL953" s="278"/>
      <c r="AM953" s="278"/>
      <c r="AN953" s="278"/>
      <c r="AO953" s="278"/>
      <c r="AP953" s="278"/>
      <c r="AQ953" s="278"/>
      <c r="AR953" s="278"/>
      <c r="AS953" s="278"/>
      <c r="AT953" s="278"/>
      <c r="AU953" s="278"/>
      <c r="AV953" s="278"/>
      <c r="AW953" s="278"/>
      <c r="AX953" s="278"/>
      <c r="AY953" s="278"/>
      <c r="AZ953" s="278"/>
      <c r="BA953" s="278"/>
      <c r="BB953" s="278"/>
      <c r="BC953" s="278"/>
      <c r="BD953" s="278"/>
    </row>
    <row r="954" spans="1:56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196"/>
      <c r="S954" s="196"/>
      <c r="T954" s="196"/>
      <c r="U954" s="278"/>
      <c r="V954" s="278"/>
      <c r="W954" s="278"/>
      <c r="X954" s="278"/>
      <c r="Y954" s="278"/>
      <c r="Z954" s="278"/>
      <c r="AA954" s="278"/>
      <c r="AB954" s="278"/>
      <c r="AC954" s="278"/>
      <c r="AD954" s="278"/>
      <c r="AE954" s="278"/>
      <c r="AF954" s="278"/>
      <c r="AG954" s="278"/>
      <c r="AH954" s="278"/>
      <c r="AI954" s="278"/>
      <c r="AJ954" s="278"/>
      <c r="AK954" s="278"/>
      <c r="AL954" s="278"/>
      <c r="AM954" s="278"/>
      <c r="AN954" s="278"/>
      <c r="AO954" s="278"/>
      <c r="AP954" s="278"/>
      <c r="AQ954" s="278"/>
      <c r="AR954" s="278"/>
      <c r="AS954" s="278"/>
      <c r="AT954" s="278"/>
      <c r="AU954" s="278"/>
      <c r="AV954" s="278"/>
      <c r="AW954" s="278"/>
      <c r="AX954" s="278"/>
      <c r="AY954" s="278"/>
      <c r="AZ954" s="278"/>
      <c r="BA954" s="278"/>
      <c r="BB954" s="278"/>
      <c r="BC954" s="278"/>
      <c r="BD954" s="278"/>
    </row>
    <row r="955" spans="1:56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196"/>
      <c r="S955" s="196"/>
      <c r="T955" s="196"/>
      <c r="U955" s="278"/>
      <c r="V955" s="278"/>
      <c r="W955" s="278"/>
      <c r="X955" s="278"/>
      <c r="Y955" s="278"/>
      <c r="Z955" s="278"/>
      <c r="AA955" s="278"/>
      <c r="AB955" s="278"/>
      <c r="AC955" s="278"/>
      <c r="AD955" s="278"/>
      <c r="AE955" s="278"/>
      <c r="AF955" s="278"/>
      <c r="AG955" s="278"/>
      <c r="AH955" s="278"/>
      <c r="AI955" s="278"/>
      <c r="AJ955" s="278"/>
      <c r="AK955" s="278"/>
      <c r="AL955" s="278"/>
      <c r="AM955" s="278"/>
      <c r="AN955" s="278"/>
      <c r="AO955" s="278"/>
      <c r="AP955" s="278"/>
      <c r="AQ955" s="278"/>
      <c r="AR955" s="278"/>
      <c r="AS955" s="278"/>
      <c r="AT955" s="278"/>
      <c r="AU955" s="278"/>
      <c r="AV955" s="278"/>
      <c r="AW955" s="278"/>
      <c r="AX955" s="278"/>
      <c r="AY955" s="278"/>
      <c r="AZ955" s="278"/>
      <c r="BA955" s="278"/>
      <c r="BB955" s="278"/>
      <c r="BC955" s="278"/>
      <c r="BD955" s="278"/>
    </row>
    <row r="956" spans="1:56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196"/>
      <c r="S956" s="196"/>
      <c r="T956" s="196"/>
      <c r="U956" s="278"/>
      <c r="V956" s="278"/>
      <c r="W956" s="278"/>
      <c r="X956" s="278"/>
      <c r="Y956" s="278"/>
      <c r="Z956" s="278"/>
      <c r="AA956" s="278"/>
      <c r="AB956" s="278"/>
      <c r="AC956" s="278"/>
      <c r="AD956" s="278"/>
      <c r="AE956" s="278"/>
      <c r="AF956" s="278"/>
      <c r="AG956" s="278"/>
      <c r="AH956" s="278"/>
      <c r="AI956" s="278"/>
      <c r="AJ956" s="278"/>
      <c r="AK956" s="278"/>
      <c r="AL956" s="278"/>
      <c r="AM956" s="278"/>
      <c r="AN956" s="278"/>
      <c r="AO956" s="278"/>
      <c r="AP956" s="278"/>
      <c r="AQ956" s="278"/>
      <c r="AR956" s="278"/>
      <c r="AS956" s="278"/>
      <c r="AT956" s="278"/>
      <c r="AU956" s="278"/>
      <c r="AV956" s="278"/>
      <c r="AW956" s="278"/>
      <c r="AX956" s="278"/>
      <c r="AY956" s="278"/>
      <c r="AZ956" s="278"/>
      <c r="BA956" s="278"/>
      <c r="BB956" s="278"/>
      <c r="BC956" s="278"/>
      <c r="BD956" s="278"/>
    </row>
    <row r="957" spans="1:56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196"/>
      <c r="S957" s="196"/>
      <c r="T957" s="196"/>
      <c r="U957" s="278"/>
      <c r="V957" s="278"/>
      <c r="W957" s="278"/>
      <c r="X957" s="278"/>
      <c r="Y957" s="278"/>
      <c r="Z957" s="278"/>
      <c r="AA957" s="278"/>
      <c r="AB957" s="278"/>
      <c r="AC957" s="278"/>
      <c r="AD957" s="278"/>
      <c r="AE957" s="278"/>
      <c r="AF957" s="278"/>
      <c r="AG957" s="278"/>
      <c r="AH957" s="278"/>
      <c r="AI957" s="278"/>
      <c r="AJ957" s="278"/>
      <c r="AK957" s="278"/>
      <c r="AL957" s="278"/>
      <c r="AM957" s="278"/>
      <c r="AN957" s="278"/>
      <c r="AO957" s="278"/>
      <c r="AP957" s="278"/>
      <c r="AQ957" s="278"/>
      <c r="AR957" s="278"/>
      <c r="AS957" s="278"/>
      <c r="AT957" s="278"/>
      <c r="AU957" s="278"/>
      <c r="AV957" s="278"/>
      <c r="AW957" s="278"/>
      <c r="AX957" s="278"/>
      <c r="AY957" s="278"/>
      <c r="AZ957" s="278"/>
      <c r="BA957" s="278"/>
      <c r="BB957" s="278"/>
      <c r="BC957" s="278"/>
      <c r="BD957" s="278"/>
    </row>
    <row r="958" spans="1:56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196"/>
      <c r="S958" s="196"/>
      <c r="T958" s="196"/>
      <c r="U958" s="278"/>
      <c r="V958" s="278"/>
      <c r="W958" s="278"/>
      <c r="X958" s="278"/>
      <c r="Y958" s="278"/>
      <c r="Z958" s="278"/>
      <c r="AA958" s="278"/>
      <c r="AB958" s="278"/>
      <c r="AC958" s="278"/>
      <c r="AD958" s="278"/>
      <c r="AE958" s="278"/>
      <c r="AF958" s="278"/>
      <c r="AG958" s="278"/>
      <c r="AH958" s="278"/>
      <c r="AI958" s="278"/>
      <c r="AJ958" s="278"/>
      <c r="AK958" s="278"/>
      <c r="AL958" s="278"/>
      <c r="AM958" s="278"/>
      <c r="AN958" s="278"/>
      <c r="AO958" s="278"/>
      <c r="AP958" s="278"/>
      <c r="AQ958" s="278"/>
      <c r="AR958" s="278"/>
      <c r="AS958" s="278"/>
      <c r="AT958" s="278"/>
      <c r="AU958" s="278"/>
      <c r="AV958" s="278"/>
      <c r="AW958" s="278"/>
      <c r="AX958" s="278"/>
      <c r="AY958" s="278"/>
      <c r="AZ958" s="278"/>
      <c r="BA958" s="278"/>
      <c r="BB958" s="278"/>
      <c r="BC958" s="278"/>
      <c r="BD958" s="278"/>
    </row>
    <row r="959" spans="1:56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196"/>
      <c r="S959" s="196"/>
      <c r="T959" s="196"/>
      <c r="U959" s="278"/>
      <c r="V959" s="278"/>
      <c r="W959" s="278"/>
      <c r="X959" s="278"/>
      <c r="Y959" s="278"/>
      <c r="Z959" s="278"/>
      <c r="AA959" s="278"/>
      <c r="AB959" s="278"/>
      <c r="AC959" s="278"/>
      <c r="AD959" s="278"/>
      <c r="AE959" s="278"/>
      <c r="AF959" s="278"/>
      <c r="AG959" s="278"/>
      <c r="AH959" s="278"/>
      <c r="AI959" s="278"/>
      <c r="AJ959" s="278"/>
      <c r="AK959" s="278"/>
      <c r="AL959" s="278"/>
      <c r="AM959" s="278"/>
      <c r="AN959" s="278"/>
      <c r="AO959" s="278"/>
      <c r="AP959" s="278"/>
      <c r="AQ959" s="278"/>
      <c r="AR959" s="278"/>
      <c r="AS959" s="278"/>
      <c r="AT959" s="278"/>
      <c r="AU959" s="278"/>
      <c r="AV959" s="278"/>
      <c r="AW959" s="278"/>
      <c r="AX959" s="278"/>
      <c r="AY959" s="278"/>
      <c r="AZ959" s="278"/>
      <c r="BA959" s="278"/>
      <c r="BB959" s="278"/>
      <c r="BC959" s="278"/>
      <c r="BD959" s="278"/>
    </row>
    <row r="960" spans="1:56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196"/>
      <c r="S960" s="196"/>
      <c r="T960" s="196"/>
      <c r="U960" s="278"/>
      <c r="V960" s="278"/>
      <c r="W960" s="278"/>
      <c r="X960" s="278"/>
      <c r="Y960" s="278"/>
      <c r="Z960" s="278"/>
      <c r="AA960" s="278"/>
      <c r="AB960" s="278"/>
      <c r="AC960" s="278"/>
      <c r="AD960" s="278"/>
      <c r="AE960" s="278"/>
      <c r="AF960" s="278"/>
      <c r="AG960" s="278"/>
      <c r="AH960" s="278"/>
      <c r="AI960" s="278"/>
      <c r="AJ960" s="278"/>
      <c r="AK960" s="278"/>
      <c r="AL960" s="278"/>
      <c r="AM960" s="278"/>
      <c r="AN960" s="278"/>
      <c r="AO960" s="278"/>
      <c r="AP960" s="278"/>
      <c r="AQ960" s="278"/>
      <c r="AR960" s="278"/>
      <c r="AS960" s="278"/>
      <c r="AT960" s="278"/>
      <c r="AU960" s="278"/>
      <c r="AV960" s="278"/>
      <c r="AW960" s="278"/>
      <c r="AX960" s="278"/>
      <c r="AY960" s="278"/>
      <c r="AZ960" s="278"/>
      <c r="BA960" s="278"/>
      <c r="BB960" s="278"/>
      <c r="BC960" s="278"/>
      <c r="BD960" s="278"/>
    </row>
    <row r="961" spans="1:56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196"/>
      <c r="S961" s="196"/>
      <c r="T961" s="196"/>
      <c r="U961" s="278"/>
      <c r="V961" s="278"/>
      <c r="W961" s="278"/>
      <c r="X961" s="278"/>
      <c r="Y961" s="278"/>
      <c r="Z961" s="278"/>
      <c r="AA961" s="278"/>
      <c r="AB961" s="278"/>
      <c r="AC961" s="278"/>
      <c r="AD961" s="278"/>
      <c r="AE961" s="278"/>
      <c r="AF961" s="278"/>
      <c r="AG961" s="278"/>
      <c r="AH961" s="278"/>
      <c r="AI961" s="278"/>
      <c r="AJ961" s="278"/>
      <c r="AK961" s="278"/>
      <c r="AL961" s="278"/>
      <c r="AM961" s="278"/>
      <c r="AN961" s="278"/>
      <c r="AO961" s="278"/>
      <c r="AP961" s="278"/>
      <c r="AQ961" s="278"/>
      <c r="AR961" s="278"/>
      <c r="AS961" s="278"/>
      <c r="AT961" s="278"/>
      <c r="AU961" s="278"/>
      <c r="AV961" s="278"/>
      <c r="AW961" s="278"/>
      <c r="AX961" s="278"/>
      <c r="AY961" s="278"/>
      <c r="AZ961" s="278"/>
      <c r="BA961" s="278"/>
      <c r="BB961" s="278"/>
      <c r="BC961" s="278"/>
      <c r="BD961" s="278"/>
    </row>
    <row r="962" spans="1:56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196"/>
      <c r="S962" s="196"/>
      <c r="T962" s="196"/>
      <c r="U962" s="278"/>
      <c r="V962" s="278"/>
      <c r="W962" s="278"/>
      <c r="X962" s="278"/>
      <c r="Y962" s="278"/>
      <c r="Z962" s="278"/>
      <c r="AA962" s="278"/>
      <c r="AB962" s="278"/>
      <c r="AC962" s="278"/>
      <c r="AD962" s="278"/>
      <c r="AE962" s="278"/>
      <c r="AF962" s="278"/>
      <c r="AG962" s="278"/>
      <c r="AH962" s="278"/>
      <c r="AI962" s="278"/>
      <c r="AJ962" s="278"/>
      <c r="AK962" s="278"/>
      <c r="AL962" s="278"/>
      <c r="AM962" s="278"/>
      <c r="AN962" s="278"/>
      <c r="AO962" s="278"/>
      <c r="AP962" s="278"/>
      <c r="AQ962" s="278"/>
      <c r="AR962" s="278"/>
      <c r="AS962" s="278"/>
      <c r="AT962" s="278"/>
      <c r="AU962" s="278"/>
      <c r="AV962" s="278"/>
      <c r="AW962" s="278"/>
      <c r="AX962" s="278"/>
      <c r="AY962" s="278"/>
      <c r="AZ962" s="278"/>
      <c r="BA962" s="278"/>
      <c r="BB962" s="278"/>
      <c r="BC962" s="278"/>
      <c r="BD962" s="278"/>
    </row>
    <row r="963" spans="1:56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196"/>
      <c r="S963" s="196"/>
      <c r="T963" s="196"/>
      <c r="U963" s="278"/>
      <c r="V963" s="278"/>
      <c r="W963" s="278"/>
      <c r="X963" s="278"/>
      <c r="Y963" s="278"/>
      <c r="Z963" s="278"/>
      <c r="AA963" s="278"/>
      <c r="AB963" s="278"/>
      <c r="AC963" s="278"/>
      <c r="AD963" s="278"/>
      <c r="AE963" s="278"/>
      <c r="AF963" s="278"/>
      <c r="AG963" s="278"/>
      <c r="AH963" s="278"/>
      <c r="AI963" s="278"/>
      <c r="AJ963" s="278"/>
      <c r="AK963" s="278"/>
      <c r="AL963" s="278"/>
      <c r="AM963" s="278"/>
      <c r="AN963" s="278"/>
      <c r="AO963" s="278"/>
      <c r="AP963" s="278"/>
      <c r="AQ963" s="278"/>
      <c r="AR963" s="278"/>
      <c r="AS963" s="278"/>
      <c r="AT963" s="278"/>
      <c r="AU963" s="278"/>
      <c r="AV963" s="278"/>
      <c r="AW963" s="278"/>
      <c r="AX963" s="278"/>
      <c r="AY963" s="278"/>
      <c r="AZ963" s="278"/>
      <c r="BA963" s="278"/>
      <c r="BB963" s="278"/>
      <c r="BC963" s="278"/>
      <c r="BD963" s="278"/>
    </row>
    <row r="964" spans="1:56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196"/>
      <c r="S964" s="196"/>
      <c r="T964" s="196"/>
      <c r="U964" s="278"/>
      <c r="V964" s="278"/>
      <c r="W964" s="278"/>
      <c r="X964" s="278"/>
      <c r="Y964" s="278"/>
      <c r="Z964" s="278"/>
      <c r="AA964" s="278"/>
      <c r="AB964" s="278"/>
      <c r="AC964" s="278"/>
      <c r="AD964" s="278"/>
      <c r="AE964" s="278"/>
      <c r="AF964" s="278"/>
      <c r="AG964" s="278"/>
      <c r="AH964" s="278"/>
      <c r="AI964" s="278"/>
      <c r="AJ964" s="278"/>
      <c r="AK964" s="278"/>
      <c r="AL964" s="278"/>
      <c r="AM964" s="278"/>
      <c r="AN964" s="278"/>
      <c r="AO964" s="278"/>
      <c r="AP964" s="278"/>
      <c r="AQ964" s="278"/>
      <c r="AR964" s="278"/>
      <c r="AS964" s="278"/>
      <c r="AT964" s="278"/>
      <c r="AU964" s="278"/>
      <c r="AV964" s="278"/>
      <c r="AW964" s="278"/>
      <c r="AX964" s="278"/>
      <c r="AY964" s="278"/>
      <c r="AZ964" s="278"/>
      <c r="BA964" s="278"/>
      <c r="BB964" s="278"/>
      <c r="BC964" s="278"/>
      <c r="BD964" s="278"/>
    </row>
    <row r="965" spans="1:56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196"/>
      <c r="S965" s="196"/>
      <c r="T965" s="196"/>
      <c r="U965" s="278"/>
      <c r="V965" s="278"/>
      <c r="W965" s="278"/>
      <c r="X965" s="278"/>
      <c r="Y965" s="278"/>
      <c r="Z965" s="278"/>
      <c r="AA965" s="278"/>
      <c r="AB965" s="278"/>
      <c r="AC965" s="278"/>
      <c r="AD965" s="278"/>
      <c r="AE965" s="278"/>
      <c r="AF965" s="278"/>
      <c r="AG965" s="278"/>
      <c r="AH965" s="278"/>
      <c r="AI965" s="278"/>
      <c r="AJ965" s="278"/>
      <c r="AK965" s="278"/>
      <c r="AL965" s="278"/>
      <c r="AM965" s="278"/>
      <c r="AN965" s="278"/>
      <c r="AO965" s="278"/>
      <c r="AP965" s="278"/>
      <c r="AQ965" s="278"/>
      <c r="AR965" s="278"/>
      <c r="AS965" s="278"/>
      <c r="AT965" s="278"/>
      <c r="AU965" s="278"/>
      <c r="AV965" s="278"/>
      <c r="AW965" s="278"/>
      <c r="AX965" s="278"/>
      <c r="AY965" s="278"/>
      <c r="AZ965" s="278"/>
      <c r="BA965" s="278"/>
      <c r="BB965" s="278"/>
      <c r="BC965" s="278"/>
      <c r="BD965" s="278"/>
    </row>
    <row r="966" spans="1:56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196"/>
      <c r="S966" s="196"/>
      <c r="T966" s="196"/>
      <c r="U966" s="278"/>
      <c r="V966" s="278"/>
      <c r="W966" s="278"/>
      <c r="X966" s="278"/>
      <c r="Y966" s="278"/>
      <c r="Z966" s="278"/>
      <c r="AA966" s="278"/>
      <c r="AB966" s="278"/>
      <c r="AC966" s="278"/>
      <c r="AD966" s="278"/>
      <c r="AE966" s="278"/>
      <c r="AF966" s="278"/>
      <c r="AG966" s="278"/>
      <c r="AH966" s="278"/>
      <c r="AI966" s="278"/>
      <c r="AJ966" s="278"/>
      <c r="AK966" s="278"/>
      <c r="AL966" s="278"/>
      <c r="AM966" s="278"/>
      <c r="AN966" s="278"/>
      <c r="AO966" s="278"/>
      <c r="AP966" s="278"/>
      <c r="AQ966" s="278"/>
      <c r="AR966" s="278"/>
      <c r="AS966" s="278"/>
      <c r="AT966" s="278"/>
      <c r="AU966" s="278"/>
      <c r="AV966" s="278"/>
      <c r="AW966" s="278"/>
      <c r="AX966" s="278"/>
      <c r="AY966" s="278"/>
      <c r="AZ966" s="278"/>
      <c r="BA966" s="278"/>
      <c r="BB966" s="278"/>
      <c r="BC966" s="278"/>
      <c r="BD966" s="278"/>
    </row>
    <row r="967" spans="1:56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196"/>
      <c r="S967" s="196"/>
      <c r="T967" s="196"/>
      <c r="U967" s="278"/>
      <c r="V967" s="278"/>
      <c r="W967" s="278"/>
      <c r="X967" s="278"/>
      <c r="Y967" s="278"/>
      <c r="Z967" s="278"/>
      <c r="AA967" s="278"/>
      <c r="AB967" s="278"/>
      <c r="AC967" s="278"/>
      <c r="AD967" s="278"/>
      <c r="AE967" s="278"/>
      <c r="AF967" s="278"/>
      <c r="AG967" s="278"/>
      <c r="AH967" s="278"/>
      <c r="AI967" s="278"/>
      <c r="AJ967" s="278"/>
      <c r="AK967" s="278"/>
      <c r="AL967" s="278"/>
      <c r="AM967" s="278"/>
      <c r="AN967" s="278"/>
      <c r="AO967" s="278"/>
      <c r="AP967" s="278"/>
      <c r="AQ967" s="278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</row>
    <row r="968" spans="1:56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196"/>
      <c r="S968" s="196"/>
      <c r="T968" s="196"/>
      <c r="U968" s="278"/>
      <c r="V968" s="278"/>
      <c r="W968" s="278"/>
      <c r="X968" s="278"/>
      <c r="Y968" s="278"/>
      <c r="Z968" s="278"/>
      <c r="AA968" s="278"/>
      <c r="AB968" s="278"/>
      <c r="AC968" s="278"/>
      <c r="AD968" s="278"/>
      <c r="AE968" s="278"/>
      <c r="AF968" s="278"/>
      <c r="AG968" s="278"/>
      <c r="AH968" s="278"/>
      <c r="AI968" s="278"/>
      <c r="AJ968" s="278"/>
      <c r="AK968" s="278"/>
      <c r="AL968" s="278"/>
      <c r="AM968" s="278"/>
      <c r="AN968" s="278"/>
      <c r="AO968" s="278"/>
      <c r="AP968" s="278"/>
      <c r="AQ968" s="278"/>
      <c r="AR968" s="278"/>
      <c r="AS968" s="278"/>
      <c r="AT968" s="278"/>
      <c r="AU968" s="278"/>
      <c r="AV968" s="278"/>
      <c r="AW968" s="278"/>
      <c r="AX968" s="278"/>
      <c r="AY968" s="278"/>
      <c r="AZ968" s="278"/>
      <c r="BA968" s="278"/>
      <c r="BB968" s="278"/>
      <c r="BC968" s="278"/>
      <c r="BD968" s="278"/>
    </row>
    <row r="969" spans="1:56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196"/>
      <c r="S969" s="196"/>
      <c r="T969" s="196"/>
      <c r="U969" s="278"/>
      <c r="V969" s="278"/>
      <c r="W969" s="278"/>
      <c r="X969" s="278"/>
      <c r="Y969" s="278"/>
      <c r="Z969" s="278"/>
      <c r="AA969" s="278"/>
      <c r="AB969" s="278"/>
      <c r="AC969" s="278"/>
      <c r="AD969" s="278"/>
      <c r="AE969" s="278"/>
      <c r="AF969" s="278"/>
      <c r="AG969" s="278"/>
      <c r="AH969" s="278"/>
      <c r="AI969" s="278"/>
      <c r="AJ969" s="278"/>
      <c r="AK969" s="278"/>
      <c r="AL969" s="278"/>
      <c r="AM969" s="278"/>
      <c r="AN969" s="278"/>
      <c r="AO969" s="278"/>
      <c r="AP969" s="278"/>
      <c r="AQ969" s="278"/>
      <c r="AR969" s="278"/>
      <c r="AS969" s="278"/>
      <c r="AT969" s="278"/>
      <c r="AU969" s="278"/>
      <c r="AV969" s="278"/>
      <c r="AW969" s="278"/>
      <c r="AX969" s="278"/>
      <c r="AY969" s="278"/>
      <c r="AZ969" s="278"/>
      <c r="BA969" s="278"/>
      <c r="BB969" s="278"/>
      <c r="BC969" s="278"/>
      <c r="BD969" s="278"/>
    </row>
    <row r="970" spans="1:56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196"/>
      <c r="S970" s="196"/>
      <c r="T970" s="196"/>
      <c r="U970" s="278"/>
      <c r="V970" s="278"/>
      <c r="W970" s="278"/>
      <c r="X970" s="278"/>
      <c r="Y970" s="278"/>
      <c r="Z970" s="278"/>
      <c r="AA970" s="278"/>
      <c r="AB970" s="278"/>
      <c r="AC970" s="278"/>
      <c r="AD970" s="278"/>
      <c r="AE970" s="278"/>
      <c r="AF970" s="278"/>
      <c r="AG970" s="278"/>
      <c r="AH970" s="278"/>
      <c r="AI970" s="278"/>
      <c r="AJ970" s="278"/>
      <c r="AK970" s="278"/>
      <c r="AL970" s="278"/>
      <c r="AM970" s="278"/>
      <c r="AN970" s="278"/>
      <c r="AO970" s="278"/>
      <c r="AP970" s="278"/>
      <c r="AQ970" s="278"/>
      <c r="AR970" s="278"/>
      <c r="AS970" s="278"/>
      <c r="AT970" s="278"/>
      <c r="AU970" s="278"/>
      <c r="AV970" s="278"/>
      <c r="AW970" s="278"/>
      <c r="AX970" s="278"/>
      <c r="AY970" s="278"/>
      <c r="AZ970" s="278"/>
      <c r="BA970" s="278"/>
      <c r="BB970" s="278"/>
      <c r="BC970" s="278"/>
      <c r="BD970" s="278"/>
    </row>
    <row r="971" spans="1:56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196"/>
      <c r="S971" s="196"/>
      <c r="T971" s="196"/>
      <c r="U971" s="278"/>
      <c r="V971" s="278"/>
      <c r="W971" s="278"/>
      <c r="X971" s="278"/>
      <c r="Y971" s="278"/>
      <c r="Z971" s="278"/>
      <c r="AA971" s="278"/>
      <c r="AB971" s="278"/>
      <c r="AC971" s="278"/>
      <c r="AD971" s="278"/>
      <c r="AE971" s="278"/>
      <c r="AF971" s="278"/>
      <c r="AG971" s="278"/>
      <c r="AH971" s="278"/>
      <c r="AI971" s="278"/>
      <c r="AJ971" s="278"/>
      <c r="AK971" s="278"/>
      <c r="AL971" s="278"/>
      <c r="AM971" s="278"/>
      <c r="AN971" s="278"/>
      <c r="AO971" s="278"/>
      <c r="AP971" s="278"/>
      <c r="AQ971" s="278"/>
      <c r="AR971" s="278"/>
      <c r="AS971" s="278"/>
      <c r="AT971" s="278"/>
      <c r="AU971" s="278"/>
      <c r="AV971" s="278"/>
      <c r="AW971" s="278"/>
      <c r="AX971" s="278"/>
      <c r="AY971" s="278"/>
      <c r="AZ971" s="278"/>
      <c r="BA971" s="278"/>
      <c r="BB971" s="278"/>
      <c r="BC971" s="278"/>
      <c r="BD971" s="278"/>
    </row>
    <row r="972" spans="1:56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196"/>
      <c r="S972" s="196"/>
      <c r="T972" s="196"/>
      <c r="U972" s="278"/>
      <c r="V972" s="278"/>
      <c r="W972" s="278"/>
      <c r="X972" s="278"/>
      <c r="Y972" s="278"/>
      <c r="Z972" s="278"/>
      <c r="AA972" s="278"/>
      <c r="AB972" s="278"/>
      <c r="AC972" s="278"/>
      <c r="AD972" s="278"/>
      <c r="AE972" s="278"/>
      <c r="AF972" s="278"/>
      <c r="AG972" s="278"/>
      <c r="AH972" s="278"/>
      <c r="AI972" s="278"/>
      <c r="AJ972" s="278"/>
      <c r="AK972" s="278"/>
      <c r="AL972" s="278"/>
      <c r="AM972" s="278"/>
      <c r="AN972" s="278"/>
      <c r="AO972" s="278"/>
      <c r="AP972" s="278"/>
      <c r="AQ972" s="278"/>
      <c r="AR972" s="278"/>
      <c r="AS972" s="278"/>
      <c r="AT972" s="278"/>
      <c r="AU972" s="278"/>
      <c r="AV972" s="278"/>
      <c r="AW972" s="278"/>
      <c r="AX972" s="278"/>
      <c r="AY972" s="278"/>
      <c r="AZ972" s="278"/>
      <c r="BA972" s="278"/>
      <c r="BB972" s="278"/>
      <c r="BC972" s="278"/>
      <c r="BD972" s="278"/>
    </row>
    <row r="973" spans="1:56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196"/>
      <c r="S973" s="196"/>
      <c r="T973" s="196"/>
      <c r="U973" s="278"/>
      <c r="V973" s="278"/>
      <c r="W973" s="278"/>
      <c r="X973" s="278"/>
      <c r="Y973" s="278"/>
      <c r="Z973" s="278"/>
      <c r="AA973" s="278"/>
      <c r="AB973" s="278"/>
      <c r="AC973" s="278"/>
      <c r="AD973" s="278"/>
      <c r="AE973" s="278"/>
      <c r="AF973" s="278"/>
      <c r="AG973" s="278"/>
      <c r="AH973" s="278"/>
      <c r="AI973" s="278"/>
      <c r="AJ973" s="278"/>
      <c r="AK973" s="278"/>
      <c r="AL973" s="278"/>
      <c r="AM973" s="278"/>
      <c r="AN973" s="278"/>
      <c r="AO973" s="278"/>
      <c r="AP973" s="278"/>
      <c r="AQ973" s="278"/>
      <c r="AR973" s="278"/>
      <c r="AS973" s="278"/>
      <c r="AT973" s="278"/>
      <c r="AU973" s="278"/>
      <c r="AV973" s="278"/>
      <c r="AW973" s="278"/>
      <c r="AX973" s="278"/>
      <c r="AY973" s="278"/>
      <c r="AZ973" s="278"/>
      <c r="BA973" s="278"/>
      <c r="BB973" s="278"/>
      <c r="BC973" s="278"/>
      <c r="BD973" s="278"/>
    </row>
    <row r="974" spans="1:56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196"/>
      <c r="S974" s="196"/>
      <c r="T974" s="196"/>
      <c r="U974" s="278"/>
      <c r="V974" s="278"/>
      <c r="W974" s="278"/>
      <c r="X974" s="278"/>
      <c r="Y974" s="278"/>
      <c r="Z974" s="278"/>
      <c r="AA974" s="278"/>
      <c r="AB974" s="278"/>
      <c r="AC974" s="278"/>
      <c r="AD974" s="278"/>
      <c r="AE974" s="278"/>
      <c r="AF974" s="278"/>
      <c r="AG974" s="278"/>
      <c r="AH974" s="278"/>
      <c r="AI974" s="278"/>
      <c r="AJ974" s="278"/>
      <c r="AK974" s="278"/>
      <c r="AL974" s="278"/>
      <c r="AM974" s="278"/>
      <c r="AN974" s="278"/>
      <c r="AO974" s="278"/>
      <c r="AP974" s="278"/>
      <c r="AQ974" s="278"/>
      <c r="AR974" s="278"/>
      <c r="AS974" s="278"/>
      <c r="AT974" s="278"/>
      <c r="AU974" s="278"/>
      <c r="AV974" s="278"/>
      <c r="AW974" s="278"/>
      <c r="AX974" s="278"/>
      <c r="AY974" s="278"/>
      <c r="AZ974" s="278"/>
      <c r="BA974" s="278"/>
      <c r="BB974" s="278"/>
      <c r="BC974" s="278"/>
      <c r="BD974" s="278"/>
    </row>
    <row r="975" spans="1:56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196"/>
      <c r="S975" s="196"/>
      <c r="T975" s="196"/>
      <c r="U975" s="278"/>
      <c r="V975" s="278"/>
      <c r="W975" s="278"/>
      <c r="X975" s="278"/>
      <c r="Y975" s="278"/>
      <c r="Z975" s="278"/>
      <c r="AA975" s="278"/>
      <c r="AB975" s="278"/>
      <c r="AC975" s="278"/>
      <c r="AD975" s="278"/>
      <c r="AE975" s="278"/>
      <c r="AF975" s="278"/>
      <c r="AG975" s="278"/>
      <c r="AH975" s="278"/>
      <c r="AI975" s="278"/>
      <c r="AJ975" s="278"/>
      <c r="AK975" s="278"/>
      <c r="AL975" s="278"/>
      <c r="AM975" s="278"/>
      <c r="AN975" s="278"/>
      <c r="AO975" s="278"/>
      <c r="AP975" s="278"/>
      <c r="AQ975" s="278"/>
      <c r="AR975" s="278"/>
      <c r="AS975" s="278"/>
      <c r="AT975" s="278"/>
      <c r="AU975" s="278"/>
      <c r="AV975" s="278"/>
      <c r="AW975" s="278"/>
      <c r="AX975" s="278"/>
      <c r="AY975" s="278"/>
      <c r="AZ975" s="278"/>
      <c r="BA975" s="278"/>
      <c r="BB975" s="278"/>
      <c r="BC975" s="278"/>
      <c r="BD975" s="278"/>
    </row>
    <row r="976" spans="1:56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196"/>
      <c r="S976" s="196"/>
      <c r="T976" s="196"/>
      <c r="U976" s="278"/>
      <c r="V976" s="278"/>
      <c r="W976" s="278"/>
      <c r="X976" s="278"/>
      <c r="Y976" s="278"/>
      <c r="Z976" s="278"/>
      <c r="AA976" s="278"/>
      <c r="AB976" s="278"/>
      <c r="AC976" s="278"/>
      <c r="AD976" s="278"/>
      <c r="AE976" s="278"/>
      <c r="AF976" s="278"/>
      <c r="AG976" s="278"/>
      <c r="AH976" s="278"/>
      <c r="AI976" s="278"/>
      <c r="AJ976" s="278"/>
      <c r="AK976" s="278"/>
      <c r="AL976" s="278"/>
      <c r="AM976" s="278"/>
      <c r="AN976" s="278"/>
      <c r="AO976" s="278"/>
      <c r="AP976" s="278"/>
      <c r="AQ976" s="278"/>
      <c r="AR976" s="278"/>
      <c r="AS976" s="278"/>
      <c r="AT976" s="278"/>
      <c r="AU976" s="278"/>
      <c r="AV976" s="278"/>
      <c r="AW976" s="278"/>
      <c r="AX976" s="278"/>
      <c r="AY976" s="278"/>
      <c r="AZ976" s="278"/>
      <c r="BA976" s="278"/>
      <c r="BB976" s="278"/>
      <c r="BC976" s="278"/>
      <c r="BD976" s="278"/>
    </row>
    <row r="977" spans="1:56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196"/>
      <c r="S977" s="196"/>
      <c r="T977" s="196"/>
      <c r="U977" s="278"/>
      <c r="V977" s="278"/>
      <c r="W977" s="278"/>
      <c r="X977" s="278"/>
      <c r="Y977" s="278"/>
      <c r="Z977" s="278"/>
      <c r="AA977" s="278"/>
      <c r="AB977" s="278"/>
      <c r="AC977" s="278"/>
      <c r="AD977" s="278"/>
      <c r="AE977" s="278"/>
      <c r="AF977" s="278"/>
      <c r="AG977" s="278"/>
      <c r="AH977" s="278"/>
      <c r="AI977" s="278"/>
      <c r="AJ977" s="278"/>
      <c r="AK977" s="278"/>
      <c r="AL977" s="278"/>
      <c r="AM977" s="278"/>
      <c r="AN977" s="278"/>
      <c r="AO977" s="278"/>
      <c r="AP977" s="278"/>
      <c r="AQ977" s="278"/>
      <c r="AR977" s="278"/>
      <c r="AS977" s="278"/>
      <c r="AT977" s="278"/>
      <c r="AU977" s="278"/>
      <c r="AV977" s="278"/>
      <c r="AW977" s="278"/>
      <c r="AX977" s="278"/>
      <c r="AY977" s="278"/>
      <c r="AZ977" s="278"/>
      <c r="BA977" s="278"/>
      <c r="BB977" s="278"/>
      <c r="BC977" s="278"/>
      <c r="BD977" s="278"/>
    </row>
    <row r="978" spans="1:56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196"/>
      <c r="S978" s="196"/>
      <c r="T978" s="196"/>
      <c r="U978" s="278"/>
      <c r="V978" s="278"/>
      <c r="W978" s="278"/>
      <c r="X978" s="278"/>
      <c r="Y978" s="278"/>
      <c r="Z978" s="278"/>
      <c r="AA978" s="278"/>
      <c r="AB978" s="278"/>
      <c r="AC978" s="278"/>
      <c r="AD978" s="278"/>
      <c r="AE978" s="278"/>
      <c r="AF978" s="278"/>
      <c r="AG978" s="278"/>
      <c r="AH978" s="278"/>
      <c r="AI978" s="278"/>
      <c r="AJ978" s="278"/>
      <c r="AK978" s="278"/>
      <c r="AL978" s="278"/>
      <c r="AM978" s="278"/>
      <c r="AN978" s="278"/>
      <c r="AO978" s="278"/>
      <c r="AP978" s="278"/>
      <c r="AQ978" s="278"/>
      <c r="AR978" s="278"/>
      <c r="AS978" s="278"/>
      <c r="AT978" s="278"/>
      <c r="AU978" s="278"/>
      <c r="AV978" s="278"/>
      <c r="AW978" s="278"/>
      <c r="AX978" s="278"/>
      <c r="AY978" s="278"/>
      <c r="AZ978" s="278"/>
      <c r="BA978" s="278"/>
      <c r="BB978" s="278"/>
      <c r="BC978" s="278"/>
      <c r="BD978" s="278"/>
    </row>
    <row r="979" spans="1:56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196"/>
      <c r="S979" s="196"/>
      <c r="T979" s="196"/>
      <c r="U979" s="278"/>
      <c r="V979" s="278"/>
      <c r="W979" s="278"/>
      <c r="X979" s="278"/>
      <c r="Y979" s="278"/>
      <c r="Z979" s="278"/>
      <c r="AA979" s="278"/>
      <c r="AB979" s="278"/>
      <c r="AC979" s="278"/>
      <c r="AD979" s="278"/>
      <c r="AE979" s="278"/>
      <c r="AF979" s="278"/>
      <c r="AG979" s="278"/>
      <c r="AH979" s="278"/>
      <c r="AI979" s="278"/>
      <c r="AJ979" s="278"/>
      <c r="AK979" s="278"/>
      <c r="AL979" s="278"/>
      <c r="AM979" s="278"/>
      <c r="AN979" s="278"/>
      <c r="AO979" s="278"/>
      <c r="AP979" s="278"/>
      <c r="AQ979" s="278"/>
      <c r="AR979" s="278"/>
      <c r="AS979" s="278"/>
      <c r="AT979" s="278"/>
      <c r="AU979" s="278"/>
      <c r="AV979" s="278"/>
      <c r="AW979" s="278"/>
      <c r="AX979" s="278"/>
      <c r="AY979" s="278"/>
      <c r="AZ979" s="278"/>
      <c r="BA979" s="278"/>
      <c r="BB979" s="278"/>
      <c r="BC979" s="278"/>
      <c r="BD979" s="278"/>
    </row>
    <row r="980" spans="1:56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196"/>
      <c r="S980" s="196"/>
      <c r="T980" s="196"/>
      <c r="U980" s="278"/>
      <c r="V980" s="278"/>
      <c r="W980" s="278"/>
      <c r="X980" s="278"/>
      <c r="Y980" s="278"/>
      <c r="Z980" s="278"/>
      <c r="AA980" s="278"/>
      <c r="AB980" s="278"/>
      <c r="AC980" s="278"/>
      <c r="AD980" s="278"/>
      <c r="AE980" s="278"/>
      <c r="AF980" s="278"/>
      <c r="AG980" s="278"/>
      <c r="AH980" s="278"/>
      <c r="AI980" s="278"/>
      <c r="AJ980" s="278"/>
      <c r="AK980" s="278"/>
      <c r="AL980" s="278"/>
      <c r="AM980" s="278"/>
      <c r="AN980" s="278"/>
      <c r="AO980" s="278"/>
      <c r="AP980" s="278"/>
      <c r="AQ980" s="278"/>
      <c r="AR980" s="278"/>
      <c r="AS980" s="278"/>
      <c r="AT980" s="278"/>
      <c r="AU980" s="278"/>
      <c r="AV980" s="278"/>
      <c r="AW980" s="278"/>
      <c r="AX980" s="278"/>
      <c r="AY980" s="278"/>
      <c r="AZ980" s="278"/>
      <c r="BA980" s="278"/>
      <c r="BB980" s="278"/>
      <c r="BC980" s="278"/>
      <c r="BD980" s="278"/>
    </row>
    <row r="981" spans="1:56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196"/>
      <c r="S981" s="196"/>
      <c r="T981" s="196"/>
      <c r="U981" s="278"/>
      <c r="V981" s="278"/>
      <c r="W981" s="278"/>
      <c r="X981" s="278"/>
      <c r="Y981" s="278"/>
      <c r="Z981" s="278"/>
      <c r="AA981" s="278"/>
      <c r="AB981" s="278"/>
      <c r="AC981" s="278"/>
      <c r="AD981" s="278"/>
      <c r="AE981" s="278"/>
      <c r="AF981" s="278"/>
      <c r="AG981" s="278"/>
      <c r="AH981" s="278"/>
      <c r="AI981" s="278"/>
      <c r="AJ981" s="278"/>
      <c r="AK981" s="278"/>
      <c r="AL981" s="278"/>
      <c r="AM981" s="278"/>
      <c r="AN981" s="278"/>
      <c r="AO981" s="278"/>
      <c r="AP981" s="278"/>
      <c r="AQ981" s="278"/>
      <c r="AR981" s="278"/>
      <c r="AS981" s="278"/>
      <c r="AT981" s="278"/>
      <c r="AU981" s="278"/>
      <c r="AV981" s="278"/>
      <c r="AW981" s="278"/>
      <c r="AX981" s="278"/>
      <c r="AY981" s="278"/>
      <c r="AZ981" s="278"/>
      <c r="BA981" s="278"/>
      <c r="BB981" s="278"/>
      <c r="BC981" s="278"/>
      <c r="BD981" s="278"/>
    </row>
    <row r="982" spans="1:56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196"/>
      <c r="S982" s="196"/>
      <c r="T982" s="196"/>
      <c r="U982" s="278"/>
      <c r="V982" s="278"/>
      <c r="W982" s="278"/>
      <c r="X982" s="278"/>
      <c r="Y982" s="278"/>
      <c r="Z982" s="278"/>
      <c r="AA982" s="278"/>
      <c r="AB982" s="278"/>
      <c r="AC982" s="278"/>
      <c r="AD982" s="278"/>
      <c r="AE982" s="278"/>
      <c r="AF982" s="278"/>
      <c r="AG982" s="278"/>
      <c r="AH982" s="278"/>
      <c r="AI982" s="278"/>
      <c r="AJ982" s="278"/>
      <c r="AK982" s="278"/>
      <c r="AL982" s="278"/>
      <c r="AM982" s="278"/>
      <c r="AN982" s="278"/>
      <c r="AO982" s="278"/>
      <c r="AP982" s="278"/>
      <c r="AQ982" s="278"/>
      <c r="AR982" s="278"/>
      <c r="AS982" s="278"/>
      <c r="AT982" s="278"/>
      <c r="AU982" s="278"/>
      <c r="AV982" s="278"/>
      <c r="AW982" s="278"/>
      <c r="AX982" s="278"/>
      <c r="AY982" s="278"/>
      <c r="AZ982" s="278"/>
      <c r="BA982" s="278"/>
      <c r="BB982" s="278"/>
      <c r="BC982" s="278"/>
      <c r="BD982" s="278"/>
    </row>
    <row r="983" spans="1:56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196"/>
      <c r="S983" s="196"/>
      <c r="T983" s="196"/>
      <c r="U983" s="278"/>
      <c r="V983" s="278"/>
      <c r="W983" s="278"/>
      <c r="X983" s="278"/>
      <c r="Y983" s="278"/>
      <c r="Z983" s="278"/>
      <c r="AA983" s="278"/>
      <c r="AB983" s="278"/>
      <c r="AC983" s="278"/>
      <c r="AD983" s="278"/>
      <c r="AE983" s="278"/>
      <c r="AF983" s="278"/>
      <c r="AG983" s="278"/>
      <c r="AH983" s="278"/>
      <c r="AI983" s="278"/>
      <c r="AJ983" s="278"/>
      <c r="AK983" s="278"/>
      <c r="AL983" s="278"/>
      <c r="AM983" s="278"/>
      <c r="AN983" s="278"/>
      <c r="AO983" s="278"/>
      <c r="AP983" s="278"/>
      <c r="AQ983" s="278"/>
      <c r="AR983" s="278"/>
      <c r="AS983" s="278"/>
      <c r="AT983" s="278"/>
      <c r="AU983" s="278"/>
      <c r="AV983" s="278"/>
      <c r="AW983" s="278"/>
      <c r="AX983" s="278"/>
      <c r="AY983" s="278"/>
      <c r="AZ983" s="278"/>
      <c r="BA983" s="278"/>
      <c r="BB983" s="278"/>
      <c r="BC983" s="278"/>
      <c r="BD983" s="278"/>
    </row>
    <row r="984" spans="1:56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196"/>
      <c r="S984" s="196"/>
      <c r="T984" s="196"/>
      <c r="U984" s="278"/>
      <c r="V984" s="278"/>
      <c r="W984" s="278"/>
      <c r="X984" s="278"/>
      <c r="Y984" s="278"/>
      <c r="Z984" s="278"/>
      <c r="AA984" s="278"/>
      <c r="AB984" s="278"/>
      <c r="AC984" s="278"/>
      <c r="AD984" s="278"/>
      <c r="AE984" s="278"/>
      <c r="AF984" s="278"/>
      <c r="AG984" s="278"/>
      <c r="AH984" s="278"/>
      <c r="AI984" s="278"/>
      <c r="AJ984" s="278"/>
      <c r="AK984" s="278"/>
      <c r="AL984" s="278"/>
      <c r="AM984" s="278"/>
      <c r="AN984" s="278"/>
      <c r="AO984" s="278"/>
      <c r="AP984" s="278"/>
      <c r="AQ984" s="278"/>
      <c r="AR984" s="278"/>
      <c r="AS984" s="278"/>
      <c r="AT984" s="278"/>
      <c r="AU984" s="278"/>
      <c r="AV984" s="278"/>
      <c r="AW984" s="278"/>
      <c r="AX984" s="278"/>
      <c r="AY984" s="278"/>
      <c r="AZ984" s="278"/>
      <c r="BA984" s="278"/>
      <c r="BB984" s="278"/>
      <c r="BC984" s="278"/>
      <c r="BD984" s="278"/>
    </row>
    <row r="985" spans="1:56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196"/>
      <c r="S985" s="196"/>
      <c r="T985" s="196"/>
      <c r="U985" s="278"/>
      <c r="V985" s="278"/>
      <c r="W985" s="278"/>
      <c r="X985" s="278"/>
      <c r="Y985" s="278"/>
      <c r="Z985" s="278"/>
      <c r="AA985" s="278"/>
      <c r="AB985" s="278"/>
      <c r="AC985" s="278"/>
      <c r="AD985" s="278"/>
      <c r="AE985" s="278"/>
      <c r="AF985" s="278"/>
      <c r="AG985" s="278"/>
      <c r="AH985" s="278"/>
      <c r="AI985" s="278"/>
      <c r="AJ985" s="278"/>
      <c r="AK985" s="278"/>
      <c r="AL985" s="278"/>
      <c r="AM985" s="278"/>
      <c r="AN985" s="278"/>
      <c r="AO985" s="278"/>
      <c r="AP985" s="278"/>
      <c r="AQ985" s="278"/>
      <c r="AR985" s="278"/>
      <c r="AS985" s="278"/>
      <c r="AT985" s="278"/>
      <c r="AU985" s="278"/>
      <c r="AV985" s="278"/>
      <c r="AW985" s="278"/>
      <c r="AX985" s="278"/>
      <c r="AY985" s="278"/>
      <c r="AZ985" s="278"/>
      <c r="BA985" s="278"/>
      <c r="BB985" s="278"/>
      <c r="BC985" s="278"/>
      <c r="BD985" s="278"/>
    </row>
    <row r="986" spans="1:56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196"/>
      <c r="S986" s="196"/>
      <c r="T986" s="196"/>
      <c r="U986" s="278"/>
      <c r="V986" s="278"/>
      <c r="W986" s="278"/>
      <c r="X986" s="278"/>
      <c r="Y986" s="278"/>
      <c r="Z986" s="278"/>
      <c r="AA986" s="278"/>
      <c r="AB986" s="278"/>
      <c r="AC986" s="278"/>
      <c r="AD986" s="278"/>
      <c r="AE986" s="278"/>
      <c r="AF986" s="278"/>
      <c r="AG986" s="278"/>
      <c r="AH986" s="278"/>
      <c r="AI986" s="278"/>
      <c r="AJ986" s="278"/>
      <c r="AK986" s="278"/>
      <c r="AL986" s="278"/>
      <c r="AM986" s="278"/>
      <c r="AN986" s="278"/>
      <c r="AO986" s="278"/>
      <c r="AP986" s="278"/>
      <c r="AQ986" s="278"/>
      <c r="AR986" s="278"/>
      <c r="AS986" s="278"/>
      <c r="AT986" s="278"/>
      <c r="AU986" s="278"/>
      <c r="AV986" s="278"/>
      <c r="AW986" s="278"/>
      <c r="AX986" s="278"/>
      <c r="AY986" s="278"/>
      <c r="AZ986" s="278"/>
      <c r="BA986" s="278"/>
      <c r="BB986" s="278"/>
      <c r="BC986" s="278"/>
      <c r="BD986" s="278"/>
    </row>
    <row r="987" spans="1:56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196"/>
      <c r="S987" s="196"/>
      <c r="T987" s="196"/>
      <c r="U987" s="278"/>
      <c r="V987" s="278"/>
      <c r="W987" s="278"/>
      <c r="X987" s="278"/>
      <c r="Y987" s="278"/>
      <c r="Z987" s="278"/>
      <c r="AA987" s="278"/>
      <c r="AB987" s="278"/>
      <c r="AC987" s="278"/>
      <c r="AD987" s="278"/>
      <c r="AE987" s="278"/>
      <c r="AF987" s="278"/>
      <c r="AG987" s="278"/>
      <c r="AH987" s="278"/>
      <c r="AI987" s="278"/>
      <c r="AJ987" s="278"/>
      <c r="AK987" s="278"/>
      <c r="AL987" s="278"/>
      <c r="AM987" s="278"/>
      <c r="AN987" s="278"/>
      <c r="AO987" s="278"/>
      <c r="AP987" s="278"/>
      <c r="AQ987" s="278"/>
      <c r="AR987" s="278"/>
      <c r="AS987" s="278"/>
      <c r="AT987" s="278"/>
      <c r="AU987" s="278"/>
      <c r="AV987" s="278"/>
      <c r="AW987" s="278"/>
      <c r="AX987" s="278"/>
      <c r="AY987" s="278"/>
      <c r="AZ987" s="278"/>
      <c r="BA987" s="278"/>
      <c r="BB987" s="278"/>
      <c r="BC987" s="278"/>
      <c r="BD987" s="278"/>
    </row>
    <row r="988" spans="1:56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196"/>
      <c r="S988" s="196"/>
      <c r="T988" s="196"/>
      <c r="U988" s="278"/>
      <c r="V988" s="278"/>
      <c r="W988" s="278"/>
      <c r="X988" s="278"/>
      <c r="Y988" s="278"/>
      <c r="Z988" s="278"/>
      <c r="AA988" s="278"/>
      <c r="AB988" s="278"/>
      <c r="AC988" s="278"/>
      <c r="AD988" s="278"/>
      <c r="AE988" s="278"/>
      <c r="AF988" s="278"/>
      <c r="AG988" s="278"/>
      <c r="AH988" s="278"/>
      <c r="AI988" s="278"/>
      <c r="AJ988" s="278"/>
      <c r="AK988" s="278"/>
      <c r="AL988" s="278"/>
      <c r="AM988" s="278"/>
      <c r="AN988" s="278"/>
      <c r="AO988" s="278"/>
      <c r="AP988" s="278"/>
      <c r="AQ988" s="278"/>
      <c r="AR988" s="278"/>
      <c r="AS988" s="278"/>
      <c r="AT988" s="278"/>
      <c r="AU988" s="278"/>
      <c r="AV988" s="278"/>
      <c r="AW988" s="278"/>
      <c r="AX988" s="278"/>
      <c r="AY988" s="278"/>
      <c r="AZ988" s="278"/>
      <c r="BA988" s="278"/>
      <c r="BB988" s="278"/>
      <c r="BC988" s="278"/>
      <c r="BD988" s="278"/>
    </row>
    <row r="989" spans="1:56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196"/>
      <c r="S989" s="196"/>
      <c r="T989" s="196"/>
      <c r="U989" s="278"/>
      <c r="V989" s="278"/>
      <c r="W989" s="278"/>
      <c r="X989" s="278"/>
      <c r="Y989" s="278"/>
      <c r="Z989" s="278"/>
      <c r="AA989" s="278"/>
      <c r="AB989" s="278"/>
      <c r="AC989" s="278"/>
      <c r="AD989" s="278"/>
      <c r="AE989" s="278"/>
      <c r="AF989" s="278"/>
      <c r="AG989" s="278"/>
      <c r="AH989" s="278"/>
      <c r="AI989" s="278"/>
      <c r="AJ989" s="278"/>
      <c r="AK989" s="278"/>
      <c r="AL989" s="278"/>
      <c r="AM989" s="278"/>
      <c r="AN989" s="278"/>
      <c r="AO989" s="278"/>
      <c r="AP989" s="278"/>
      <c r="AQ989" s="278"/>
      <c r="AR989" s="278"/>
      <c r="AS989" s="278"/>
      <c r="AT989" s="278"/>
      <c r="AU989" s="278"/>
      <c r="AV989" s="278"/>
      <c r="AW989" s="278"/>
      <c r="AX989" s="278"/>
      <c r="AY989" s="278"/>
      <c r="AZ989" s="278"/>
      <c r="BA989" s="278"/>
      <c r="BB989" s="278"/>
      <c r="BC989" s="278"/>
      <c r="BD989" s="278"/>
    </row>
    <row r="990" spans="1:56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196"/>
      <c r="S990" s="196"/>
      <c r="T990" s="196"/>
      <c r="U990" s="278"/>
      <c r="V990" s="278"/>
      <c r="W990" s="278"/>
      <c r="X990" s="278"/>
      <c r="Y990" s="278"/>
      <c r="Z990" s="278"/>
      <c r="AA990" s="278"/>
      <c r="AB990" s="278"/>
      <c r="AC990" s="278"/>
      <c r="AD990" s="278"/>
      <c r="AE990" s="278"/>
      <c r="AF990" s="278"/>
      <c r="AG990" s="278"/>
      <c r="AH990" s="278"/>
      <c r="AI990" s="278"/>
      <c r="AJ990" s="278"/>
      <c r="AK990" s="278"/>
      <c r="AL990" s="278"/>
      <c r="AM990" s="278"/>
      <c r="AN990" s="278"/>
      <c r="AO990" s="278"/>
      <c r="AP990" s="278"/>
      <c r="AQ990" s="278"/>
      <c r="AR990" s="278"/>
      <c r="AS990" s="278"/>
      <c r="AT990" s="278"/>
      <c r="AU990" s="278"/>
      <c r="AV990" s="278"/>
      <c r="AW990" s="278"/>
      <c r="AX990" s="278"/>
      <c r="AY990" s="278"/>
      <c r="AZ990" s="278"/>
      <c r="BA990" s="278"/>
      <c r="BB990" s="278"/>
      <c r="BC990" s="278"/>
      <c r="BD990" s="278"/>
    </row>
    <row r="991" spans="1:56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196"/>
      <c r="S991" s="196"/>
      <c r="T991" s="196"/>
      <c r="U991" s="278"/>
      <c r="V991" s="278"/>
      <c r="W991" s="278"/>
      <c r="X991" s="278"/>
      <c r="Y991" s="278"/>
      <c r="Z991" s="278"/>
      <c r="AA991" s="278"/>
      <c r="AB991" s="278"/>
      <c r="AC991" s="278"/>
      <c r="AD991" s="278"/>
      <c r="AE991" s="278"/>
      <c r="AF991" s="278"/>
      <c r="AG991" s="278"/>
      <c r="AH991" s="278"/>
      <c r="AI991" s="278"/>
      <c r="AJ991" s="278"/>
      <c r="AK991" s="278"/>
      <c r="AL991" s="278"/>
      <c r="AM991" s="278"/>
      <c r="AN991" s="278"/>
      <c r="AO991" s="278"/>
      <c r="AP991" s="278"/>
      <c r="AQ991" s="278"/>
      <c r="AR991" s="278"/>
      <c r="AS991" s="278"/>
      <c r="AT991" s="278"/>
      <c r="AU991" s="278"/>
      <c r="AV991" s="278"/>
      <c r="AW991" s="278"/>
      <c r="AX991" s="278"/>
      <c r="AY991" s="278"/>
      <c r="AZ991" s="278"/>
      <c r="BA991" s="278"/>
      <c r="BB991" s="278"/>
      <c r="BC991" s="278"/>
      <c r="BD991" s="278"/>
    </row>
    <row r="992" spans="1:56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196"/>
      <c r="S992" s="196"/>
      <c r="T992" s="196"/>
      <c r="U992" s="278"/>
      <c r="V992" s="278"/>
      <c r="W992" s="278"/>
      <c r="X992" s="278"/>
      <c r="Y992" s="278"/>
      <c r="Z992" s="278"/>
      <c r="AA992" s="278"/>
      <c r="AB992" s="278"/>
      <c r="AC992" s="278"/>
      <c r="AD992" s="278"/>
      <c r="AE992" s="278"/>
      <c r="AF992" s="278"/>
      <c r="AG992" s="278"/>
      <c r="AH992" s="278"/>
      <c r="AI992" s="278"/>
      <c r="AJ992" s="278"/>
      <c r="AK992" s="278"/>
      <c r="AL992" s="278"/>
      <c r="AM992" s="278"/>
      <c r="AN992" s="278"/>
      <c r="AO992" s="278"/>
      <c r="AP992" s="278"/>
      <c r="AQ992" s="278"/>
      <c r="AR992" s="278"/>
      <c r="AS992" s="278"/>
      <c r="AT992" s="278"/>
      <c r="AU992" s="278"/>
      <c r="AV992" s="278"/>
      <c r="AW992" s="278"/>
      <c r="AX992" s="278"/>
      <c r="AY992" s="278"/>
      <c r="AZ992" s="278"/>
      <c r="BA992" s="278"/>
      <c r="BB992" s="278"/>
      <c r="BC992" s="278"/>
      <c r="BD992" s="278"/>
    </row>
    <row r="993" spans="1:56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196"/>
      <c r="S993" s="196"/>
      <c r="T993" s="196"/>
      <c r="U993" s="278"/>
      <c r="V993" s="278"/>
      <c r="W993" s="278"/>
      <c r="X993" s="278"/>
      <c r="Y993" s="278"/>
      <c r="Z993" s="278"/>
      <c r="AA993" s="278"/>
      <c r="AB993" s="278"/>
      <c r="AC993" s="278"/>
      <c r="AD993" s="278"/>
      <c r="AE993" s="278"/>
      <c r="AF993" s="278"/>
      <c r="AG993" s="278"/>
      <c r="AH993" s="278"/>
      <c r="AI993" s="278"/>
      <c r="AJ993" s="278"/>
      <c r="AK993" s="278"/>
      <c r="AL993" s="278"/>
      <c r="AM993" s="278"/>
      <c r="AN993" s="278"/>
      <c r="AO993" s="278"/>
      <c r="AP993" s="278"/>
      <c r="AQ993" s="278"/>
      <c r="AR993" s="278"/>
      <c r="AS993" s="278"/>
      <c r="AT993" s="278"/>
      <c r="AU993" s="278"/>
      <c r="AV993" s="278"/>
      <c r="AW993" s="278"/>
      <c r="AX993" s="278"/>
      <c r="AY993" s="278"/>
      <c r="AZ993" s="278"/>
      <c r="BA993" s="278"/>
      <c r="BB993" s="278"/>
      <c r="BC993" s="278"/>
      <c r="BD993" s="278"/>
    </row>
    <row r="994" spans="1:56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196"/>
      <c r="S994" s="196"/>
      <c r="T994" s="196"/>
      <c r="U994" s="278"/>
      <c r="V994" s="278"/>
      <c r="W994" s="278"/>
      <c r="X994" s="278"/>
      <c r="Y994" s="278"/>
      <c r="Z994" s="278"/>
      <c r="AA994" s="278"/>
      <c r="AB994" s="278"/>
      <c r="AC994" s="278"/>
      <c r="AD994" s="278"/>
      <c r="AE994" s="278"/>
      <c r="AF994" s="278"/>
      <c r="AG994" s="278"/>
      <c r="AH994" s="278"/>
      <c r="AI994" s="278"/>
      <c r="AJ994" s="278"/>
      <c r="AK994" s="278"/>
      <c r="AL994" s="278"/>
      <c r="AM994" s="278"/>
      <c r="AN994" s="278"/>
      <c r="AO994" s="278"/>
      <c r="AP994" s="278"/>
      <c r="AQ994" s="278"/>
      <c r="AR994" s="278"/>
      <c r="AS994" s="278"/>
      <c r="AT994" s="278"/>
      <c r="AU994" s="278"/>
      <c r="AV994" s="278"/>
      <c r="AW994" s="278"/>
      <c r="AX994" s="278"/>
      <c r="AY994" s="278"/>
      <c r="AZ994" s="278"/>
      <c r="BA994" s="278"/>
      <c r="BB994" s="278"/>
      <c r="BC994" s="278"/>
      <c r="BD994" s="278"/>
    </row>
    <row r="995" spans="1:56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196"/>
      <c r="S995" s="196"/>
      <c r="T995" s="196"/>
      <c r="U995" s="278"/>
      <c r="V995" s="278"/>
      <c r="W995" s="278"/>
      <c r="X995" s="278"/>
      <c r="Y995" s="278"/>
      <c r="Z995" s="278"/>
      <c r="AA995" s="278"/>
      <c r="AB995" s="278"/>
      <c r="AC995" s="278"/>
      <c r="AD995" s="278"/>
      <c r="AE995" s="278"/>
      <c r="AF995" s="278"/>
      <c r="AG995" s="278"/>
      <c r="AH995" s="278"/>
      <c r="AI995" s="278"/>
      <c r="AJ995" s="278"/>
      <c r="AK995" s="278"/>
      <c r="AL995" s="278"/>
      <c r="AM995" s="278"/>
      <c r="AN995" s="278"/>
      <c r="AO995" s="278"/>
      <c r="AP995" s="278"/>
      <c r="AQ995" s="278"/>
      <c r="AR995" s="278"/>
      <c r="AS995" s="278"/>
      <c r="AT995" s="278"/>
      <c r="AU995" s="278"/>
      <c r="AV995" s="278"/>
      <c r="AW995" s="278"/>
      <c r="AX995" s="278"/>
      <c r="AY995" s="278"/>
      <c r="AZ995" s="278"/>
      <c r="BA995" s="278"/>
      <c r="BB995" s="278"/>
      <c r="BC995" s="278"/>
      <c r="BD995" s="278"/>
    </row>
    <row r="996" spans="1:56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196"/>
      <c r="S996" s="196"/>
      <c r="T996" s="196"/>
      <c r="U996" s="278"/>
      <c r="V996" s="278"/>
      <c r="W996" s="278"/>
      <c r="X996" s="278"/>
      <c r="Y996" s="278"/>
      <c r="Z996" s="278"/>
      <c r="AA996" s="278"/>
      <c r="AB996" s="278"/>
      <c r="AC996" s="278"/>
      <c r="AD996" s="278"/>
      <c r="AE996" s="278"/>
      <c r="AF996" s="278"/>
      <c r="AG996" s="278"/>
      <c r="AH996" s="278"/>
      <c r="AI996" s="278"/>
      <c r="AJ996" s="278"/>
      <c r="AK996" s="278"/>
      <c r="AL996" s="278"/>
      <c r="AM996" s="278"/>
      <c r="AN996" s="278"/>
      <c r="AO996" s="278"/>
      <c r="AP996" s="278"/>
      <c r="AQ996" s="278"/>
      <c r="AR996" s="278"/>
      <c r="AS996" s="278"/>
      <c r="AT996" s="278"/>
      <c r="AU996" s="278"/>
      <c r="AV996" s="278"/>
      <c r="AW996" s="278"/>
      <c r="AX996" s="278"/>
      <c r="AY996" s="278"/>
      <c r="AZ996" s="278"/>
      <c r="BA996" s="278"/>
      <c r="BB996" s="278"/>
      <c r="BC996" s="278"/>
      <c r="BD996" s="278"/>
    </row>
    <row r="997" spans="1:56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196"/>
      <c r="S997" s="196"/>
      <c r="T997" s="196"/>
      <c r="U997" s="278"/>
      <c r="V997" s="278"/>
      <c r="W997" s="278"/>
      <c r="X997" s="278"/>
      <c r="Y997" s="278"/>
      <c r="Z997" s="278"/>
      <c r="AA997" s="278"/>
      <c r="AB997" s="278"/>
      <c r="AC997" s="278"/>
      <c r="AD997" s="278"/>
      <c r="AE997" s="278"/>
      <c r="AF997" s="278"/>
      <c r="AG997" s="278"/>
      <c r="AH997" s="278"/>
      <c r="AI997" s="278"/>
      <c r="AJ997" s="278"/>
      <c r="AK997" s="278"/>
      <c r="AL997" s="278"/>
      <c r="AM997" s="278"/>
      <c r="AN997" s="278"/>
      <c r="AO997" s="278"/>
      <c r="AP997" s="278"/>
      <c r="AQ997" s="278"/>
      <c r="AR997" s="278"/>
      <c r="AS997" s="278"/>
      <c r="AT997" s="278"/>
      <c r="AU997" s="278"/>
      <c r="AV997" s="278"/>
      <c r="AW997" s="278"/>
      <c r="AX997" s="278"/>
      <c r="AY997" s="278"/>
      <c r="AZ997" s="278"/>
      <c r="BA997" s="278"/>
      <c r="BB997" s="278"/>
      <c r="BC997" s="278"/>
      <c r="BD997" s="278"/>
    </row>
    <row r="998" spans="1:56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196"/>
      <c r="S998" s="196"/>
      <c r="T998" s="196"/>
      <c r="U998" s="278"/>
      <c r="V998" s="278"/>
      <c r="W998" s="278"/>
      <c r="X998" s="278"/>
      <c r="Y998" s="278"/>
      <c r="Z998" s="278"/>
      <c r="AA998" s="278"/>
      <c r="AB998" s="278"/>
      <c r="AC998" s="278"/>
      <c r="AD998" s="278"/>
      <c r="AE998" s="278"/>
      <c r="AF998" s="278"/>
      <c r="AG998" s="278"/>
      <c r="AH998" s="278"/>
      <c r="AI998" s="278"/>
      <c r="AJ998" s="278"/>
      <c r="AK998" s="278"/>
      <c r="AL998" s="278"/>
      <c r="AM998" s="278"/>
      <c r="AN998" s="278"/>
      <c r="AO998" s="278"/>
      <c r="AP998" s="278"/>
      <c r="AQ998" s="278"/>
      <c r="AR998" s="278"/>
      <c r="AS998" s="278"/>
      <c r="AT998" s="278"/>
      <c r="AU998" s="278"/>
      <c r="AV998" s="278"/>
      <c r="AW998" s="278"/>
      <c r="AX998" s="278"/>
      <c r="AY998" s="278"/>
      <c r="AZ998" s="278"/>
      <c r="BA998" s="278"/>
      <c r="BB998" s="278"/>
      <c r="BC998" s="278"/>
      <c r="BD998" s="278"/>
    </row>
    <row r="999" spans="1:56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196"/>
      <c r="S999" s="196"/>
      <c r="T999" s="196"/>
      <c r="U999" s="278"/>
      <c r="V999" s="278"/>
      <c r="W999" s="278"/>
      <c r="X999" s="278"/>
      <c r="Y999" s="278"/>
      <c r="Z999" s="278"/>
      <c r="AA999" s="278"/>
      <c r="AB999" s="278"/>
      <c r="AC999" s="278"/>
      <c r="AD999" s="278"/>
      <c r="AE999" s="278"/>
      <c r="AF999" s="278"/>
      <c r="AG999" s="278"/>
      <c r="AH999" s="278"/>
      <c r="AI999" s="278"/>
      <c r="AJ999" s="278"/>
      <c r="AK999" s="278"/>
      <c r="AL999" s="278"/>
      <c r="AM999" s="278"/>
      <c r="AN999" s="278"/>
      <c r="AO999" s="278"/>
      <c r="AP999" s="278"/>
      <c r="AQ999" s="278"/>
      <c r="AR999" s="278"/>
      <c r="AS999" s="278"/>
      <c r="AT999" s="278"/>
      <c r="AU999" s="278"/>
      <c r="AV999" s="278"/>
      <c r="AW999" s="278"/>
      <c r="AX999" s="278"/>
      <c r="AY999" s="278"/>
      <c r="AZ999" s="278"/>
      <c r="BA999" s="278"/>
      <c r="BB999" s="278"/>
      <c r="BC999" s="278"/>
      <c r="BD999" s="278"/>
    </row>
    <row r="1000" spans="1:56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  <c r="BA1000" s="199"/>
      <c r="BB1000" s="199"/>
      <c r="BC1000" s="199"/>
      <c r="BD1000" s="199"/>
    </row>
  </sheetData>
  <mergeCells count="47">
    <mergeCell ref="AG3:AR3"/>
    <mergeCell ref="AS3:BD3"/>
    <mergeCell ref="C2:Q2"/>
    <mergeCell ref="R2:AC2"/>
    <mergeCell ref="AD2:BD2"/>
    <mergeCell ref="C3:Q3"/>
    <mergeCell ref="R3:AC3"/>
    <mergeCell ref="AD3:AF3"/>
    <mergeCell ref="V4:Y4"/>
    <mergeCell ref="Z4:AC4"/>
    <mergeCell ref="W5:Y5"/>
    <mergeCell ref="AA5:AC5"/>
    <mergeCell ref="AE5:AF5"/>
    <mergeCell ref="AD4:AF4"/>
    <mergeCell ref="H4:I4"/>
    <mergeCell ref="J5:K5"/>
    <mergeCell ref="L5:N5"/>
    <mergeCell ref="O5:Q5"/>
    <mergeCell ref="S5:U5"/>
    <mergeCell ref="J4:Q4"/>
    <mergeCell ref="R4:U4"/>
    <mergeCell ref="AH5:AJ5"/>
    <mergeCell ref="AK4:AN4"/>
    <mergeCell ref="AO4:AR4"/>
    <mergeCell ref="AL5:AN5"/>
    <mergeCell ref="AP5:AR5"/>
    <mergeCell ref="AG4:AJ4"/>
    <mergeCell ref="AS4:AV4"/>
    <mergeCell ref="AW4:AZ4"/>
    <mergeCell ref="AT5:AV5"/>
    <mergeCell ref="AX5:AZ5"/>
    <mergeCell ref="BB5:BD5"/>
    <mergeCell ref="BA4:BD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4:G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17" max="1048575" man="1"/>
    <brk id="29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2.5703125" customWidth="1"/>
    <col min="3" max="4" width="18.7109375" bestFit="1" customWidth="1"/>
    <col min="5" max="6" width="16.85546875" bestFit="1" customWidth="1"/>
    <col min="7" max="7" width="10.140625" customWidth="1"/>
    <col min="8" max="8" width="19.85546875" bestFit="1" customWidth="1"/>
    <col min="9" max="9" width="10.140625" customWidth="1"/>
    <col min="10" max="10" width="18.7109375" bestFit="1" customWidth="1"/>
    <col min="11" max="11" width="12.5703125" bestFit="1" customWidth="1"/>
    <col min="12" max="12" width="18.7109375" bestFit="1" customWidth="1"/>
    <col min="13" max="14" width="15.140625" customWidth="1"/>
    <col min="15" max="15" width="10.42578125" customWidth="1"/>
    <col min="16" max="17" width="15.140625" customWidth="1"/>
    <col min="18" max="20" width="11.42578125" customWidth="1"/>
    <col min="21" max="22" width="8.85546875" customWidth="1"/>
    <col min="23" max="23" width="8.42578125" bestFit="1" customWidth="1"/>
    <col min="24" max="24" width="12.5703125" bestFit="1" customWidth="1"/>
    <col min="25" max="25" width="10.140625" customWidth="1"/>
    <col min="26" max="26" width="12.5703125" bestFit="1" customWidth="1"/>
    <col min="27" max="27" width="10.85546875" bestFit="1" customWidth="1"/>
    <col min="28" max="28" width="8.42578125" bestFit="1" customWidth="1"/>
    <col min="29" max="29" width="10.85546875" bestFit="1" customWidth="1"/>
    <col min="30" max="31" width="12.5703125" customWidth="1"/>
    <col min="32" max="32" width="7.5703125" customWidth="1"/>
    <col min="33" max="34" width="12.5703125" customWidth="1"/>
    <col min="35" max="35" width="7.5703125" customWidth="1"/>
    <col min="36" max="37" width="12.5703125" customWidth="1"/>
    <col min="38" max="40" width="8.85546875" customWidth="1"/>
    <col min="41" max="41" width="10.140625" customWidth="1"/>
    <col min="42" max="42" width="8.85546875" customWidth="1"/>
    <col min="43" max="43" width="12.5703125" bestFit="1" customWidth="1"/>
    <col min="44" max="44" width="11.42578125" customWidth="1"/>
    <col min="45" max="45" width="20.7109375" bestFit="1" customWidth="1"/>
    <col min="46" max="46" width="22.7109375" bestFit="1" customWidth="1"/>
    <col min="47" max="47" width="10.140625" customWidth="1"/>
    <col min="48" max="48" width="7.5703125" customWidth="1"/>
    <col min="49" max="49" width="13.28515625" bestFit="1" customWidth="1"/>
    <col min="50" max="51" width="8.85546875" customWidth="1"/>
    <col min="52" max="52" width="13.28515625" bestFit="1" customWidth="1"/>
  </cols>
  <sheetData>
    <row r="1" spans="1:52" ht="24" customHeight="1" x14ac:dyDescent="0.3">
      <c r="A1" s="1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20"/>
      <c r="N1" s="120"/>
      <c r="O1" s="121"/>
      <c r="P1" s="121"/>
      <c r="Q1" s="121"/>
      <c r="R1" s="118"/>
      <c r="S1" s="118"/>
      <c r="T1" s="118"/>
      <c r="U1" s="118"/>
      <c r="V1" s="118"/>
      <c r="W1" s="118"/>
      <c r="X1" s="120"/>
      <c r="Y1" s="120"/>
      <c r="Z1" s="120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20"/>
      <c r="AR1" s="118"/>
      <c r="AS1" s="118"/>
      <c r="AT1" s="118"/>
      <c r="AU1" s="118"/>
      <c r="AV1" s="118"/>
      <c r="AW1" s="120"/>
      <c r="AX1" s="120"/>
      <c r="AY1" s="120"/>
      <c r="AZ1" s="120"/>
    </row>
    <row r="2" spans="1:52" ht="24" customHeight="1" x14ac:dyDescent="0.2">
      <c r="A2" s="415" t="s">
        <v>1</v>
      </c>
      <c r="B2" s="407"/>
      <c r="C2" s="418" t="s">
        <v>139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5"/>
      <c r="AH2" s="395"/>
      <c r="AI2" s="395"/>
      <c r="AJ2" s="395"/>
      <c r="AK2" s="395"/>
      <c r="AL2" s="395"/>
      <c r="AM2" s="395"/>
      <c r="AN2" s="395"/>
      <c r="AO2" s="395"/>
      <c r="AP2" s="395"/>
      <c r="AQ2" s="395"/>
      <c r="AR2" s="395"/>
      <c r="AS2" s="395"/>
      <c r="AT2" s="395"/>
      <c r="AU2" s="395"/>
      <c r="AV2" s="395"/>
      <c r="AW2" s="395"/>
      <c r="AX2" s="395"/>
      <c r="AY2" s="395"/>
      <c r="AZ2" s="396"/>
    </row>
    <row r="3" spans="1:52" ht="30" customHeight="1" x14ac:dyDescent="0.2">
      <c r="A3" s="416"/>
      <c r="B3" s="393"/>
      <c r="C3" s="419" t="s">
        <v>3</v>
      </c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420" t="s">
        <v>140</v>
      </c>
      <c r="S3" s="421"/>
      <c r="T3" s="393"/>
      <c r="U3" s="422" t="s">
        <v>141</v>
      </c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6"/>
      <c r="AL3" s="423" t="s">
        <v>5</v>
      </c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</row>
    <row r="4" spans="1:52" ht="30" customHeight="1" x14ac:dyDescent="0.3">
      <c r="A4" s="416"/>
      <c r="B4" s="393"/>
      <c r="C4" s="424" t="s">
        <v>6</v>
      </c>
      <c r="D4" s="395"/>
      <c r="E4" s="395"/>
      <c r="F4" s="395"/>
      <c r="G4" s="396"/>
      <c r="H4" s="439" t="s">
        <v>7</v>
      </c>
      <c r="I4" s="396"/>
      <c r="J4" s="440" t="s">
        <v>8</v>
      </c>
      <c r="K4" s="395"/>
      <c r="L4" s="395"/>
      <c r="M4" s="395"/>
      <c r="N4" s="395"/>
      <c r="O4" s="395"/>
      <c r="P4" s="395"/>
      <c r="Q4" s="396"/>
      <c r="R4" s="395"/>
      <c r="S4" s="395"/>
      <c r="T4" s="396"/>
      <c r="U4" s="422" t="s">
        <v>142</v>
      </c>
      <c r="V4" s="395"/>
      <c r="W4" s="395"/>
      <c r="X4" s="395"/>
      <c r="Y4" s="395"/>
      <c r="Z4" s="396"/>
      <c r="AA4" s="422" t="s">
        <v>143</v>
      </c>
      <c r="AB4" s="395"/>
      <c r="AC4" s="395"/>
      <c r="AD4" s="395"/>
      <c r="AE4" s="396"/>
      <c r="AF4" s="422" t="s">
        <v>144</v>
      </c>
      <c r="AG4" s="395"/>
      <c r="AH4" s="396"/>
      <c r="AI4" s="422" t="s">
        <v>145</v>
      </c>
      <c r="AJ4" s="395"/>
      <c r="AK4" s="396"/>
      <c r="AL4" s="423" t="s">
        <v>142</v>
      </c>
      <c r="AM4" s="395"/>
      <c r="AN4" s="395"/>
      <c r="AO4" s="395"/>
      <c r="AP4" s="395"/>
      <c r="AQ4" s="396"/>
      <c r="AR4" s="423" t="s">
        <v>143</v>
      </c>
      <c r="AS4" s="395"/>
      <c r="AT4" s="396"/>
      <c r="AU4" s="423" t="s">
        <v>144</v>
      </c>
      <c r="AV4" s="395"/>
      <c r="AW4" s="396"/>
      <c r="AX4" s="423" t="s">
        <v>145</v>
      </c>
      <c r="AY4" s="395"/>
      <c r="AZ4" s="396"/>
    </row>
    <row r="5" spans="1:52" ht="24" customHeight="1" x14ac:dyDescent="0.3">
      <c r="A5" s="416"/>
      <c r="B5" s="393"/>
      <c r="C5" s="433" t="s">
        <v>13</v>
      </c>
      <c r="D5" s="435" t="s">
        <v>14</v>
      </c>
      <c r="E5" s="436" t="s">
        <v>15</v>
      </c>
      <c r="F5" s="437" t="s">
        <v>16</v>
      </c>
      <c r="G5" s="438" t="s">
        <v>17</v>
      </c>
      <c r="H5" s="122" t="s">
        <v>18</v>
      </c>
      <c r="I5" s="122" t="s">
        <v>19</v>
      </c>
      <c r="J5" s="427" t="s">
        <v>20</v>
      </c>
      <c r="K5" s="396"/>
      <c r="L5" s="427" t="s">
        <v>18</v>
      </c>
      <c r="M5" s="395"/>
      <c r="N5" s="396"/>
      <c r="O5" s="428" t="s">
        <v>19</v>
      </c>
      <c r="P5" s="395"/>
      <c r="Q5" s="396"/>
      <c r="R5" s="123" t="s">
        <v>21</v>
      </c>
      <c r="S5" s="429" t="s">
        <v>22</v>
      </c>
      <c r="T5" s="396"/>
      <c r="U5" s="430" t="s">
        <v>21</v>
      </c>
      <c r="V5" s="396"/>
      <c r="W5" s="412" t="s">
        <v>22</v>
      </c>
      <c r="X5" s="395"/>
      <c r="Y5" s="395"/>
      <c r="Z5" s="396"/>
      <c r="AA5" s="430" t="s">
        <v>21</v>
      </c>
      <c r="AB5" s="396"/>
      <c r="AC5" s="412" t="s">
        <v>22</v>
      </c>
      <c r="AD5" s="396"/>
      <c r="AE5" s="124"/>
      <c r="AF5" s="123" t="s">
        <v>21</v>
      </c>
      <c r="AG5" s="412" t="s">
        <v>22</v>
      </c>
      <c r="AH5" s="396"/>
      <c r="AI5" s="123" t="s">
        <v>21</v>
      </c>
      <c r="AJ5" s="412" t="s">
        <v>22</v>
      </c>
      <c r="AK5" s="396"/>
      <c r="AL5" s="430" t="s">
        <v>21</v>
      </c>
      <c r="AM5" s="396"/>
      <c r="AN5" s="412" t="s">
        <v>22</v>
      </c>
      <c r="AO5" s="395"/>
      <c r="AP5" s="395"/>
      <c r="AQ5" s="396"/>
      <c r="AR5" s="125" t="s">
        <v>21</v>
      </c>
      <c r="AS5" s="429" t="s">
        <v>22</v>
      </c>
      <c r="AT5" s="396"/>
      <c r="AU5" s="125" t="s">
        <v>21</v>
      </c>
      <c r="AV5" s="412" t="s">
        <v>22</v>
      </c>
      <c r="AW5" s="396"/>
      <c r="AX5" s="125" t="s">
        <v>21</v>
      </c>
      <c r="AY5" s="412" t="s">
        <v>22</v>
      </c>
      <c r="AZ5" s="396"/>
    </row>
    <row r="6" spans="1:52" ht="41.25" customHeight="1" x14ac:dyDescent="0.2">
      <c r="A6" s="417"/>
      <c r="B6" s="396"/>
      <c r="C6" s="434"/>
      <c r="D6" s="434"/>
      <c r="E6" s="434"/>
      <c r="F6" s="434"/>
      <c r="G6" s="434"/>
      <c r="H6" s="126"/>
      <c r="I6" s="126"/>
      <c r="J6" s="360" t="s">
        <v>23</v>
      </c>
      <c r="K6" s="361" t="s">
        <v>24</v>
      </c>
      <c r="L6" s="360" t="s">
        <v>23</v>
      </c>
      <c r="M6" s="362" t="s">
        <v>25</v>
      </c>
      <c r="N6" s="362" t="s">
        <v>26</v>
      </c>
      <c r="O6" s="363" t="s">
        <v>23</v>
      </c>
      <c r="P6" s="362" t="s">
        <v>25</v>
      </c>
      <c r="Q6" s="362" t="s">
        <v>26</v>
      </c>
      <c r="R6" s="127" t="s">
        <v>146</v>
      </c>
      <c r="S6" s="128" t="s">
        <v>146</v>
      </c>
      <c r="T6" s="128" t="s">
        <v>24</v>
      </c>
      <c r="U6" s="129" t="s">
        <v>28</v>
      </c>
      <c r="V6" s="129" t="s">
        <v>147</v>
      </c>
      <c r="W6" s="128" t="s">
        <v>28</v>
      </c>
      <c r="X6" s="130" t="s">
        <v>24</v>
      </c>
      <c r="Y6" s="131" t="s">
        <v>147</v>
      </c>
      <c r="Z6" s="130" t="s">
        <v>24</v>
      </c>
      <c r="AA6" s="127" t="s">
        <v>146</v>
      </c>
      <c r="AB6" s="129" t="s">
        <v>28</v>
      </c>
      <c r="AC6" s="128" t="s">
        <v>146</v>
      </c>
      <c r="AD6" s="132" t="s">
        <v>148</v>
      </c>
      <c r="AE6" s="132" t="s">
        <v>149</v>
      </c>
      <c r="AF6" s="127" t="s">
        <v>147</v>
      </c>
      <c r="AG6" s="132" t="s">
        <v>150</v>
      </c>
      <c r="AH6" s="132" t="s">
        <v>151</v>
      </c>
      <c r="AI6" s="127" t="s">
        <v>147</v>
      </c>
      <c r="AJ6" s="132" t="s">
        <v>152</v>
      </c>
      <c r="AK6" s="132" t="s">
        <v>153</v>
      </c>
      <c r="AL6" s="129" t="s">
        <v>28</v>
      </c>
      <c r="AM6" s="129" t="s">
        <v>147</v>
      </c>
      <c r="AN6" s="131" t="s">
        <v>28</v>
      </c>
      <c r="AO6" s="131" t="s">
        <v>24</v>
      </c>
      <c r="AP6" s="131" t="s">
        <v>147</v>
      </c>
      <c r="AQ6" s="130" t="s">
        <v>30</v>
      </c>
      <c r="AR6" s="133"/>
      <c r="AS6" s="132" t="s">
        <v>154</v>
      </c>
      <c r="AT6" s="132" t="s">
        <v>155</v>
      </c>
      <c r="AU6" s="129" t="s">
        <v>147</v>
      </c>
      <c r="AV6" s="128" t="s">
        <v>147</v>
      </c>
      <c r="AW6" s="130" t="s">
        <v>30</v>
      </c>
      <c r="AX6" s="129" t="s">
        <v>147</v>
      </c>
      <c r="AY6" s="128" t="s">
        <v>147</v>
      </c>
      <c r="AZ6" s="130" t="s">
        <v>30</v>
      </c>
    </row>
    <row r="7" spans="1:52" ht="24" customHeight="1" x14ac:dyDescent="0.3">
      <c r="A7" s="425" t="s">
        <v>239</v>
      </c>
      <c r="B7" s="426"/>
      <c r="C7" s="134">
        <f t="shared" ref="C7:C116" ca="1" si="0">D7+G7</f>
        <v>12761700</v>
      </c>
      <c r="D7" s="135">
        <f t="shared" ref="D7:E7" ca="1" si="1">D8+D9+D12</f>
        <v>12761700</v>
      </c>
      <c r="E7" s="136">
        <f t="shared" ca="1" si="1"/>
        <v>5742800</v>
      </c>
      <c r="F7" s="137">
        <f ca="1">F8+F9</f>
        <v>7018900</v>
      </c>
      <c r="G7" s="138">
        <f t="shared" ref="G7:I7" ca="1" si="2">G8+G9+G12</f>
        <v>0</v>
      </c>
      <c r="H7" s="139">
        <f t="shared" ca="1" si="2"/>
        <v>12761700</v>
      </c>
      <c r="I7" s="139">
        <f t="shared" ca="1" si="2"/>
        <v>0</v>
      </c>
      <c r="J7" s="140">
        <f t="shared" ref="J7:J116" ca="1" si="3">L7+O7</f>
        <v>11578362.210000001</v>
      </c>
      <c r="K7" s="141">
        <f t="shared" ref="K7:K116" ca="1" si="4">IF(C7&gt;0,J7*100/C7,0)</f>
        <v>90.727428242318808</v>
      </c>
      <c r="L7" s="140">
        <f ca="1">L8+L9+L12</f>
        <v>11578362.210000001</v>
      </c>
      <c r="M7" s="142">
        <f t="shared" ref="M7:M116" ca="1" si="5">IF(D7&gt;0,L7*100/D7,0)</f>
        <v>90.727428242318808</v>
      </c>
      <c r="N7" s="142">
        <f t="shared" ref="N7:N116" ca="1" si="6">IF(H7&gt;0,L7*100/H7,0)</f>
        <v>90.727428242318808</v>
      </c>
      <c r="O7" s="143">
        <f ca="1">O8+O9+O12</f>
        <v>0</v>
      </c>
      <c r="P7" s="143">
        <f t="shared" ref="P7:P11" ca="1" si="7">IF(G7&gt;0,O7*100/G7,0)</f>
        <v>0</v>
      </c>
      <c r="Q7" s="142">
        <f t="shared" ref="Q7:Q116" ca="1" si="8">IF(I7&gt;0,O7*100/I7,0)</f>
        <v>0</v>
      </c>
      <c r="R7" s="144">
        <f t="shared" ref="R7:S7" ca="1" si="9">R8+R9</f>
        <v>2700</v>
      </c>
      <c r="S7" s="145">
        <f t="shared" ca="1" si="9"/>
        <v>2700</v>
      </c>
      <c r="T7" s="145">
        <f t="shared" ref="T7:T88" ca="1" si="10">IF(R7&gt;0,S7*100/R7,0)</f>
        <v>100</v>
      </c>
      <c r="U7" s="144">
        <f t="shared" ref="U7:W7" ca="1" si="11">U8+U9</f>
        <v>900</v>
      </c>
      <c r="V7" s="144">
        <f t="shared" ca="1" si="11"/>
        <v>120</v>
      </c>
      <c r="W7" s="145">
        <f t="shared" ca="1" si="11"/>
        <v>901</v>
      </c>
      <c r="X7" s="146">
        <f t="shared" ref="X7:X88" ca="1" si="12">IF(U7&gt;0,W7*100/U7,0)</f>
        <v>100.11111111111111</v>
      </c>
      <c r="Y7" s="147">
        <f ca="1">Y8+Y9</f>
        <v>119</v>
      </c>
      <c r="Z7" s="146">
        <f t="shared" ref="Z7:Z88" ca="1" si="13">IF(V7&gt;0,Y7*100/V7,0)</f>
        <v>99.166666666666671</v>
      </c>
      <c r="AA7" s="144">
        <f t="shared" ref="AA7:AN7" ca="1" si="14">AA8+AA9</f>
        <v>2700</v>
      </c>
      <c r="AB7" s="144">
        <f t="shared" ca="1" si="14"/>
        <v>900</v>
      </c>
      <c r="AC7" s="145">
        <f t="shared" ca="1" si="14"/>
        <v>2700</v>
      </c>
      <c r="AD7" s="145">
        <f t="shared" ca="1" si="14"/>
        <v>901</v>
      </c>
      <c r="AE7" s="145">
        <f t="shared" ca="1" si="14"/>
        <v>901</v>
      </c>
      <c r="AF7" s="144">
        <f t="shared" ca="1" si="14"/>
        <v>60</v>
      </c>
      <c r="AG7" s="145">
        <f t="shared" ca="1" si="14"/>
        <v>60</v>
      </c>
      <c r="AH7" s="145">
        <f t="shared" ca="1" si="14"/>
        <v>60</v>
      </c>
      <c r="AI7" s="144">
        <f t="shared" ca="1" si="14"/>
        <v>60</v>
      </c>
      <c r="AJ7" s="145">
        <f t="shared" ca="1" si="14"/>
        <v>67</v>
      </c>
      <c r="AK7" s="145">
        <f t="shared" ca="1" si="14"/>
        <v>59</v>
      </c>
      <c r="AL7" s="144">
        <f t="shared" ca="1" si="14"/>
        <v>900</v>
      </c>
      <c r="AM7" s="144">
        <f t="shared" ca="1" si="14"/>
        <v>120</v>
      </c>
      <c r="AN7" s="145">
        <f t="shared" ca="1" si="14"/>
        <v>741</v>
      </c>
      <c r="AO7" s="145">
        <f t="shared" ref="AO7:AO88" ca="1" si="15">IF(AL7&gt;0,AN7*100/AL7,0)</f>
        <v>82.333333333333329</v>
      </c>
      <c r="AP7" s="145">
        <f ca="1">AP8+AP9</f>
        <v>89</v>
      </c>
      <c r="AQ7" s="146">
        <f t="shared" ref="AQ7:AQ88" ca="1" si="16">IF(AM7&gt;0,AP7*100/AM7,0)</f>
        <v>74.166666666666671</v>
      </c>
      <c r="AR7" s="144">
        <f t="shared" ref="AR7:AV7" ca="1" si="17">AR8+AR9</f>
        <v>900</v>
      </c>
      <c r="AS7" s="145">
        <f t="shared" ca="1" si="17"/>
        <v>731</v>
      </c>
      <c r="AT7" s="145">
        <f t="shared" ca="1" si="17"/>
        <v>741</v>
      </c>
      <c r="AU7" s="144">
        <f t="shared" ca="1" si="17"/>
        <v>60</v>
      </c>
      <c r="AV7" s="145">
        <f t="shared" ca="1" si="17"/>
        <v>45</v>
      </c>
      <c r="AW7" s="146">
        <f t="shared" ref="AW7:AW88" ca="1" si="18">IF(AU7&gt;0,AV7*100/AU7,0)</f>
        <v>75</v>
      </c>
      <c r="AX7" s="144">
        <f t="shared" ref="AX7:AY7" ca="1" si="19">AX8+AX9</f>
        <v>60</v>
      </c>
      <c r="AY7" s="145">
        <f t="shared" ca="1" si="19"/>
        <v>44</v>
      </c>
      <c r="AZ7" s="146">
        <f t="shared" ref="AZ7:AZ88" ca="1" si="20">IF(AX7&gt;0,AY7*100/AX7,0)</f>
        <v>73.333333333333329</v>
      </c>
    </row>
    <row r="8" spans="1:52" ht="28.5" customHeight="1" x14ac:dyDescent="0.3">
      <c r="A8" s="148" t="s">
        <v>31</v>
      </c>
      <c r="B8" s="149"/>
      <c r="C8" s="150">
        <f t="shared" ca="1" si="0"/>
        <v>11063800</v>
      </c>
      <c r="D8" s="150">
        <f t="shared" ref="D8:I8" ca="1" si="21">+D13+D31+D52+D74</f>
        <v>11063800</v>
      </c>
      <c r="E8" s="150">
        <f t="shared" ca="1" si="21"/>
        <v>5132700</v>
      </c>
      <c r="F8" s="150">
        <f t="shared" ca="1" si="21"/>
        <v>5931100</v>
      </c>
      <c r="G8" s="150">
        <f t="shared" ca="1" si="21"/>
        <v>0</v>
      </c>
      <c r="H8" s="150">
        <f t="shared" ca="1" si="21"/>
        <v>11300105</v>
      </c>
      <c r="I8" s="150">
        <f t="shared" ca="1" si="21"/>
        <v>0</v>
      </c>
      <c r="J8" s="150">
        <f t="shared" ca="1" si="3"/>
        <v>10312474.880000001</v>
      </c>
      <c r="K8" s="151">
        <f t="shared" ca="1" si="4"/>
        <v>93.209158516965246</v>
      </c>
      <c r="L8" s="150">
        <f ca="1">+L13+L31+L52+L74</f>
        <v>10312474.880000001</v>
      </c>
      <c r="M8" s="152">
        <f t="shared" ca="1" si="5"/>
        <v>93.209158516965246</v>
      </c>
      <c r="N8" s="152">
        <f t="shared" ca="1" si="6"/>
        <v>91.259991654944812</v>
      </c>
      <c r="O8" s="153">
        <f ca="1">+O13+O31+O52+O74</f>
        <v>0</v>
      </c>
      <c r="P8" s="153">
        <f t="shared" ca="1" si="7"/>
        <v>0</v>
      </c>
      <c r="Q8" s="152">
        <f t="shared" ca="1" si="8"/>
        <v>0</v>
      </c>
      <c r="R8" s="150">
        <f t="shared" ref="R8:S8" ca="1" si="22">+R13+R31+R52+R74</f>
        <v>2700</v>
      </c>
      <c r="S8" s="150">
        <f t="shared" ca="1" si="22"/>
        <v>2700</v>
      </c>
      <c r="T8" s="150">
        <f t="shared" ca="1" si="10"/>
        <v>100</v>
      </c>
      <c r="U8" s="150">
        <f t="shared" ref="U8:W8" ca="1" si="23">+U13+U31+U52+U74</f>
        <v>900</v>
      </c>
      <c r="V8" s="150">
        <f t="shared" ca="1" si="23"/>
        <v>120</v>
      </c>
      <c r="W8" s="150">
        <f t="shared" ca="1" si="23"/>
        <v>901</v>
      </c>
      <c r="X8" s="152">
        <f t="shared" ca="1" si="12"/>
        <v>100.11111111111111</v>
      </c>
      <c r="Y8" s="153">
        <f ca="1">+Y13+Y31+Y52+Y74</f>
        <v>119</v>
      </c>
      <c r="Z8" s="152">
        <f t="shared" ca="1" si="13"/>
        <v>99.166666666666671</v>
      </c>
      <c r="AA8" s="150">
        <f t="shared" ref="AA8:AN8" ca="1" si="24">+AA13+AA31+AA52+AA74</f>
        <v>2700</v>
      </c>
      <c r="AB8" s="150">
        <f t="shared" ca="1" si="24"/>
        <v>900</v>
      </c>
      <c r="AC8" s="150">
        <f t="shared" ca="1" si="24"/>
        <v>2700</v>
      </c>
      <c r="AD8" s="150">
        <f t="shared" ca="1" si="24"/>
        <v>901</v>
      </c>
      <c r="AE8" s="150">
        <f t="shared" ca="1" si="24"/>
        <v>901</v>
      </c>
      <c r="AF8" s="150">
        <f t="shared" ca="1" si="24"/>
        <v>60</v>
      </c>
      <c r="AG8" s="150">
        <f t="shared" ca="1" si="24"/>
        <v>60</v>
      </c>
      <c r="AH8" s="150">
        <f t="shared" ca="1" si="24"/>
        <v>60</v>
      </c>
      <c r="AI8" s="150">
        <f t="shared" ca="1" si="24"/>
        <v>60</v>
      </c>
      <c r="AJ8" s="150">
        <f t="shared" ca="1" si="24"/>
        <v>67</v>
      </c>
      <c r="AK8" s="150">
        <f t="shared" ca="1" si="24"/>
        <v>59</v>
      </c>
      <c r="AL8" s="150">
        <f t="shared" ca="1" si="24"/>
        <v>900</v>
      </c>
      <c r="AM8" s="150">
        <f t="shared" ca="1" si="24"/>
        <v>120</v>
      </c>
      <c r="AN8" s="150">
        <f t="shared" ca="1" si="24"/>
        <v>741</v>
      </c>
      <c r="AO8" s="150">
        <f t="shared" ca="1" si="15"/>
        <v>82.333333333333329</v>
      </c>
      <c r="AP8" s="150">
        <f ca="1">+AP13+AP31+AP52+AP74</f>
        <v>89</v>
      </c>
      <c r="AQ8" s="152">
        <f t="shared" ca="1" si="16"/>
        <v>74.166666666666671</v>
      </c>
      <c r="AR8" s="150">
        <f t="shared" ref="AR8:AV8" ca="1" si="25">+AR13+AR31+AR52+AR74</f>
        <v>900</v>
      </c>
      <c r="AS8" s="150">
        <f t="shared" ca="1" si="25"/>
        <v>731</v>
      </c>
      <c r="AT8" s="150">
        <f t="shared" ca="1" si="25"/>
        <v>741</v>
      </c>
      <c r="AU8" s="150">
        <f t="shared" ca="1" si="25"/>
        <v>60</v>
      </c>
      <c r="AV8" s="150">
        <f t="shared" ca="1" si="25"/>
        <v>45</v>
      </c>
      <c r="AW8" s="152">
        <f t="shared" ca="1" si="18"/>
        <v>75</v>
      </c>
      <c r="AX8" s="150">
        <f t="shared" ref="AX8:AY8" ca="1" si="26">+AX13+AX31+AX52+AX74</f>
        <v>60</v>
      </c>
      <c r="AY8" s="150">
        <f t="shared" ca="1" si="26"/>
        <v>44</v>
      </c>
      <c r="AZ8" s="152">
        <f t="shared" ca="1" si="20"/>
        <v>73.333333333333329</v>
      </c>
    </row>
    <row r="9" spans="1:52" ht="28.5" customHeight="1" x14ac:dyDescent="0.3">
      <c r="A9" s="154" t="s">
        <v>240</v>
      </c>
      <c r="B9" s="155"/>
      <c r="C9" s="156">
        <f t="shared" ca="1" si="0"/>
        <v>1697900</v>
      </c>
      <c r="D9" s="156">
        <f t="shared" ref="D9:I9" ca="1" si="27">+D10+D11</f>
        <v>1697900</v>
      </c>
      <c r="E9" s="156">
        <f t="shared" ca="1" si="27"/>
        <v>610100</v>
      </c>
      <c r="F9" s="156">
        <f t="shared" ca="1" si="27"/>
        <v>1087800</v>
      </c>
      <c r="G9" s="156">
        <f t="shared" ca="1" si="27"/>
        <v>0</v>
      </c>
      <c r="H9" s="156">
        <f t="shared" ca="1" si="27"/>
        <v>1461595</v>
      </c>
      <c r="I9" s="156">
        <f t="shared" ca="1" si="27"/>
        <v>0</v>
      </c>
      <c r="J9" s="156">
        <f t="shared" ca="1" si="3"/>
        <v>1265887.33</v>
      </c>
      <c r="K9" s="157">
        <f t="shared" ca="1" si="4"/>
        <v>74.556059249661345</v>
      </c>
      <c r="L9" s="156">
        <f ca="1">+L10+L11</f>
        <v>1265887.33</v>
      </c>
      <c r="M9" s="158">
        <f t="shared" ca="1" si="5"/>
        <v>74.556059249661345</v>
      </c>
      <c r="N9" s="158">
        <f t="shared" ca="1" si="6"/>
        <v>86.609993192368606</v>
      </c>
      <c r="O9" s="159">
        <f ca="1">+O10+O11</f>
        <v>0</v>
      </c>
      <c r="P9" s="159">
        <f t="shared" ca="1" si="7"/>
        <v>0</v>
      </c>
      <c r="Q9" s="158">
        <f t="shared" ca="1" si="8"/>
        <v>0</v>
      </c>
      <c r="R9" s="156">
        <f t="shared" ref="R9:S9" si="28">+R10+R11</f>
        <v>0</v>
      </c>
      <c r="S9" s="156">
        <f t="shared" si="28"/>
        <v>0</v>
      </c>
      <c r="T9" s="156">
        <f t="shared" si="10"/>
        <v>0</v>
      </c>
      <c r="U9" s="156">
        <f t="shared" ref="U9:W9" si="29">+U10+U11</f>
        <v>0</v>
      </c>
      <c r="V9" s="156">
        <f t="shared" si="29"/>
        <v>0</v>
      </c>
      <c r="W9" s="156">
        <f t="shared" si="29"/>
        <v>0</v>
      </c>
      <c r="X9" s="158">
        <f t="shared" si="12"/>
        <v>0</v>
      </c>
      <c r="Y9" s="159">
        <f>+Y10+Y11</f>
        <v>0</v>
      </c>
      <c r="Z9" s="158">
        <f t="shared" si="13"/>
        <v>0</v>
      </c>
      <c r="AA9" s="156">
        <f t="shared" ref="AA9:AN9" si="30">+AA10+AA11</f>
        <v>0</v>
      </c>
      <c r="AB9" s="156">
        <f t="shared" si="30"/>
        <v>0</v>
      </c>
      <c r="AC9" s="156">
        <f t="shared" si="30"/>
        <v>0</v>
      </c>
      <c r="AD9" s="156">
        <f t="shared" si="30"/>
        <v>0</v>
      </c>
      <c r="AE9" s="156">
        <f t="shared" si="30"/>
        <v>0</v>
      </c>
      <c r="AF9" s="156">
        <f t="shared" si="30"/>
        <v>0</v>
      </c>
      <c r="AG9" s="156">
        <f t="shared" si="30"/>
        <v>0</v>
      </c>
      <c r="AH9" s="156">
        <f t="shared" si="30"/>
        <v>0</v>
      </c>
      <c r="AI9" s="156">
        <f t="shared" si="30"/>
        <v>0</v>
      </c>
      <c r="AJ9" s="156">
        <f t="shared" si="30"/>
        <v>0</v>
      </c>
      <c r="AK9" s="156">
        <f t="shared" si="30"/>
        <v>0</v>
      </c>
      <c r="AL9" s="156">
        <f t="shared" si="30"/>
        <v>0</v>
      </c>
      <c r="AM9" s="156">
        <f t="shared" si="30"/>
        <v>0</v>
      </c>
      <c r="AN9" s="156">
        <f t="shared" si="30"/>
        <v>0</v>
      </c>
      <c r="AO9" s="156">
        <f t="shared" si="15"/>
        <v>0</v>
      </c>
      <c r="AP9" s="156">
        <f>+AP10+AP11</f>
        <v>0</v>
      </c>
      <c r="AQ9" s="158">
        <f t="shared" si="16"/>
        <v>0</v>
      </c>
      <c r="AR9" s="156">
        <f t="shared" ref="AR9:AV9" si="31">+AR10+AR11</f>
        <v>0</v>
      </c>
      <c r="AS9" s="156">
        <f t="shared" si="31"/>
        <v>0</v>
      </c>
      <c r="AT9" s="156">
        <f t="shared" si="31"/>
        <v>0</v>
      </c>
      <c r="AU9" s="156">
        <f t="shared" si="31"/>
        <v>0</v>
      </c>
      <c r="AV9" s="156">
        <f t="shared" si="31"/>
        <v>0</v>
      </c>
      <c r="AW9" s="158">
        <f t="shared" si="18"/>
        <v>0</v>
      </c>
      <c r="AX9" s="156">
        <f t="shared" ref="AX9:AY9" si="32">+AX10+AX11</f>
        <v>0</v>
      </c>
      <c r="AY9" s="156">
        <f t="shared" si="32"/>
        <v>0</v>
      </c>
      <c r="AZ9" s="158">
        <f t="shared" si="20"/>
        <v>0</v>
      </c>
    </row>
    <row r="10" spans="1:52" ht="28.5" hidden="1" customHeight="1" x14ac:dyDescent="0.3">
      <c r="A10" s="154" t="s">
        <v>32</v>
      </c>
      <c r="B10" s="155"/>
      <c r="C10" s="156">
        <f t="shared" ca="1" si="0"/>
        <v>1648800</v>
      </c>
      <c r="D10" s="156">
        <f t="shared" ref="D10:I10" ca="1" si="33">+D89</f>
        <v>1648800</v>
      </c>
      <c r="E10" s="156">
        <f t="shared" ca="1" si="33"/>
        <v>561000</v>
      </c>
      <c r="F10" s="156">
        <f t="shared" ca="1" si="33"/>
        <v>1087800</v>
      </c>
      <c r="G10" s="156">
        <f t="shared" ca="1" si="33"/>
        <v>0</v>
      </c>
      <c r="H10" s="156">
        <f t="shared" ca="1" si="33"/>
        <v>1412495</v>
      </c>
      <c r="I10" s="156">
        <f t="shared" ca="1" si="33"/>
        <v>0</v>
      </c>
      <c r="J10" s="156">
        <f t="shared" ca="1" si="3"/>
        <v>1265887.33</v>
      </c>
      <c r="K10" s="157">
        <f t="shared" ca="1" si="4"/>
        <v>76.776281538088313</v>
      </c>
      <c r="L10" s="156">
        <f ca="1">+L89</f>
        <v>1265887.33</v>
      </c>
      <c r="M10" s="158">
        <f t="shared" ca="1" si="5"/>
        <v>76.776281538088313</v>
      </c>
      <c r="N10" s="158">
        <f t="shared" ca="1" si="6"/>
        <v>89.620659188174116</v>
      </c>
      <c r="O10" s="159">
        <f ca="1">+O89</f>
        <v>0</v>
      </c>
      <c r="P10" s="159">
        <f t="shared" ca="1" si="7"/>
        <v>0</v>
      </c>
      <c r="Q10" s="158">
        <f t="shared" ca="1" si="8"/>
        <v>0</v>
      </c>
      <c r="R10" s="156">
        <v>0</v>
      </c>
      <c r="S10" s="156">
        <v>0</v>
      </c>
      <c r="T10" s="156">
        <f t="shared" si="10"/>
        <v>0</v>
      </c>
      <c r="U10" s="156">
        <v>0</v>
      </c>
      <c r="V10" s="156">
        <v>0</v>
      </c>
      <c r="W10" s="156">
        <v>0</v>
      </c>
      <c r="X10" s="158">
        <f t="shared" si="12"/>
        <v>0</v>
      </c>
      <c r="Y10" s="159">
        <v>0</v>
      </c>
      <c r="Z10" s="158">
        <f t="shared" si="13"/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0</v>
      </c>
      <c r="AG10" s="156">
        <v>0</v>
      </c>
      <c r="AH10" s="156">
        <v>0</v>
      </c>
      <c r="AI10" s="156">
        <v>0</v>
      </c>
      <c r="AJ10" s="156">
        <v>0</v>
      </c>
      <c r="AK10" s="156">
        <v>0</v>
      </c>
      <c r="AL10" s="156">
        <v>0</v>
      </c>
      <c r="AM10" s="156">
        <v>0</v>
      </c>
      <c r="AN10" s="156">
        <v>0</v>
      </c>
      <c r="AO10" s="156">
        <f t="shared" si="15"/>
        <v>0</v>
      </c>
      <c r="AP10" s="156">
        <v>0</v>
      </c>
      <c r="AQ10" s="158">
        <f t="shared" si="16"/>
        <v>0</v>
      </c>
      <c r="AR10" s="156">
        <v>0</v>
      </c>
      <c r="AS10" s="156">
        <v>0</v>
      </c>
      <c r="AT10" s="156">
        <v>0</v>
      </c>
      <c r="AU10" s="156">
        <v>0</v>
      </c>
      <c r="AV10" s="156">
        <v>0</v>
      </c>
      <c r="AW10" s="158">
        <f t="shared" si="18"/>
        <v>0</v>
      </c>
      <c r="AX10" s="156">
        <v>0</v>
      </c>
      <c r="AY10" s="156">
        <v>0</v>
      </c>
      <c r="AZ10" s="158">
        <f t="shared" si="20"/>
        <v>0</v>
      </c>
    </row>
    <row r="11" spans="1:52" ht="28.5" hidden="1" customHeight="1" x14ac:dyDescent="0.3">
      <c r="A11" s="160" t="s">
        <v>33</v>
      </c>
      <c r="B11" s="155"/>
      <c r="C11" s="156">
        <f t="shared" ca="1" si="0"/>
        <v>49100</v>
      </c>
      <c r="D11" s="156">
        <f t="shared" ref="D11:I11" ca="1" si="34">+D104</f>
        <v>49100</v>
      </c>
      <c r="E11" s="156">
        <f t="shared" ca="1" si="34"/>
        <v>49100</v>
      </c>
      <c r="F11" s="156">
        <f t="shared" ca="1" si="34"/>
        <v>0</v>
      </c>
      <c r="G11" s="156">
        <f t="shared" ca="1" si="34"/>
        <v>0</v>
      </c>
      <c r="H11" s="156">
        <f t="shared" ca="1" si="34"/>
        <v>49100</v>
      </c>
      <c r="I11" s="156">
        <f t="shared" ca="1" si="34"/>
        <v>0</v>
      </c>
      <c r="J11" s="156">
        <f t="shared" ca="1" si="3"/>
        <v>0</v>
      </c>
      <c r="K11" s="157">
        <f t="shared" ca="1" si="4"/>
        <v>0</v>
      </c>
      <c r="L11" s="156">
        <f ca="1">+L104</f>
        <v>0</v>
      </c>
      <c r="M11" s="158">
        <f t="shared" ca="1" si="5"/>
        <v>0</v>
      </c>
      <c r="N11" s="158">
        <f t="shared" ca="1" si="6"/>
        <v>0</v>
      </c>
      <c r="O11" s="159">
        <f ca="1">+O104</f>
        <v>0</v>
      </c>
      <c r="P11" s="159">
        <f t="shared" ca="1" si="7"/>
        <v>0</v>
      </c>
      <c r="Q11" s="158">
        <f t="shared" ca="1" si="8"/>
        <v>0</v>
      </c>
      <c r="R11" s="156">
        <v>0</v>
      </c>
      <c r="S11" s="156">
        <v>0</v>
      </c>
      <c r="T11" s="156">
        <f t="shared" si="10"/>
        <v>0</v>
      </c>
      <c r="U11" s="156">
        <v>0</v>
      </c>
      <c r="V11" s="156">
        <v>0</v>
      </c>
      <c r="W11" s="156">
        <v>0</v>
      </c>
      <c r="X11" s="158">
        <f t="shared" si="12"/>
        <v>0</v>
      </c>
      <c r="Y11" s="159">
        <v>0</v>
      </c>
      <c r="Z11" s="158">
        <f t="shared" si="13"/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0</v>
      </c>
      <c r="AG11" s="156">
        <v>0</v>
      </c>
      <c r="AH11" s="156">
        <v>0</v>
      </c>
      <c r="AI11" s="156">
        <v>0</v>
      </c>
      <c r="AJ11" s="156">
        <v>0</v>
      </c>
      <c r="AK11" s="156">
        <v>0</v>
      </c>
      <c r="AL11" s="156">
        <v>0</v>
      </c>
      <c r="AM11" s="156">
        <v>0</v>
      </c>
      <c r="AN11" s="156">
        <v>0</v>
      </c>
      <c r="AO11" s="156">
        <f t="shared" si="15"/>
        <v>0</v>
      </c>
      <c r="AP11" s="156">
        <v>0</v>
      </c>
      <c r="AQ11" s="158">
        <f t="shared" si="16"/>
        <v>0</v>
      </c>
      <c r="AR11" s="156">
        <v>0</v>
      </c>
      <c r="AS11" s="156">
        <v>0</v>
      </c>
      <c r="AT11" s="156">
        <v>0</v>
      </c>
      <c r="AU11" s="156">
        <v>0</v>
      </c>
      <c r="AV11" s="156">
        <v>0</v>
      </c>
      <c r="AW11" s="158">
        <f t="shared" si="18"/>
        <v>0</v>
      </c>
      <c r="AX11" s="156">
        <v>0</v>
      </c>
      <c r="AY11" s="156">
        <v>0</v>
      </c>
      <c r="AZ11" s="158">
        <f t="shared" si="20"/>
        <v>0</v>
      </c>
    </row>
    <row r="12" spans="1:52" ht="28.5" hidden="1" customHeight="1" x14ac:dyDescent="0.3">
      <c r="A12" s="161" t="s">
        <v>34</v>
      </c>
      <c r="B12" s="162"/>
      <c r="C12" s="163">
        <f t="shared" si="0"/>
        <v>0</v>
      </c>
      <c r="D12" s="163">
        <v>0</v>
      </c>
      <c r="E12" s="163">
        <v>0</v>
      </c>
      <c r="F12" s="163">
        <v>0</v>
      </c>
      <c r="G12" s="163">
        <v>0</v>
      </c>
      <c r="H12" s="163">
        <v>0</v>
      </c>
      <c r="I12" s="163">
        <v>0</v>
      </c>
      <c r="J12" s="163">
        <f t="shared" si="3"/>
        <v>0</v>
      </c>
      <c r="K12" s="164">
        <f t="shared" si="4"/>
        <v>0</v>
      </c>
      <c r="L12" s="163">
        <v>0</v>
      </c>
      <c r="M12" s="165">
        <f t="shared" si="5"/>
        <v>0</v>
      </c>
      <c r="N12" s="165">
        <f t="shared" si="6"/>
        <v>0</v>
      </c>
      <c r="O12" s="166">
        <v>0</v>
      </c>
      <c r="P12" s="166"/>
      <c r="Q12" s="165">
        <f t="shared" si="8"/>
        <v>0</v>
      </c>
      <c r="R12" s="163">
        <v>0</v>
      </c>
      <c r="S12" s="163">
        <v>0</v>
      </c>
      <c r="T12" s="163">
        <f t="shared" si="10"/>
        <v>0</v>
      </c>
      <c r="U12" s="163">
        <v>0</v>
      </c>
      <c r="V12" s="163">
        <v>0</v>
      </c>
      <c r="W12" s="163">
        <v>0</v>
      </c>
      <c r="X12" s="165">
        <f t="shared" si="12"/>
        <v>0</v>
      </c>
      <c r="Y12" s="166">
        <v>0</v>
      </c>
      <c r="Z12" s="165">
        <f t="shared" si="13"/>
        <v>0</v>
      </c>
      <c r="AA12" s="163">
        <v>0</v>
      </c>
      <c r="AB12" s="163">
        <v>0</v>
      </c>
      <c r="AC12" s="163">
        <v>0</v>
      </c>
      <c r="AD12" s="163">
        <v>0</v>
      </c>
      <c r="AE12" s="163">
        <v>0</v>
      </c>
      <c r="AF12" s="163">
        <v>0</v>
      </c>
      <c r="AG12" s="163">
        <v>0</v>
      </c>
      <c r="AH12" s="163">
        <v>0</v>
      </c>
      <c r="AI12" s="163">
        <v>0</v>
      </c>
      <c r="AJ12" s="163">
        <v>0</v>
      </c>
      <c r="AK12" s="167"/>
      <c r="AL12" s="163">
        <v>0</v>
      </c>
      <c r="AM12" s="167"/>
      <c r="AN12" s="163">
        <v>0</v>
      </c>
      <c r="AO12" s="163">
        <f t="shared" si="15"/>
        <v>0</v>
      </c>
      <c r="AP12" s="167"/>
      <c r="AQ12" s="165">
        <f t="shared" si="16"/>
        <v>0</v>
      </c>
      <c r="AR12" s="163">
        <v>0</v>
      </c>
      <c r="AS12" s="163">
        <v>0</v>
      </c>
      <c r="AT12" s="163">
        <v>0</v>
      </c>
      <c r="AU12" s="163">
        <v>0</v>
      </c>
      <c r="AV12" s="163">
        <v>0</v>
      </c>
      <c r="AW12" s="165">
        <f t="shared" si="18"/>
        <v>0</v>
      </c>
      <c r="AX12" s="163">
        <v>0</v>
      </c>
      <c r="AY12" s="163">
        <v>0</v>
      </c>
      <c r="AZ12" s="165">
        <f t="shared" si="20"/>
        <v>0</v>
      </c>
    </row>
    <row r="13" spans="1:52" ht="28.5" customHeight="1" x14ac:dyDescent="0.3">
      <c r="A13" s="431" t="s">
        <v>35</v>
      </c>
      <c r="B13" s="414"/>
      <c r="C13" s="150">
        <f t="shared" ca="1" si="0"/>
        <v>2616900</v>
      </c>
      <c r="D13" s="150">
        <f t="shared" ref="D13:I13" ca="1" si="35">SUM(D14:D30)</f>
        <v>2616900</v>
      </c>
      <c r="E13" s="150">
        <f t="shared" ca="1" si="35"/>
        <v>885000</v>
      </c>
      <c r="F13" s="150">
        <f t="shared" ca="1" si="35"/>
        <v>1731900</v>
      </c>
      <c r="G13" s="150">
        <f t="shared" ca="1" si="35"/>
        <v>0</v>
      </c>
      <c r="H13" s="150">
        <f t="shared" ca="1" si="35"/>
        <v>2633900</v>
      </c>
      <c r="I13" s="150">
        <f t="shared" ca="1" si="35"/>
        <v>0</v>
      </c>
      <c r="J13" s="150">
        <f t="shared" ca="1" si="3"/>
        <v>2424783.7400000002</v>
      </c>
      <c r="K13" s="151">
        <f t="shared" ca="1" si="4"/>
        <v>92.658631969123789</v>
      </c>
      <c r="L13" s="150">
        <f ca="1">SUM(L14:L30)</f>
        <v>2424783.7400000002</v>
      </c>
      <c r="M13" s="152">
        <f t="shared" ca="1" si="5"/>
        <v>92.658631969123789</v>
      </c>
      <c r="N13" s="152">
        <f t="shared" ca="1" si="6"/>
        <v>92.060584684308452</v>
      </c>
      <c r="O13" s="153">
        <f ca="1">SUM(O14:O30)</f>
        <v>0</v>
      </c>
      <c r="P13" s="153">
        <f t="shared" ref="P13:P116" ca="1" si="36">IF(G13&gt;0,O13*100/G13,0)</f>
        <v>0</v>
      </c>
      <c r="Q13" s="152">
        <f t="shared" ca="1" si="8"/>
        <v>0</v>
      </c>
      <c r="R13" s="150">
        <f t="shared" ref="R13:S13" ca="1" si="37">SUM(R14:R30)</f>
        <v>975</v>
      </c>
      <c r="S13" s="150">
        <f t="shared" ca="1" si="37"/>
        <v>975</v>
      </c>
      <c r="T13" s="150">
        <f t="shared" ca="1" si="10"/>
        <v>100</v>
      </c>
      <c r="U13" s="150">
        <f t="shared" ref="U13:W13" ca="1" si="38">SUM(U14:U30)</f>
        <v>325</v>
      </c>
      <c r="V13" s="150">
        <f t="shared" ca="1" si="38"/>
        <v>30</v>
      </c>
      <c r="W13" s="150">
        <f t="shared" ca="1" si="38"/>
        <v>325</v>
      </c>
      <c r="X13" s="152">
        <f t="shared" ca="1" si="12"/>
        <v>100</v>
      </c>
      <c r="Y13" s="153">
        <f ca="1">SUM(Y14:Y30)</f>
        <v>29</v>
      </c>
      <c r="Z13" s="152">
        <f t="shared" ca="1" si="13"/>
        <v>96.666666666666671</v>
      </c>
      <c r="AA13" s="150">
        <f t="shared" ref="AA13:AN13" ca="1" si="39">SUM(AA14:AA30)</f>
        <v>975</v>
      </c>
      <c r="AB13" s="150">
        <f t="shared" ca="1" si="39"/>
        <v>325</v>
      </c>
      <c r="AC13" s="150">
        <f t="shared" ca="1" si="39"/>
        <v>975</v>
      </c>
      <c r="AD13" s="150">
        <f t="shared" ca="1" si="39"/>
        <v>325</v>
      </c>
      <c r="AE13" s="150">
        <f t="shared" ca="1" si="39"/>
        <v>325</v>
      </c>
      <c r="AF13" s="150">
        <f t="shared" ca="1" si="39"/>
        <v>14</v>
      </c>
      <c r="AG13" s="150">
        <f t="shared" ca="1" si="39"/>
        <v>14</v>
      </c>
      <c r="AH13" s="150">
        <f t="shared" ca="1" si="39"/>
        <v>14</v>
      </c>
      <c r="AI13" s="150">
        <f t="shared" ca="1" si="39"/>
        <v>16</v>
      </c>
      <c r="AJ13" s="150">
        <f t="shared" ca="1" si="39"/>
        <v>15</v>
      </c>
      <c r="AK13" s="150">
        <f t="shared" ca="1" si="39"/>
        <v>15</v>
      </c>
      <c r="AL13" s="150">
        <f t="shared" ca="1" si="39"/>
        <v>325</v>
      </c>
      <c r="AM13" s="150">
        <f t="shared" ca="1" si="39"/>
        <v>30</v>
      </c>
      <c r="AN13" s="150">
        <f t="shared" ca="1" si="39"/>
        <v>300</v>
      </c>
      <c r="AO13" s="150">
        <f t="shared" ca="1" si="15"/>
        <v>92.307692307692307</v>
      </c>
      <c r="AP13" s="150">
        <f ca="1">SUM(AP14:AP30)</f>
        <v>21</v>
      </c>
      <c r="AQ13" s="152">
        <f t="shared" ca="1" si="16"/>
        <v>70</v>
      </c>
      <c r="AR13" s="150">
        <f t="shared" ref="AR13:AV13" ca="1" si="40">SUM(AR14:AR30)</f>
        <v>325</v>
      </c>
      <c r="AS13" s="150">
        <f t="shared" ca="1" si="40"/>
        <v>300</v>
      </c>
      <c r="AT13" s="150">
        <f t="shared" ca="1" si="40"/>
        <v>300</v>
      </c>
      <c r="AU13" s="150">
        <f t="shared" ca="1" si="40"/>
        <v>14</v>
      </c>
      <c r="AV13" s="150">
        <f t="shared" ca="1" si="40"/>
        <v>10</v>
      </c>
      <c r="AW13" s="152">
        <f t="shared" ca="1" si="18"/>
        <v>71.428571428571431</v>
      </c>
      <c r="AX13" s="150">
        <f t="shared" ref="AX13:AY13" ca="1" si="41">SUM(AX14:AX30)</f>
        <v>16</v>
      </c>
      <c r="AY13" s="150">
        <f t="shared" ca="1" si="41"/>
        <v>11</v>
      </c>
      <c r="AZ13" s="152">
        <f t="shared" ca="1" si="20"/>
        <v>68.75</v>
      </c>
    </row>
    <row r="14" spans="1:52" ht="24" customHeight="1" x14ac:dyDescent="0.3">
      <c r="A14" s="168">
        <v>1</v>
      </c>
      <c r="B14" s="169" t="s">
        <v>36</v>
      </c>
      <c r="C14" s="170">
        <f t="shared" ca="1" si="0"/>
        <v>98460</v>
      </c>
      <c r="D14" s="171">
        <f t="shared" ref="D14:D30" ca="1" si="42">+E14+F14</f>
        <v>98460</v>
      </c>
      <c r="E14" s="172">
        <f ca="1">IFERROR(__xludf.DUMMYFUNCTION("IMPORTRANGE(""https://docs.google.com/spreadsheets/d/1MeEWN-I1oV_STSDYn1IFDPWt_1FKiwhDph83XaGc0o0/edit?usp=sharing"",""งบพรบ!AR14"")"),0)</f>
        <v>0</v>
      </c>
      <c r="F14" s="172">
        <f ca="1">IFERROR(__xludf.DUMMYFUNCTION("IMPORTRANGE(""https://docs.google.com/spreadsheets/d/1MeEWN-I1oV_STSDYn1IFDPWt_1FKiwhDph83XaGc0o0/edit?usp=sharing"",""งบพรบ!AS14"")"),98460)</f>
        <v>98460</v>
      </c>
      <c r="G14" s="173">
        <f ca="1">IFERROR(__xludf.DUMMYFUNCTION("IMPORTRANGE(""https://docs.google.com/spreadsheets/d/1MeEWN-I1oV_STSDYn1IFDPWt_1FKiwhDph83XaGc0o0/edit?usp=sharing"",""งบพรบ!AT14"")"),0)</f>
        <v>0</v>
      </c>
      <c r="H14" s="173">
        <f ca="1">IFERROR(__xludf.DUMMYFUNCTION("IMPORTRANGE(""https://docs.google.com/spreadsheets/d/1MeEWN-I1oV_STSDYn1IFDPWt_1FKiwhDph83XaGc0o0/edit?usp=sharing"",""งบพรบ!AV14"")"),98460)</f>
        <v>98460</v>
      </c>
      <c r="I14" s="173">
        <f ca="1">IFERROR(__xludf.DUMMYFUNCTION("IMPORTRANGE(""https://docs.google.com/spreadsheets/d/1MeEWN-I1oV_STSDYn1IFDPWt_1FKiwhDph83XaGc0o0/edit?usp=sharing"",""งบพรบ!AW14"")"),0)</f>
        <v>0</v>
      </c>
      <c r="J14" s="173">
        <f t="shared" ca="1" si="3"/>
        <v>98460</v>
      </c>
      <c r="K14" s="174">
        <f t="shared" ca="1" si="4"/>
        <v>100</v>
      </c>
      <c r="L14" s="173">
        <f ca="1">IFERROR(__xludf.DUMMYFUNCTION("IMPORTRANGE(""https://docs.google.com/spreadsheets/d/1MeEWN-I1oV_STSDYn1IFDPWt_1FKiwhDph83XaGc0o0/edit?usp=sharing"",""งบพรบ!AX14"")"),98460)</f>
        <v>98460</v>
      </c>
      <c r="M14" s="175">
        <f t="shared" ca="1" si="5"/>
        <v>100</v>
      </c>
      <c r="N14" s="175">
        <f t="shared" ca="1" si="6"/>
        <v>100</v>
      </c>
      <c r="O14" s="176">
        <f ca="1">IFERROR(__xludf.DUMMYFUNCTION("IMPORTRANGE(""https://docs.google.com/spreadsheets/d/1MeEWN-I1oV_STSDYn1IFDPWt_1FKiwhDph83XaGc0o0/edit?usp=sharing"",""งบพรบ!AY14"")"),0)</f>
        <v>0</v>
      </c>
      <c r="P14" s="176">
        <f t="shared" ca="1" si="36"/>
        <v>0</v>
      </c>
      <c r="Q14" s="175">
        <f t="shared" ca="1" si="8"/>
        <v>0</v>
      </c>
      <c r="R14" s="173">
        <f ca="1">IFERROR(__xludf.DUMMYFUNCTION("IMPORTRANGE(""https://docs.google.com/spreadsheets/d/1KxicF4apzSqm0-jIpmueT4kyZtE-Cwn5zskl7GD4loQ/edit?usp=sharing"",""กำแพงเพชร!I98"")"),45)</f>
        <v>45</v>
      </c>
      <c r="S14" s="173">
        <f ca="1">IFERROR(__xludf.DUMMYFUNCTION("IMPORTRANGE(""https://docs.google.com/spreadsheets/d/1KxicF4apzSqm0-jIpmueT4kyZtE-Cwn5zskl7GD4loQ/edit?usp=sharing"",""กำแพงเพชร!J98"")"),45)</f>
        <v>45</v>
      </c>
      <c r="T14" s="173">
        <f t="shared" ca="1" si="10"/>
        <v>100</v>
      </c>
      <c r="U14" s="173">
        <f ca="1">IFERROR(__xludf.DUMMYFUNCTION("IMPORTRANGE(""https://docs.google.com/spreadsheets/d/1KxicF4apzSqm0-jIpmueT4kyZtE-Cwn5zskl7GD4loQ/edit?usp=sharing"",""กำแพงเพชร!I99"")"),15)</f>
        <v>15</v>
      </c>
      <c r="V14" s="173">
        <f ca="1">IFERROR(__xludf.DUMMYFUNCTION("IMPORTRANGE(""https://docs.google.com/spreadsheets/d/1KxicF4apzSqm0-jIpmueT4kyZtE-Cwn5zskl7GD4loQ/edit?usp=sharing"",""กำแพงเพชร!I100"")"),2)</f>
        <v>2</v>
      </c>
      <c r="W14" s="173">
        <f ca="1">IFERROR(__xludf.DUMMYFUNCTION("IMPORTRANGE(""https://docs.google.com/spreadsheets/d/1KxicF4apzSqm0-jIpmueT4kyZtE-Cwn5zskl7GD4loQ/edit?usp=sharing"",""กำแพงเพชร!J99"")"),15)</f>
        <v>15</v>
      </c>
      <c r="X14" s="177">
        <f t="shared" ca="1" si="12"/>
        <v>100</v>
      </c>
      <c r="Y14" s="178">
        <f ca="1">IFERROR(__xludf.DUMMYFUNCTION("IMPORTRANGE(""https://docs.google.com/spreadsheets/d/1KxicF4apzSqm0-jIpmueT4kyZtE-Cwn5zskl7GD4loQ/edit?usp=sharing"",""กำแพงเพชร!J100"")"),2)</f>
        <v>2</v>
      </c>
      <c r="Z14" s="177">
        <f t="shared" ca="1" si="13"/>
        <v>100</v>
      </c>
      <c r="AA14" s="172">
        <f ca="1">IFERROR(__xludf.DUMMYFUNCTION("IMPORTRANGE(""https://docs.google.com/spreadsheets/d/1KxicF4apzSqm0-jIpmueT4kyZtE-Cwn5zskl7GD4loQ/edit?usp=sharing"",""กำแพงเพชร!I102"")"),45)</f>
        <v>45</v>
      </c>
      <c r="AB14" s="172">
        <f ca="1">IFERROR(__xludf.DUMMYFUNCTION("IMPORTRANGE(""https://docs.google.com/spreadsheets/d/1KxicF4apzSqm0-jIpmueT4kyZtE-Cwn5zskl7GD4loQ/edit?usp=sharing"",""กำแพงเพชร!I103"")"),15)</f>
        <v>15</v>
      </c>
      <c r="AC14" s="173">
        <f ca="1">IFERROR(__xludf.DUMMYFUNCTION("IMPORTRANGE(""https://docs.google.com/spreadsheets/d/1KxicF4apzSqm0-jIpmueT4kyZtE-Cwn5zskl7GD4loQ/edit?usp=sharing"",""กำแพงเพชร!J102"")"),45)</f>
        <v>45</v>
      </c>
      <c r="AD14" s="173">
        <f ca="1">IFERROR(__xludf.DUMMYFUNCTION("IMPORTRANGE(""https://docs.google.com/spreadsheets/d/1KxicF4apzSqm0-jIpmueT4kyZtE-Cwn5zskl7GD4loQ/edit?usp=sharing"",""กำแพงเพชร!J103"")"),15)</f>
        <v>15</v>
      </c>
      <c r="AE14" s="173">
        <f ca="1">IFERROR(__xludf.DUMMYFUNCTION("IMPORTRANGE(""https://docs.google.com/spreadsheets/d/1KxicF4apzSqm0-jIpmueT4kyZtE-Cwn5zskl7GD4loQ/edit?usp=sharing"",""กำแพงเพชร!J104"")"),15)</f>
        <v>15</v>
      </c>
      <c r="AF14" s="172">
        <f ca="1">IFERROR(__xludf.DUMMYFUNCTION("IMPORTRANGE(""https://docs.google.com/spreadsheets/d/1KxicF4apzSqm0-jIpmueT4kyZtE-Cwn5zskl7GD4loQ/edit?usp=sharing"",""กำแพงเพชร!I106"")"),1)</f>
        <v>1</v>
      </c>
      <c r="AG14" s="173">
        <f ca="1">IFERROR(__xludf.DUMMYFUNCTION("IMPORTRANGE(""https://docs.google.com/spreadsheets/d/1KxicF4apzSqm0-jIpmueT4kyZtE-Cwn5zskl7GD4loQ/edit?usp=sharing"",""กำแพงเพชร!J106"")"),1)</f>
        <v>1</v>
      </c>
      <c r="AH14" s="173">
        <f ca="1">IFERROR(__xludf.DUMMYFUNCTION("IMPORTRANGE(""https://docs.google.com/spreadsheets/d/1KxicF4apzSqm0-jIpmueT4kyZtE-Cwn5zskl7GD4loQ/edit?usp=sharing"",""กำแพงเพชร!J107"")"),1)</f>
        <v>1</v>
      </c>
      <c r="AI14" s="172">
        <f ca="1">IFERROR(__xludf.DUMMYFUNCTION("IMPORTRANGE(""https://docs.google.com/spreadsheets/d/1KxicF4apzSqm0-jIpmueT4kyZtE-Cwn5zskl7GD4loQ/edit?usp=sharing"",""กำแพงเพชร!I109"")"),1)</f>
        <v>1</v>
      </c>
      <c r="AJ14" s="173">
        <f ca="1">IFERROR(__xludf.DUMMYFUNCTION("IMPORTRANGE(""https://docs.google.com/spreadsheets/d/1KxicF4apzSqm0-jIpmueT4kyZtE-Cwn5zskl7GD4loQ/edit?usp=sharing"",""กำแพงเพชร!J109"")"),1)</f>
        <v>1</v>
      </c>
      <c r="AK14" s="173">
        <f ca="1">IFERROR(__xludf.DUMMYFUNCTION("IMPORTRANGE(""https://docs.google.com/spreadsheets/d/1KxicF4apzSqm0-jIpmueT4kyZtE-Cwn5zskl7GD4loQ/edit?usp=sharing"",""กำแพงเพชร!J110"")"),1)</f>
        <v>1</v>
      </c>
      <c r="AL14" s="172">
        <f ca="1">IFERROR(__xludf.DUMMYFUNCTION("IMPORTRANGE(""https://docs.google.com/spreadsheets/d/1KxicF4apzSqm0-jIpmueT4kyZtE-Cwn5zskl7GD4loQ/edit?usp=sharing"",""กำแพงเพชร!I111"")"),15)</f>
        <v>15</v>
      </c>
      <c r="AM14" s="172">
        <f ca="1">IFERROR(__xludf.DUMMYFUNCTION("IMPORTRANGE(""https://docs.google.com/spreadsheets/d/1KxicF4apzSqm0-jIpmueT4kyZtE-Cwn5zskl7GD4loQ/edit?usp=sharing"",""กำแพงเพชร!I112"")"),2)</f>
        <v>2</v>
      </c>
      <c r="AN14" s="173">
        <f ca="1">IFERROR(__xludf.DUMMYFUNCTION("IMPORTRANGE(""https://docs.google.com/spreadsheets/d/1KxicF4apzSqm0-jIpmueT4kyZtE-Cwn5zskl7GD4loQ/edit?usp=sharing"",""กำแพงเพชร!J111"")"),15)</f>
        <v>15</v>
      </c>
      <c r="AO14" s="173">
        <f t="shared" ca="1" si="15"/>
        <v>100</v>
      </c>
      <c r="AP14" s="173">
        <f ca="1">IFERROR(__xludf.DUMMYFUNCTION("IMPORTRANGE(""https://docs.google.com/spreadsheets/d/1KxicF4apzSqm0-jIpmueT4kyZtE-Cwn5zskl7GD4loQ/edit?usp=sharing"",""กำแพงเพชร!J112"")"),2)</f>
        <v>2</v>
      </c>
      <c r="AQ14" s="175">
        <f t="shared" ca="1" si="16"/>
        <v>100</v>
      </c>
      <c r="AR14" s="172">
        <f ca="1">IFERROR(__xludf.DUMMYFUNCTION("IMPORTRANGE(""https://docs.google.com/spreadsheets/d/1KxicF4apzSqm0-jIpmueT4kyZtE-Cwn5zskl7GD4loQ/edit?usp=sharing"",""กำแพงเพชร!I113"")"),15)</f>
        <v>15</v>
      </c>
      <c r="AS14" s="172">
        <f ca="1">IFERROR(__xludf.DUMMYFUNCTION("IMPORTRANGE(""https://docs.google.com/spreadsheets/d/1KxicF4apzSqm0-jIpmueT4kyZtE-Cwn5zskl7GD4loQ/edit?usp=sharing"",""กำแพงเพชร!J113"")"),15)</f>
        <v>15</v>
      </c>
      <c r="AT14" s="172">
        <f ca="1">IFERROR(__xludf.DUMMYFUNCTION("IMPORTRANGE(""https://docs.google.com/spreadsheets/d/1KxicF4apzSqm0-jIpmueT4kyZtE-Cwn5zskl7GD4loQ/edit?usp=sharing"",""กำแพงเพชร!J114"")"),15)</f>
        <v>15</v>
      </c>
      <c r="AU14" s="172">
        <f ca="1">IFERROR(__xludf.DUMMYFUNCTION("IMPORTRANGE(""https://docs.google.com/spreadsheets/d/1KxicF4apzSqm0-jIpmueT4kyZtE-Cwn5zskl7GD4loQ/edit?usp=sharing"",""กำแพงเพชร!I115"")"),1)</f>
        <v>1</v>
      </c>
      <c r="AV14" s="173">
        <f ca="1">IFERROR(__xludf.DUMMYFUNCTION("IMPORTRANGE(""https://docs.google.com/spreadsheets/d/1KxicF4apzSqm0-jIpmueT4kyZtE-Cwn5zskl7GD4loQ/edit?usp=sharing"",""กำแพงเพชร!J115"")"),1)</f>
        <v>1</v>
      </c>
      <c r="AW14" s="175">
        <f t="shared" ca="1" si="18"/>
        <v>100</v>
      </c>
      <c r="AX14" s="172">
        <f ca="1">IFERROR(__xludf.DUMMYFUNCTION("IMPORTRANGE(""https://docs.google.com/spreadsheets/d/1KxicF4apzSqm0-jIpmueT4kyZtE-Cwn5zskl7GD4loQ/edit?usp=sharing"",""กำแพงเพชร!I116"")"),1)</f>
        <v>1</v>
      </c>
      <c r="AY14" s="173">
        <f ca="1">IFERROR(__xludf.DUMMYFUNCTION("IMPORTRANGE(""https://docs.google.com/spreadsheets/d/1KxicF4apzSqm0-jIpmueT4kyZtE-Cwn5zskl7GD4loQ/edit?usp=sharing"",""กำแพงเพชร!J116"")"),1)</f>
        <v>1</v>
      </c>
      <c r="AZ14" s="175">
        <f t="shared" ca="1" si="20"/>
        <v>100</v>
      </c>
    </row>
    <row r="15" spans="1:52" ht="24" customHeight="1" x14ac:dyDescent="0.3">
      <c r="A15" s="168">
        <v>2</v>
      </c>
      <c r="B15" s="169" t="s">
        <v>37</v>
      </c>
      <c r="C15" s="170">
        <f t="shared" ca="1" si="0"/>
        <v>98460</v>
      </c>
      <c r="D15" s="171">
        <f t="shared" ca="1" si="42"/>
        <v>98460</v>
      </c>
      <c r="E15" s="172">
        <f ca="1">IFERROR(__xludf.DUMMYFUNCTION("IMPORTRANGE(""https://docs.google.com/spreadsheets/d/1MeEWN-I1oV_STSDYn1IFDPWt_1FKiwhDph83XaGc0o0/edit?usp=sharing"",""งบพรบ!AR15"")"),0)</f>
        <v>0</v>
      </c>
      <c r="F15" s="172">
        <f ca="1">IFERROR(__xludf.DUMMYFUNCTION("IMPORTRANGE(""https://docs.google.com/spreadsheets/d/1MeEWN-I1oV_STSDYn1IFDPWt_1FKiwhDph83XaGc0o0/edit?usp=sharing"",""งบพรบ!AS15"")"),98460)</f>
        <v>98460</v>
      </c>
      <c r="G15" s="172">
        <f ca="1">IFERROR(__xludf.DUMMYFUNCTION("IMPORTRANGE(""https://docs.google.com/spreadsheets/d/1MeEWN-I1oV_STSDYn1IFDPWt_1FKiwhDph83XaGc0o0/edit?usp=sharing"",""งบพรบ!AT15"")"),0)</f>
        <v>0</v>
      </c>
      <c r="H15" s="172">
        <f ca="1">IFERROR(__xludf.DUMMYFUNCTION("IMPORTRANGE(""https://docs.google.com/spreadsheets/d/1MeEWN-I1oV_STSDYn1IFDPWt_1FKiwhDph83XaGc0o0/edit?usp=sharing"",""งบพรบ!AV15"")"),98460)</f>
        <v>98460</v>
      </c>
      <c r="I15" s="172">
        <f ca="1">IFERROR(__xludf.DUMMYFUNCTION("IMPORTRANGE(""https://docs.google.com/spreadsheets/d/1MeEWN-I1oV_STSDYn1IFDPWt_1FKiwhDph83XaGc0o0/edit?usp=sharing"",""งบพรบ!AW15"")"),0)</f>
        <v>0</v>
      </c>
      <c r="J15" s="172">
        <f t="shared" ca="1" si="3"/>
        <v>64977.5</v>
      </c>
      <c r="K15" s="179">
        <f t="shared" ca="1" si="4"/>
        <v>65.993804590696726</v>
      </c>
      <c r="L15" s="172">
        <f ca="1">IFERROR(__xludf.DUMMYFUNCTION("IMPORTRANGE(""https://docs.google.com/spreadsheets/d/1MeEWN-I1oV_STSDYn1IFDPWt_1FKiwhDph83XaGc0o0/edit?usp=sharing"",""งบพรบ!AX15"")"),64977.5)</f>
        <v>64977.5</v>
      </c>
      <c r="M15" s="175">
        <f t="shared" ca="1" si="5"/>
        <v>65.993804590696726</v>
      </c>
      <c r="N15" s="175">
        <f t="shared" ca="1" si="6"/>
        <v>65.993804590696726</v>
      </c>
      <c r="O15" s="176">
        <f ca="1">IFERROR(__xludf.DUMMYFUNCTION("IMPORTRANGE(""https://docs.google.com/spreadsheets/d/1MeEWN-I1oV_STSDYn1IFDPWt_1FKiwhDph83XaGc0o0/edit?usp=sharing"",""งบพรบ!AY15"")"),0)</f>
        <v>0</v>
      </c>
      <c r="P15" s="176">
        <f t="shared" ca="1" si="36"/>
        <v>0</v>
      </c>
      <c r="Q15" s="175">
        <f t="shared" ca="1" si="8"/>
        <v>0</v>
      </c>
      <c r="R15" s="173">
        <f ca="1">IFERROR(__xludf.DUMMYFUNCTION("IMPORTRANGE(""https://docs.google.com/spreadsheets/d/1ZNYWeiFoFA1K1U4xKWqRX29MBvEyRHXORjo734Gnq_c/edit?usp=sharing"",""เชียงราย!I98"")"),45)</f>
        <v>45</v>
      </c>
      <c r="S15" s="173">
        <f ca="1">IFERROR(__xludf.DUMMYFUNCTION("IMPORTRANGE(""https://docs.google.com/spreadsheets/d/1ZNYWeiFoFA1K1U4xKWqRX29MBvEyRHXORjo734Gnq_c/edit?usp=sharing"",""เชียงราย!J98"")"),45)</f>
        <v>45</v>
      </c>
      <c r="T15" s="173">
        <f t="shared" ca="1" si="10"/>
        <v>100</v>
      </c>
      <c r="U15" s="173">
        <f ca="1">IFERROR(__xludf.DUMMYFUNCTION("IMPORTRANGE(""https://docs.google.com/spreadsheets/d/1ZNYWeiFoFA1K1U4xKWqRX29MBvEyRHXORjo734Gnq_c/edit?usp=sharing"",""เชียงราย!I99"")"),15)</f>
        <v>15</v>
      </c>
      <c r="V15" s="173">
        <f ca="1">IFERROR(__xludf.DUMMYFUNCTION("IMPORTRANGE(""https://docs.google.com/spreadsheets/d/1ZNYWeiFoFA1K1U4xKWqRX29MBvEyRHXORjo734Gnq_c/edit?usp=sharing"",""เชียงราย!I100"")"),2)</f>
        <v>2</v>
      </c>
      <c r="W15" s="173">
        <f ca="1">IFERROR(__xludf.DUMMYFUNCTION("IMPORTRANGE(""https://docs.google.com/spreadsheets/d/1ZNYWeiFoFA1K1U4xKWqRX29MBvEyRHXORjo734Gnq_c/edit?usp=sharing"",""เชียงราย!J99"")"),15)</f>
        <v>15</v>
      </c>
      <c r="X15" s="177">
        <f t="shared" ca="1" si="12"/>
        <v>100</v>
      </c>
      <c r="Y15" s="178">
        <f ca="1">IFERROR(__xludf.DUMMYFUNCTION("IMPORTRANGE(""https://docs.google.com/spreadsheets/d/1ZNYWeiFoFA1K1U4xKWqRX29MBvEyRHXORjo734Gnq_c/edit?usp=sharing"",""เชียงราย!J100"")"),2)</f>
        <v>2</v>
      </c>
      <c r="Z15" s="177">
        <f t="shared" ca="1" si="13"/>
        <v>100</v>
      </c>
      <c r="AA15" s="173">
        <f ca="1">IFERROR(__xludf.DUMMYFUNCTION("IMPORTRANGE(""https://docs.google.com/spreadsheets/d/1ZNYWeiFoFA1K1U4xKWqRX29MBvEyRHXORjo734Gnq_c/edit?usp=sharing"",""เชียงราย!I102"")"),45)</f>
        <v>45</v>
      </c>
      <c r="AB15" s="173">
        <f ca="1">IFERROR(__xludf.DUMMYFUNCTION("IMPORTRANGE(""https://docs.google.com/spreadsheets/d/1ZNYWeiFoFA1K1U4xKWqRX29MBvEyRHXORjo734Gnq_c/edit?usp=sharing"",""เชียงราย!I103"")"),15)</f>
        <v>15</v>
      </c>
      <c r="AC15" s="173">
        <f ca="1">IFERROR(__xludf.DUMMYFUNCTION("IMPORTRANGE(""https://docs.google.com/spreadsheets/d/1ZNYWeiFoFA1K1U4xKWqRX29MBvEyRHXORjo734Gnq_c/edit?usp=sharing"",""เชียงราย!J102"")"),45)</f>
        <v>45</v>
      </c>
      <c r="AD15" s="173">
        <f ca="1">IFERROR(__xludf.DUMMYFUNCTION("IMPORTRANGE(""https://docs.google.com/spreadsheets/d/1ZNYWeiFoFA1K1U4xKWqRX29MBvEyRHXORjo734Gnq_c/edit?usp=sharing"",""เชียงราย!J103"")"),15)</f>
        <v>15</v>
      </c>
      <c r="AE15" s="173">
        <f ca="1">IFERROR(__xludf.DUMMYFUNCTION("IMPORTRANGE(""https://docs.google.com/spreadsheets/d/1ZNYWeiFoFA1K1U4xKWqRX29MBvEyRHXORjo734Gnq_c/edit?usp=sharing"",""เชียงราย!J104"")"),15)</f>
        <v>15</v>
      </c>
      <c r="AF15" s="173">
        <f ca="1">IFERROR(__xludf.DUMMYFUNCTION("IMPORTRANGE(""https://docs.google.com/spreadsheets/d/1ZNYWeiFoFA1K1U4xKWqRX29MBvEyRHXORjo734Gnq_c/edit?usp=sharing"",""เชียงราย!I106"")"),1)</f>
        <v>1</v>
      </c>
      <c r="AG15" s="173">
        <f ca="1">IFERROR(__xludf.DUMMYFUNCTION("IMPORTRANGE(""https://docs.google.com/spreadsheets/d/1ZNYWeiFoFA1K1U4xKWqRX29MBvEyRHXORjo734Gnq_c/edit?usp=sharing"",""เชียงราย!J106"")"),1)</f>
        <v>1</v>
      </c>
      <c r="AH15" s="173">
        <f ca="1">IFERROR(__xludf.DUMMYFUNCTION("IMPORTRANGE(""https://docs.google.com/spreadsheets/d/1ZNYWeiFoFA1K1U4xKWqRX29MBvEyRHXORjo734Gnq_c/edit?usp=sharing"",""เชียงราย!J107"")"),1)</f>
        <v>1</v>
      </c>
      <c r="AI15" s="173">
        <f ca="1">IFERROR(__xludf.DUMMYFUNCTION("IMPORTRANGE(""https://docs.google.com/spreadsheets/d/1ZNYWeiFoFA1K1U4xKWqRX29MBvEyRHXORjo734Gnq_c/edit?usp=sharing"",""เชียงราย!I109"")"),1)</f>
        <v>1</v>
      </c>
      <c r="AJ15" s="173">
        <f ca="1">IFERROR(__xludf.DUMMYFUNCTION("IMPORTRANGE(""https://docs.google.com/spreadsheets/d/1ZNYWeiFoFA1K1U4xKWqRX29MBvEyRHXORjo734Gnq_c/edit?usp=sharing"",""เชียงราย!J109"")"),1)</f>
        <v>1</v>
      </c>
      <c r="AK15" s="173">
        <f ca="1">IFERROR(__xludf.DUMMYFUNCTION("IMPORTRANGE(""https://docs.google.com/spreadsheets/d/1ZNYWeiFoFA1K1U4xKWqRX29MBvEyRHXORjo734Gnq_c/edit?usp=sharing"",""เชียงราย!J110"")"),1)</f>
        <v>1</v>
      </c>
      <c r="AL15" s="173">
        <f ca="1">IFERROR(__xludf.DUMMYFUNCTION("IMPORTRANGE(""https://docs.google.com/spreadsheets/d/1ZNYWeiFoFA1K1U4xKWqRX29MBvEyRHXORjo734Gnq_c/edit?usp=sharing"",""เชียงราย!I111"")"),15)</f>
        <v>15</v>
      </c>
      <c r="AM15" s="173">
        <f ca="1">IFERROR(__xludf.DUMMYFUNCTION("IMPORTRANGE(""https://docs.google.com/spreadsheets/d/1ZNYWeiFoFA1K1U4xKWqRX29MBvEyRHXORjo734Gnq_c/edit?usp=sharing"",""เชียงราย!I112"")"),2)</f>
        <v>2</v>
      </c>
      <c r="AN15" s="173">
        <f ca="1">IFERROR(__xludf.DUMMYFUNCTION("IMPORTRANGE(""https://docs.google.com/spreadsheets/d/1ZNYWeiFoFA1K1U4xKWqRX29MBvEyRHXORjo734Gnq_c/edit?usp=sharing"",""เชียงราย!J111"")"),0)</f>
        <v>0</v>
      </c>
      <c r="AO15" s="173">
        <f t="shared" ca="1" si="15"/>
        <v>0</v>
      </c>
      <c r="AP15" s="173">
        <f ca="1">IFERROR(__xludf.DUMMYFUNCTION("IMPORTRANGE(""https://docs.google.com/spreadsheets/d/1ZNYWeiFoFA1K1U4xKWqRX29MBvEyRHXORjo734Gnq_c/edit?usp=sharing"",""เชียงราย!J112"")"),0)</f>
        <v>0</v>
      </c>
      <c r="AQ15" s="177">
        <f t="shared" ca="1" si="16"/>
        <v>0</v>
      </c>
      <c r="AR15" s="173">
        <f ca="1">IFERROR(__xludf.DUMMYFUNCTION("IMPORTRANGE(""https://docs.google.com/spreadsheets/d/1ZNYWeiFoFA1K1U4xKWqRX29MBvEyRHXORjo734Gnq_c/edit?usp=sharing"",""เชียงราย!I113"")"),15)</f>
        <v>15</v>
      </c>
      <c r="AS15" s="173">
        <f ca="1">IFERROR(__xludf.DUMMYFUNCTION("IMPORTRANGE(""https://docs.google.com/spreadsheets/d/1ZNYWeiFoFA1K1U4xKWqRX29MBvEyRHXORjo734Gnq_c/edit?usp=sharing"",""เชียงราย!J113"")"),0)</f>
        <v>0</v>
      </c>
      <c r="AT15" s="173">
        <f ca="1">IFERROR(__xludf.DUMMYFUNCTION("IMPORTRANGE(""https://docs.google.com/spreadsheets/d/1ZNYWeiFoFA1K1U4xKWqRX29MBvEyRHXORjo734Gnq_c/edit?usp=sharing"",""เชียงราย!J114"")"),0)</f>
        <v>0</v>
      </c>
      <c r="AU15" s="173">
        <f ca="1">IFERROR(__xludf.DUMMYFUNCTION("IMPORTRANGE(""https://docs.google.com/spreadsheets/d/1ZNYWeiFoFA1K1U4xKWqRX29MBvEyRHXORjo734Gnq_c/edit?usp=sharing"",""เชียงราย!I115"")"),1)</f>
        <v>1</v>
      </c>
      <c r="AV15" s="173">
        <f ca="1">IFERROR(__xludf.DUMMYFUNCTION("IMPORTRANGE(""https://docs.google.com/spreadsheets/d/1ZNYWeiFoFA1K1U4xKWqRX29MBvEyRHXORjo734Gnq_c/edit?usp=sharing"",""เชียงราย!J115"")"),0)</f>
        <v>0</v>
      </c>
      <c r="AW15" s="177">
        <f t="shared" ca="1" si="18"/>
        <v>0</v>
      </c>
      <c r="AX15" s="173">
        <f ca="1">IFERROR(__xludf.DUMMYFUNCTION("IMPORTRANGE(""https://docs.google.com/spreadsheets/d/1ZNYWeiFoFA1K1U4xKWqRX29MBvEyRHXORjo734Gnq_c/edit?usp=sharing"",""เชียงราย!I116"")"),1)</f>
        <v>1</v>
      </c>
      <c r="AY15" s="173">
        <f ca="1">IFERROR(__xludf.DUMMYFUNCTION("IMPORTRANGE(""https://docs.google.com/spreadsheets/d/1ZNYWeiFoFA1K1U4xKWqRX29MBvEyRHXORjo734Gnq_c/edit?usp=sharing"",""เชียงราย!J116"")"),0)</f>
        <v>0</v>
      </c>
      <c r="AZ15" s="177">
        <f t="shared" ca="1" si="20"/>
        <v>0</v>
      </c>
    </row>
    <row r="16" spans="1:52" ht="24" customHeight="1" x14ac:dyDescent="0.3">
      <c r="A16" s="168">
        <v>3</v>
      </c>
      <c r="B16" s="169" t="s">
        <v>38</v>
      </c>
      <c r="C16" s="170">
        <f t="shared" ca="1" si="0"/>
        <v>86040</v>
      </c>
      <c r="D16" s="171">
        <f t="shared" ca="1" si="42"/>
        <v>86040</v>
      </c>
      <c r="E16" s="172">
        <f ca="1">IFERROR(__xludf.DUMMYFUNCTION("IMPORTRANGE(""https://docs.google.com/spreadsheets/d/1MeEWN-I1oV_STSDYn1IFDPWt_1FKiwhDph83XaGc0o0/edit?usp=sharing"",""งบพรบ!AR16"")"),0)</f>
        <v>0</v>
      </c>
      <c r="F16" s="172">
        <f ca="1">IFERROR(__xludf.DUMMYFUNCTION("IMPORTRANGE(""https://docs.google.com/spreadsheets/d/1MeEWN-I1oV_STSDYn1IFDPWt_1FKiwhDph83XaGc0o0/edit?usp=sharing"",""งบพรบ!AS16"")"),86040)</f>
        <v>86040</v>
      </c>
      <c r="G16" s="172">
        <f ca="1">IFERROR(__xludf.DUMMYFUNCTION("IMPORTRANGE(""https://docs.google.com/spreadsheets/d/1MeEWN-I1oV_STSDYn1IFDPWt_1FKiwhDph83XaGc0o0/edit?usp=sharing"",""งบพรบ!AT16"")"),0)</f>
        <v>0</v>
      </c>
      <c r="H16" s="172">
        <f ca="1">IFERROR(__xludf.DUMMYFUNCTION("IMPORTRANGE(""https://docs.google.com/spreadsheets/d/1MeEWN-I1oV_STSDYn1IFDPWt_1FKiwhDph83XaGc0o0/edit?usp=sharing"",""งบพรบ!AV16"")"),86040)</f>
        <v>86040</v>
      </c>
      <c r="I16" s="172">
        <f ca="1">IFERROR(__xludf.DUMMYFUNCTION("IMPORTRANGE(""https://docs.google.com/spreadsheets/d/1MeEWN-I1oV_STSDYn1IFDPWt_1FKiwhDph83XaGc0o0/edit?usp=sharing"",""งบพรบ!AW16"")"),0)</f>
        <v>0</v>
      </c>
      <c r="J16" s="172">
        <f t="shared" ca="1" si="3"/>
        <v>86040</v>
      </c>
      <c r="K16" s="179">
        <f t="shared" ca="1" si="4"/>
        <v>100</v>
      </c>
      <c r="L16" s="172">
        <f ca="1">IFERROR(__xludf.DUMMYFUNCTION("IMPORTRANGE(""https://docs.google.com/spreadsheets/d/1MeEWN-I1oV_STSDYn1IFDPWt_1FKiwhDph83XaGc0o0/edit?usp=sharing"",""งบพรบ!AX16"")"),86040)</f>
        <v>86040</v>
      </c>
      <c r="M16" s="175">
        <f t="shared" ca="1" si="5"/>
        <v>100</v>
      </c>
      <c r="N16" s="175">
        <f t="shared" ca="1" si="6"/>
        <v>100</v>
      </c>
      <c r="O16" s="176">
        <f ca="1">IFERROR(__xludf.DUMMYFUNCTION("IMPORTRANGE(""https://docs.google.com/spreadsheets/d/1MeEWN-I1oV_STSDYn1IFDPWt_1FKiwhDph83XaGc0o0/edit?usp=sharing"",""งบพรบ!AY16"")"),0)</f>
        <v>0</v>
      </c>
      <c r="P16" s="176">
        <f t="shared" ca="1" si="36"/>
        <v>0</v>
      </c>
      <c r="Q16" s="175">
        <f t="shared" ca="1" si="8"/>
        <v>0</v>
      </c>
      <c r="R16" s="173">
        <f ca="1">IFERROR(__xludf.DUMMYFUNCTION("IMPORTRANGE(""https://docs.google.com/spreadsheets/d/1Jgv0Y7YlHDtsiDawwp-uvifEJ8HVaSn0k2aGHG8-hwM/edit?usp=sharing"",""เชียงใหม่!I98"")"),30)</f>
        <v>30</v>
      </c>
      <c r="S16" s="173">
        <f ca="1">IFERROR(__xludf.DUMMYFUNCTION("IMPORTRANGE(""https://docs.google.com/spreadsheets/d/1Jgv0Y7YlHDtsiDawwp-uvifEJ8HVaSn0k2aGHG8-hwM/edit?usp=sharing"",""เชียงใหม่!J98"")"),30)</f>
        <v>30</v>
      </c>
      <c r="T16" s="173">
        <f t="shared" ca="1" si="10"/>
        <v>100</v>
      </c>
      <c r="U16" s="173">
        <f ca="1">IFERROR(__xludf.DUMMYFUNCTION("IMPORTRANGE(""https://docs.google.com/spreadsheets/d/1Jgv0Y7YlHDtsiDawwp-uvifEJ8HVaSn0k2aGHG8-hwM/edit?usp=sharing"",""เชียงใหม่!I99"")"),10)</f>
        <v>10</v>
      </c>
      <c r="V16" s="173">
        <f ca="1">IFERROR(__xludf.DUMMYFUNCTION("IMPORTRANGE(""https://docs.google.com/spreadsheets/d/1Jgv0Y7YlHDtsiDawwp-uvifEJ8HVaSn0k2aGHG8-hwM/edit?usp=sharing"",""เชียงใหม่!I100"")"),2)</f>
        <v>2</v>
      </c>
      <c r="W16" s="173">
        <f ca="1">IFERROR(__xludf.DUMMYFUNCTION("IMPORTRANGE(""https://docs.google.com/spreadsheets/d/1Jgv0Y7YlHDtsiDawwp-uvifEJ8HVaSn0k2aGHG8-hwM/edit?usp=sharing"",""เชียงใหม่!J99"")"),10)</f>
        <v>10</v>
      </c>
      <c r="X16" s="177">
        <f t="shared" ca="1" si="12"/>
        <v>100</v>
      </c>
      <c r="Y16" s="178">
        <f ca="1">IFERROR(__xludf.DUMMYFUNCTION("IMPORTRANGE(""https://docs.google.com/spreadsheets/d/1Jgv0Y7YlHDtsiDawwp-uvifEJ8HVaSn0k2aGHG8-hwM/edit?usp=sharing"",""เชียงใหม่!J100"")"),2)</f>
        <v>2</v>
      </c>
      <c r="Z16" s="177">
        <f t="shared" ca="1" si="13"/>
        <v>100</v>
      </c>
      <c r="AA16" s="172">
        <f ca="1">IFERROR(__xludf.DUMMYFUNCTION("IMPORTRANGE(""https://docs.google.com/spreadsheets/d/1Jgv0Y7YlHDtsiDawwp-uvifEJ8HVaSn0k2aGHG8-hwM/edit?usp=sharing"",""เชียงใหม่!I102"")"),30)</f>
        <v>30</v>
      </c>
      <c r="AB16" s="172">
        <f ca="1">IFERROR(__xludf.DUMMYFUNCTION("IMPORTRANGE(""https://docs.google.com/spreadsheets/d/1Jgv0Y7YlHDtsiDawwp-uvifEJ8HVaSn0k2aGHG8-hwM/edit?usp=sharing"",""เชียงใหม่!I103"")"),10)</f>
        <v>10</v>
      </c>
      <c r="AC16" s="173">
        <f ca="1">IFERROR(__xludf.DUMMYFUNCTION("IMPORTRANGE(""https://docs.google.com/spreadsheets/d/1Jgv0Y7YlHDtsiDawwp-uvifEJ8HVaSn0k2aGHG8-hwM/edit?usp=sharing"",""เชียงใหม่!J102"")"),30)</f>
        <v>30</v>
      </c>
      <c r="AD16" s="173">
        <f ca="1">IFERROR(__xludf.DUMMYFUNCTION("IMPORTRANGE(""https://docs.google.com/spreadsheets/d/1Jgv0Y7YlHDtsiDawwp-uvifEJ8HVaSn0k2aGHG8-hwM/edit?usp=sharing"",""เชียงใหม่!J103"")"),10)</f>
        <v>10</v>
      </c>
      <c r="AE16" s="173">
        <f ca="1">IFERROR(__xludf.DUMMYFUNCTION("IMPORTRANGE(""https://docs.google.com/spreadsheets/d/1Jgv0Y7YlHDtsiDawwp-uvifEJ8HVaSn0k2aGHG8-hwM/edit?usp=sharing"",""เชียงใหม่!J104"")"),10)</f>
        <v>10</v>
      </c>
      <c r="AF16" s="172">
        <f ca="1">IFERROR(__xludf.DUMMYFUNCTION("IMPORTRANGE(""https://docs.google.com/spreadsheets/d/1Jgv0Y7YlHDtsiDawwp-uvifEJ8HVaSn0k2aGHG8-hwM/edit?usp=sharing"",""เชียงใหม่!I106"")"),1)</f>
        <v>1</v>
      </c>
      <c r="AG16" s="173">
        <f ca="1">IFERROR(__xludf.DUMMYFUNCTION("IMPORTRANGE(""https://docs.google.com/spreadsheets/d/1Jgv0Y7YlHDtsiDawwp-uvifEJ8HVaSn0k2aGHG8-hwM/edit?usp=sharing"",""เชียงใหม่!J106"")"),1)</f>
        <v>1</v>
      </c>
      <c r="AH16" s="173">
        <f ca="1">IFERROR(__xludf.DUMMYFUNCTION("IMPORTRANGE(""https://docs.google.com/spreadsheets/d/1Jgv0Y7YlHDtsiDawwp-uvifEJ8HVaSn0k2aGHG8-hwM/edit?usp=sharing"",""เชียงใหม่!J107"")"),1)</f>
        <v>1</v>
      </c>
      <c r="AI16" s="172">
        <f ca="1">IFERROR(__xludf.DUMMYFUNCTION("IMPORTRANGE(""https://docs.google.com/spreadsheets/d/1Jgv0Y7YlHDtsiDawwp-uvifEJ8HVaSn0k2aGHG8-hwM/edit?usp=sharing"",""เชียงใหม่!I109"")"),1)</f>
        <v>1</v>
      </c>
      <c r="AJ16" s="173">
        <f ca="1">IFERROR(__xludf.DUMMYFUNCTION("IMPORTRANGE(""https://docs.google.com/spreadsheets/d/1Jgv0Y7YlHDtsiDawwp-uvifEJ8HVaSn0k2aGHG8-hwM/edit?usp=sharing"",""เชียงใหม่!J109"")"),1)</f>
        <v>1</v>
      </c>
      <c r="AK16" s="173">
        <f ca="1">IFERROR(__xludf.DUMMYFUNCTION("IMPORTRANGE(""https://docs.google.com/spreadsheets/d/1Jgv0Y7YlHDtsiDawwp-uvifEJ8HVaSn0k2aGHG8-hwM/edit?usp=sharing"",""เชียงใหม่!J110"")"),1)</f>
        <v>1</v>
      </c>
      <c r="AL16" s="172">
        <f ca="1">IFERROR(__xludf.DUMMYFUNCTION("IMPORTRANGE(""https://docs.google.com/spreadsheets/d/1Jgv0Y7YlHDtsiDawwp-uvifEJ8HVaSn0k2aGHG8-hwM/edit?usp=sharing"",""เชียงใหม่!I111"")"),10)</f>
        <v>10</v>
      </c>
      <c r="AM16" s="172">
        <f ca="1">IFERROR(__xludf.DUMMYFUNCTION("IMPORTRANGE(""https://docs.google.com/spreadsheets/d/1Jgv0Y7YlHDtsiDawwp-uvifEJ8HVaSn0k2aGHG8-hwM/edit?usp=sharing"",""เชียงใหม่!I112"")"),2)</f>
        <v>2</v>
      </c>
      <c r="AN16" s="173">
        <f ca="1">IFERROR(__xludf.DUMMYFUNCTION("IMPORTRANGE(""https://docs.google.com/spreadsheets/d/1Jgv0Y7YlHDtsiDawwp-uvifEJ8HVaSn0k2aGHG8-hwM/edit?usp=sharing"",""เชียงใหม่!J111"")"),10)</f>
        <v>10</v>
      </c>
      <c r="AO16" s="173">
        <f t="shared" ca="1" si="15"/>
        <v>100</v>
      </c>
      <c r="AP16" s="173">
        <f ca="1">IFERROR(__xludf.DUMMYFUNCTION("IMPORTRANGE(""https://docs.google.com/spreadsheets/d/1Jgv0Y7YlHDtsiDawwp-uvifEJ8HVaSn0k2aGHG8-hwM/edit?usp=sharing"",""เชียงใหม่!J112"")"),2)</f>
        <v>2</v>
      </c>
      <c r="AQ16" s="175">
        <f t="shared" ca="1" si="16"/>
        <v>100</v>
      </c>
      <c r="AR16" s="172">
        <f ca="1">IFERROR(__xludf.DUMMYFUNCTION("IMPORTRANGE(""https://docs.google.com/spreadsheets/d/1Jgv0Y7YlHDtsiDawwp-uvifEJ8HVaSn0k2aGHG8-hwM/edit?usp=sharing"",""เชียงใหม่!I113"")"),10)</f>
        <v>10</v>
      </c>
      <c r="AS16" s="172">
        <f ca="1">IFERROR(__xludf.DUMMYFUNCTION("IMPORTRANGE(""https://docs.google.com/spreadsheets/d/1Jgv0Y7YlHDtsiDawwp-uvifEJ8HVaSn0k2aGHG8-hwM/edit?usp=sharing"",""เชียงใหม่!J113"")"),10)</f>
        <v>10</v>
      </c>
      <c r="AT16" s="172">
        <f ca="1">IFERROR(__xludf.DUMMYFUNCTION("IMPORTRANGE(""https://docs.google.com/spreadsheets/d/1Jgv0Y7YlHDtsiDawwp-uvifEJ8HVaSn0k2aGHG8-hwM/edit?usp=sharing"",""เชียงใหม่!J114"")"),10)</f>
        <v>10</v>
      </c>
      <c r="AU16" s="172">
        <f ca="1">IFERROR(__xludf.DUMMYFUNCTION("IMPORTRANGE(""https://docs.google.com/spreadsheets/d/1Jgv0Y7YlHDtsiDawwp-uvifEJ8HVaSn0k2aGHG8-hwM/edit?usp=sharing"",""เชียงใหม่!I115"")"),1)</f>
        <v>1</v>
      </c>
      <c r="AV16" s="173">
        <f ca="1">IFERROR(__xludf.DUMMYFUNCTION("IMPORTRANGE(""https://docs.google.com/spreadsheets/d/1Jgv0Y7YlHDtsiDawwp-uvifEJ8HVaSn0k2aGHG8-hwM/edit?usp=sharing"",""เชียงใหม่!J115"")"),1)</f>
        <v>1</v>
      </c>
      <c r="AW16" s="175">
        <f t="shared" ca="1" si="18"/>
        <v>100</v>
      </c>
      <c r="AX16" s="172">
        <f ca="1">IFERROR(__xludf.DUMMYFUNCTION("IMPORTRANGE(""https://docs.google.com/spreadsheets/d/1Jgv0Y7YlHDtsiDawwp-uvifEJ8HVaSn0k2aGHG8-hwM/edit?usp=sharing"",""เชียงใหม่!I116"")"),1)</f>
        <v>1</v>
      </c>
      <c r="AY16" s="173">
        <f ca="1">IFERROR(__xludf.DUMMYFUNCTION("IMPORTRANGE(""https://docs.google.com/spreadsheets/d/1Jgv0Y7YlHDtsiDawwp-uvifEJ8HVaSn0k2aGHG8-hwM/edit?usp=sharing"",""เชียงใหม่!J116"")"),1)</f>
        <v>1</v>
      </c>
      <c r="AZ16" s="175">
        <f t="shared" ca="1" si="20"/>
        <v>100</v>
      </c>
    </row>
    <row r="17" spans="1:52" ht="24" customHeight="1" x14ac:dyDescent="0.3">
      <c r="A17" s="168">
        <v>4</v>
      </c>
      <c r="B17" s="169" t="s">
        <v>39</v>
      </c>
      <c r="C17" s="170">
        <f t="shared" ca="1" si="0"/>
        <v>56040</v>
      </c>
      <c r="D17" s="171">
        <f t="shared" ca="1" si="42"/>
        <v>56040</v>
      </c>
      <c r="E17" s="172">
        <f ca="1">IFERROR(__xludf.DUMMYFUNCTION("IMPORTRANGE(""https://docs.google.com/spreadsheets/d/1MeEWN-I1oV_STSDYn1IFDPWt_1FKiwhDph83XaGc0o0/edit?usp=sharing"",""งบพรบ!AR17"")"),0)</f>
        <v>0</v>
      </c>
      <c r="F17" s="172">
        <f ca="1">IFERROR(__xludf.DUMMYFUNCTION("IMPORTRANGE(""https://docs.google.com/spreadsheets/d/1MeEWN-I1oV_STSDYn1IFDPWt_1FKiwhDph83XaGc0o0/edit?usp=sharing"",""งบพรบ!AS17"")"),56040)</f>
        <v>56040</v>
      </c>
      <c r="G17" s="172">
        <f ca="1">IFERROR(__xludf.DUMMYFUNCTION("IMPORTRANGE(""https://docs.google.com/spreadsheets/d/1MeEWN-I1oV_STSDYn1IFDPWt_1FKiwhDph83XaGc0o0/edit?usp=sharing"",""งบพรบ!AT17"")"),0)</f>
        <v>0</v>
      </c>
      <c r="H17" s="172">
        <f ca="1">IFERROR(__xludf.DUMMYFUNCTION("IMPORTRANGE(""https://docs.google.com/spreadsheets/d/1MeEWN-I1oV_STSDYn1IFDPWt_1FKiwhDph83XaGc0o0/edit?usp=sharing"",""งบพรบ!AV17"")"),56040)</f>
        <v>56040</v>
      </c>
      <c r="I17" s="172">
        <f ca="1">IFERROR(__xludf.DUMMYFUNCTION("IMPORTRANGE(""https://docs.google.com/spreadsheets/d/1MeEWN-I1oV_STSDYn1IFDPWt_1FKiwhDph83XaGc0o0/edit?usp=sharing"",""งบพรบ!AW17"")"),0)</f>
        <v>0</v>
      </c>
      <c r="J17" s="172">
        <f t="shared" ca="1" si="3"/>
        <v>52715</v>
      </c>
      <c r="K17" s="179">
        <f t="shared" ca="1" si="4"/>
        <v>94.066738044254109</v>
      </c>
      <c r="L17" s="172">
        <f ca="1">IFERROR(__xludf.DUMMYFUNCTION("IMPORTRANGE(""https://docs.google.com/spreadsheets/d/1MeEWN-I1oV_STSDYn1IFDPWt_1FKiwhDph83XaGc0o0/edit?usp=sharing"",""งบพรบ!AX17"")"),52715)</f>
        <v>52715</v>
      </c>
      <c r="M17" s="175">
        <f t="shared" ca="1" si="5"/>
        <v>94.066738044254109</v>
      </c>
      <c r="N17" s="175">
        <f t="shared" ca="1" si="6"/>
        <v>94.066738044254109</v>
      </c>
      <c r="O17" s="176">
        <f ca="1">IFERROR(__xludf.DUMMYFUNCTION("IMPORTRANGE(""https://docs.google.com/spreadsheets/d/1MeEWN-I1oV_STSDYn1IFDPWt_1FKiwhDph83XaGc0o0/edit?usp=sharing"",""งบพรบ!AY17"")"),0)</f>
        <v>0</v>
      </c>
      <c r="P17" s="176">
        <f t="shared" ca="1" si="36"/>
        <v>0</v>
      </c>
      <c r="Q17" s="175">
        <f t="shared" ca="1" si="8"/>
        <v>0</v>
      </c>
      <c r="R17" s="173">
        <f ca="1">IFERROR(__xludf.DUMMYFUNCTION("IMPORTRANGE(""https://docs.google.com/spreadsheets/d/1JWG2rZePOz9pe-f-ObA-yDr0VoOX2kSb0qIix2mTUo8/edit?usp=sharing"",""ตาก!I98"")"),30)</f>
        <v>30</v>
      </c>
      <c r="S17" s="173">
        <f ca="1">IFERROR(__xludf.DUMMYFUNCTION("IMPORTRANGE(""https://docs.google.com/spreadsheets/d/1JWG2rZePOz9pe-f-ObA-yDr0VoOX2kSb0qIix2mTUo8/edit?usp=sharing"",""ตาก!J98"")"),30)</f>
        <v>30</v>
      </c>
      <c r="T17" s="173">
        <f t="shared" ca="1" si="10"/>
        <v>100</v>
      </c>
      <c r="U17" s="173">
        <f ca="1">IFERROR(__xludf.DUMMYFUNCTION("IMPORTRANGE(""https://docs.google.com/spreadsheets/d/1JWG2rZePOz9pe-f-ObA-yDr0VoOX2kSb0qIix2mTUo8/edit?usp=sharing"",""ตาก!I99"")"),10)</f>
        <v>10</v>
      </c>
      <c r="V17" s="173">
        <f ca="1">IFERROR(__xludf.DUMMYFUNCTION("IMPORTRANGE(""https://docs.google.com/spreadsheets/d/1JWG2rZePOz9pe-f-ObA-yDr0VoOX2kSb0qIix2mTUo8/edit?usp=sharing"",""ตาก!I100"")"),1)</f>
        <v>1</v>
      </c>
      <c r="W17" s="173">
        <f ca="1">IFERROR(__xludf.DUMMYFUNCTION("IMPORTRANGE(""https://docs.google.com/spreadsheets/d/1JWG2rZePOz9pe-f-ObA-yDr0VoOX2kSb0qIix2mTUo8/edit?usp=sharing"",""ตาก!J99"")"),10)</f>
        <v>10</v>
      </c>
      <c r="X17" s="177">
        <f t="shared" ca="1" si="12"/>
        <v>100</v>
      </c>
      <c r="Y17" s="178">
        <f ca="1">IFERROR(__xludf.DUMMYFUNCTION("IMPORTRANGE(""https://docs.google.com/spreadsheets/d/1JWG2rZePOz9pe-f-ObA-yDr0VoOX2kSb0qIix2mTUo8/edit?usp=sharing"",""ตาก!J100"")"),1)</f>
        <v>1</v>
      </c>
      <c r="Z17" s="177">
        <f t="shared" ca="1" si="13"/>
        <v>100</v>
      </c>
      <c r="AA17" s="172">
        <f ca="1">IFERROR(__xludf.DUMMYFUNCTION("IMPORTRANGE(""https://docs.google.com/spreadsheets/d/1JWG2rZePOz9pe-f-ObA-yDr0VoOX2kSb0qIix2mTUo8/edit?usp=sharing"",""ตาก!I102"")"),30)</f>
        <v>30</v>
      </c>
      <c r="AB17" s="172">
        <f ca="1">IFERROR(__xludf.DUMMYFUNCTION("IMPORTRANGE(""https://docs.google.com/spreadsheets/d/1JWG2rZePOz9pe-f-ObA-yDr0VoOX2kSb0qIix2mTUo8/edit?usp=sharing"",""ตาก!I103"")"),10)</f>
        <v>10</v>
      </c>
      <c r="AC17" s="173">
        <f ca="1">IFERROR(__xludf.DUMMYFUNCTION("IMPORTRANGE(""https://docs.google.com/spreadsheets/d/1JWG2rZePOz9pe-f-ObA-yDr0VoOX2kSb0qIix2mTUo8/edit?usp=sharing"",""ตาก!J102"")"),30)</f>
        <v>30</v>
      </c>
      <c r="AD17" s="173">
        <f ca="1">IFERROR(__xludf.DUMMYFUNCTION("IMPORTRANGE(""https://docs.google.com/spreadsheets/d/1JWG2rZePOz9pe-f-ObA-yDr0VoOX2kSb0qIix2mTUo8/edit?usp=sharing"",""ตาก!J103"")"),10)</f>
        <v>10</v>
      </c>
      <c r="AE17" s="173">
        <f ca="1">IFERROR(__xludf.DUMMYFUNCTION("IMPORTRANGE(""https://docs.google.com/spreadsheets/d/1JWG2rZePOz9pe-f-ObA-yDr0VoOX2kSb0qIix2mTUo8/edit?usp=sharing"",""ตาก!J104"")"),10)</f>
        <v>10</v>
      </c>
      <c r="AF17" s="172">
        <f ca="1">IFERROR(__xludf.DUMMYFUNCTION("IMPORTRANGE(""https://docs.google.com/spreadsheets/d/1JWG2rZePOz9pe-f-ObA-yDr0VoOX2kSb0qIix2mTUo8/edit?usp=sharing"",""ตาก!I106"")"),0)</f>
        <v>0</v>
      </c>
      <c r="AG17" s="173">
        <f ca="1">IFERROR(__xludf.DUMMYFUNCTION("IMPORTRANGE(""https://docs.google.com/spreadsheets/d/1JWG2rZePOz9pe-f-ObA-yDr0VoOX2kSb0qIix2mTUo8/edit?usp=sharing"",""ตาก!J106"")"),0)</f>
        <v>0</v>
      </c>
      <c r="AH17" s="173">
        <f ca="1">IFERROR(__xludf.DUMMYFUNCTION("IMPORTRANGE(""https://docs.google.com/spreadsheets/d/1JWG2rZePOz9pe-f-ObA-yDr0VoOX2kSb0qIix2mTUo8/edit?usp=sharing"",""ตาก!J107"")"),0)</f>
        <v>0</v>
      </c>
      <c r="AI17" s="172">
        <f ca="1">IFERROR(__xludf.DUMMYFUNCTION("IMPORTRANGE(""https://docs.google.com/spreadsheets/d/1JWG2rZePOz9pe-f-ObA-yDr0VoOX2kSb0qIix2mTUo8/edit?usp=sharing"",""ตาก!I109"")"),1)</f>
        <v>1</v>
      </c>
      <c r="AJ17" s="173">
        <f ca="1">IFERROR(__xludf.DUMMYFUNCTION("IMPORTRANGE(""https://docs.google.com/spreadsheets/d/1JWG2rZePOz9pe-f-ObA-yDr0VoOX2kSb0qIix2mTUo8/edit?usp=sharing"",""ตาก!J109"")"),1)</f>
        <v>1</v>
      </c>
      <c r="AK17" s="173">
        <f ca="1">IFERROR(__xludf.DUMMYFUNCTION("IMPORTRANGE(""https://docs.google.com/spreadsheets/d/1JWG2rZePOz9pe-f-ObA-yDr0VoOX2kSb0qIix2mTUo8/edit?usp=sharing"",""ตาก!J110"")"),1)</f>
        <v>1</v>
      </c>
      <c r="AL17" s="172">
        <f ca="1">IFERROR(__xludf.DUMMYFUNCTION("IMPORTRANGE(""https://docs.google.com/spreadsheets/d/1JWG2rZePOz9pe-f-ObA-yDr0VoOX2kSb0qIix2mTUo8/edit?usp=sharing"",""ตาก!I111"")"),10)</f>
        <v>10</v>
      </c>
      <c r="AM17" s="172">
        <f ca="1">IFERROR(__xludf.DUMMYFUNCTION("IMPORTRANGE(""https://docs.google.com/spreadsheets/d/1JWG2rZePOz9pe-f-ObA-yDr0VoOX2kSb0qIix2mTUo8/edit?usp=sharing"",""ตาก!I112"")"),1)</f>
        <v>1</v>
      </c>
      <c r="AN17" s="173">
        <f ca="1">IFERROR(__xludf.DUMMYFUNCTION("IMPORTRANGE(""https://docs.google.com/spreadsheets/d/1JWG2rZePOz9pe-f-ObA-yDr0VoOX2kSb0qIix2mTUo8/edit?usp=sharing"",""ตาก!J111"")"),10)</f>
        <v>10</v>
      </c>
      <c r="AO17" s="173">
        <f t="shared" ca="1" si="15"/>
        <v>100</v>
      </c>
      <c r="AP17" s="173">
        <f ca="1">IFERROR(__xludf.DUMMYFUNCTION("IMPORTRANGE(""https://docs.google.com/spreadsheets/d/1JWG2rZePOz9pe-f-ObA-yDr0VoOX2kSb0qIix2mTUo8/edit?usp=sharing"",""ตาก!J112"")"),1)</f>
        <v>1</v>
      </c>
      <c r="AQ17" s="175">
        <f t="shared" ca="1" si="16"/>
        <v>100</v>
      </c>
      <c r="AR17" s="172">
        <f ca="1">IFERROR(__xludf.DUMMYFUNCTION("IMPORTRANGE(""https://docs.google.com/spreadsheets/d/1JWG2rZePOz9pe-f-ObA-yDr0VoOX2kSb0qIix2mTUo8/edit?usp=sharing"",""ตาก!I113"")"),10)</f>
        <v>10</v>
      </c>
      <c r="AS17" s="172">
        <f ca="1">IFERROR(__xludf.DUMMYFUNCTION("IMPORTRANGE(""https://docs.google.com/spreadsheets/d/1JWG2rZePOz9pe-f-ObA-yDr0VoOX2kSb0qIix2mTUo8/edit?usp=sharing"",""ตาก!J113"")"),10)</f>
        <v>10</v>
      </c>
      <c r="AT17" s="172">
        <f ca="1">IFERROR(__xludf.DUMMYFUNCTION("IMPORTRANGE(""https://docs.google.com/spreadsheets/d/1JWG2rZePOz9pe-f-ObA-yDr0VoOX2kSb0qIix2mTUo8/edit?usp=sharing"",""ตาก!J114"")"),10)</f>
        <v>10</v>
      </c>
      <c r="AU17" s="172">
        <f ca="1">IFERROR(__xludf.DUMMYFUNCTION("IMPORTRANGE(""https://docs.google.com/spreadsheets/d/1JWG2rZePOz9pe-f-ObA-yDr0VoOX2kSb0qIix2mTUo8/edit?usp=sharing"",""ตาก!I115"")"),0)</f>
        <v>0</v>
      </c>
      <c r="AV17" s="173" t="str">
        <f ca="1">IFERROR(__xludf.DUMMYFUNCTION("IMPORTRANGE(""https://docs.google.com/spreadsheets/d/1JWG2rZePOz9pe-f-ObA-yDr0VoOX2kSb0qIix2mTUo8/edit?usp=sharing"",""ตาก!J115"")"),"")</f>
        <v/>
      </c>
      <c r="AW17" s="175">
        <f t="shared" ca="1" si="18"/>
        <v>0</v>
      </c>
      <c r="AX17" s="172">
        <f ca="1">IFERROR(__xludf.DUMMYFUNCTION("IMPORTRANGE(""https://docs.google.com/spreadsheets/d/1JWG2rZePOz9pe-f-ObA-yDr0VoOX2kSb0qIix2mTUo8/edit?usp=sharing"",""ตาก!I116"")"),1)</f>
        <v>1</v>
      </c>
      <c r="AY17" s="173">
        <f ca="1">IFERROR(__xludf.DUMMYFUNCTION("IMPORTRANGE(""https://docs.google.com/spreadsheets/d/1JWG2rZePOz9pe-f-ObA-yDr0VoOX2kSb0qIix2mTUo8/edit?usp=sharing"",""ตาก!J116"")"),1)</f>
        <v>1</v>
      </c>
      <c r="AZ17" s="175">
        <f t="shared" ca="1" si="20"/>
        <v>100</v>
      </c>
    </row>
    <row r="18" spans="1:52" ht="24" customHeight="1" x14ac:dyDescent="0.3">
      <c r="A18" s="168">
        <v>5</v>
      </c>
      <c r="B18" s="169" t="s">
        <v>40</v>
      </c>
      <c r="C18" s="170">
        <f t="shared" ca="1" si="0"/>
        <v>86040</v>
      </c>
      <c r="D18" s="171">
        <f t="shared" ca="1" si="42"/>
        <v>86040</v>
      </c>
      <c r="E18" s="172">
        <f ca="1">IFERROR(__xludf.DUMMYFUNCTION("IMPORTRANGE(""https://docs.google.com/spreadsheets/d/1MeEWN-I1oV_STSDYn1IFDPWt_1FKiwhDph83XaGc0o0/edit?usp=sharing"",""งบพรบ!AR18"")"),0)</f>
        <v>0</v>
      </c>
      <c r="F18" s="172">
        <f ca="1">IFERROR(__xludf.DUMMYFUNCTION("IMPORTRANGE(""https://docs.google.com/spreadsheets/d/1MeEWN-I1oV_STSDYn1IFDPWt_1FKiwhDph83XaGc0o0/edit?usp=sharing"",""งบพรบ!AS18"")"),86040)</f>
        <v>86040</v>
      </c>
      <c r="G18" s="172">
        <f ca="1">IFERROR(__xludf.DUMMYFUNCTION("IMPORTRANGE(""https://docs.google.com/spreadsheets/d/1MeEWN-I1oV_STSDYn1IFDPWt_1FKiwhDph83XaGc0o0/edit?usp=sharing"",""งบพรบ!AT18"")"),0)</f>
        <v>0</v>
      </c>
      <c r="H18" s="172">
        <f ca="1">IFERROR(__xludf.DUMMYFUNCTION("IMPORTRANGE(""https://docs.google.com/spreadsheets/d/1MeEWN-I1oV_STSDYn1IFDPWt_1FKiwhDph83XaGc0o0/edit?usp=sharing"",""งบพรบ!AV18"")"),86040)</f>
        <v>86040</v>
      </c>
      <c r="I18" s="172">
        <f ca="1">IFERROR(__xludf.DUMMYFUNCTION("IMPORTRANGE(""https://docs.google.com/spreadsheets/d/1MeEWN-I1oV_STSDYn1IFDPWt_1FKiwhDph83XaGc0o0/edit?usp=sharing"",""งบพรบ!AW18"")"),0)</f>
        <v>0</v>
      </c>
      <c r="J18" s="172">
        <f t="shared" ca="1" si="3"/>
        <v>84986</v>
      </c>
      <c r="K18" s="179">
        <f t="shared" ca="1" si="4"/>
        <v>98.774988377498843</v>
      </c>
      <c r="L18" s="172">
        <f ca="1">IFERROR(__xludf.DUMMYFUNCTION("IMPORTRANGE(""https://docs.google.com/spreadsheets/d/1MeEWN-I1oV_STSDYn1IFDPWt_1FKiwhDph83XaGc0o0/edit?usp=sharing"",""งบพรบ!AX18"")"),84986)</f>
        <v>84986</v>
      </c>
      <c r="M18" s="175">
        <f t="shared" ca="1" si="5"/>
        <v>98.774988377498843</v>
      </c>
      <c r="N18" s="175">
        <f t="shared" ca="1" si="6"/>
        <v>98.774988377498843</v>
      </c>
      <c r="O18" s="176">
        <f ca="1">IFERROR(__xludf.DUMMYFUNCTION("IMPORTRANGE(""https://docs.google.com/spreadsheets/d/1MeEWN-I1oV_STSDYn1IFDPWt_1FKiwhDph83XaGc0o0/edit?usp=sharing"",""งบพรบ!AY18"")"),0)</f>
        <v>0</v>
      </c>
      <c r="P18" s="176">
        <f t="shared" ca="1" si="36"/>
        <v>0</v>
      </c>
      <c r="Q18" s="175">
        <f t="shared" ca="1" si="8"/>
        <v>0</v>
      </c>
      <c r="R18" s="173">
        <f ca="1">IFERROR(__xludf.DUMMYFUNCTION("IMPORTRANGE(""https://docs.google.com/spreadsheets/d/10nSRjK08hx8Y6HgSOQKNw81lyY46Zc7U_Cj72hBMp9U/edit?usp=sharing"",""นครสวรรค์!I98"")"),30)</f>
        <v>30</v>
      </c>
      <c r="S18" s="173">
        <f ca="1">IFERROR(__xludf.DUMMYFUNCTION("IMPORTRANGE(""https://docs.google.com/spreadsheets/d/10nSRjK08hx8Y6HgSOQKNw81lyY46Zc7U_Cj72hBMp9U/edit?usp=sharing"",""นครสวรรค์!J98"")"),30)</f>
        <v>30</v>
      </c>
      <c r="T18" s="173">
        <f t="shared" ca="1" si="10"/>
        <v>100</v>
      </c>
      <c r="U18" s="173">
        <f ca="1">IFERROR(__xludf.DUMMYFUNCTION("IMPORTRANGE(""https://docs.google.com/spreadsheets/d/10nSRjK08hx8Y6HgSOQKNw81lyY46Zc7U_Cj72hBMp9U/edit?usp=sharing"",""นครสวรรค์!I99"")"),10)</f>
        <v>10</v>
      </c>
      <c r="V18" s="173">
        <f ca="1">IFERROR(__xludf.DUMMYFUNCTION("IMPORTRANGE(""https://docs.google.com/spreadsheets/d/10nSRjK08hx8Y6HgSOQKNw81lyY46Zc7U_Cj72hBMp9U/edit?usp=sharing"",""นครสวรรค์!I100"")"),2)</f>
        <v>2</v>
      </c>
      <c r="W18" s="173">
        <f ca="1">IFERROR(__xludf.DUMMYFUNCTION("IMPORTRANGE(""https://docs.google.com/spreadsheets/d/10nSRjK08hx8Y6HgSOQKNw81lyY46Zc7U_Cj72hBMp9U/edit?usp=sharing"",""นครสวรรค์!J99"")"),10)</f>
        <v>10</v>
      </c>
      <c r="X18" s="177">
        <f t="shared" ca="1" si="12"/>
        <v>100</v>
      </c>
      <c r="Y18" s="178">
        <f ca="1">IFERROR(__xludf.DUMMYFUNCTION("IMPORTRANGE(""https://docs.google.com/spreadsheets/d/10nSRjK08hx8Y6HgSOQKNw81lyY46Zc7U_Cj72hBMp9U/edit?usp=sharing"",""นครสวรรค์!J100"")"),2)</f>
        <v>2</v>
      </c>
      <c r="Z18" s="177">
        <f t="shared" ca="1" si="13"/>
        <v>100</v>
      </c>
      <c r="AA18" s="172">
        <f ca="1">IFERROR(__xludf.DUMMYFUNCTION("IMPORTRANGE(""https://docs.google.com/spreadsheets/d/10nSRjK08hx8Y6HgSOQKNw81lyY46Zc7U_Cj72hBMp9U/edit?usp=sharing"",""นครสวรรค์!I102"")"),30)</f>
        <v>30</v>
      </c>
      <c r="AB18" s="172">
        <f ca="1">IFERROR(__xludf.DUMMYFUNCTION("IMPORTRANGE(""https://docs.google.com/spreadsheets/d/10nSRjK08hx8Y6HgSOQKNw81lyY46Zc7U_Cj72hBMp9U/edit?usp=sharing"",""นครสวรรค์!I103"")"),10)</f>
        <v>10</v>
      </c>
      <c r="AC18" s="173">
        <f ca="1">IFERROR(__xludf.DUMMYFUNCTION("IMPORTRANGE(""https://docs.google.com/spreadsheets/d/10nSRjK08hx8Y6HgSOQKNw81lyY46Zc7U_Cj72hBMp9U/edit?usp=sharing"",""นครสวรรค์!J102"")"),30)</f>
        <v>30</v>
      </c>
      <c r="AD18" s="173">
        <f ca="1">IFERROR(__xludf.DUMMYFUNCTION("IMPORTRANGE(""https://docs.google.com/spreadsheets/d/10nSRjK08hx8Y6HgSOQKNw81lyY46Zc7U_Cj72hBMp9U/edit?usp=sharing"",""นครสวรรค์!J103"")"),10)</f>
        <v>10</v>
      </c>
      <c r="AE18" s="173">
        <f ca="1">IFERROR(__xludf.DUMMYFUNCTION("IMPORTRANGE(""https://docs.google.com/spreadsheets/d/10nSRjK08hx8Y6HgSOQKNw81lyY46Zc7U_Cj72hBMp9U/edit?usp=sharing"",""นครสวรรค์!J104"")"),10)</f>
        <v>10</v>
      </c>
      <c r="AF18" s="172">
        <f ca="1">IFERROR(__xludf.DUMMYFUNCTION("IMPORTRANGE(""https://docs.google.com/spreadsheets/d/10nSRjK08hx8Y6HgSOQKNw81lyY46Zc7U_Cj72hBMp9U/edit?usp=sharing"",""นครสวรรค์!I106"")"),1)</f>
        <v>1</v>
      </c>
      <c r="AG18" s="173">
        <f ca="1">IFERROR(__xludf.DUMMYFUNCTION("IMPORTRANGE(""https://docs.google.com/spreadsheets/d/10nSRjK08hx8Y6HgSOQKNw81lyY46Zc7U_Cj72hBMp9U/edit?usp=sharing"",""นครสวรรค์!J106"")"),1)</f>
        <v>1</v>
      </c>
      <c r="AH18" s="173">
        <f ca="1">IFERROR(__xludf.DUMMYFUNCTION("IMPORTRANGE(""https://docs.google.com/spreadsheets/d/10nSRjK08hx8Y6HgSOQKNw81lyY46Zc7U_Cj72hBMp9U/edit?usp=sharing"",""นครสวรรค์!J107"")"),1)</f>
        <v>1</v>
      </c>
      <c r="AI18" s="172">
        <f ca="1">IFERROR(__xludf.DUMMYFUNCTION("IMPORTRANGE(""https://docs.google.com/spreadsheets/d/10nSRjK08hx8Y6HgSOQKNw81lyY46Zc7U_Cj72hBMp9U/edit?usp=sharing"",""นครสวรรค์!I109"")"),1)</f>
        <v>1</v>
      </c>
      <c r="AJ18" s="173">
        <f ca="1">IFERROR(__xludf.DUMMYFUNCTION("IMPORTRANGE(""https://docs.google.com/spreadsheets/d/10nSRjK08hx8Y6HgSOQKNw81lyY46Zc7U_Cj72hBMp9U/edit?usp=sharing"",""นครสวรรค์!J109"")"),1)</f>
        <v>1</v>
      </c>
      <c r="AK18" s="173">
        <f ca="1">IFERROR(__xludf.DUMMYFUNCTION("IMPORTRANGE(""https://docs.google.com/spreadsheets/d/10nSRjK08hx8Y6HgSOQKNw81lyY46Zc7U_Cj72hBMp9U/edit?usp=sharing"",""นครสวรรค์!J110"")"),1)</f>
        <v>1</v>
      </c>
      <c r="AL18" s="172">
        <f ca="1">IFERROR(__xludf.DUMMYFUNCTION("IMPORTRANGE(""https://docs.google.com/spreadsheets/d/10nSRjK08hx8Y6HgSOQKNw81lyY46Zc7U_Cj72hBMp9U/edit?usp=sharing"",""นครสวรรค์!I111"")"),10)</f>
        <v>10</v>
      </c>
      <c r="AM18" s="172">
        <f ca="1">IFERROR(__xludf.DUMMYFUNCTION("IMPORTRANGE(""https://docs.google.com/spreadsheets/d/10nSRjK08hx8Y6HgSOQKNw81lyY46Zc7U_Cj72hBMp9U/edit?usp=sharing"",""นครสวรรค์!I112"")"),2)</f>
        <v>2</v>
      </c>
      <c r="AN18" s="173">
        <f ca="1">IFERROR(__xludf.DUMMYFUNCTION("IMPORTRANGE(""https://docs.google.com/spreadsheets/d/10nSRjK08hx8Y6HgSOQKNw81lyY46Zc7U_Cj72hBMp9U/edit?usp=sharing"",""นครสวรรค์!J111"")"),10)</f>
        <v>10</v>
      </c>
      <c r="AO18" s="173">
        <f t="shared" ca="1" si="15"/>
        <v>100</v>
      </c>
      <c r="AP18" s="173">
        <f ca="1">IFERROR(__xludf.DUMMYFUNCTION("IMPORTRANGE(""https://docs.google.com/spreadsheets/d/10nSRjK08hx8Y6HgSOQKNw81lyY46Zc7U_Cj72hBMp9U/edit?usp=sharing"",""นครสวรรค์!J112"")"),2)</f>
        <v>2</v>
      </c>
      <c r="AQ18" s="175">
        <f t="shared" ca="1" si="16"/>
        <v>100</v>
      </c>
      <c r="AR18" s="172">
        <f ca="1">IFERROR(__xludf.DUMMYFUNCTION("IMPORTRANGE(""https://docs.google.com/spreadsheets/d/10nSRjK08hx8Y6HgSOQKNw81lyY46Zc7U_Cj72hBMp9U/edit?usp=sharing"",""นครสวรรค์!I113"")"),10)</f>
        <v>10</v>
      </c>
      <c r="AS18" s="172">
        <f ca="1">IFERROR(__xludf.DUMMYFUNCTION("IMPORTRANGE(""https://docs.google.com/spreadsheets/d/10nSRjK08hx8Y6HgSOQKNw81lyY46Zc7U_Cj72hBMp9U/edit?usp=sharing"",""นครสวรรค์!J113"")"),10)</f>
        <v>10</v>
      </c>
      <c r="AT18" s="172">
        <f ca="1">IFERROR(__xludf.DUMMYFUNCTION("IMPORTRANGE(""https://docs.google.com/spreadsheets/d/10nSRjK08hx8Y6HgSOQKNw81lyY46Zc7U_Cj72hBMp9U/edit?usp=sharing"",""นครสวรรค์!J114"")"),10)</f>
        <v>10</v>
      </c>
      <c r="AU18" s="172">
        <f ca="1">IFERROR(__xludf.DUMMYFUNCTION("IMPORTRANGE(""https://docs.google.com/spreadsheets/d/10nSRjK08hx8Y6HgSOQKNw81lyY46Zc7U_Cj72hBMp9U/edit?usp=sharing"",""นครสวรรค์!I115"")"),1)</f>
        <v>1</v>
      </c>
      <c r="AV18" s="173">
        <f ca="1">IFERROR(__xludf.DUMMYFUNCTION("IMPORTRANGE(""https://docs.google.com/spreadsheets/d/10nSRjK08hx8Y6HgSOQKNw81lyY46Zc7U_Cj72hBMp9U/edit?usp=sharing"",""นครสวรรค์!J115"")"),1)</f>
        <v>1</v>
      </c>
      <c r="AW18" s="175">
        <f t="shared" ca="1" si="18"/>
        <v>100</v>
      </c>
      <c r="AX18" s="172">
        <f ca="1">IFERROR(__xludf.DUMMYFUNCTION("IMPORTRANGE(""https://docs.google.com/spreadsheets/d/10nSRjK08hx8Y6HgSOQKNw81lyY46Zc7U_Cj72hBMp9U/edit?usp=sharing"",""นครสวรรค์!I116"")"),1)</f>
        <v>1</v>
      </c>
      <c r="AY18" s="173">
        <f ca="1">IFERROR(__xludf.DUMMYFUNCTION("IMPORTRANGE(""https://docs.google.com/spreadsheets/d/10nSRjK08hx8Y6HgSOQKNw81lyY46Zc7U_Cj72hBMp9U/edit?usp=sharing"",""นครสวรรค์!J116"")"),1)</f>
        <v>1</v>
      </c>
      <c r="AZ18" s="175">
        <f t="shared" ca="1" si="20"/>
        <v>100</v>
      </c>
    </row>
    <row r="19" spans="1:52" ht="24" customHeight="1" x14ac:dyDescent="0.3">
      <c r="A19" s="168">
        <v>6</v>
      </c>
      <c r="B19" s="169" t="s">
        <v>41</v>
      </c>
      <c r="C19" s="170">
        <f t="shared" ca="1" si="0"/>
        <v>269500</v>
      </c>
      <c r="D19" s="171">
        <f t="shared" ca="1" si="42"/>
        <v>269500</v>
      </c>
      <c r="E19" s="172">
        <f ca="1">IFERROR(__xludf.DUMMYFUNCTION("IMPORTRANGE(""https://docs.google.com/spreadsheets/d/1MeEWN-I1oV_STSDYn1IFDPWt_1FKiwhDph83XaGc0o0/edit?usp=sharing"",""งบพรบ!AR19"")"),143000)</f>
        <v>143000</v>
      </c>
      <c r="F19" s="172">
        <f ca="1">IFERROR(__xludf.DUMMYFUNCTION("IMPORTRANGE(""https://docs.google.com/spreadsheets/d/1MeEWN-I1oV_STSDYn1IFDPWt_1FKiwhDph83XaGc0o0/edit?usp=sharing"",""งบพรบ!AS19"")"),126500)</f>
        <v>126500</v>
      </c>
      <c r="G19" s="172">
        <f ca="1">IFERROR(__xludf.DUMMYFUNCTION("IMPORTRANGE(""https://docs.google.com/spreadsheets/d/1MeEWN-I1oV_STSDYn1IFDPWt_1FKiwhDph83XaGc0o0/edit?usp=sharing"",""งบพรบ!AT19"")"),0)</f>
        <v>0</v>
      </c>
      <c r="H19" s="172">
        <f ca="1">IFERROR(__xludf.DUMMYFUNCTION("IMPORTRANGE(""https://docs.google.com/spreadsheets/d/1MeEWN-I1oV_STSDYn1IFDPWt_1FKiwhDph83XaGc0o0/edit?usp=sharing"",""งบพรบ!AV19"")"),269500)</f>
        <v>269500</v>
      </c>
      <c r="I19" s="172">
        <f ca="1">IFERROR(__xludf.DUMMYFUNCTION("IMPORTRANGE(""https://docs.google.com/spreadsheets/d/1MeEWN-I1oV_STSDYn1IFDPWt_1FKiwhDph83XaGc0o0/edit?usp=sharing"",""งบพรบ!AW19"")"),0)</f>
        <v>0</v>
      </c>
      <c r="J19" s="172">
        <f t="shared" ca="1" si="3"/>
        <v>254695</v>
      </c>
      <c r="K19" s="179">
        <f t="shared" ca="1" si="4"/>
        <v>94.506493506493513</v>
      </c>
      <c r="L19" s="172">
        <f ca="1">IFERROR(__xludf.DUMMYFUNCTION("IMPORTRANGE(""https://docs.google.com/spreadsheets/d/1MeEWN-I1oV_STSDYn1IFDPWt_1FKiwhDph83XaGc0o0/edit?usp=sharing"",""งบพรบ!AX19"")"),254695)</f>
        <v>254695</v>
      </c>
      <c r="M19" s="175">
        <f t="shared" ca="1" si="5"/>
        <v>94.506493506493513</v>
      </c>
      <c r="N19" s="175">
        <f t="shared" ca="1" si="6"/>
        <v>94.506493506493513</v>
      </c>
      <c r="O19" s="176">
        <f ca="1">IFERROR(__xludf.DUMMYFUNCTION("IMPORTRANGE(""https://docs.google.com/spreadsheets/d/1MeEWN-I1oV_STSDYn1IFDPWt_1FKiwhDph83XaGc0o0/edit?usp=sharing"",""งบพรบ!AY19"")"),0)</f>
        <v>0</v>
      </c>
      <c r="P19" s="176">
        <f t="shared" ca="1" si="36"/>
        <v>0</v>
      </c>
      <c r="Q19" s="175">
        <f t="shared" ca="1" si="8"/>
        <v>0</v>
      </c>
      <c r="R19" s="173">
        <f ca="1">IFERROR(__xludf.DUMMYFUNCTION("IMPORTRANGE(""https://docs.google.com/spreadsheets/d/1gFVb7qd7amutrIxAAoM7lcy35hllxznovot8lyOfvDo/edit?usp=sharing"",""น่าน!I98"")"),150)</f>
        <v>150</v>
      </c>
      <c r="S19" s="173">
        <f ca="1">IFERROR(__xludf.DUMMYFUNCTION("IMPORTRANGE(""https://docs.google.com/spreadsheets/d/1gFVb7qd7amutrIxAAoM7lcy35hllxznovot8lyOfvDo/edit?usp=sharing"",""น่าน!J98"")"),150)</f>
        <v>150</v>
      </c>
      <c r="T19" s="173">
        <f t="shared" ca="1" si="10"/>
        <v>100</v>
      </c>
      <c r="U19" s="173">
        <f ca="1">IFERROR(__xludf.DUMMYFUNCTION("IMPORTRANGE(""https://docs.google.com/spreadsheets/d/1gFVb7qd7amutrIxAAoM7lcy35hllxznovot8lyOfvDo/edit?usp=sharing"",""น่าน!I99"")"),50)</f>
        <v>50</v>
      </c>
      <c r="V19" s="173">
        <f ca="1">IFERROR(__xludf.DUMMYFUNCTION("IMPORTRANGE(""https://docs.google.com/spreadsheets/d/1gFVb7qd7amutrIxAAoM7lcy35hllxznovot8lyOfvDo/edit?usp=sharing"",""น่าน!I100"")"),0)</f>
        <v>0</v>
      </c>
      <c r="W19" s="173">
        <f ca="1">IFERROR(__xludf.DUMMYFUNCTION("IMPORTRANGE(""https://docs.google.com/spreadsheets/d/1gFVb7qd7amutrIxAAoM7lcy35hllxznovot8lyOfvDo/edit?usp=sharing"",""น่าน!J99"")"),50)</f>
        <v>50</v>
      </c>
      <c r="X19" s="177">
        <f t="shared" ca="1" si="12"/>
        <v>100</v>
      </c>
      <c r="Y19" s="178">
        <f ca="1">IFERROR(__xludf.DUMMYFUNCTION("IMPORTRANGE(""https://docs.google.com/spreadsheets/d/1gFVb7qd7amutrIxAAoM7lcy35hllxznovot8lyOfvDo/edit?usp=sharing"",""น่าน!J100"")"),0)</f>
        <v>0</v>
      </c>
      <c r="Z19" s="177">
        <f t="shared" ca="1" si="13"/>
        <v>0</v>
      </c>
      <c r="AA19" s="172">
        <f ca="1">IFERROR(__xludf.DUMMYFUNCTION("IMPORTRANGE(""https://docs.google.com/spreadsheets/d/1gFVb7qd7amutrIxAAoM7lcy35hllxznovot8lyOfvDo/edit?usp=sharing"",""น่าน!I102"")"),150)</f>
        <v>150</v>
      </c>
      <c r="AB19" s="172">
        <f ca="1">IFERROR(__xludf.DUMMYFUNCTION("IMPORTRANGE(""https://docs.google.com/spreadsheets/d/1gFVb7qd7amutrIxAAoM7lcy35hllxznovot8lyOfvDo/edit?usp=sharing"",""น่าน!I103"")"),50)</f>
        <v>50</v>
      </c>
      <c r="AC19" s="173">
        <f ca="1">IFERROR(__xludf.DUMMYFUNCTION("IMPORTRANGE(""https://docs.google.com/spreadsheets/d/1gFVb7qd7amutrIxAAoM7lcy35hllxznovot8lyOfvDo/edit?usp=sharing"",""น่าน!J102"")"),150)</f>
        <v>150</v>
      </c>
      <c r="AD19" s="173">
        <f ca="1">IFERROR(__xludf.DUMMYFUNCTION("IMPORTRANGE(""https://docs.google.com/spreadsheets/d/1gFVb7qd7amutrIxAAoM7lcy35hllxznovot8lyOfvDo/edit?usp=sharing"",""น่าน!J103"")"),50)</f>
        <v>50</v>
      </c>
      <c r="AE19" s="173">
        <f ca="1">IFERROR(__xludf.DUMMYFUNCTION("IMPORTRANGE(""https://docs.google.com/spreadsheets/d/1gFVb7qd7amutrIxAAoM7lcy35hllxznovot8lyOfvDo/edit?usp=sharing"",""น่าน!J104"")"),50)</f>
        <v>50</v>
      </c>
      <c r="AF19" s="172">
        <f ca="1">IFERROR(__xludf.DUMMYFUNCTION("IMPORTRANGE(""https://docs.google.com/spreadsheets/d/1gFVb7qd7amutrIxAAoM7lcy35hllxznovot8lyOfvDo/edit?usp=sharing"",""น่าน!I106"")"),0)</f>
        <v>0</v>
      </c>
      <c r="AG19" s="173">
        <f ca="1">IFERROR(__xludf.DUMMYFUNCTION("IMPORTRANGE(""https://docs.google.com/spreadsheets/d/1gFVb7qd7amutrIxAAoM7lcy35hllxznovot8lyOfvDo/edit?usp=sharing"",""น่าน!J106"")"),0)</f>
        <v>0</v>
      </c>
      <c r="AH19" s="173">
        <f ca="1">IFERROR(__xludf.DUMMYFUNCTION("IMPORTRANGE(""https://docs.google.com/spreadsheets/d/1gFVb7qd7amutrIxAAoM7lcy35hllxznovot8lyOfvDo/edit?usp=sharing"",""น่าน!J107"")"),0)</f>
        <v>0</v>
      </c>
      <c r="AI19" s="172">
        <f ca="1">IFERROR(__xludf.DUMMYFUNCTION("IMPORTRANGE(""https://docs.google.com/spreadsheets/d/1gFVb7qd7amutrIxAAoM7lcy35hllxznovot8lyOfvDo/edit?usp=sharing"",""น่าน!I109"")"),0)</f>
        <v>0</v>
      </c>
      <c r="AJ19" s="173">
        <f ca="1">IFERROR(__xludf.DUMMYFUNCTION("IMPORTRANGE(""https://docs.google.com/spreadsheets/d/1gFVb7qd7amutrIxAAoM7lcy35hllxznovot8lyOfvDo/edit?usp=sharing"",""น่าน!J109"")"),0)</f>
        <v>0</v>
      </c>
      <c r="AK19" s="173">
        <f ca="1">IFERROR(__xludf.DUMMYFUNCTION("IMPORTRANGE(""https://docs.google.com/spreadsheets/d/1gFVb7qd7amutrIxAAoM7lcy35hllxznovot8lyOfvDo/edit?usp=sharing"",""น่าน!J110"")"),0)</f>
        <v>0</v>
      </c>
      <c r="AL19" s="172">
        <f ca="1">IFERROR(__xludf.DUMMYFUNCTION("IMPORTRANGE(""https://docs.google.com/spreadsheets/d/1gFVb7qd7amutrIxAAoM7lcy35hllxznovot8lyOfvDo/edit?usp=sharing"",""น่าน!I111"")"),50)</f>
        <v>50</v>
      </c>
      <c r="AM19" s="172">
        <f ca="1">IFERROR(__xludf.DUMMYFUNCTION("IMPORTRANGE(""https://docs.google.com/spreadsheets/d/1gFVb7qd7amutrIxAAoM7lcy35hllxznovot8lyOfvDo/edit?usp=sharing"",""น่าน!I112"")"),0)</f>
        <v>0</v>
      </c>
      <c r="AN19" s="173">
        <f ca="1">IFERROR(__xludf.DUMMYFUNCTION("IMPORTRANGE(""https://docs.google.com/spreadsheets/d/1gFVb7qd7amutrIxAAoM7lcy35hllxznovot8lyOfvDo/edit?usp=sharing"",""น่าน!J111"")"),50)</f>
        <v>50</v>
      </c>
      <c r="AO19" s="173">
        <f t="shared" ca="1" si="15"/>
        <v>100</v>
      </c>
      <c r="AP19" s="173">
        <f ca="1">IFERROR(__xludf.DUMMYFUNCTION("IMPORTRANGE(""https://docs.google.com/spreadsheets/d/1gFVb7qd7amutrIxAAoM7lcy35hllxznovot8lyOfvDo/edit?usp=sharing"",""น่าน!J112"")"),0)</f>
        <v>0</v>
      </c>
      <c r="AQ19" s="175">
        <f t="shared" ca="1" si="16"/>
        <v>0</v>
      </c>
      <c r="AR19" s="172">
        <f ca="1">IFERROR(__xludf.DUMMYFUNCTION("IMPORTRANGE(""https://docs.google.com/spreadsheets/d/1gFVb7qd7amutrIxAAoM7lcy35hllxznovot8lyOfvDo/edit?usp=sharing"",""น่าน!I113"")"),50)</f>
        <v>50</v>
      </c>
      <c r="AS19" s="172">
        <f ca="1">IFERROR(__xludf.DUMMYFUNCTION("IMPORTRANGE(""https://docs.google.com/spreadsheets/d/1gFVb7qd7amutrIxAAoM7lcy35hllxznovot8lyOfvDo/edit?usp=sharing"",""น่าน!J113"")"),50)</f>
        <v>50</v>
      </c>
      <c r="AT19" s="172">
        <f ca="1">IFERROR(__xludf.DUMMYFUNCTION("IMPORTRANGE(""https://docs.google.com/spreadsheets/d/1gFVb7qd7amutrIxAAoM7lcy35hllxznovot8lyOfvDo/edit?usp=sharing"",""น่าน!J114"")"),50)</f>
        <v>50</v>
      </c>
      <c r="AU19" s="172">
        <f ca="1">IFERROR(__xludf.DUMMYFUNCTION("IMPORTRANGE(""https://docs.google.com/spreadsheets/d/1gFVb7qd7amutrIxAAoM7lcy35hllxznovot8lyOfvDo/edit?usp=sharing"",""น่าน!I115"")"),0)</f>
        <v>0</v>
      </c>
      <c r="AV19" s="173">
        <f ca="1">IFERROR(__xludf.DUMMYFUNCTION("IMPORTRANGE(""https://docs.google.com/spreadsheets/d/1gFVb7qd7amutrIxAAoM7lcy35hllxznovot8lyOfvDo/edit?usp=sharing"",""น่าน!J115"")"),0)</f>
        <v>0</v>
      </c>
      <c r="AW19" s="175">
        <f t="shared" ca="1" si="18"/>
        <v>0</v>
      </c>
      <c r="AX19" s="172">
        <f ca="1">IFERROR(__xludf.DUMMYFUNCTION("IMPORTRANGE(""https://docs.google.com/spreadsheets/d/1gFVb7qd7amutrIxAAoM7lcy35hllxznovot8lyOfvDo/edit?usp=sharing"",""น่าน!I116"")"),0)</f>
        <v>0</v>
      </c>
      <c r="AY19" s="173">
        <f ca="1">IFERROR(__xludf.DUMMYFUNCTION("IMPORTRANGE(""https://docs.google.com/spreadsheets/d/1gFVb7qd7amutrIxAAoM7lcy35hllxznovot8lyOfvDo/edit?usp=sharing"",""น่าน!J116"")"),0)</f>
        <v>0</v>
      </c>
      <c r="AZ19" s="175">
        <f t="shared" ca="1" si="20"/>
        <v>0</v>
      </c>
    </row>
    <row r="20" spans="1:52" ht="24" customHeight="1" x14ac:dyDescent="0.3">
      <c r="A20" s="168">
        <v>7</v>
      </c>
      <c r="B20" s="169" t="s">
        <v>42</v>
      </c>
      <c r="C20" s="170">
        <f t="shared" ca="1" si="0"/>
        <v>110880</v>
      </c>
      <c r="D20" s="171">
        <f t="shared" ca="1" si="42"/>
        <v>110880</v>
      </c>
      <c r="E20" s="172">
        <f ca="1">IFERROR(__xludf.DUMMYFUNCTION("IMPORTRANGE(""https://docs.google.com/spreadsheets/d/1MeEWN-I1oV_STSDYn1IFDPWt_1FKiwhDph83XaGc0o0/edit?usp=sharing"",""งบพรบ!AR20"")"),0)</f>
        <v>0</v>
      </c>
      <c r="F20" s="172">
        <f ca="1">IFERROR(__xludf.DUMMYFUNCTION("IMPORTRANGE(""https://docs.google.com/spreadsheets/d/1MeEWN-I1oV_STSDYn1IFDPWt_1FKiwhDph83XaGc0o0/edit?usp=sharing"",""งบพรบ!AS20"")"),110880)</f>
        <v>110880</v>
      </c>
      <c r="G20" s="172">
        <f ca="1">IFERROR(__xludf.DUMMYFUNCTION("IMPORTRANGE(""https://docs.google.com/spreadsheets/d/1MeEWN-I1oV_STSDYn1IFDPWt_1FKiwhDph83XaGc0o0/edit?usp=sharing"",""งบพรบ!AT20"")"),0)</f>
        <v>0</v>
      </c>
      <c r="H20" s="172">
        <f ca="1">IFERROR(__xludf.DUMMYFUNCTION("IMPORTRANGE(""https://docs.google.com/spreadsheets/d/1MeEWN-I1oV_STSDYn1IFDPWt_1FKiwhDph83XaGc0o0/edit?usp=sharing"",""งบพรบ!AV20"")"),110880)</f>
        <v>110880</v>
      </c>
      <c r="I20" s="172">
        <f ca="1">IFERROR(__xludf.DUMMYFUNCTION("IMPORTRANGE(""https://docs.google.com/spreadsheets/d/1MeEWN-I1oV_STSDYn1IFDPWt_1FKiwhDph83XaGc0o0/edit?usp=sharing"",""งบพรบ!AW20"")"),0)</f>
        <v>0</v>
      </c>
      <c r="J20" s="172">
        <f t="shared" ca="1" si="3"/>
        <v>110880</v>
      </c>
      <c r="K20" s="179">
        <f t="shared" ca="1" si="4"/>
        <v>100</v>
      </c>
      <c r="L20" s="172">
        <f ca="1">IFERROR(__xludf.DUMMYFUNCTION("IMPORTRANGE(""https://docs.google.com/spreadsheets/d/1MeEWN-I1oV_STSDYn1IFDPWt_1FKiwhDph83XaGc0o0/edit?usp=sharing"",""งบพรบ!AX20"")"),110880)</f>
        <v>110880</v>
      </c>
      <c r="M20" s="175">
        <f t="shared" ca="1" si="5"/>
        <v>100</v>
      </c>
      <c r="N20" s="175">
        <f t="shared" ca="1" si="6"/>
        <v>100</v>
      </c>
      <c r="O20" s="176">
        <f ca="1">IFERROR(__xludf.DUMMYFUNCTION("IMPORTRANGE(""https://docs.google.com/spreadsheets/d/1MeEWN-I1oV_STSDYn1IFDPWt_1FKiwhDph83XaGc0o0/edit?usp=sharing"",""งบพรบ!AY20"")"),0)</f>
        <v>0</v>
      </c>
      <c r="P20" s="176">
        <f t="shared" ca="1" si="36"/>
        <v>0</v>
      </c>
      <c r="Q20" s="175">
        <f t="shared" ca="1" si="8"/>
        <v>0</v>
      </c>
      <c r="R20" s="173">
        <f ca="1">IFERROR(__xludf.DUMMYFUNCTION("IMPORTRANGE(""https://docs.google.com/spreadsheets/d/1K0Aa9s-6EuHE5M0FG1F9aHLXRCOV917xvycTdLdct0w/edit?usp=sharing"",""พะเยา!I98"")"),60)</f>
        <v>60</v>
      </c>
      <c r="S20" s="173">
        <f ca="1">IFERROR(__xludf.DUMMYFUNCTION("IMPORTRANGE(""https://docs.google.com/spreadsheets/d/1K0Aa9s-6EuHE5M0FG1F9aHLXRCOV917xvycTdLdct0w/edit?usp=sharing"",""พะเยา!J98"")"),60)</f>
        <v>60</v>
      </c>
      <c r="T20" s="173">
        <f t="shared" ca="1" si="10"/>
        <v>100</v>
      </c>
      <c r="U20" s="173">
        <f ca="1">IFERROR(__xludf.DUMMYFUNCTION("IMPORTRANGE(""https://docs.google.com/spreadsheets/d/1K0Aa9s-6EuHE5M0FG1F9aHLXRCOV917xvycTdLdct0w/edit?usp=sharing"",""พะเยา!I99"")"),20)</f>
        <v>20</v>
      </c>
      <c r="V20" s="173">
        <f ca="1">IFERROR(__xludf.DUMMYFUNCTION("IMPORTRANGE(""https://docs.google.com/spreadsheets/d/1K0Aa9s-6EuHE5M0FG1F9aHLXRCOV917xvycTdLdct0w/edit?usp=sharing"",""พะเยา!I100"")"),2)</f>
        <v>2</v>
      </c>
      <c r="W20" s="173">
        <f ca="1">IFERROR(__xludf.DUMMYFUNCTION("IMPORTRANGE(""https://docs.google.com/spreadsheets/d/1K0Aa9s-6EuHE5M0FG1F9aHLXRCOV917xvycTdLdct0w/edit?usp=sharing"",""พะเยา!J99"")"),20)</f>
        <v>20</v>
      </c>
      <c r="X20" s="177">
        <f t="shared" ca="1" si="12"/>
        <v>100</v>
      </c>
      <c r="Y20" s="178">
        <f ca="1">IFERROR(__xludf.DUMMYFUNCTION("IMPORTRANGE(""https://docs.google.com/spreadsheets/d/1K0Aa9s-6EuHE5M0FG1F9aHLXRCOV917xvycTdLdct0w/edit?usp=sharing"",""พะเยา!J100"")"),2)</f>
        <v>2</v>
      </c>
      <c r="Z20" s="177">
        <f t="shared" ca="1" si="13"/>
        <v>100</v>
      </c>
      <c r="AA20" s="172">
        <f ca="1">IFERROR(__xludf.DUMMYFUNCTION("IMPORTRANGE(""https://docs.google.com/spreadsheets/d/1K0Aa9s-6EuHE5M0FG1F9aHLXRCOV917xvycTdLdct0w/edit?usp=sharing"",""พะเยา!I102"")"),60)</f>
        <v>60</v>
      </c>
      <c r="AB20" s="172">
        <f ca="1">IFERROR(__xludf.DUMMYFUNCTION("IMPORTRANGE(""https://docs.google.com/spreadsheets/d/1K0Aa9s-6EuHE5M0FG1F9aHLXRCOV917xvycTdLdct0w/edit?usp=sharing"",""พะเยา!I103"")"),20)</f>
        <v>20</v>
      </c>
      <c r="AC20" s="173">
        <f ca="1">IFERROR(__xludf.DUMMYFUNCTION("IMPORTRANGE(""https://docs.google.com/spreadsheets/d/1K0Aa9s-6EuHE5M0FG1F9aHLXRCOV917xvycTdLdct0w/edit?usp=sharing"",""พะเยา!J102"")"),60)</f>
        <v>60</v>
      </c>
      <c r="AD20" s="173">
        <f ca="1">IFERROR(__xludf.DUMMYFUNCTION("IMPORTRANGE(""https://docs.google.com/spreadsheets/d/1K0Aa9s-6EuHE5M0FG1F9aHLXRCOV917xvycTdLdct0w/edit?usp=sharing"",""พะเยา!J103"")"),20)</f>
        <v>20</v>
      </c>
      <c r="AE20" s="173">
        <f ca="1">IFERROR(__xludf.DUMMYFUNCTION("IMPORTRANGE(""https://docs.google.com/spreadsheets/d/1K0Aa9s-6EuHE5M0FG1F9aHLXRCOV917xvycTdLdct0w/edit?usp=sharing"",""พะเยา!J104"")"),20)</f>
        <v>20</v>
      </c>
      <c r="AF20" s="172">
        <f ca="1">IFERROR(__xludf.DUMMYFUNCTION("IMPORTRANGE(""https://docs.google.com/spreadsheets/d/1K0Aa9s-6EuHE5M0FG1F9aHLXRCOV917xvycTdLdct0w/edit?usp=sharing"",""พะเยา!I106"")"),1)</f>
        <v>1</v>
      </c>
      <c r="AG20" s="173">
        <f ca="1">IFERROR(__xludf.DUMMYFUNCTION("IMPORTRANGE(""https://docs.google.com/spreadsheets/d/1K0Aa9s-6EuHE5M0FG1F9aHLXRCOV917xvycTdLdct0w/edit?usp=sharing"",""พะเยา!J106"")"),1)</f>
        <v>1</v>
      </c>
      <c r="AH20" s="173">
        <f ca="1">IFERROR(__xludf.DUMMYFUNCTION("IMPORTRANGE(""https://docs.google.com/spreadsheets/d/1K0Aa9s-6EuHE5M0FG1F9aHLXRCOV917xvycTdLdct0w/edit?usp=sharing"",""พะเยา!J107"")"),1)</f>
        <v>1</v>
      </c>
      <c r="AI20" s="172">
        <f ca="1">IFERROR(__xludf.DUMMYFUNCTION("IMPORTRANGE(""https://docs.google.com/spreadsheets/d/1K0Aa9s-6EuHE5M0FG1F9aHLXRCOV917xvycTdLdct0w/edit?usp=sharing"",""พะเยา!I109"")"),1)</f>
        <v>1</v>
      </c>
      <c r="AJ20" s="173">
        <f ca="1">IFERROR(__xludf.DUMMYFUNCTION("IMPORTRANGE(""https://docs.google.com/spreadsheets/d/1K0Aa9s-6EuHE5M0FG1F9aHLXRCOV917xvycTdLdct0w/edit?usp=sharing"",""พะเยา!J109"")"),1)</f>
        <v>1</v>
      </c>
      <c r="AK20" s="173">
        <f ca="1">IFERROR(__xludf.DUMMYFUNCTION("IMPORTRANGE(""https://docs.google.com/spreadsheets/d/1K0Aa9s-6EuHE5M0FG1F9aHLXRCOV917xvycTdLdct0w/edit?usp=sharing"",""พะเยา!J110"")"),1)</f>
        <v>1</v>
      </c>
      <c r="AL20" s="172">
        <f ca="1">IFERROR(__xludf.DUMMYFUNCTION("IMPORTRANGE(""https://docs.google.com/spreadsheets/d/1K0Aa9s-6EuHE5M0FG1F9aHLXRCOV917xvycTdLdct0w/edit?usp=sharing"",""พะเยา!I111"")"),20)</f>
        <v>20</v>
      </c>
      <c r="AM20" s="172">
        <f ca="1">IFERROR(__xludf.DUMMYFUNCTION("IMPORTRANGE(""https://docs.google.com/spreadsheets/d/1K0Aa9s-6EuHE5M0FG1F9aHLXRCOV917xvycTdLdct0w/edit?usp=sharing"",""พะเยา!I112"")"),2)</f>
        <v>2</v>
      </c>
      <c r="AN20" s="173">
        <f ca="1">IFERROR(__xludf.DUMMYFUNCTION("IMPORTRANGE(""https://docs.google.com/spreadsheets/d/1K0Aa9s-6EuHE5M0FG1F9aHLXRCOV917xvycTdLdct0w/edit?usp=sharing"",""พะเยา!J111"")"),20)</f>
        <v>20</v>
      </c>
      <c r="AO20" s="173">
        <f t="shared" ca="1" si="15"/>
        <v>100</v>
      </c>
      <c r="AP20" s="173">
        <f ca="1">IFERROR(__xludf.DUMMYFUNCTION("IMPORTRANGE(""https://docs.google.com/spreadsheets/d/1K0Aa9s-6EuHE5M0FG1F9aHLXRCOV917xvycTdLdct0w/edit?usp=sharing"",""พะเยา!J112"")"),0)</f>
        <v>0</v>
      </c>
      <c r="AQ20" s="175">
        <f t="shared" ca="1" si="16"/>
        <v>0</v>
      </c>
      <c r="AR20" s="172">
        <f ca="1">IFERROR(__xludf.DUMMYFUNCTION("IMPORTRANGE(""https://docs.google.com/spreadsheets/d/1K0Aa9s-6EuHE5M0FG1F9aHLXRCOV917xvycTdLdct0w/edit?usp=sharing"",""พะเยา!I113"")"),20)</f>
        <v>20</v>
      </c>
      <c r="AS20" s="172">
        <f ca="1">IFERROR(__xludf.DUMMYFUNCTION("IMPORTRANGE(""https://docs.google.com/spreadsheets/d/1K0Aa9s-6EuHE5M0FG1F9aHLXRCOV917xvycTdLdct0w/edit?usp=sharing"",""พะเยา!J113"")"),20)</f>
        <v>20</v>
      </c>
      <c r="AT20" s="172">
        <f ca="1">IFERROR(__xludf.DUMMYFUNCTION("IMPORTRANGE(""https://docs.google.com/spreadsheets/d/1K0Aa9s-6EuHE5M0FG1F9aHLXRCOV917xvycTdLdct0w/edit?usp=sharing"",""พะเยา!J114"")"),20)</f>
        <v>20</v>
      </c>
      <c r="AU20" s="172">
        <f ca="1">IFERROR(__xludf.DUMMYFUNCTION("IMPORTRANGE(""https://docs.google.com/spreadsheets/d/1K0Aa9s-6EuHE5M0FG1F9aHLXRCOV917xvycTdLdct0w/edit?usp=sharing"",""พะเยา!I115"")"),1)</f>
        <v>1</v>
      </c>
      <c r="AV20" s="173">
        <f ca="1">IFERROR(__xludf.DUMMYFUNCTION("IMPORTRANGE(""https://docs.google.com/spreadsheets/d/1K0Aa9s-6EuHE5M0FG1F9aHLXRCOV917xvycTdLdct0w/edit?usp=sharing"",""พะเยา!J115"")"),0)</f>
        <v>0</v>
      </c>
      <c r="AW20" s="175">
        <f t="shared" ca="1" si="18"/>
        <v>0</v>
      </c>
      <c r="AX20" s="172">
        <f ca="1">IFERROR(__xludf.DUMMYFUNCTION("IMPORTRANGE(""https://docs.google.com/spreadsheets/d/1K0Aa9s-6EuHE5M0FG1F9aHLXRCOV917xvycTdLdct0w/edit?usp=sharing"",""พะเยา!I116"")"),1)</f>
        <v>1</v>
      </c>
      <c r="AY20" s="173">
        <f ca="1">IFERROR(__xludf.DUMMYFUNCTION("IMPORTRANGE(""https://docs.google.com/spreadsheets/d/1K0Aa9s-6EuHE5M0FG1F9aHLXRCOV917xvycTdLdct0w/edit?usp=sharing"",""พะเยา!J116"")"),0)</f>
        <v>0</v>
      </c>
      <c r="AZ20" s="175">
        <f t="shared" ca="1" si="20"/>
        <v>0</v>
      </c>
    </row>
    <row r="21" spans="1:52" ht="24" customHeight="1" x14ac:dyDescent="0.3">
      <c r="A21" s="168">
        <v>8</v>
      </c>
      <c r="B21" s="169" t="s">
        <v>43</v>
      </c>
      <c r="C21" s="170">
        <f t="shared" ca="1" si="0"/>
        <v>85840</v>
      </c>
      <c r="D21" s="171">
        <f t="shared" ca="1" si="42"/>
        <v>85840</v>
      </c>
      <c r="E21" s="172">
        <f ca="1">IFERROR(__xludf.DUMMYFUNCTION("IMPORTRANGE(""https://docs.google.com/spreadsheets/d/1MeEWN-I1oV_STSDYn1IFDPWt_1FKiwhDph83XaGc0o0/edit?usp=sharing"",""งบพรบ!AR21"")"),0)</f>
        <v>0</v>
      </c>
      <c r="F21" s="172">
        <f ca="1">IFERROR(__xludf.DUMMYFUNCTION("IMPORTRANGE(""https://docs.google.com/spreadsheets/d/1MeEWN-I1oV_STSDYn1IFDPWt_1FKiwhDph83XaGc0o0/edit?usp=sharing"",""งบพรบ!AS21"")"),85840)</f>
        <v>85840</v>
      </c>
      <c r="G21" s="172">
        <f ca="1">IFERROR(__xludf.DUMMYFUNCTION("IMPORTRANGE(""https://docs.google.com/spreadsheets/d/1MeEWN-I1oV_STSDYn1IFDPWt_1FKiwhDph83XaGc0o0/edit?usp=sharing"",""งบพรบ!AT21"")"),0)</f>
        <v>0</v>
      </c>
      <c r="H21" s="172">
        <f ca="1">IFERROR(__xludf.DUMMYFUNCTION("IMPORTRANGE(""https://docs.google.com/spreadsheets/d/1MeEWN-I1oV_STSDYn1IFDPWt_1FKiwhDph83XaGc0o0/edit?usp=sharing"",""งบพรบ!AV21"")"),85840)</f>
        <v>85840</v>
      </c>
      <c r="I21" s="172">
        <f ca="1">IFERROR(__xludf.DUMMYFUNCTION("IMPORTRANGE(""https://docs.google.com/spreadsheets/d/1MeEWN-I1oV_STSDYn1IFDPWt_1FKiwhDph83XaGc0o0/edit?usp=sharing"",""งบพรบ!AW21"")"),0)</f>
        <v>0</v>
      </c>
      <c r="J21" s="172">
        <f t="shared" ca="1" si="3"/>
        <v>76676</v>
      </c>
      <c r="K21" s="179">
        <f t="shared" ca="1" si="4"/>
        <v>89.324324324324323</v>
      </c>
      <c r="L21" s="172">
        <f ca="1">IFERROR(__xludf.DUMMYFUNCTION("IMPORTRANGE(""https://docs.google.com/spreadsheets/d/1MeEWN-I1oV_STSDYn1IFDPWt_1FKiwhDph83XaGc0o0/edit?usp=sharing"",""งบพรบ!AX21"")"),76676)</f>
        <v>76676</v>
      </c>
      <c r="M21" s="175">
        <f t="shared" ca="1" si="5"/>
        <v>89.324324324324323</v>
      </c>
      <c r="N21" s="175">
        <f t="shared" ca="1" si="6"/>
        <v>89.324324324324323</v>
      </c>
      <c r="O21" s="176">
        <f ca="1">IFERROR(__xludf.DUMMYFUNCTION("IMPORTRANGE(""https://docs.google.com/spreadsheets/d/1MeEWN-I1oV_STSDYn1IFDPWt_1FKiwhDph83XaGc0o0/edit?usp=sharing"",""งบพรบ!AY21"")"),0)</f>
        <v>0</v>
      </c>
      <c r="P21" s="176">
        <f t="shared" ca="1" si="36"/>
        <v>0</v>
      </c>
      <c r="Q21" s="175">
        <f t="shared" ca="1" si="8"/>
        <v>0</v>
      </c>
      <c r="R21" s="173">
        <f ca="1">IFERROR(__xludf.DUMMYFUNCTION("IMPORTRANGE(""https://docs.google.com/spreadsheets/d/1Y9LPKx95PyL5OKy09d-KbKJSuuEZCFdkhYjwC0XQjBA/edit?usp=sharing"",""พิจิตร!I98"")"),30)</f>
        <v>30</v>
      </c>
      <c r="S21" s="173">
        <f ca="1">IFERROR(__xludf.DUMMYFUNCTION("IMPORTRANGE(""https://docs.google.com/spreadsheets/d/1Y9LPKx95PyL5OKy09d-KbKJSuuEZCFdkhYjwC0XQjBA/edit?usp=sharing"",""พิจิตร!J98"")"),30)</f>
        <v>30</v>
      </c>
      <c r="T21" s="173">
        <f t="shared" ca="1" si="10"/>
        <v>100</v>
      </c>
      <c r="U21" s="173">
        <f ca="1">IFERROR(__xludf.DUMMYFUNCTION("IMPORTRANGE(""https://docs.google.com/spreadsheets/d/1Y9LPKx95PyL5OKy09d-KbKJSuuEZCFdkhYjwC0XQjBA/edit?usp=sharing"",""พิจิตร!I99"")"),10)</f>
        <v>10</v>
      </c>
      <c r="V21" s="173">
        <f ca="1">IFERROR(__xludf.DUMMYFUNCTION("IMPORTRANGE(""https://docs.google.com/spreadsheets/d/1Y9LPKx95PyL5OKy09d-KbKJSuuEZCFdkhYjwC0XQjBA/edit?usp=sharing"",""พิจิตร!I100"")"),2)</f>
        <v>2</v>
      </c>
      <c r="W21" s="173">
        <f ca="1">IFERROR(__xludf.DUMMYFUNCTION("IMPORTRANGE(""https://docs.google.com/spreadsheets/d/1Y9LPKx95PyL5OKy09d-KbKJSuuEZCFdkhYjwC0XQjBA/edit?usp=sharing"",""พิจิตร!J99"")"),10)</f>
        <v>10</v>
      </c>
      <c r="X21" s="177">
        <f t="shared" ca="1" si="12"/>
        <v>100</v>
      </c>
      <c r="Y21" s="178">
        <f ca="1">IFERROR(__xludf.DUMMYFUNCTION("IMPORTRANGE(""https://docs.google.com/spreadsheets/d/1Y9LPKx95PyL5OKy09d-KbKJSuuEZCFdkhYjwC0XQjBA/edit?usp=sharing"",""พิจิตร!J100"")"),2)</f>
        <v>2</v>
      </c>
      <c r="Z21" s="177">
        <f t="shared" ca="1" si="13"/>
        <v>100</v>
      </c>
      <c r="AA21" s="172">
        <f ca="1">IFERROR(__xludf.DUMMYFUNCTION("IMPORTRANGE(""https://docs.google.com/spreadsheets/d/1Y9LPKx95PyL5OKy09d-KbKJSuuEZCFdkhYjwC0XQjBA/edit?usp=sharing"",""พิจิตร!I102"")"),30)</f>
        <v>30</v>
      </c>
      <c r="AB21" s="172">
        <f ca="1">IFERROR(__xludf.DUMMYFUNCTION("IMPORTRANGE(""https://docs.google.com/spreadsheets/d/1Y9LPKx95PyL5OKy09d-KbKJSuuEZCFdkhYjwC0XQjBA/edit?usp=sharing"",""พิจิตร!I103"")"),10)</f>
        <v>10</v>
      </c>
      <c r="AC21" s="173">
        <f ca="1">IFERROR(__xludf.DUMMYFUNCTION("IMPORTRANGE(""https://docs.google.com/spreadsheets/d/1Y9LPKx95PyL5OKy09d-KbKJSuuEZCFdkhYjwC0XQjBA/edit?usp=sharing"",""พิจิตร!J102"")"),30)</f>
        <v>30</v>
      </c>
      <c r="AD21" s="173">
        <f ca="1">IFERROR(__xludf.DUMMYFUNCTION("IMPORTRANGE(""https://docs.google.com/spreadsheets/d/1Y9LPKx95PyL5OKy09d-KbKJSuuEZCFdkhYjwC0XQjBA/edit?usp=sharing"",""พิจิตร!J103"")"),10)</f>
        <v>10</v>
      </c>
      <c r="AE21" s="173">
        <f ca="1">IFERROR(__xludf.DUMMYFUNCTION("IMPORTRANGE(""https://docs.google.com/spreadsheets/d/1Y9LPKx95PyL5OKy09d-KbKJSuuEZCFdkhYjwC0XQjBA/edit?usp=sharing"",""พิจิตร!J104"")"),10)</f>
        <v>10</v>
      </c>
      <c r="AF21" s="172">
        <f ca="1">IFERROR(__xludf.DUMMYFUNCTION("IMPORTRANGE(""https://docs.google.com/spreadsheets/d/1Y9LPKx95PyL5OKy09d-KbKJSuuEZCFdkhYjwC0XQjBA/edit?usp=sharing"",""พิจิตร!I106"")"),1)</f>
        <v>1</v>
      </c>
      <c r="AG21" s="173">
        <f ca="1">IFERROR(__xludf.DUMMYFUNCTION("IMPORTRANGE(""https://docs.google.com/spreadsheets/d/1Y9LPKx95PyL5OKy09d-KbKJSuuEZCFdkhYjwC0XQjBA/edit?usp=sharing"",""พิจิตร!J106"")"),1)</f>
        <v>1</v>
      </c>
      <c r="AH21" s="173">
        <f ca="1">IFERROR(__xludf.DUMMYFUNCTION("IMPORTRANGE(""https://docs.google.com/spreadsheets/d/1Y9LPKx95PyL5OKy09d-KbKJSuuEZCFdkhYjwC0XQjBA/edit?usp=sharing"",""พิจิตร!J107"")"),1)</f>
        <v>1</v>
      </c>
      <c r="AI21" s="172">
        <f ca="1">IFERROR(__xludf.DUMMYFUNCTION("IMPORTRANGE(""https://docs.google.com/spreadsheets/d/1Y9LPKx95PyL5OKy09d-KbKJSuuEZCFdkhYjwC0XQjBA/edit?usp=sharing"",""พิจิตร!I109"")"),1)</f>
        <v>1</v>
      </c>
      <c r="AJ21" s="173">
        <f ca="1">IFERROR(__xludf.DUMMYFUNCTION("IMPORTRANGE(""https://docs.google.com/spreadsheets/d/1Y9LPKx95PyL5OKy09d-KbKJSuuEZCFdkhYjwC0XQjBA/edit?usp=sharing"",""พิจิตร!J109"")"),1)</f>
        <v>1</v>
      </c>
      <c r="AK21" s="173">
        <f ca="1">IFERROR(__xludf.DUMMYFUNCTION("IMPORTRANGE(""https://docs.google.com/spreadsheets/d/1Y9LPKx95PyL5OKy09d-KbKJSuuEZCFdkhYjwC0XQjBA/edit?usp=sharing"",""พิจิตร!J110"")"),1)</f>
        <v>1</v>
      </c>
      <c r="AL21" s="172">
        <f ca="1">IFERROR(__xludf.DUMMYFUNCTION("IMPORTRANGE(""https://docs.google.com/spreadsheets/d/1Y9LPKx95PyL5OKy09d-KbKJSuuEZCFdkhYjwC0XQjBA/edit?usp=sharing"",""พิจิตร!I111"")"),10)</f>
        <v>10</v>
      </c>
      <c r="AM21" s="172">
        <f ca="1">IFERROR(__xludf.DUMMYFUNCTION("IMPORTRANGE(""https://docs.google.com/spreadsheets/d/1Y9LPKx95PyL5OKy09d-KbKJSuuEZCFdkhYjwC0XQjBA/edit?usp=sharing"",""พิจิตร!I112"")"),2)</f>
        <v>2</v>
      </c>
      <c r="AN21" s="173">
        <f ca="1">IFERROR(__xludf.DUMMYFUNCTION("IMPORTRANGE(""https://docs.google.com/spreadsheets/d/1Y9LPKx95PyL5OKy09d-KbKJSuuEZCFdkhYjwC0XQjBA/edit?usp=sharing"",""พิจิตร!J111"")"),10)</f>
        <v>10</v>
      </c>
      <c r="AO21" s="173">
        <f t="shared" ca="1" si="15"/>
        <v>100</v>
      </c>
      <c r="AP21" s="173">
        <f ca="1">IFERROR(__xludf.DUMMYFUNCTION("IMPORTRANGE(""https://docs.google.com/spreadsheets/d/1Y9LPKx95PyL5OKy09d-KbKJSuuEZCFdkhYjwC0XQjBA/edit?usp=sharing"",""พิจิตร!J112"")"),2)</f>
        <v>2</v>
      </c>
      <c r="AQ21" s="175">
        <f t="shared" ca="1" si="16"/>
        <v>100</v>
      </c>
      <c r="AR21" s="172">
        <f ca="1">IFERROR(__xludf.DUMMYFUNCTION("IMPORTRANGE(""https://docs.google.com/spreadsheets/d/1Y9LPKx95PyL5OKy09d-KbKJSuuEZCFdkhYjwC0XQjBA/edit?usp=sharing"",""พิจิตร!I113"")"),10)</f>
        <v>10</v>
      </c>
      <c r="AS21" s="172">
        <f ca="1">IFERROR(__xludf.DUMMYFUNCTION("IMPORTRANGE(""https://docs.google.com/spreadsheets/d/1Y9LPKx95PyL5OKy09d-KbKJSuuEZCFdkhYjwC0XQjBA/edit?usp=sharing"",""พิจิตร!J113"")"),10)</f>
        <v>10</v>
      </c>
      <c r="AT21" s="172">
        <f ca="1">IFERROR(__xludf.DUMMYFUNCTION("IMPORTRANGE(""https://docs.google.com/spreadsheets/d/1Y9LPKx95PyL5OKy09d-KbKJSuuEZCFdkhYjwC0XQjBA/edit?usp=sharing"",""พิจิตร!J114"")"),10)</f>
        <v>10</v>
      </c>
      <c r="AU21" s="172">
        <f ca="1">IFERROR(__xludf.DUMMYFUNCTION("IMPORTRANGE(""https://docs.google.com/spreadsheets/d/1Y9LPKx95PyL5OKy09d-KbKJSuuEZCFdkhYjwC0XQjBA/edit?usp=sharing"",""พิจิตร!I115"")"),1)</f>
        <v>1</v>
      </c>
      <c r="AV21" s="173">
        <f ca="1">IFERROR(__xludf.DUMMYFUNCTION("IMPORTRANGE(""https://docs.google.com/spreadsheets/d/1Y9LPKx95PyL5OKy09d-KbKJSuuEZCFdkhYjwC0XQjBA/edit?usp=sharing"",""พิจิตร!J115"")"),1)</f>
        <v>1</v>
      </c>
      <c r="AW21" s="175">
        <f t="shared" ca="1" si="18"/>
        <v>100</v>
      </c>
      <c r="AX21" s="172">
        <f ca="1">IFERROR(__xludf.DUMMYFUNCTION("IMPORTRANGE(""https://docs.google.com/spreadsheets/d/1Y9LPKx95PyL5OKy09d-KbKJSuuEZCFdkhYjwC0XQjBA/edit?usp=sharing"",""พิจิตร!I116"")"),1)</f>
        <v>1</v>
      </c>
      <c r="AY21" s="173">
        <f ca="1">IFERROR(__xludf.DUMMYFUNCTION("IMPORTRANGE(""https://docs.google.com/spreadsheets/d/1Y9LPKx95PyL5OKy09d-KbKJSuuEZCFdkhYjwC0XQjBA/edit?usp=sharing"",""พิจิตร!J116"")"),1)</f>
        <v>1</v>
      </c>
      <c r="AZ21" s="175">
        <f t="shared" ca="1" si="20"/>
        <v>100</v>
      </c>
    </row>
    <row r="22" spans="1:52" ht="24" customHeight="1" x14ac:dyDescent="0.3">
      <c r="A22" s="168">
        <v>9</v>
      </c>
      <c r="B22" s="169" t="s">
        <v>44</v>
      </c>
      <c r="C22" s="170">
        <f t="shared" ca="1" si="0"/>
        <v>447560</v>
      </c>
      <c r="D22" s="171">
        <f t="shared" ca="1" si="42"/>
        <v>447560</v>
      </c>
      <c r="E22" s="172">
        <f ca="1">IFERROR(__xludf.DUMMYFUNCTION("IMPORTRANGE(""https://docs.google.com/spreadsheets/d/1MeEWN-I1oV_STSDYn1IFDPWt_1FKiwhDph83XaGc0o0/edit?usp=sharing"",""งบพรบ!AR22"")"),286000)</f>
        <v>286000</v>
      </c>
      <c r="F22" s="172">
        <f ca="1">IFERROR(__xludf.DUMMYFUNCTION("IMPORTRANGE(""https://docs.google.com/spreadsheets/d/1MeEWN-I1oV_STSDYn1IFDPWt_1FKiwhDph83XaGc0o0/edit?usp=sharing"",""งบพรบ!AS22"")"),161560)</f>
        <v>161560</v>
      </c>
      <c r="G22" s="172">
        <f ca="1">IFERROR(__xludf.DUMMYFUNCTION("IMPORTRANGE(""https://docs.google.com/spreadsheets/d/1MeEWN-I1oV_STSDYn1IFDPWt_1FKiwhDph83XaGc0o0/edit?usp=sharing"",""งบพรบ!AT22"")"),0)</f>
        <v>0</v>
      </c>
      <c r="H22" s="172">
        <f ca="1">IFERROR(__xludf.DUMMYFUNCTION("IMPORTRANGE(""https://docs.google.com/spreadsheets/d/1MeEWN-I1oV_STSDYn1IFDPWt_1FKiwhDph83XaGc0o0/edit?usp=sharing"",""งบพรบ!AV22"")"),447560)</f>
        <v>447560</v>
      </c>
      <c r="I22" s="172">
        <f ca="1">IFERROR(__xludf.DUMMYFUNCTION("IMPORTRANGE(""https://docs.google.com/spreadsheets/d/1MeEWN-I1oV_STSDYn1IFDPWt_1FKiwhDph83XaGc0o0/edit?usp=sharing"",""งบพรบ!AW22"")"),0)</f>
        <v>0</v>
      </c>
      <c r="J22" s="172">
        <f t="shared" ca="1" si="3"/>
        <v>372352.26</v>
      </c>
      <c r="K22" s="179">
        <f t="shared" ca="1" si="4"/>
        <v>83.196054160336047</v>
      </c>
      <c r="L22" s="172">
        <f ca="1">IFERROR(__xludf.DUMMYFUNCTION("IMPORTRANGE(""https://docs.google.com/spreadsheets/d/1MeEWN-I1oV_STSDYn1IFDPWt_1FKiwhDph83XaGc0o0/edit?usp=sharing"",""งบพรบ!AX22"")"),372352.26)</f>
        <v>372352.26</v>
      </c>
      <c r="M22" s="175">
        <f t="shared" ca="1" si="5"/>
        <v>83.196054160336047</v>
      </c>
      <c r="N22" s="175">
        <f t="shared" ca="1" si="6"/>
        <v>83.196054160336047</v>
      </c>
      <c r="O22" s="176">
        <f ca="1">IFERROR(__xludf.DUMMYFUNCTION("IMPORTRANGE(""https://docs.google.com/spreadsheets/d/1MeEWN-I1oV_STSDYn1IFDPWt_1FKiwhDph83XaGc0o0/edit?usp=sharing"",""งบพรบ!AY22"")"),0)</f>
        <v>0</v>
      </c>
      <c r="P22" s="176">
        <f t="shared" ca="1" si="36"/>
        <v>0</v>
      </c>
      <c r="Q22" s="175">
        <f t="shared" ca="1" si="8"/>
        <v>0</v>
      </c>
      <c r="R22" s="173">
        <f ca="1">IFERROR(__xludf.DUMMYFUNCTION("IMPORTRANGE(""https://docs.google.com/spreadsheets/d/16OMuOwy2eVqZcYWOouQtTpa8X1L23h4660uVHc0C8os/edit?usp=sharing"",""พิษณุโลก!I98"")"),120)</f>
        <v>120</v>
      </c>
      <c r="S22" s="173">
        <f ca="1">IFERROR(__xludf.DUMMYFUNCTION("IMPORTRANGE(""https://docs.google.com/spreadsheets/d/16OMuOwy2eVqZcYWOouQtTpa8X1L23h4660uVHc0C8os/edit?usp=sharing"",""พิษณุโลก!J98"")"),120)</f>
        <v>120</v>
      </c>
      <c r="T22" s="173">
        <f t="shared" ca="1" si="10"/>
        <v>100</v>
      </c>
      <c r="U22" s="173">
        <f ca="1">IFERROR(__xludf.DUMMYFUNCTION("IMPORTRANGE(""https://docs.google.com/spreadsheets/d/16OMuOwy2eVqZcYWOouQtTpa8X1L23h4660uVHc0C8os/edit?usp=sharing"",""พิษณุโลก!I99"")"),40)</f>
        <v>40</v>
      </c>
      <c r="V22" s="173">
        <f ca="1">IFERROR(__xludf.DUMMYFUNCTION("IMPORTRANGE(""https://docs.google.com/spreadsheets/d/16OMuOwy2eVqZcYWOouQtTpa8X1L23h4660uVHc0C8os/edit?usp=sharing"",""พิษณุโลก!I100"")"),2)</f>
        <v>2</v>
      </c>
      <c r="W22" s="173">
        <f ca="1">IFERROR(__xludf.DUMMYFUNCTION("IMPORTRANGE(""https://docs.google.com/spreadsheets/d/16OMuOwy2eVqZcYWOouQtTpa8X1L23h4660uVHc0C8os/edit?usp=sharing"",""พิษณุโลก!J99"")"),40)</f>
        <v>40</v>
      </c>
      <c r="X22" s="177">
        <f t="shared" ca="1" si="12"/>
        <v>100</v>
      </c>
      <c r="Y22" s="178">
        <f ca="1">IFERROR(__xludf.DUMMYFUNCTION("IMPORTRANGE(""https://docs.google.com/spreadsheets/d/16OMuOwy2eVqZcYWOouQtTpa8X1L23h4660uVHc0C8os/edit?usp=sharing"",""พิษณุโลก!J100"")"),1)</f>
        <v>1</v>
      </c>
      <c r="Z22" s="177">
        <f t="shared" ca="1" si="13"/>
        <v>50</v>
      </c>
      <c r="AA22" s="172">
        <f ca="1">IFERROR(__xludf.DUMMYFUNCTION("IMPORTRANGE(""https://docs.google.com/spreadsheets/d/16OMuOwy2eVqZcYWOouQtTpa8X1L23h4660uVHc0C8os/edit?usp=sharing"",""พิษณุโลก!I102"")"),120)</f>
        <v>120</v>
      </c>
      <c r="AB22" s="172">
        <f ca="1">IFERROR(__xludf.DUMMYFUNCTION("IMPORTRANGE(""https://docs.google.com/spreadsheets/d/16OMuOwy2eVqZcYWOouQtTpa8X1L23h4660uVHc0C8os/edit?usp=sharing"",""พิษณุโลก!I103"")"),40)</f>
        <v>40</v>
      </c>
      <c r="AC22" s="173">
        <f ca="1">IFERROR(__xludf.DUMMYFUNCTION("IMPORTRANGE(""https://docs.google.com/spreadsheets/d/16OMuOwy2eVqZcYWOouQtTpa8X1L23h4660uVHc0C8os/edit?usp=sharing"",""พิษณุโลก!J102"")"),120)</f>
        <v>120</v>
      </c>
      <c r="AD22" s="173">
        <f ca="1">IFERROR(__xludf.DUMMYFUNCTION("IMPORTRANGE(""https://docs.google.com/spreadsheets/d/16OMuOwy2eVqZcYWOouQtTpa8X1L23h4660uVHc0C8os/edit?usp=sharing"",""พิษณุโลก!J103"")"),40)</f>
        <v>40</v>
      </c>
      <c r="AE22" s="173">
        <f ca="1">IFERROR(__xludf.DUMMYFUNCTION("IMPORTRANGE(""https://docs.google.com/spreadsheets/d/16OMuOwy2eVqZcYWOouQtTpa8X1L23h4660uVHc0C8os/edit?usp=sharing"",""พิษณุโลก!J104"")"),40)</f>
        <v>40</v>
      </c>
      <c r="AF22" s="172">
        <f ca="1">IFERROR(__xludf.DUMMYFUNCTION("IMPORTRANGE(""https://docs.google.com/spreadsheets/d/16OMuOwy2eVqZcYWOouQtTpa8X1L23h4660uVHc0C8os/edit?usp=sharing"",""พิษณุโลก!I106"")"),1)</f>
        <v>1</v>
      </c>
      <c r="AG22" s="173">
        <f ca="1">IFERROR(__xludf.DUMMYFUNCTION("IMPORTRANGE(""https://docs.google.com/spreadsheets/d/16OMuOwy2eVqZcYWOouQtTpa8X1L23h4660uVHc0C8os/edit?usp=sharing"",""พิษณุโลก!J106"")"),1)</f>
        <v>1</v>
      </c>
      <c r="AH22" s="173">
        <f ca="1">IFERROR(__xludf.DUMMYFUNCTION("IMPORTRANGE(""https://docs.google.com/spreadsheets/d/16OMuOwy2eVqZcYWOouQtTpa8X1L23h4660uVHc0C8os/edit?usp=sharing"",""พิษณุโลก!J107"")"),1)</f>
        <v>1</v>
      </c>
      <c r="AI22" s="172">
        <f ca="1">IFERROR(__xludf.DUMMYFUNCTION("IMPORTRANGE(""https://docs.google.com/spreadsheets/d/16OMuOwy2eVqZcYWOouQtTpa8X1L23h4660uVHc0C8os/edit?usp=sharing"",""พิษณุโลก!I109"")"),1)</f>
        <v>1</v>
      </c>
      <c r="AJ22" s="173">
        <f ca="1">IFERROR(__xludf.DUMMYFUNCTION("IMPORTRANGE(""https://docs.google.com/spreadsheets/d/16OMuOwy2eVqZcYWOouQtTpa8X1L23h4660uVHc0C8os/edit?usp=sharing"",""พิษณุโลก!J109"")"),0)</f>
        <v>0</v>
      </c>
      <c r="AK22" s="173">
        <f ca="1">IFERROR(__xludf.DUMMYFUNCTION("IMPORTRANGE(""https://docs.google.com/spreadsheets/d/16OMuOwy2eVqZcYWOouQtTpa8X1L23h4660uVHc0C8os/edit?usp=sharing"",""พิษณุโลก!J110"")"),0)</f>
        <v>0</v>
      </c>
      <c r="AL22" s="172">
        <f ca="1">IFERROR(__xludf.DUMMYFUNCTION("IMPORTRANGE(""https://docs.google.com/spreadsheets/d/16OMuOwy2eVqZcYWOouQtTpa8X1L23h4660uVHc0C8os/edit?usp=sharing"",""พิษณุโลก!I111"")"),40)</f>
        <v>40</v>
      </c>
      <c r="AM22" s="172">
        <f ca="1">IFERROR(__xludf.DUMMYFUNCTION("IMPORTRANGE(""https://docs.google.com/spreadsheets/d/16OMuOwy2eVqZcYWOouQtTpa8X1L23h4660uVHc0C8os/edit?usp=sharing"",""พิษณุโลก!I112"")"),2)</f>
        <v>2</v>
      </c>
      <c r="AN22" s="173">
        <f ca="1">IFERROR(__xludf.DUMMYFUNCTION("IMPORTRANGE(""https://docs.google.com/spreadsheets/d/16OMuOwy2eVqZcYWOouQtTpa8X1L23h4660uVHc0C8os/edit?usp=sharing"",""พิษณุโลก!J111"")"),40)</f>
        <v>40</v>
      </c>
      <c r="AO22" s="173">
        <f t="shared" ca="1" si="15"/>
        <v>100</v>
      </c>
      <c r="AP22" s="173">
        <f ca="1">IFERROR(__xludf.DUMMYFUNCTION("IMPORTRANGE(""https://docs.google.com/spreadsheets/d/16OMuOwy2eVqZcYWOouQtTpa8X1L23h4660uVHc0C8os/edit?usp=sharing"",""พิษณุโลก!J112"")"),0)</f>
        <v>0</v>
      </c>
      <c r="AQ22" s="175">
        <f t="shared" ca="1" si="16"/>
        <v>0</v>
      </c>
      <c r="AR22" s="172">
        <f ca="1">IFERROR(__xludf.DUMMYFUNCTION("IMPORTRANGE(""https://docs.google.com/spreadsheets/d/16OMuOwy2eVqZcYWOouQtTpa8X1L23h4660uVHc0C8os/edit?usp=sharing"",""พิษณุโลก!I113"")"),40)</f>
        <v>40</v>
      </c>
      <c r="AS22" s="172">
        <f ca="1">IFERROR(__xludf.DUMMYFUNCTION("IMPORTRANGE(""https://docs.google.com/spreadsheets/d/16OMuOwy2eVqZcYWOouQtTpa8X1L23h4660uVHc0C8os/edit?usp=sharing"",""พิษณุโลก!J113"")"),40)</f>
        <v>40</v>
      </c>
      <c r="AT22" s="172">
        <f ca="1">IFERROR(__xludf.DUMMYFUNCTION("IMPORTRANGE(""https://docs.google.com/spreadsheets/d/16OMuOwy2eVqZcYWOouQtTpa8X1L23h4660uVHc0C8os/edit?usp=sharing"",""พิษณุโลก!J114"")"),40)</f>
        <v>40</v>
      </c>
      <c r="AU22" s="172">
        <f ca="1">IFERROR(__xludf.DUMMYFUNCTION("IMPORTRANGE(""https://docs.google.com/spreadsheets/d/16OMuOwy2eVqZcYWOouQtTpa8X1L23h4660uVHc0C8os/edit?usp=sharing"",""พิษณุโลก!I115"")"),1)</f>
        <v>1</v>
      </c>
      <c r="AV22" s="173">
        <f ca="1">IFERROR(__xludf.DUMMYFUNCTION("IMPORTRANGE(""https://docs.google.com/spreadsheets/d/16OMuOwy2eVqZcYWOouQtTpa8X1L23h4660uVHc0C8os/edit?usp=sharing"",""พิษณุโลก!J115"")"),0)</f>
        <v>0</v>
      </c>
      <c r="AW22" s="175">
        <f t="shared" ca="1" si="18"/>
        <v>0</v>
      </c>
      <c r="AX22" s="172">
        <f ca="1">IFERROR(__xludf.DUMMYFUNCTION("IMPORTRANGE(""https://docs.google.com/spreadsheets/d/16OMuOwy2eVqZcYWOouQtTpa8X1L23h4660uVHc0C8os/edit?usp=sharing"",""พิษณุโลก!I116"")"),1)</f>
        <v>1</v>
      </c>
      <c r="AY22" s="173">
        <f ca="1">IFERROR(__xludf.DUMMYFUNCTION("IMPORTRANGE(""https://docs.google.com/spreadsheets/d/16OMuOwy2eVqZcYWOouQtTpa8X1L23h4660uVHc0C8os/edit?usp=sharing"",""พิษณุโลก!J116"")"),0)</f>
        <v>0</v>
      </c>
      <c r="AZ22" s="175">
        <f t="shared" ca="1" si="20"/>
        <v>0</v>
      </c>
    </row>
    <row r="23" spans="1:52" ht="24" customHeight="1" x14ac:dyDescent="0.3">
      <c r="A23" s="168">
        <v>10</v>
      </c>
      <c r="B23" s="169" t="s">
        <v>45</v>
      </c>
      <c r="C23" s="170">
        <f t="shared" ca="1" si="0"/>
        <v>420300</v>
      </c>
      <c r="D23" s="171">
        <f t="shared" ca="1" si="42"/>
        <v>420300</v>
      </c>
      <c r="E23" s="172">
        <f ca="1">IFERROR(__xludf.DUMMYFUNCTION("IMPORTRANGE(""https://docs.google.com/spreadsheets/d/1MeEWN-I1oV_STSDYn1IFDPWt_1FKiwhDph83XaGc0o0/edit?usp=sharing"",""งบพรบ!AR23"")"),296700)</f>
        <v>296700</v>
      </c>
      <c r="F23" s="172">
        <f ca="1">IFERROR(__xludf.DUMMYFUNCTION("IMPORTRANGE(""https://docs.google.com/spreadsheets/d/1MeEWN-I1oV_STSDYn1IFDPWt_1FKiwhDph83XaGc0o0/edit?usp=sharing"",""งบพรบ!AS23"")"),123600)</f>
        <v>123600</v>
      </c>
      <c r="G23" s="172">
        <f ca="1">IFERROR(__xludf.DUMMYFUNCTION("IMPORTRANGE(""https://docs.google.com/spreadsheets/d/1MeEWN-I1oV_STSDYn1IFDPWt_1FKiwhDph83XaGc0o0/edit?usp=sharing"",""งบพรบ!AT23"")"),0)</f>
        <v>0</v>
      </c>
      <c r="H23" s="172">
        <f ca="1">IFERROR(__xludf.DUMMYFUNCTION("IMPORTRANGE(""https://docs.google.com/spreadsheets/d/1MeEWN-I1oV_STSDYn1IFDPWt_1FKiwhDph83XaGc0o0/edit?usp=sharing"",""งบพรบ!AV23"")"),420300)</f>
        <v>420300</v>
      </c>
      <c r="I23" s="172">
        <f ca="1">IFERROR(__xludf.DUMMYFUNCTION("IMPORTRANGE(""https://docs.google.com/spreadsheets/d/1MeEWN-I1oV_STSDYn1IFDPWt_1FKiwhDph83XaGc0o0/edit?usp=sharing"",""งบพรบ!AW23"")"),0)</f>
        <v>0</v>
      </c>
      <c r="J23" s="172">
        <f t="shared" ca="1" si="3"/>
        <v>371407.9</v>
      </c>
      <c r="K23" s="179">
        <f t="shared" ca="1" si="4"/>
        <v>88.367332857482751</v>
      </c>
      <c r="L23" s="172">
        <f ca="1">IFERROR(__xludf.DUMMYFUNCTION("IMPORTRANGE(""https://docs.google.com/spreadsheets/d/1MeEWN-I1oV_STSDYn1IFDPWt_1FKiwhDph83XaGc0o0/edit?usp=sharing"",""งบพรบ!AX23"")"),371407.9)</f>
        <v>371407.9</v>
      </c>
      <c r="M23" s="175">
        <f t="shared" ca="1" si="5"/>
        <v>88.367332857482751</v>
      </c>
      <c r="N23" s="175">
        <f t="shared" ca="1" si="6"/>
        <v>88.367332857482751</v>
      </c>
      <c r="O23" s="176">
        <f ca="1">IFERROR(__xludf.DUMMYFUNCTION("IMPORTRANGE(""https://docs.google.com/spreadsheets/d/1MeEWN-I1oV_STSDYn1IFDPWt_1FKiwhDph83XaGc0o0/edit?usp=sharing"",""งบพรบ!AY23"")"),0)</f>
        <v>0</v>
      </c>
      <c r="P23" s="176">
        <f t="shared" ca="1" si="36"/>
        <v>0</v>
      </c>
      <c r="Q23" s="175">
        <f t="shared" ca="1" si="8"/>
        <v>0</v>
      </c>
      <c r="R23" s="173">
        <f ca="1">IFERROR(__xludf.DUMMYFUNCTION("IMPORTRANGE(""https://docs.google.com/spreadsheets/d/1GfgTldLG6k77HXaMQzaafODklYuucJZQNs_GAPEfZyY/edit?usp=sharing"",""เพชรบูรณ์!I98"")"),75)</f>
        <v>75</v>
      </c>
      <c r="S23" s="173">
        <f ca="1">IFERROR(__xludf.DUMMYFUNCTION("IMPORTRANGE(""https://docs.google.com/spreadsheets/d/1GfgTldLG6k77HXaMQzaafODklYuucJZQNs_GAPEfZyY/edit?usp=sharing"",""เพชรบูรณ์!J98"")"),75)</f>
        <v>75</v>
      </c>
      <c r="T23" s="173">
        <f t="shared" ca="1" si="10"/>
        <v>100</v>
      </c>
      <c r="U23" s="173">
        <f ca="1">IFERROR(__xludf.DUMMYFUNCTION("IMPORTRANGE(""https://docs.google.com/spreadsheets/d/1GfgTldLG6k77HXaMQzaafODklYuucJZQNs_GAPEfZyY/edit?usp=sharing"",""เพชรบูรณ์!I99"")"),25)</f>
        <v>25</v>
      </c>
      <c r="V23" s="173">
        <f ca="1">IFERROR(__xludf.DUMMYFUNCTION("IMPORTRANGE(""https://docs.google.com/spreadsheets/d/1GfgTldLG6k77HXaMQzaafODklYuucJZQNs_GAPEfZyY/edit?usp=sharing"",""เพชรบูรณ์!I100"")"),2)</f>
        <v>2</v>
      </c>
      <c r="W23" s="173">
        <f ca="1">IFERROR(__xludf.DUMMYFUNCTION("IMPORTRANGE(""https://docs.google.com/spreadsheets/d/1GfgTldLG6k77HXaMQzaafODklYuucJZQNs_GAPEfZyY/edit?usp=sharing"",""เพชรบูรณ์!J99"")"),25)</f>
        <v>25</v>
      </c>
      <c r="X23" s="177">
        <f t="shared" ca="1" si="12"/>
        <v>100</v>
      </c>
      <c r="Y23" s="178">
        <f ca="1">IFERROR(__xludf.DUMMYFUNCTION("IMPORTRANGE(""https://docs.google.com/spreadsheets/d/1GfgTldLG6k77HXaMQzaafODklYuucJZQNs_GAPEfZyY/edit?usp=sharing"",""เพชรบูรณ์!J100"")"),2)</f>
        <v>2</v>
      </c>
      <c r="Z23" s="177">
        <f t="shared" ca="1" si="13"/>
        <v>100</v>
      </c>
      <c r="AA23" s="172">
        <f ca="1">IFERROR(__xludf.DUMMYFUNCTION("IMPORTRANGE(""https://docs.google.com/spreadsheets/d/1GfgTldLG6k77HXaMQzaafODklYuucJZQNs_GAPEfZyY/edit?usp=sharing"",""เพชรบูรณ์!I102"")"),75)</f>
        <v>75</v>
      </c>
      <c r="AB23" s="172">
        <f ca="1">IFERROR(__xludf.DUMMYFUNCTION("IMPORTRANGE(""https://docs.google.com/spreadsheets/d/1GfgTldLG6k77HXaMQzaafODklYuucJZQNs_GAPEfZyY/edit?usp=sharing"",""เพชรบูรณ์!I103"")"),25)</f>
        <v>25</v>
      </c>
      <c r="AC23" s="173">
        <f ca="1">IFERROR(__xludf.DUMMYFUNCTION("IMPORTRANGE(""https://docs.google.com/spreadsheets/d/1GfgTldLG6k77HXaMQzaafODklYuucJZQNs_GAPEfZyY/edit?usp=sharing"",""เพชรบูรณ์!J102"")"),75)</f>
        <v>75</v>
      </c>
      <c r="AD23" s="173">
        <f ca="1">IFERROR(__xludf.DUMMYFUNCTION("IMPORTRANGE(""https://docs.google.com/spreadsheets/d/1GfgTldLG6k77HXaMQzaafODklYuucJZQNs_GAPEfZyY/edit?usp=sharing"",""เพชรบูรณ์!J103"")"),25)</f>
        <v>25</v>
      </c>
      <c r="AE23" s="173">
        <f ca="1">IFERROR(__xludf.DUMMYFUNCTION("IMPORTRANGE(""https://docs.google.com/spreadsheets/d/1GfgTldLG6k77HXaMQzaafODklYuucJZQNs_GAPEfZyY/edit?usp=sharing"",""เพชรบูรณ์!J104"")"),25)</f>
        <v>25</v>
      </c>
      <c r="AF23" s="172">
        <f ca="1">IFERROR(__xludf.DUMMYFUNCTION("IMPORTRANGE(""https://docs.google.com/spreadsheets/d/1GfgTldLG6k77HXaMQzaafODklYuucJZQNs_GAPEfZyY/edit?usp=sharing"",""เพชรบูรณ์!I106"")"),1)</f>
        <v>1</v>
      </c>
      <c r="AG23" s="173">
        <f ca="1">IFERROR(__xludf.DUMMYFUNCTION("IMPORTRANGE(""https://docs.google.com/spreadsheets/d/1GfgTldLG6k77HXaMQzaafODklYuucJZQNs_GAPEfZyY/edit?usp=sharing"",""เพชรบูรณ์!J106"")"),1)</f>
        <v>1</v>
      </c>
      <c r="AH23" s="173">
        <f ca="1">IFERROR(__xludf.DUMMYFUNCTION("IMPORTRANGE(""https://docs.google.com/spreadsheets/d/1GfgTldLG6k77HXaMQzaafODklYuucJZQNs_GAPEfZyY/edit?usp=sharing"",""เพชรบูรณ์!J107"")"),1)</f>
        <v>1</v>
      </c>
      <c r="AI23" s="172">
        <f ca="1">IFERROR(__xludf.DUMMYFUNCTION("IMPORTRANGE(""https://docs.google.com/spreadsheets/d/1GfgTldLG6k77HXaMQzaafODklYuucJZQNs_GAPEfZyY/edit?usp=sharing"",""เพชรบูรณ์!I109"")"),1)</f>
        <v>1</v>
      </c>
      <c r="AJ23" s="173">
        <f ca="1">IFERROR(__xludf.DUMMYFUNCTION("IMPORTRANGE(""https://docs.google.com/spreadsheets/d/1GfgTldLG6k77HXaMQzaafODklYuucJZQNs_GAPEfZyY/edit?usp=sharing"",""เพชรบูรณ์!J109"")"),1)</f>
        <v>1</v>
      </c>
      <c r="AK23" s="173">
        <f ca="1">IFERROR(__xludf.DUMMYFUNCTION("IMPORTRANGE(""https://docs.google.com/spreadsheets/d/1GfgTldLG6k77HXaMQzaafODklYuucJZQNs_GAPEfZyY/edit?usp=sharing"",""เพชรบูรณ์!J110"")"),1)</f>
        <v>1</v>
      </c>
      <c r="AL23" s="172">
        <f ca="1">IFERROR(__xludf.DUMMYFUNCTION("IMPORTRANGE(""https://docs.google.com/spreadsheets/d/1GfgTldLG6k77HXaMQzaafODklYuucJZQNs_GAPEfZyY/edit?usp=sharing"",""เพชรบูรณ์!I111"")"),25)</f>
        <v>25</v>
      </c>
      <c r="AM23" s="172">
        <f ca="1">IFERROR(__xludf.DUMMYFUNCTION("IMPORTRANGE(""https://docs.google.com/spreadsheets/d/1GfgTldLG6k77HXaMQzaafODklYuucJZQNs_GAPEfZyY/edit?usp=sharing"",""เพชรบูรณ์!I112"")"),2)</f>
        <v>2</v>
      </c>
      <c r="AN23" s="173">
        <f ca="1">IFERROR(__xludf.DUMMYFUNCTION("IMPORTRANGE(""https://docs.google.com/spreadsheets/d/1GfgTldLG6k77HXaMQzaafODklYuucJZQNs_GAPEfZyY/edit?usp=sharing"",""เพชรบูรณ์!J111"")"),25)</f>
        <v>25</v>
      </c>
      <c r="AO23" s="173">
        <f t="shared" ca="1" si="15"/>
        <v>100</v>
      </c>
      <c r="AP23" s="173">
        <f ca="1">IFERROR(__xludf.DUMMYFUNCTION("IMPORTRANGE(""https://docs.google.com/spreadsheets/d/1GfgTldLG6k77HXaMQzaafODklYuucJZQNs_GAPEfZyY/edit?usp=sharing"",""เพชรบูรณ์!J112"")"),2)</f>
        <v>2</v>
      </c>
      <c r="AQ23" s="175">
        <f t="shared" ca="1" si="16"/>
        <v>100</v>
      </c>
      <c r="AR23" s="172">
        <f ca="1">IFERROR(__xludf.DUMMYFUNCTION("IMPORTRANGE(""https://docs.google.com/spreadsheets/d/1GfgTldLG6k77HXaMQzaafODklYuucJZQNs_GAPEfZyY/edit?usp=sharing"",""เพชรบูรณ์!I113"")"),25)</f>
        <v>25</v>
      </c>
      <c r="AS23" s="172">
        <f ca="1">IFERROR(__xludf.DUMMYFUNCTION("IMPORTRANGE(""https://docs.google.com/spreadsheets/d/1GfgTldLG6k77HXaMQzaafODklYuucJZQNs_GAPEfZyY/edit?usp=sharing"",""เพชรบูรณ์!J113"")"),25)</f>
        <v>25</v>
      </c>
      <c r="AT23" s="172">
        <f ca="1">IFERROR(__xludf.DUMMYFUNCTION("IMPORTRANGE(""https://docs.google.com/spreadsheets/d/1GfgTldLG6k77HXaMQzaafODklYuucJZQNs_GAPEfZyY/edit?usp=sharing"",""เพชรบูรณ์!J114"")"),25)</f>
        <v>25</v>
      </c>
      <c r="AU23" s="172">
        <f ca="1">IFERROR(__xludf.DUMMYFUNCTION("IMPORTRANGE(""https://docs.google.com/spreadsheets/d/1GfgTldLG6k77HXaMQzaafODklYuucJZQNs_GAPEfZyY/edit?usp=sharing"",""เพชรบูรณ์!I115"")"),1)</f>
        <v>1</v>
      </c>
      <c r="AV23" s="173">
        <f ca="1">IFERROR(__xludf.DUMMYFUNCTION("IMPORTRANGE(""https://docs.google.com/spreadsheets/d/1GfgTldLG6k77HXaMQzaafODklYuucJZQNs_GAPEfZyY/edit?usp=sharing"",""เพชรบูรณ์!J115"")"),1)</f>
        <v>1</v>
      </c>
      <c r="AW23" s="175">
        <f t="shared" ca="1" si="18"/>
        <v>100</v>
      </c>
      <c r="AX23" s="172">
        <f ca="1">IFERROR(__xludf.DUMMYFUNCTION("IMPORTRANGE(""https://docs.google.com/spreadsheets/d/1GfgTldLG6k77HXaMQzaafODklYuucJZQNs_GAPEfZyY/edit?usp=sharing"",""เพชรบูรณ์!I116"")"),1)</f>
        <v>1</v>
      </c>
      <c r="AY23" s="173">
        <f ca="1">IFERROR(__xludf.DUMMYFUNCTION("IMPORTRANGE(""https://docs.google.com/spreadsheets/d/1GfgTldLG6k77HXaMQzaafODklYuucJZQNs_GAPEfZyY/edit?usp=sharing"",""เพชรบูรณ์!J116"")"),1)</f>
        <v>1</v>
      </c>
      <c r="AZ23" s="175">
        <f t="shared" ca="1" si="20"/>
        <v>100</v>
      </c>
    </row>
    <row r="24" spans="1:52" ht="24" customHeight="1" x14ac:dyDescent="0.3">
      <c r="A24" s="168">
        <v>11</v>
      </c>
      <c r="B24" s="169" t="s">
        <v>46</v>
      </c>
      <c r="C24" s="170">
        <f t="shared" ca="1" si="0"/>
        <v>86040</v>
      </c>
      <c r="D24" s="171">
        <f t="shared" ca="1" si="42"/>
        <v>86040</v>
      </c>
      <c r="E24" s="172">
        <f ca="1">IFERROR(__xludf.DUMMYFUNCTION("IMPORTRANGE(""https://docs.google.com/spreadsheets/d/1MeEWN-I1oV_STSDYn1IFDPWt_1FKiwhDph83XaGc0o0/edit?usp=sharing"",""งบพรบ!AR24"")"),0)</f>
        <v>0</v>
      </c>
      <c r="F24" s="172">
        <f ca="1">IFERROR(__xludf.DUMMYFUNCTION("IMPORTRANGE(""https://docs.google.com/spreadsheets/d/1MeEWN-I1oV_STSDYn1IFDPWt_1FKiwhDph83XaGc0o0/edit?usp=sharing"",""งบพรบ!AS24"")"),86040)</f>
        <v>86040</v>
      </c>
      <c r="G24" s="172">
        <f ca="1">IFERROR(__xludf.DUMMYFUNCTION("IMPORTRANGE(""https://docs.google.com/spreadsheets/d/1MeEWN-I1oV_STSDYn1IFDPWt_1FKiwhDph83XaGc0o0/edit?usp=sharing"",""งบพรบ!AT24"")"),0)</f>
        <v>0</v>
      </c>
      <c r="H24" s="172">
        <f ca="1">IFERROR(__xludf.DUMMYFUNCTION("IMPORTRANGE(""https://docs.google.com/spreadsheets/d/1MeEWN-I1oV_STSDYn1IFDPWt_1FKiwhDph83XaGc0o0/edit?usp=sharing"",""งบพรบ!AV24"")"),86040)</f>
        <v>86040</v>
      </c>
      <c r="I24" s="172">
        <f ca="1">IFERROR(__xludf.DUMMYFUNCTION("IMPORTRANGE(""https://docs.google.com/spreadsheets/d/1MeEWN-I1oV_STSDYn1IFDPWt_1FKiwhDph83XaGc0o0/edit?usp=sharing"",""งบพรบ!AW24"")"),0)</f>
        <v>0</v>
      </c>
      <c r="J24" s="172">
        <f t="shared" ca="1" si="3"/>
        <v>84190</v>
      </c>
      <c r="K24" s="179">
        <f t="shared" ca="1" si="4"/>
        <v>97.849837284983735</v>
      </c>
      <c r="L24" s="172">
        <f ca="1">IFERROR(__xludf.DUMMYFUNCTION("IMPORTRANGE(""https://docs.google.com/spreadsheets/d/1MeEWN-I1oV_STSDYn1IFDPWt_1FKiwhDph83XaGc0o0/edit?usp=sharing"",""งบพรบ!AX24"")"),84190)</f>
        <v>84190</v>
      </c>
      <c r="M24" s="175">
        <f t="shared" ca="1" si="5"/>
        <v>97.849837284983735</v>
      </c>
      <c r="N24" s="175">
        <f t="shared" ca="1" si="6"/>
        <v>97.849837284983735</v>
      </c>
      <c r="O24" s="176">
        <f ca="1">IFERROR(__xludf.DUMMYFUNCTION("IMPORTRANGE(""https://docs.google.com/spreadsheets/d/1MeEWN-I1oV_STSDYn1IFDPWt_1FKiwhDph83XaGc0o0/edit?usp=sharing"",""งบพรบ!AY24"")"),0)</f>
        <v>0</v>
      </c>
      <c r="P24" s="176">
        <f t="shared" ca="1" si="36"/>
        <v>0</v>
      </c>
      <c r="Q24" s="175">
        <f t="shared" ca="1" si="8"/>
        <v>0</v>
      </c>
      <c r="R24" s="173">
        <f ca="1">IFERROR(__xludf.DUMMYFUNCTION("IMPORTRANGE(""https://docs.google.com/spreadsheets/d/1gvTMYAnm7v1yG1BKWFtr0DnaTsq59oW9dwWvFgq6hs0/edit?usp=sharing"",""แพร่!I98"")"),30)</f>
        <v>30</v>
      </c>
      <c r="S24" s="173">
        <f ca="1">IFERROR(__xludf.DUMMYFUNCTION("IMPORTRANGE(""https://docs.google.com/spreadsheets/d/1gvTMYAnm7v1yG1BKWFtr0DnaTsq59oW9dwWvFgq6hs0/edit?usp=sharing"",""แพร่!J98"")"),30)</f>
        <v>30</v>
      </c>
      <c r="T24" s="173">
        <f t="shared" ca="1" si="10"/>
        <v>100</v>
      </c>
      <c r="U24" s="173">
        <f ca="1">IFERROR(__xludf.DUMMYFUNCTION("IMPORTRANGE(""https://docs.google.com/spreadsheets/d/1gvTMYAnm7v1yG1BKWFtr0DnaTsq59oW9dwWvFgq6hs0/edit?usp=sharing"",""แพร่!I99"")"),10)</f>
        <v>10</v>
      </c>
      <c r="V24" s="173">
        <f ca="1">IFERROR(__xludf.DUMMYFUNCTION("IMPORTRANGE(""https://docs.google.com/spreadsheets/d/1gvTMYAnm7v1yG1BKWFtr0DnaTsq59oW9dwWvFgq6hs0/edit?usp=sharing"",""แพร่!I100"")"),2)</f>
        <v>2</v>
      </c>
      <c r="W24" s="173">
        <f ca="1">IFERROR(__xludf.DUMMYFUNCTION("IMPORTRANGE(""https://docs.google.com/spreadsheets/d/1gvTMYAnm7v1yG1BKWFtr0DnaTsq59oW9dwWvFgq6hs0/edit?usp=sharing"",""แพร่!J99"")"),10)</f>
        <v>10</v>
      </c>
      <c r="X24" s="177">
        <f t="shared" ca="1" si="12"/>
        <v>100</v>
      </c>
      <c r="Y24" s="178">
        <f ca="1">IFERROR(__xludf.DUMMYFUNCTION("IMPORTRANGE(""https://docs.google.com/spreadsheets/d/1gvTMYAnm7v1yG1BKWFtr0DnaTsq59oW9dwWvFgq6hs0/edit?usp=sharing"",""แพร่!J100"")"),2)</f>
        <v>2</v>
      </c>
      <c r="Z24" s="177">
        <f t="shared" ca="1" si="13"/>
        <v>100</v>
      </c>
      <c r="AA24" s="172">
        <f ca="1">IFERROR(__xludf.DUMMYFUNCTION("IMPORTRANGE(""https://docs.google.com/spreadsheets/d/1gvTMYAnm7v1yG1BKWFtr0DnaTsq59oW9dwWvFgq6hs0/edit?usp=sharing"",""แพร่!I102"")"),30)</f>
        <v>30</v>
      </c>
      <c r="AB24" s="172">
        <f ca="1">IFERROR(__xludf.DUMMYFUNCTION("IMPORTRANGE(""https://docs.google.com/spreadsheets/d/1gvTMYAnm7v1yG1BKWFtr0DnaTsq59oW9dwWvFgq6hs0/edit?usp=sharing"",""แพร่!I103"")"),10)</f>
        <v>10</v>
      </c>
      <c r="AC24" s="173">
        <f ca="1">IFERROR(__xludf.DUMMYFUNCTION("IMPORTRANGE(""https://docs.google.com/spreadsheets/d/1gvTMYAnm7v1yG1BKWFtr0DnaTsq59oW9dwWvFgq6hs0/edit?usp=sharing"",""แพร่!J102"")"),30)</f>
        <v>30</v>
      </c>
      <c r="AD24" s="173">
        <f ca="1">IFERROR(__xludf.DUMMYFUNCTION("IMPORTRANGE(""https://docs.google.com/spreadsheets/d/1gvTMYAnm7v1yG1BKWFtr0DnaTsq59oW9dwWvFgq6hs0/edit?usp=sharing"",""แพร่!J103"")"),10)</f>
        <v>10</v>
      </c>
      <c r="AE24" s="173">
        <f ca="1">IFERROR(__xludf.DUMMYFUNCTION("IMPORTRANGE(""https://docs.google.com/spreadsheets/d/1gvTMYAnm7v1yG1BKWFtr0DnaTsq59oW9dwWvFgq6hs0/edit?usp=sharing"",""แพร่!J104"")"),10)</f>
        <v>10</v>
      </c>
      <c r="AF24" s="172">
        <f ca="1">IFERROR(__xludf.DUMMYFUNCTION("IMPORTRANGE(""https://docs.google.com/spreadsheets/d/1gvTMYAnm7v1yG1BKWFtr0DnaTsq59oW9dwWvFgq6hs0/edit?usp=sharing"",""แพร่!I106"")"),1)</f>
        <v>1</v>
      </c>
      <c r="AG24" s="173">
        <f ca="1">IFERROR(__xludf.DUMMYFUNCTION("IMPORTRANGE(""https://docs.google.com/spreadsheets/d/1gvTMYAnm7v1yG1BKWFtr0DnaTsq59oW9dwWvFgq6hs0/edit?usp=sharing"",""แพร่!J106"")"),1)</f>
        <v>1</v>
      </c>
      <c r="AH24" s="173">
        <f ca="1">IFERROR(__xludf.DUMMYFUNCTION("IMPORTRANGE(""https://docs.google.com/spreadsheets/d/1gvTMYAnm7v1yG1BKWFtr0DnaTsq59oW9dwWvFgq6hs0/edit?usp=sharing"",""แพร่!J107"")"),1)</f>
        <v>1</v>
      </c>
      <c r="AI24" s="172">
        <f ca="1">IFERROR(__xludf.DUMMYFUNCTION("IMPORTRANGE(""https://docs.google.com/spreadsheets/d/1gvTMYAnm7v1yG1BKWFtr0DnaTsq59oW9dwWvFgq6hs0/edit?usp=sharing"",""แพร่!I109"")"),1)</f>
        <v>1</v>
      </c>
      <c r="AJ24" s="173">
        <f ca="1">IFERROR(__xludf.DUMMYFUNCTION("IMPORTRANGE(""https://docs.google.com/spreadsheets/d/1gvTMYAnm7v1yG1BKWFtr0DnaTsq59oW9dwWvFgq6hs0/edit?usp=sharing"",""แพร่!J109"")"),1)</f>
        <v>1</v>
      </c>
      <c r="AK24" s="173">
        <f ca="1">IFERROR(__xludf.DUMMYFUNCTION("IMPORTRANGE(""https://docs.google.com/spreadsheets/d/1gvTMYAnm7v1yG1BKWFtr0DnaTsq59oW9dwWvFgq6hs0/edit?usp=sharing"",""แพร่!J110"")"),1)</f>
        <v>1</v>
      </c>
      <c r="AL24" s="172">
        <f ca="1">IFERROR(__xludf.DUMMYFUNCTION("IMPORTRANGE(""https://docs.google.com/spreadsheets/d/1gvTMYAnm7v1yG1BKWFtr0DnaTsq59oW9dwWvFgq6hs0/edit?usp=sharing"",""แพร่!I111"")"),10)</f>
        <v>10</v>
      </c>
      <c r="AM24" s="172">
        <f ca="1">IFERROR(__xludf.DUMMYFUNCTION("IMPORTRANGE(""https://docs.google.com/spreadsheets/d/1gvTMYAnm7v1yG1BKWFtr0DnaTsq59oW9dwWvFgq6hs0/edit?usp=sharing"",""แพร่!I112"")"),2)</f>
        <v>2</v>
      </c>
      <c r="AN24" s="173">
        <f ca="1">IFERROR(__xludf.DUMMYFUNCTION("IMPORTRANGE(""https://docs.google.com/spreadsheets/d/1gvTMYAnm7v1yG1BKWFtr0DnaTsq59oW9dwWvFgq6hs0/edit?usp=sharing"",""แพร่!J111"")"),10)</f>
        <v>10</v>
      </c>
      <c r="AO24" s="173">
        <f t="shared" ca="1" si="15"/>
        <v>100</v>
      </c>
      <c r="AP24" s="173">
        <f ca="1">IFERROR(__xludf.DUMMYFUNCTION("IMPORTRANGE(""https://docs.google.com/spreadsheets/d/1gvTMYAnm7v1yG1BKWFtr0DnaTsq59oW9dwWvFgq6hs0/edit?usp=sharing"",""แพร่!J112"")"),2)</f>
        <v>2</v>
      </c>
      <c r="AQ24" s="175">
        <f t="shared" ca="1" si="16"/>
        <v>100</v>
      </c>
      <c r="AR24" s="172">
        <f ca="1">IFERROR(__xludf.DUMMYFUNCTION("IMPORTRANGE(""https://docs.google.com/spreadsheets/d/1gvTMYAnm7v1yG1BKWFtr0DnaTsq59oW9dwWvFgq6hs0/edit?usp=sharing"",""แพร่!I113"")"),10)</f>
        <v>10</v>
      </c>
      <c r="AS24" s="172">
        <f ca="1">IFERROR(__xludf.DUMMYFUNCTION("IMPORTRANGE(""https://docs.google.com/spreadsheets/d/1gvTMYAnm7v1yG1BKWFtr0DnaTsq59oW9dwWvFgq6hs0/edit?usp=sharing"",""แพร่!J113"")"),10)</f>
        <v>10</v>
      </c>
      <c r="AT24" s="172">
        <f ca="1">IFERROR(__xludf.DUMMYFUNCTION("IMPORTRANGE(""https://docs.google.com/spreadsheets/d/1gvTMYAnm7v1yG1BKWFtr0DnaTsq59oW9dwWvFgq6hs0/edit?usp=sharing"",""แพร่!J114"")"),10)</f>
        <v>10</v>
      </c>
      <c r="AU24" s="172">
        <f ca="1">IFERROR(__xludf.DUMMYFUNCTION("IMPORTRANGE(""https://docs.google.com/spreadsheets/d/1gvTMYAnm7v1yG1BKWFtr0DnaTsq59oW9dwWvFgq6hs0/edit?usp=sharing"",""แพร่!I115"")"),1)</f>
        <v>1</v>
      </c>
      <c r="AV24" s="173">
        <f ca="1">IFERROR(__xludf.DUMMYFUNCTION("IMPORTRANGE(""https://docs.google.com/spreadsheets/d/1gvTMYAnm7v1yG1BKWFtr0DnaTsq59oW9dwWvFgq6hs0/edit?usp=sharing"",""แพร่!J115"")"),1)</f>
        <v>1</v>
      </c>
      <c r="AW24" s="175">
        <f t="shared" ca="1" si="18"/>
        <v>100</v>
      </c>
      <c r="AX24" s="172">
        <f ca="1">IFERROR(__xludf.DUMMYFUNCTION("IMPORTRANGE(""https://docs.google.com/spreadsheets/d/1gvTMYAnm7v1yG1BKWFtr0DnaTsq59oW9dwWvFgq6hs0/edit?usp=sharing"",""แพร่!I116"")"),1)</f>
        <v>1</v>
      </c>
      <c r="AY24" s="173">
        <f ca="1">IFERROR(__xludf.DUMMYFUNCTION("IMPORTRANGE(""https://docs.google.com/spreadsheets/d/1gvTMYAnm7v1yG1BKWFtr0DnaTsq59oW9dwWvFgq6hs0/edit?usp=sharing"",""แพร่!J116"")"),1)</f>
        <v>1</v>
      </c>
      <c r="AZ24" s="175">
        <f t="shared" ca="1" si="20"/>
        <v>100</v>
      </c>
    </row>
    <row r="25" spans="1:52" ht="24" customHeight="1" x14ac:dyDescent="0.3">
      <c r="A25" s="168">
        <v>12</v>
      </c>
      <c r="B25" s="169" t="s">
        <v>47</v>
      </c>
      <c r="C25" s="170">
        <f t="shared" ca="1" si="0"/>
        <v>235620</v>
      </c>
      <c r="D25" s="171">
        <f t="shared" ca="1" si="42"/>
        <v>235620</v>
      </c>
      <c r="E25" s="172">
        <f ca="1">IFERROR(__xludf.DUMMYFUNCTION("IMPORTRANGE(""https://docs.google.com/spreadsheets/d/1MeEWN-I1oV_STSDYn1IFDPWt_1FKiwhDph83XaGc0o0/edit?usp=sharing"",""งบพรบ!AR25"")"),159300)</f>
        <v>159300</v>
      </c>
      <c r="F25" s="172">
        <f ca="1">IFERROR(__xludf.DUMMYFUNCTION("IMPORTRANGE(""https://docs.google.com/spreadsheets/d/1MeEWN-I1oV_STSDYn1IFDPWt_1FKiwhDph83XaGc0o0/edit?usp=sharing"",""งบพรบ!AS25"")"),76320)</f>
        <v>76320</v>
      </c>
      <c r="G25" s="172">
        <f ca="1">IFERROR(__xludf.DUMMYFUNCTION("IMPORTRANGE(""https://docs.google.com/spreadsheets/d/1MeEWN-I1oV_STSDYn1IFDPWt_1FKiwhDph83XaGc0o0/edit?usp=sharing"",""งบพรบ!AT25"")"),0)</f>
        <v>0</v>
      </c>
      <c r="H25" s="172">
        <f ca="1">IFERROR(__xludf.DUMMYFUNCTION("IMPORTRANGE(""https://docs.google.com/spreadsheets/d/1MeEWN-I1oV_STSDYn1IFDPWt_1FKiwhDph83XaGc0o0/edit?usp=sharing"",""งบพรบ!AV25"")"),235620)</f>
        <v>235620</v>
      </c>
      <c r="I25" s="172">
        <f ca="1">IFERROR(__xludf.DUMMYFUNCTION("IMPORTRANGE(""https://docs.google.com/spreadsheets/d/1MeEWN-I1oV_STSDYn1IFDPWt_1FKiwhDph83XaGc0o0/edit?usp=sharing"",""งบพรบ!AW25"")"),0)</f>
        <v>0</v>
      </c>
      <c r="J25" s="172">
        <f t="shared" ca="1" si="3"/>
        <v>233068.08</v>
      </c>
      <c r="K25" s="179">
        <f t="shared" ca="1" si="4"/>
        <v>98.916934046345816</v>
      </c>
      <c r="L25" s="172">
        <f ca="1">IFERROR(__xludf.DUMMYFUNCTION("IMPORTRANGE(""https://docs.google.com/spreadsheets/d/1MeEWN-I1oV_STSDYn1IFDPWt_1FKiwhDph83XaGc0o0/edit?usp=sharing"",""งบพรบ!AX25"")"),233068.08)</f>
        <v>233068.08</v>
      </c>
      <c r="M25" s="175">
        <f t="shared" ca="1" si="5"/>
        <v>98.916934046345816</v>
      </c>
      <c r="N25" s="175">
        <f t="shared" ca="1" si="6"/>
        <v>98.916934046345816</v>
      </c>
      <c r="O25" s="176">
        <f ca="1">IFERROR(__xludf.DUMMYFUNCTION("IMPORTRANGE(""https://docs.google.com/spreadsheets/d/1MeEWN-I1oV_STSDYn1IFDPWt_1FKiwhDph83XaGc0o0/edit?usp=sharing"",""งบพรบ!AY25"")"),0)</f>
        <v>0</v>
      </c>
      <c r="P25" s="176">
        <f t="shared" ca="1" si="36"/>
        <v>0</v>
      </c>
      <c r="Q25" s="175">
        <f t="shared" ca="1" si="8"/>
        <v>0</v>
      </c>
      <c r="R25" s="173">
        <f ca="1">IFERROR(__xludf.DUMMYFUNCTION("IMPORTRANGE(""https://docs.google.com/spreadsheets/d/1Wbcosgy-Xa1xXUArJSOenub6EfZHUSzc_bpJFWwQUf0/edit?usp=sharing"",""แม่ฮ่องสอน!I98"")"),90)</f>
        <v>90</v>
      </c>
      <c r="S25" s="173">
        <f ca="1">IFERROR(__xludf.DUMMYFUNCTION("IMPORTRANGE(""https://docs.google.com/spreadsheets/d/1Wbcosgy-Xa1xXUArJSOenub6EfZHUSzc_bpJFWwQUf0/edit?usp=sharing"",""แม่ฮ่องสอน!J98"")"),90)</f>
        <v>90</v>
      </c>
      <c r="T25" s="173">
        <f t="shared" ca="1" si="10"/>
        <v>100</v>
      </c>
      <c r="U25" s="173">
        <f ca="1">IFERROR(__xludf.DUMMYFUNCTION("IMPORTRANGE(""https://docs.google.com/spreadsheets/d/1Wbcosgy-Xa1xXUArJSOenub6EfZHUSzc_bpJFWwQUf0/edit?usp=sharing"",""แม่ฮ่องสอน!I99"")"),30)</f>
        <v>30</v>
      </c>
      <c r="V25" s="173">
        <f ca="1">IFERROR(__xludf.DUMMYFUNCTION("IMPORTRANGE(""https://docs.google.com/spreadsheets/d/1Wbcosgy-Xa1xXUArJSOenub6EfZHUSzc_bpJFWwQUf0/edit?usp=sharing"",""แม่ฮ่องสอน!I100"")"),0)</f>
        <v>0</v>
      </c>
      <c r="W25" s="173">
        <f ca="1">IFERROR(__xludf.DUMMYFUNCTION("IMPORTRANGE(""https://docs.google.com/spreadsheets/d/1Wbcosgy-Xa1xXUArJSOenub6EfZHUSzc_bpJFWwQUf0/edit?usp=sharing"",""แม่ฮ่องสอน!J99"")"),30)</f>
        <v>30</v>
      </c>
      <c r="X25" s="177">
        <f t="shared" ca="1" si="12"/>
        <v>100</v>
      </c>
      <c r="Y25" s="178">
        <f ca="1">IFERROR(__xludf.DUMMYFUNCTION("IMPORTRANGE(""https://docs.google.com/spreadsheets/d/1Wbcosgy-Xa1xXUArJSOenub6EfZHUSzc_bpJFWwQUf0/edit?usp=sharing"",""แม่ฮ่องสอน!J100"")"),0)</f>
        <v>0</v>
      </c>
      <c r="Z25" s="177">
        <f t="shared" ca="1" si="13"/>
        <v>0</v>
      </c>
      <c r="AA25" s="172">
        <f ca="1">IFERROR(__xludf.DUMMYFUNCTION("IMPORTRANGE(""https://docs.google.com/spreadsheets/d/1Wbcosgy-Xa1xXUArJSOenub6EfZHUSzc_bpJFWwQUf0/edit?usp=sharing"",""แม่ฮ่องสอน!I102"")"),90)</f>
        <v>90</v>
      </c>
      <c r="AB25" s="172">
        <f ca="1">IFERROR(__xludf.DUMMYFUNCTION("IMPORTRANGE(""https://docs.google.com/spreadsheets/d/1Wbcosgy-Xa1xXUArJSOenub6EfZHUSzc_bpJFWwQUf0/edit?usp=sharing"",""แม่ฮ่องสอน!I103"")"),30)</f>
        <v>30</v>
      </c>
      <c r="AC25" s="173">
        <f ca="1">IFERROR(__xludf.DUMMYFUNCTION("IMPORTRANGE(""https://docs.google.com/spreadsheets/d/1Wbcosgy-Xa1xXUArJSOenub6EfZHUSzc_bpJFWwQUf0/edit?usp=sharing"",""แม่ฮ่องสอน!J102"")"),90)</f>
        <v>90</v>
      </c>
      <c r="AD25" s="173">
        <f ca="1">IFERROR(__xludf.DUMMYFUNCTION("IMPORTRANGE(""https://docs.google.com/spreadsheets/d/1Wbcosgy-Xa1xXUArJSOenub6EfZHUSzc_bpJFWwQUf0/edit?usp=sharing"",""แม่ฮ่องสอน!J103"")"),30)</f>
        <v>30</v>
      </c>
      <c r="AE25" s="173">
        <f ca="1">IFERROR(__xludf.DUMMYFUNCTION("IMPORTRANGE(""https://docs.google.com/spreadsheets/d/1Wbcosgy-Xa1xXUArJSOenub6EfZHUSzc_bpJFWwQUf0/edit?usp=sharing"",""แม่ฮ่องสอน!J104"")"),30)</f>
        <v>30</v>
      </c>
      <c r="AF25" s="172">
        <f ca="1">IFERROR(__xludf.DUMMYFUNCTION("IMPORTRANGE(""https://docs.google.com/spreadsheets/d/1Wbcosgy-Xa1xXUArJSOenub6EfZHUSzc_bpJFWwQUf0/edit?usp=sharing"",""แม่ฮ่องสอน!I106"")"),0)</f>
        <v>0</v>
      </c>
      <c r="AG25" s="173">
        <f ca="1">IFERROR(__xludf.DUMMYFUNCTION("IMPORTRANGE(""https://docs.google.com/spreadsheets/d/1Wbcosgy-Xa1xXUArJSOenub6EfZHUSzc_bpJFWwQUf0/edit?usp=sharing"",""แม่ฮ่องสอน!J106"")"),0)</f>
        <v>0</v>
      </c>
      <c r="AH25" s="173">
        <f ca="1">IFERROR(__xludf.DUMMYFUNCTION("IMPORTRANGE(""https://docs.google.com/spreadsheets/d/1Wbcosgy-Xa1xXUArJSOenub6EfZHUSzc_bpJFWwQUf0/edit?usp=sharing"",""แม่ฮ่องสอน!J107"")"),0)</f>
        <v>0</v>
      </c>
      <c r="AI25" s="172">
        <f ca="1">IFERROR(__xludf.DUMMYFUNCTION("IMPORTRANGE(""https://docs.google.com/spreadsheets/d/1Wbcosgy-Xa1xXUArJSOenub6EfZHUSzc_bpJFWwQUf0/edit?usp=sharing"",""แม่ฮ่องสอน!I109"")"),0)</f>
        <v>0</v>
      </c>
      <c r="AJ25" s="173">
        <f ca="1">IFERROR(__xludf.DUMMYFUNCTION("IMPORTRANGE(""https://docs.google.com/spreadsheets/d/1Wbcosgy-Xa1xXUArJSOenub6EfZHUSzc_bpJFWwQUf0/edit?usp=sharing"",""แม่ฮ่องสอน!J109"")"),0)</f>
        <v>0</v>
      </c>
      <c r="AK25" s="173">
        <f ca="1">IFERROR(__xludf.DUMMYFUNCTION("IMPORTRANGE(""https://docs.google.com/spreadsheets/d/1Wbcosgy-Xa1xXUArJSOenub6EfZHUSzc_bpJFWwQUf0/edit?usp=sharing"",""แม่ฮ่องสอน!J110"")"),0)</f>
        <v>0</v>
      </c>
      <c r="AL25" s="172">
        <f ca="1">IFERROR(__xludf.DUMMYFUNCTION("IMPORTRANGE(""https://docs.google.com/spreadsheets/d/1Wbcosgy-Xa1xXUArJSOenub6EfZHUSzc_bpJFWwQUf0/edit?usp=sharing"",""แม่ฮ่องสอน!I111"")"),30)</f>
        <v>30</v>
      </c>
      <c r="AM25" s="172">
        <f ca="1">IFERROR(__xludf.DUMMYFUNCTION("IMPORTRANGE(""https://docs.google.com/spreadsheets/d/1Wbcosgy-Xa1xXUArJSOenub6EfZHUSzc_bpJFWwQUf0/edit?usp=sharing"",""แม่ฮ่องสอน!I112"")"),0)</f>
        <v>0</v>
      </c>
      <c r="AN25" s="173">
        <f ca="1">IFERROR(__xludf.DUMMYFUNCTION("IMPORTRANGE(""https://docs.google.com/spreadsheets/d/1Wbcosgy-Xa1xXUArJSOenub6EfZHUSzc_bpJFWwQUf0/edit?usp=sharing"",""แม่ฮ่องสอน!J111"")"),30)</f>
        <v>30</v>
      </c>
      <c r="AO25" s="173">
        <f t="shared" ca="1" si="15"/>
        <v>100</v>
      </c>
      <c r="AP25" s="173">
        <f ca="1">IFERROR(__xludf.DUMMYFUNCTION("IMPORTRANGE(""https://docs.google.com/spreadsheets/d/1Wbcosgy-Xa1xXUArJSOenub6EfZHUSzc_bpJFWwQUf0/edit?usp=sharing"",""แม่ฮ่องสอน!J112"")"),0)</f>
        <v>0</v>
      </c>
      <c r="AQ25" s="175">
        <f t="shared" ca="1" si="16"/>
        <v>0</v>
      </c>
      <c r="AR25" s="172">
        <f ca="1">IFERROR(__xludf.DUMMYFUNCTION("IMPORTRANGE(""https://docs.google.com/spreadsheets/d/1Wbcosgy-Xa1xXUArJSOenub6EfZHUSzc_bpJFWwQUf0/edit?usp=sharing"",""แม่ฮ่องสอน!I113"")"),30)</f>
        <v>30</v>
      </c>
      <c r="AS25" s="172">
        <f ca="1">IFERROR(__xludf.DUMMYFUNCTION("IMPORTRANGE(""https://docs.google.com/spreadsheets/d/1Wbcosgy-Xa1xXUArJSOenub6EfZHUSzc_bpJFWwQUf0/edit?usp=sharing"",""แม่ฮ่องสอน!J113"")"),30)</f>
        <v>30</v>
      </c>
      <c r="AT25" s="172">
        <f ca="1">IFERROR(__xludf.DUMMYFUNCTION("IMPORTRANGE(""https://docs.google.com/spreadsheets/d/1Wbcosgy-Xa1xXUArJSOenub6EfZHUSzc_bpJFWwQUf0/edit?usp=sharing"",""แม่ฮ่องสอน!J114"")"),30)</f>
        <v>30</v>
      </c>
      <c r="AU25" s="172">
        <f ca="1">IFERROR(__xludf.DUMMYFUNCTION("IMPORTRANGE(""https://docs.google.com/spreadsheets/d/1Wbcosgy-Xa1xXUArJSOenub6EfZHUSzc_bpJFWwQUf0/edit?usp=sharing"",""แม่ฮ่องสอน!I115"")"),0)</f>
        <v>0</v>
      </c>
      <c r="AV25" s="173">
        <f ca="1">IFERROR(__xludf.DUMMYFUNCTION("IMPORTRANGE(""https://docs.google.com/spreadsheets/d/1Wbcosgy-Xa1xXUArJSOenub6EfZHUSzc_bpJFWwQUf0/edit?usp=sharing"",""แม่ฮ่องสอน!J115"")"),0)</f>
        <v>0</v>
      </c>
      <c r="AW25" s="175">
        <f t="shared" ca="1" si="18"/>
        <v>0</v>
      </c>
      <c r="AX25" s="172">
        <f ca="1">IFERROR(__xludf.DUMMYFUNCTION("IMPORTRANGE(""https://docs.google.com/spreadsheets/d/1Wbcosgy-Xa1xXUArJSOenub6EfZHUSzc_bpJFWwQUf0/edit?usp=sharing"",""แม่ฮ่องสอน!I116"")"),0)</f>
        <v>0</v>
      </c>
      <c r="AY25" s="173">
        <f ca="1">IFERROR(__xludf.DUMMYFUNCTION("IMPORTRANGE(""https://docs.google.com/spreadsheets/d/1Wbcosgy-Xa1xXUArJSOenub6EfZHUSzc_bpJFWwQUf0/edit?usp=sharing"",""แม่ฮ่องสอน!J116"")"),0)</f>
        <v>0</v>
      </c>
      <c r="AZ25" s="175">
        <f t="shared" ca="1" si="20"/>
        <v>0</v>
      </c>
    </row>
    <row r="26" spans="1:52" ht="24" customHeight="1" x14ac:dyDescent="0.3">
      <c r="A26" s="168">
        <v>13</v>
      </c>
      <c r="B26" s="169" t="s">
        <v>48</v>
      </c>
      <c r="C26" s="170">
        <f t="shared" ca="1" si="0"/>
        <v>86040</v>
      </c>
      <c r="D26" s="171">
        <f t="shared" ca="1" si="42"/>
        <v>86040</v>
      </c>
      <c r="E26" s="172">
        <f ca="1">IFERROR(__xludf.DUMMYFUNCTION("IMPORTRANGE(""https://docs.google.com/spreadsheets/d/1MeEWN-I1oV_STSDYn1IFDPWt_1FKiwhDph83XaGc0o0/edit?usp=sharing"",""งบพรบ!AR26"")"),0)</f>
        <v>0</v>
      </c>
      <c r="F26" s="172">
        <f ca="1">IFERROR(__xludf.DUMMYFUNCTION("IMPORTRANGE(""https://docs.google.com/spreadsheets/d/1MeEWN-I1oV_STSDYn1IFDPWt_1FKiwhDph83XaGc0o0/edit?usp=sharing"",""งบพรบ!AS26"")"),86040)</f>
        <v>86040</v>
      </c>
      <c r="G26" s="172">
        <f ca="1">IFERROR(__xludf.DUMMYFUNCTION("IMPORTRANGE(""https://docs.google.com/spreadsheets/d/1MeEWN-I1oV_STSDYn1IFDPWt_1FKiwhDph83XaGc0o0/edit?usp=sharing"",""งบพรบ!AT26"")"),0)</f>
        <v>0</v>
      </c>
      <c r="H26" s="172">
        <f ca="1">IFERROR(__xludf.DUMMYFUNCTION("IMPORTRANGE(""https://docs.google.com/spreadsheets/d/1MeEWN-I1oV_STSDYn1IFDPWt_1FKiwhDph83XaGc0o0/edit?usp=sharing"",""งบพรบ!AV26"")"),86040)</f>
        <v>86040</v>
      </c>
      <c r="I26" s="172">
        <f ca="1">IFERROR(__xludf.DUMMYFUNCTION("IMPORTRANGE(""https://docs.google.com/spreadsheets/d/1MeEWN-I1oV_STSDYn1IFDPWt_1FKiwhDph83XaGc0o0/edit?usp=sharing"",""งบพรบ!AW26"")"),0)</f>
        <v>0</v>
      </c>
      <c r="J26" s="172">
        <f t="shared" ca="1" si="3"/>
        <v>85180</v>
      </c>
      <c r="K26" s="179">
        <f t="shared" ca="1" si="4"/>
        <v>99.000464900046495</v>
      </c>
      <c r="L26" s="172">
        <f ca="1">IFERROR(__xludf.DUMMYFUNCTION("IMPORTRANGE(""https://docs.google.com/spreadsheets/d/1MeEWN-I1oV_STSDYn1IFDPWt_1FKiwhDph83XaGc0o0/edit?usp=sharing"",""งบพรบ!AX26"")"),85180)</f>
        <v>85180</v>
      </c>
      <c r="M26" s="175">
        <f t="shared" ca="1" si="5"/>
        <v>99.000464900046495</v>
      </c>
      <c r="N26" s="175">
        <f t="shared" ca="1" si="6"/>
        <v>99.000464900046495</v>
      </c>
      <c r="O26" s="176">
        <f ca="1">IFERROR(__xludf.DUMMYFUNCTION("IMPORTRANGE(""https://docs.google.com/spreadsheets/d/1MeEWN-I1oV_STSDYn1IFDPWt_1FKiwhDph83XaGc0o0/edit?usp=sharing"",""งบพรบ!AY26"")"),0)</f>
        <v>0</v>
      </c>
      <c r="P26" s="176">
        <f t="shared" ca="1" si="36"/>
        <v>0</v>
      </c>
      <c r="Q26" s="175">
        <f t="shared" ca="1" si="8"/>
        <v>0</v>
      </c>
      <c r="R26" s="173">
        <f ca="1">IFERROR(__xludf.DUMMYFUNCTION("IMPORTRANGE(""https://docs.google.com/spreadsheets/d/1p7ERhsr0qZeSn-KSOdeHS9r0heI-lHtkcn2OH7hP0jQ/edit?usp=sharing"",""ลำปาง!I98"")"),30)</f>
        <v>30</v>
      </c>
      <c r="S26" s="173">
        <f ca="1">IFERROR(__xludf.DUMMYFUNCTION("IMPORTRANGE(""https://docs.google.com/spreadsheets/d/1p7ERhsr0qZeSn-KSOdeHS9r0heI-lHtkcn2OH7hP0jQ/edit?usp=sharing"",""ลำปาง!J98"")"),30)</f>
        <v>30</v>
      </c>
      <c r="T26" s="173">
        <f t="shared" ca="1" si="10"/>
        <v>100</v>
      </c>
      <c r="U26" s="173">
        <f ca="1">IFERROR(__xludf.DUMMYFUNCTION("IMPORTRANGE(""https://docs.google.com/spreadsheets/d/1p7ERhsr0qZeSn-KSOdeHS9r0heI-lHtkcn2OH7hP0jQ/edit?usp=sharing"",""ลำปาง!I99"")"),10)</f>
        <v>10</v>
      </c>
      <c r="V26" s="173">
        <f ca="1">IFERROR(__xludf.DUMMYFUNCTION("IMPORTRANGE(""https://docs.google.com/spreadsheets/d/1p7ERhsr0qZeSn-KSOdeHS9r0heI-lHtkcn2OH7hP0jQ/edit?usp=sharing"",""ลำปาง!I100"")"),2)</f>
        <v>2</v>
      </c>
      <c r="W26" s="173">
        <f ca="1">IFERROR(__xludf.DUMMYFUNCTION("IMPORTRANGE(""https://docs.google.com/spreadsheets/d/1p7ERhsr0qZeSn-KSOdeHS9r0heI-lHtkcn2OH7hP0jQ/edit?usp=sharing"",""ลำปาง!J99"")"),10)</f>
        <v>10</v>
      </c>
      <c r="X26" s="177">
        <f t="shared" ca="1" si="12"/>
        <v>100</v>
      </c>
      <c r="Y26" s="178">
        <f ca="1">IFERROR(__xludf.DUMMYFUNCTION("IMPORTRANGE(""https://docs.google.com/spreadsheets/d/1p7ERhsr0qZeSn-KSOdeHS9r0heI-lHtkcn2OH7hP0jQ/edit?usp=sharing"",""ลำปาง!J100"")"),2)</f>
        <v>2</v>
      </c>
      <c r="Z26" s="177">
        <f t="shared" ca="1" si="13"/>
        <v>100</v>
      </c>
      <c r="AA26" s="172">
        <f ca="1">IFERROR(__xludf.DUMMYFUNCTION("IMPORTRANGE(""https://docs.google.com/spreadsheets/d/1p7ERhsr0qZeSn-KSOdeHS9r0heI-lHtkcn2OH7hP0jQ/edit?usp=sharing"",""ลำปาง!I102"")"),30)</f>
        <v>30</v>
      </c>
      <c r="AB26" s="172">
        <f ca="1">IFERROR(__xludf.DUMMYFUNCTION("IMPORTRANGE(""https://docs.google.com/spreadsheets/d/1p7ERhsr0qZeSn-KSOdeHS9r0heI-lHtkcn2OH7hP0jQ/edit?usp=sharing"",""ลำปาง!I103"")"),10)</f>
        <v>10</v>
      </c>
      <c r="AC26" s="173">
        <f ca="1">IFERROR(__xludf.DUMMYFUNCTION("IMPORTRANGE(""https://docs.google.com/spreadsheets/d/1p7ERhsr0qZeSn-KSOdeHS9r0heI-lHtkcn2OH7hP0jQ/edit?usp=sharing"",""ลำปาง!J102"")"),30)</f>
        <v>30</v>
      </c>
      <c r="AD26" s="173">
        <f ca="1">IFERROR(__xludf.DUMMYFUNCTION("IMPORTRANGE(""https://docs.google.com/spreadsheets/d/1p7ERhsr0qZeSn-KSOdeHS9r0heI-lHtkcn2OH7hP0jQ/edit?usp=sharing"",""ลำปาง!J103"")"),10)</f>
        <v>10</v>
      </c>
      <c r="AE26" s="173">
        <f ca="1">IFERROR(__xludf.DUMMYFUNCTION("IMPORTRANGE(""https://docs.google.com/spreadsheets/d/1p7ERhsr0qZeSn-KSOdeHS9r0heI-lHtkcn2OH7hP0jQ/edit?usp=sharing"",""ลำปาง!J104"")"),10)</f>
        <v>10</v>
      </c>
      <c r="AF26" s="172">
        <f ca="1">IFERROR(__xludf.DUMMYFUNCTION("IMPORTRANGE(""https://docs.google.com/spreadsheets/d/1p7ERhsr0qZeSn-KSOdeHS9r0heI-lHtkcn2OH7hP0jQ/edit?usp=sharing"",""ลำปาง!I106"")"),1)</f>
        <v>1</v>
      </c>
      <c r="AG26" s="173">
        <f ca="1">IFERROR(__xludf.DUMMYFUNCTION("IMPORTRANGE(""https://docs.google.com/spreadsheets/d/1p7ERhsr0qZeSn-KSOdeHS9r0heI-lHtkcn2OH7hP0jQ/edit?usp=sharing"",""ลำปาง!J106"")"),1)</f>
        <v>1</v>
      </c>
      <c r="AH26" s="173">
        <f ca="1">IFERROR(__xludf.DUMMYFUNCTION("IMPORTRANGE(""https://docs.google.com/spreadsheets/d/1p7ERhsr0qZeSn-KSOdeHS9r0heI-lHtkcn2OH7hP0jQ/edit?usp=sharing"",""ลำปาง!J107"")"),1)</f>
        <v>1</v>
      </c>
      <c r="AI26" s="172">
        <f ca="1">IFERROR(__xludf.DUMMYFUNCTION("IMPORTRANGE(""https://docs.google.com/spreadsheets/d/1p7ERhsr0qZeSn-KSOdeHS9r0heI-lHtkcn2OH7hP0jQ/edit?usp=sharing"",""ลำปาง!I109"")"),1)</f>
        <v>1</v>
      </c>
      <c r="AJ26" s="173">
        <f ca="1">IFERROR(__xludf.DUMMYFUNCTION("IMPORTRANGE(""https://docs.google.com/spreadsheets/d/1p7ERhsr0qZeSn-KSOdeHS9r0heI-lHtkcn2OH7hP0jQ/edit?usp=sharing"",""ลำปาง!J109"")"),1)</f>
        <v>1</v>
      </c>
      <c r="AK26" s="173">
        <f ca="1">IFERROR(__xludf.DUMMYFUNCTION("IMPORTRANGE(""https://docs.google.com/spreadsheets/d/1p7ERhsr0qZeSn-KSOdeHS9r0heI-lHtkcn2OH7hP0jQ/edit?usp=sharing"",""ลำปาง!J110"")"),1)</f>
        <v>1</v>
      </c>
      <c r="AL26" s="172">
        <f ca="1">IFERROR(__xludf.DUMMYFUNCTION("IMPORTRANGE(""https://docs.google.com/spreadsheets/d/1p7ERhsr0qZeSn-KSOdeHS9r0heI-lHtkcn2OH7hP0jQ/edit?usp=sharing"",""ลำปาง!I111"")"),10)</f>
        <v>10</v>
      </c>
      <c r="AM26" s="172">
        <f ca="1">IFERROR(__xludf.DUMMYFUNCTION("IMPORTRANGE(""https://docs.google.com/spreadsheets/d/1p7ERhsr0qZeSn-KSOdeHS9r0heI-lHtkcn2OH7hP0jQ/edit?usp=sharing"",""ลำปาง!I112"")"),2)</f>
        <v>2</v>
      </c>
      <c r="AN26" s="173">
        <f ca="1">IFERROR(__xludf.DUMMYFUNCTION("IMPORTRANGE(""https://docs.google.com/spreadsheets/d/1p7ERhsr0qZeSn-KSOdeHS9r0heI-lHtkcn2OH7hP0jQ/edit?usp=sharing"",""ลำปาง!J111"")"),10)</f>
        <v>10</v>
      </c>
      <c r="AO26" s="173">
        <f t="shared" ca="1" si="15"/>
        <v>100</v>
      </c>
      <c r="AP26" s="173">
        <f ca="1">IFERROR(__xludf.DUMMYFUNCTION("IMPORTRANGE(""https://docs.google.com/spreadsheets/d/1p7ERhsr0qZeSn-KSOdeHS9r0heI-lHtkcn2OH7hP0jQ/edit?usp=sharing"",""ลำปาง!J112"")"),2)</f>
        <v>2</v>
      </c>
      <c r="AQ26" s="175">
        <f t="shared" ca="1" si="16"/>
        <v>100</v>
      </c>
      <c r="AR26" s="172">
        <f ca="1">IFERROR(__xludf.DUMMYFUNCTION("IMPORTRANGE(""https://docs.google.com/spreadsheets/d/1p7ERhsr0qZeSn-KSOdeHS9r0heI-lHtkcn2OH7hP0jQ/edit?usp=sharing"",""ลำปาง!I113"")"),10)</f>
        <v>10</v>
      </c>
      <c r="AS26" s="172">
        <f ca="1">IFERROR(__xludf.DUMMYFUNCTION("IMPORTRANGE(""https://docs.google.com/spreadsheets/d/1p7ERhsr0qZeSn-KSOdeHS9r0heI-lHtkcn2OH7hP0jQ/edit?usp=sharing"",""ลำปาง!J113"")"),10)</f>
        <v>10</v>
      </c>
      <c r="AT26" s="172">
        <f ca="1">IFERROR(__xludf.DUMMYFUNCTION("IMPORTRANGE(""https://docs.google.com/spreadsheets/d/1p7ERhsr0qZeSn-KSOdeHS9r0heI-lHtkcn2OH7hP0jQ/edit?usp=sharing"",""ลำปาง!J114"")"),10)</f>
        <v>10</v>
      </c>
      <c r="AU26" s="172">
        <f ca="1">IFERROR(__xludf.DUMMYFUNCTION("IMPORTRANGE(""https://docs.google.com/spreadsheets/d/1p7ERhsr0qZeSn-KSOdeHS9r0heI-lHtkcn2OH7hP0jQ/edit?usp=sharing"",""ลำปาง!I115"")"),1)</f>
        <v>1</v>
      </c>
      <c r="AV26" s="173">
        <f ca="1">IFERROR(__xludf.DUMMYFUNCTION("IMPORTRANGE(""https://docs.google.com/spreadsheets/d/1p7ERhsr0qZeSn-KSOdeHS9r0heI-lHtkcn2OH7hP0jQ/edit?usp=sharing"",""ลำปาง!J115"")"),1)</f>
        <v>1</v>
      </c>
      <c r="AW26" s="175">
        <f t="shared" ca="1" si="18"/>
        <v>100</v>
      </c>
      <c r="AX26" s="172">
        <f ca="1">IFERROR(__xludf.DUMMYFUNCTION("IMPORTRANGE(""https://docs.google.com/spreadsheets/d/1p7ERhsr0qZeSn-KSOdeHS9r0heI-lHtkcn2OH7hP0jQ/edit?usp=sharing"",""ลำปาง!I116"")"),1)</f>
        <v>1</v>
      </c>
      <c r="AY26" s="173">
        <f ca="1">IFERROR(__xludf.DUMMYFUNCTION("IMPORTRANGE(""https://docs.google.com/spreadsheets/d/1p7ERhsr0qZeSn-KSOdeHS9r0heI-lHtkcn2OH7hP0jQ/edit?usp=sharing"",""ลำปาง!J116"")"),1)</f>
        <v>1</v>
      </c>
      <c r="AZ26" s="175">
        <f t="shared" ca="1" si="20"/>
        <v>100</v>
      </c>
    </row>
    <row r="27" spans="1:52" ht="24" customHeight="1" x14ac:dyDescent="0.3">
      <c r="A27" s="168">
        <v>14</v>
      </c>
      <c r="B27" s="169" t="s">
        <v>49</v>
      </c>
      <c r="C27" s="170">
        <f t="shared" ca="1" si="0"/>
        <v>116140</v>
      </c>
      <c r="D27" s="171">
        <f t="shared" ca="1" si="42"/>
        <v>116140</v>
      </c>
      <c r="E27" s="172">
        <f ca="1">IFERROR(__xludf.DUMMYFUNCTION("IMPORTRANGE(""https://docs.google.com/spreadsheets/d/1MeEWN-I1oV_STSDYn1IFDPWt_1FKiwhDph83XaGc0o0/edit?usp=sharing"",""งบพรบ!AR27"")"),0)</f>
        <v>0</v>
      </c>
      <c r="F27" s="172">
        <f ca="1">IFERROR(__xludf.DUMMYFUNCTION("IMPORTRANGE(""https://docs.google.com/spreadsheets/d/1MeEWN-I1oV_STSDYn1IFDPWt_1FKiwhDph83XaGc0o0/edit?usp=sharing"",""งบพรบ!AS27"")"),116140)</f>
        <v>116140</v>
      </c>
      <c r="G27" s="172">
        <f ca="1">IFERROR(__xludf.DUMMYFUNCTION("IMPORTRANGE(""https://docs.google.com/spreadsheets/d/1MeEWN-I1oV_STSDYn1IFDPWt_1FKiwhDph83XaGc0o0/edit?usp=sharing"",""งบพรบ!AT27"")"),0)</f>
        <v>0</v>
      </c>
      <c r="H27" s="172">
        <f ca="1">IFERROR(__xludf.DUMMYFUNCTION("IMPORTRANGE(""https://docs.google.com/spreadsheets/d/1MeEWN-I1oV_STSDYn1IFDPWt_1FKiwhDph83XaGc0o0/edit?usp=sharing"",""งบพรบ!AV27"")"),133140)</f>
        <v>133140</v>
      </c>
      <c r="I27" s="172">
        <f ca="1">IFERROR(__xludf.DUMMYFUNCTION("IMPORTRANGE(""https://docs.google.com/spreadsheets/d/1MeEWN-I1oV_STSDYn1IFDPWt_1FKiwhDph83XaGc0o0/edit?usp=sharing"",""งบพรบ!AW27"")"),0)</f>
        <v>0</v>
      </c>
      <c r="J27" s="172">
        <f t="shared" ca="1" si="3"/>
        <v>128690</v>
      </c>
      <c r="K27" s="179">
        <f t="shared" ca="1" si="4"/>
        <v>110.80592388496642</v>
      </c>
      <c r="L27" s="172">
        <f ca="1">IFERROR(__xludf.DUMMYFUNCTION("IMPORTRANGE(""https://docs.google.com/spreadsheets/d/1MeEWN-I1oV_STSDYn1IFDPWt_1FKiwhDph83XaGc0o0/edit?usp=sharing"",""งบพรบ!AX27"")"),128690)</f>
        <v>128690</v>
      </c>
      <c r="M27" s="175">
        <f t="shared" ca="1" si="5"/>
        <v>110.80592388496642</v>
      </c>
      <c r="N27" s="175">
        <f t="shared" ca="1" si="6"/>
        <v>96.657653597716688</v>
      </c>
      <c r="O27" s="176">
        <f ca="1">IFERROR(__xludf.DUMMYFUNCTION("IMPORTRANGE(""https://docs.google.com/spreadsheets/d/1MeEWN-I1oV_STSDYn1IFDPWt_1FKiwhDph83XaGc0o0/edit?usp=sharing"",""งบพรบ!AY27"")"),0)</f>
        <v>0</v>
      </c>
      <c r="P27" s="176">
        <f t="shared" ca="1" si="36"/>
        <v>0</v>
      </c>
      <c r="Q27" s="175">
        <f t="shared" ca="1" si="8"/>
        <v>0</v>
      </c>
      <c r="R27" s="173">
        <f ca="1">IFERROR(__xludf.DUMMYFUNCTION("IMPORTRANGE(""https://docs.google.com/spreadsheets/d/1-uUXvimVhiU2U0bMN-xi2te0tS4X7DI2GLPnMjzl8cA/edit?usp=sharing"",""ลำพูน!I98"")"),30)</f>
        <v>30</v>
      </c>
      <c r="S27" s="173">
        <f ca="1">IFERROR(__xludf.DUMMYFUNCTION("IMPORTRANGE(""https://docs.google.com/spreadsheets/d/1-uUXvimVhiU2U0bMN-xi2te0tS4X7DI2GLPnMjzl8cA/edit?usp=sharing"",""ลำพูน!J98"")"),30)</f>
        <v>30</v>
      </c>
      <c r="T27" s="173">
        <f t="shared" ca="1" si="10"/>
        <v>100</v>
      </c>
      <c r="U27" s="173">
        <f ca="1">IFERROR(__xludf.DUMMYFUNCTION("IMPORTRANGE(""https://docs.google.com/spreadsheets/d/1-uUXvimVhiU2U0bMN-xi2te0tS4X7DI2GLPnMjzl8cA/edit?usp=sharing"",""ลำพูน!I99"")"),10)</f>
        <v>10</v>
      </c>
      <c r="V27" s="173">
        <f ca="1">IFERROR(__xludf.DUMMYFUNCTION("IMPORTRANGE(""https://docs.google.com/spreadsheets/d/1-uUXvimVhiU2U0bMN-xi2te0tS4X7DI2GLPnMjzl8cA/edit?usp=sharing"",""ลำพูน!I100"")"),3)</f>
        <v>3</v>
      </c>
      <c r="W27" s="173">
        <f ca="1">IFERROR(__xludf.DUMMYFUNCTION("IMPORTRANGE(""https://docs.google.com/spreadsheets/d/1-uUXvimVhiU2U0bMN-xi2te0tS4X7DI2GLPnMjzl8cA/edit?usp=sharing"",""ลำพูน!J99"")"),10)</f>
        <v>10</v>
      </c>
      <c r="X27" s="177">
        <f t="shared" ca="1" si="12"/>
        <v>100</v>
      </c>
      <c r="Y27" s="178">
        <f ca="1">IFERROR(__xludf.DUMMYFUNCTION("IMPORTRANGE(""https://docs.google.com/spreadsheets/d/1-uUXvimVhiU2U0bMN-xi2te0tS4X7DI2GLPnMjzl8cA/edit?usp=sharing"",""ลำพูน!J100"")"),3)</f>
        <v>3</v>
      </c>
      <c r="Z27" s="177">
        <f t="shared" ca="1" si="13"/>
        <v>100</v>
      </c>
      <c r="AA27" s="172">
        <f ca="1">IFERROR(__xludf.DUMMYFUNCTION("IMPORTRANGE(""https://docs.google.com/spreadsheets/d/1-uUXvimVhiU2U0bMN-xi2te0tS4X7DI2GLPnMjzl8cA/edit?usp=sharing"",""ลำพูน!I102"")"),30)</f>
        <v>30</v>
      </c>
      <c r="AB27" s="172">
        <f ca="1">IFERROR(__xludf.DUMMYFUNCTION("IMPORTRANGE(""https://docs.google.com/spreadsheets/d/1-uUXvimVhiU2U0bMN-xi2te0tS4X7DI2GLPnMjzl8cA/edit?usp=sharing"",""ลำพูน!I103"")"),10)</f>
        <v>10</v>
      </c>
      <c r="AC27" s="173">
        <f ca="1">IFERROR(__xludf.DUMMYFUNCTION("IMPORTRANGE(""https://docs.google.com/spreadsheets/d/1-uUXvimVhiU2U0bMN-xi2te0tS4X7DI2GLPnMjzl8cA/edit?usp=sharing"",""ลำพูน!J102"")"),30)</f>
        <v>30</v>
      </c>
      <c r="AD27" s="173">
        <f ca="1">IFERROR(__xludf.DUMMYFUNCTION("IMPORTRANGE(""https://docs.google.com/spreadsheets/d/1-uUXvimVhiU2U0bMN-xi2te0tS4X7DI2GLPnMjzl8cA/edit?usp=sharing"",""ลำพูน!J103"")"),10)</f>
        <v>10</v>
      </c>
      <c r="AE27" s="173">
        <f ca="1">IFERROR(__xludf.DUMMYFUNCTION("IMPORTRANGE(""https://docs.google.com/spreadsheets/d/1-uUXvimVhiU2U0bMN-xi2te0tS4X7DI2GLPnMjzl8cA/edit?usp=sharing"",""ลำพูน!J104"")"),10)</f>
        <v>10</v>
      </c>
      <c r="AF27" s="172">
        <f ca="1">IFERROR(__xludf.DUMMYFUNCTION("IMPORTRANGE(""https://docs.google.com/spreadsheets/d/1-uUXvimVhiU2U0bMN-xi2te0tS4X7DI2GLPnMjzl8cA/edit?usp=sharing"",""ลำพูน!I106"")"),1)</f>
        <v>1</v>
      </c>
      <c r="AG27" s="173">
        <f ca="1">IFERROR(__xludf.DUMMYFUNCTION("IMPORTRANGE(""https://docs.google.com/spreadsheets/d/1-uUXvimVhiU2U0bMN-xi2te0tS4X7DI2GLPnMjzl8cA/edit?usp=sharing"",""ลำพูน!J106"")"),1)</f>
        <v>1</v>
      </c>
      <c r="AH27" s="173">
        <f ca="1">IFERROR(__xludf.DUMMYFUNCTION("IMPORTRANGE(""https://docs.google.com/spreadsheets/d/1-uUXvimVhiU2U0bMN-xi2te0tS4X7DI2GLPnMjzl8cA/edit?usp=sharing"",""ลำพูน!J107"")"),1)</f>
        <v>1</v>
      </c>
      <c r="AI27" s="172">
        <f ca="1">IFERROR(__xludf.DUMMYFUNCTION("IMPORTRANGE(""https://docs.google.com/spreadsheets/d/1-uUXvimVhiU2U0bMN-xi2te0tS4X7DI2GLPnMjzl8cA/edit?usp=sharing"",""ลำพูน!I109"")"),2)</f>
        <v>2</v>
      </c>
      <c r="AJ27" s="173">
        <f ca="1">IFERROR(__xludf.DUMMYFUNCTION("IMPORTRANGE(""https://docs.google.com/spreadsheets/d/1-uUXvimVhiU2U0bMN-xi2te0tS4X7DI2GLPnMjzl8cA/edit?usp=sharing"",""ลำพูน!J109"")"),2)</f>
        <v>2</v>
      </c>
      <c r="AK27" s="173">
        <f ca="1">IFERROR(__xludf.DUMMYFUNCTION("IMPORTRANGE(""https://docs.google.com/spreadsheets/d/1-uUXvimVhiU2U0bMN-xi2te0tS4X7DI2GLPnMjzl8cA/edit?usp=sharing"",""ลำพูน!J110"")"),2)</f>
        <v>2</v>
      </c>
      <c r="AL27" s="172">
        <f ca="1">IFERROR(__xludf.DUMMYFUNCTION("IMPORTRANGE(""https://docs.google.com/spreadsheets/d/1-uUXvimVhiU2U0bMN-xi2te0tS4X7DI2GLPnMjzl8cA/edit?usp=sharing"",""ลำพูน!I111"")"),10)</f>
        <v>10</v>
      </c>
      <c r="AM27" s="172">
        <f ca="1">IFERROR(__xludf.DUMMYFUNCTION("IMPORTRANGE(""https://docs.google.com/spreadsheets/d/1-uUXvimVhiU2U0bMN-xi2te0tS4X7DI2GLPnMjzl8cA/edit?usp=sharing"",""ลำพูน!I112"")"),3)</f>
        <v>3</v>
      </c>
      <c r="AN27" s="173">
        <f ca="1">IFERROR(__xludf.DUMMYFUNCTION("IMPORTRANGE(""https://docs.google.com/spreadsheets/d/1-uUXvimVhiU2U0bMN-xi2te0tS4X7DI2GLPnMjzl8cA/edit?usp=sharing"",""ลำพูน!J111"")"),0)</f>
        <v>0</v>
      </c>
      <c r="AO27" s="173">
        <f t="shared" ca="1" si="15"/>
        <v>0</v>
      </c>
      <c r="AP27" s="173">
        <f ca="1">IFERROR(__xludf.DUMMYFUNCTION("IMPORTRANGE(""https://docs.google.com/spreadsheets/d/1-uUXvimVhiU2U0bMN-xi2te0tS4X7DI2GLPnMjzl8cA/edit?usp=sharing"",""ลำพูน!J112"")"),0)</f>
        <v>0</v>
      </c>
      <c r="AQ27" s="175">
        <f t="shared" ca="1" si="16"/>
        <v>0</v>
      </c>
      <c r="AR27" s="172">
        <f ca="1">IFERROR(__xludf.DUMMYFUNCTION("IMPORTRANGE(""https://docs.google.com/spreadsheets/d/1-uUXvimVhiU2U0bMN-xi2te0tS4X7DI2GLPnMjzl8cA/edit?usp=sharing"",""ลำพูน!I113"")"),10)</f>
        <v>10</v>
      </c>
      <c r="AS27" s="172">
        <f ca="1">IFERROR(__xludf.DUMMYFUNCTION("IMPORTRANGE(""https://docs.google.com/spreadsheets/d/1-uUXvimVhiU2U0bMN-xi2te0tS4X7DI2GLPnMjzl8cA/edit?usp=sharing"",""ลำพูน!J113"")"),0)</f>
        <v>0</v>
      </c>
      <c r="AT27" s="172">
        <f ca="1">IFERROR(__xludf.DUMMYFUNCTION("IMPORTRANGE(""https://docs.google.com/spreadsheets/d/1-uUXvimVhiU2U0bMN-xi2te0tS4X7DI2GLPnMjzl8cA/edit?usp=sharing"",""ลำพูน!J114"")"),0)</f>
        <v>0</v>
      </c>
      <c r="AU27" s="172">
        <f ca="1">IFERROR(__xludf.DUMMYFUNCTION("IMPORTRANGE(""https://docs.google.com/spreadsheets/d/1-uUXvimVhiU2U0bMN-xi2te0tS4X7DI2GLPnMjzl8cA/edit?usp=sharing"",""ลำพูน!I115"")"),1)</f>
        <v>1</v>
      </c>
      <c r="AV27" s="173">
        <f ca="1">IFERROR(__xludf.DUMMYFUNCTION("IMPORTRANGE(""https://docs.google.com/spreadsheets/d/1-uUXvimVhiU2U0bMN-xi2te0tS4X7DI2GLPnMjzl8cA/edit?usp=sharing"",""ลำพูน!J115"")"),0)</f>
        <v>0</v>
      </c>
      <c r="AW27" s="175">
        <f t="shared" ca="1" si="18"/>
        <v>0</v>
      </c>
      <c r="AX27" s="172">
        <f ca="1">IFERROR(__xludf.DUMMYFUNCTION("IMPORTRANGE(""https://docs.google.com/spreadsheets/d/1-uUXvimVhiU2U0bMN-xi2te0tS4X7DI2GLPnMjzl8cA/edit?usp=sharing"",""ลำพูน!I116"")"),2)</f>
        <v>2</v>
      </c>
      <c r="AY27" s="173">
        <f ca="1">IFERROR(__xludf.DUMMYFUNCTION("IMPORTRANGE(""https://docs.google.com/spreadsheets/d/1-uUXvimVhiU2U0bMN-xi2te0tS4X7DI2GLPnMjzl8cA/edit?usp=sharing"",""ลำพูน!J116"")"),0)</f>
        <v>0</v>
      </c>
      <c r="AZ27" s="175">
        <f t="shared" ca="1" si="20"/>
        <v>0</v>
      </c>
    </row>
    <row r="28" spans="1:52" ht="24" customHeight="1" x14ac:dyDescent="0.3">
      <c r="A28" s="168">
        <v>15</v>
      </c>
      <c r="B28" s="169" t="s">
        <v>50</v>
      </c>
      <c r="C28" s="170">
        <f t="shared" ca="1" si="0"/>
        <v>136720</v>
      </c>
      <c r="D28" s="171">
        <f t="shared" ca="1" si="42"/>
        <v>136720</v>
      </c>
      <c r="E28" s="172">
        <f ca="1">IFERROR(__xludf.DUMMYFUNCTION("IMPORTRANGE(""https://docs.google.com/spreadsheets/d/1MeEWN-I1oV_STSDYn1IFDPWt_1FKiwhDph83XaGc0o0/edit?usp=sharing"",""งบพรบ!AR28"")"),0)</f>
        <v>0</v>
      </c>
      <c r="F28" s="172">
        <f ca="1">IFERROR(__xludf.DUMMYFUNCTION("IMPORTRANGE(""https://docs.google.com/spreadsheets/d/1MeEWN-I1oV_STSDYn1IFDPWt_1FKiwhDph83XaGc0o0/edit?usp=sharing"",""งบพรบ!AS28"")"),136720)</f>
        <v>136720</v>
      </c>
      <c r="G28" s="172">
        <f ca="1">IFERROR(__xludf.DUMMYFUNCTION("IMPORTRANGE(""https://docs.google.com/spreadsheets/d/1MeEWN-I1oV_STSDYn1IFDPWt_1FKiwhDph83XaGc0o0/edit?usp=sharing"",""งบพรบ!AT28"")"),0)</f>
        <v>0</v>
      </c>
      <c r="H28" s="172">
        <f ca="1">IFERROR(__xludf.DUMMYFUNCTION("IMPORTRANGE(""https://docs.google.com/spreadsheets/d/1MeEWN-I1oV_STSDYn1IFDPWt_1FKiwhDph83XaGc0o0/edit?usp=sharing"",""งบพรบ!AV28"")"),136720)</f>
        <v>136720</v>
      </c>
      <c r="I28" s="172">
        <f ca="1">IFERROR(__xludf.DUMMYFUNCTION("IMPORTRANGE(""https://docs.google.com/spreadsheets/d/1MeEWN-I1oV_STSDYn1IFDPWt_1FKiwhDph83XaGc0o0/edit?usp=sharing"",""งบพรบ!AW28"")"),0)</f>
        <v>0</v>
      </c>
      <c r="J28" s="172">
        <f t="shared" ca="1" si="3"/>
        <v>141720</v>
      </c>
      <c r="K28" s="179">
        <f t="shared" ca="1" si="4"/>
        <v>103.65710942071387</v>
      </c>
      <c r="L28" s="172">
        <f ca="1">IFERROR(__xludf.DUMMYFUNCTION("IMPORTRANGE(""https://docs.google.com/spreadsheets/d/1MeEWN-I1oV_STSDYn1IFDPWt_1FKiwhDph83XaGc0o0/edit?usp=sharing"",""งบพรบ!AX28"")"),141720)</f>
        <v>141720</v>
      </c>
      <c r="M28" s="175">
        <f t="shared" ca="1" si="5"/>
        <v>103.65710942071387</v>
      </c>
      <c r="N28" s="175">
        <f t="shared" ca="1" si="6"/>
        <v>103.65710942071387</v>
      </c>
      <c r="O28" s="176">
        <f ca="1">IFERROR(__xludf.DUMMYFUNCTION("IMPORTRANGE(""https://docs.google.com/spreadsheets/d/1MeEWN-I1oV_STSDYn1IFDPWt_1FKiwhDph83XaGc0o0/edit?usp=sharing"",""งบพรบ!AY28"")"),0)</f>
        <v>0</v>
      </c>
      <c r="P28" s="176">
        <f t="shared" ca="1" si="36"/>
        <v>0</v>
      </c>
      <c r="Q28" s="175">
        <f t="shared" ca="1" si="8"/>
        <v>0</v>
      </c>
      <c r="R28" s="173">
        <f ca="1">IFERROR(__xludf.DUMMYFUNCTION("IMPORTRANGE(""https://docs.google.com/spreadsheets/d/17HrOaa5pBUI1onckFfumXB8xlg35qb2uBAFfF1D-Myo/edit?usp=sharing"",""สุโขทัย!I98"")"),90)</f>
        <v>90</v>
      </c>
      <c r="S28" s="173">
        <f ca="1">IFERROR(__xludf.DUMMYFUNCTION("IMPORTRANGE(""https://docs.google.com/spreadsheets/d/17HrOaa5pBUI1onckFfumXB8xlg35qb2uBAFfF1D-Myo/edit?usp=sharing"",""สุโขทัย!J98"")"),90)</f>
        <v>90</v>
      </c>
      <c r="T28" s="173">
        <f t="shared" ca="1" si="10"/>
        <v>100</v>
      </c>
      <c r="U28" s="173">
        <f ca="1">IFERROR(__xludf.DUMMYFUNCTION("IMPORTRANGE(""https://docs.google.com/spreadsheets/d/17HrOaa5pBUI1onckFfumXB8xlg35qb2uBAFfF1D-Myo/edit?usp=sharing"",""สุโขทัย!I99"")"),30)</f>
        <v>30</v>
      </c>
      <c r="V28" s="173">
        <f ca="1">IFERROR(__xludf.DUMMYFUNCTION("IMPORTRANGE(""https://docs.google.com/spreadsheets/d/17HrOaa5pBUI1onckFfumXB8xlg35qb2uBAFfF1D-Myo/edit?usp=sharing"",""สุโขทัย!I100"")"),2)</f>
        <v>2</v>
      </c>
      <c r="W28" s="173">
        <f ca="1">IFERROR(__xludf.DUMMYFUNCTION("IMPORTRANGE(""https://docs.google.com/spreadsheets/d/17HrOaa5pBUI1onckFfumXB8xlg35qb2uBAFfF1D-Myo/edit?usp=sharing"",""สุโขทัย!J99"")"),30)</f>
        <v>30</v>
      </c>
      <c r="X28" s="177">
        <f t="shared" ca="1" si="12"/>
        <v>100</v>
      </c>
      <c r="Y28" s="178">
        <f ca="1">IFERROR(__xludf.DUMMYFUNCTION("IMPORTRANGE(""https://docs.google.com/spreadsheets/d/17HrOaa5pBUI1onckFfumXB8xlg35qb2uBAFfF1D-Myo/edit?usp=sharing"",""สุโขทัย!J100"")"),2)</f>
        <v>2</v>
      </c>
      <c r="Z28" s="177">
        <f t="shared" ca="1" si="13"/>
        <v>100</v>
      </c>
      <c r="AA28" s="172">
        <f ca="1">IFERROR(__xludf.DUMMYFUNCTION("IMPORTRANGE(""https://docs.google.com/spreadsheets/d/17HrOaa5pBUI1onckFfumXB8xlg35qb2uBAFfF1D-Myo/edit?usp=sharing"",""สุโขทัย!I102"")"),90)</f>
        <v>90</v>
      </c>
      <c r="AB28" s="172">
        <f ca="1">IFERROR(__xludf.DUMMYFUNCTION("IMPORTRANGE(""https://docs.google.com/spreadsheets/d/17HrOaa5pBUI1onckFfumXB8xlg35qb2uBAFfF1D-Myo/edit?usp=sharing"",""สุโขทัย!I103"")"),30)</f>
        <v>30</v>
      </c>
      <c r="AC28" s="173">
        <f ca="1">IFERROR(__xludf.DUMMYFUNCTION("IMPORTRANGE(""https://docs.google.com/spreadsheets/d/17HrOaa5pBUI1onckFfumXB8xlg35qb2uBAFfF1D-Myo/edit?usp=sharing"",""สุโขทัย!J102"")"),90)</f>
        <v>90</v>
      </c>
      <c r="AD28" s="173">
        <f ca="1">IFERROR(__xludf.DUMMYFUNCTION("IMPORTRANGE(""https://docs.google.com/spreadsheets/d/17HrOaa5pBUI1onckFfumXB8xlg35qb2uBAFfF1D-Myo/edit?usp=sharing"",""สุโขทัย!J103"")"),30)</f>
        <v>30</v>
      </c>
      <c r="AE28" s="173">
        <f ca="1">IFERROR(__xludf.DUMMYFUNCTION("IMPORTRANGE(""https://docs.google.com/spreadsheets/d/17HrOaa5pBUI1onckFfumXB8xlg35qb2uBAFfF1D-Myo/edit?usp=sharing"",""สุโขทัย!J104"")"),30)</f>
        <v>30</v>
      </c>
      <c r="AF28" s="172">
        <f ca="1">IFERROR(__xludf.DUMMYFUNCTION("IMPORTRANGE(""https://docs.google.com/spreadsheets/d/17HrOaa5pBUI1onckFfumXB8xlg35qb2uBAFfF1D-Myo/edit?usp=sharing"",""สุโขทัย!I106"")"),1)</f>
        <v>1</v>
      </c>
      <c r="AG28" s="173">
        <f ca="1">IFERROR(__xludf.DUMMYFUNCTION("IMPORTRANGE(""https://docs.google.com/spreadsheets/d/17HrOaa5pBUI1onckFfumXB8xlg35qb2uBAFfF1D-Myo/edit?usp=sharing"",""สุโขทัย!J106"")"),1)</f>
        <v>1</v>
      </c>
      <c r="AH28" s="173">
        <f ca="1">IFERROR(__xludf.DUMMYFUNCTION("IMPORTRANGE(""https://docs.google.com/spreadsheets/d/17HrOaa5pBUI1onckFfumXB8xlg35qb2uBAFfF1D-Myo/edit?usp=sharing"",""สุโขทัย!J107"")"),1)</f>
        <v>1</v>
      </c>
      <c r="AI28" s="172">
        <f ca="1">IFERROR(__xludf.DUMMYFUNCTION("IMPORTRANGE(""https://docs.google.com/spreadsheets/d/17HrOaa5pBUI1onckFfumXB8xlg35qb2uBAFfF1D-Myo/edit?usp=sharing"",""สุโขทัย!I109"")"),1)</f>
        <v>1</v>
      </c>
      <c r="AJ28" s="173">
        <f ca="1">IFERROR(__xludf.DUMMYFUNCTION("IMPORTRANGE(""https://docs.google.com/spreadsheets/d/17HrOaa5pBUI1onckFfumXB8xlg35qb2uBAFfF1D-Myo/edit?usp=sharing"",""สุโขทัย!J109"")"),1)</f>
        <v>1</v>
      </c>
      <c r="AK28" s="173">
        <f ca="1">IFERROR(__xludf.DUMMYFUNCTION("IMPORTRANGE(""https://docs.google.com/spreadsheets/d/17HrOaa5pBUI1onckFfumXB8xlg35qb2uBAFfF1D-Myo/edit?usp=sharing"",""สุโขทัย!J110"")"),1)</f>
        <v>1</v>
      </c>
      <c r="AL28" s="172">
        <f ca="1">IFERROR(__xludf.DUMMYFUNCTION("IMPORTRANGE(""https://docs.google.com/spreadsheets/d/17HrOaa5pBUI1onckFfumXB8xlg35qb2uBAFfF1D-Myo/edit?usp=sharing"",""สุโขทัย!I111"")"),30)</f>
        <v>30</v>
      </c>
      <c r="AM28" s="172">
        <f ca="1">IFERROR(__xludf.DUMMYFUNCTION("IMPORTRANGE(""https://docs.google.com/spreadsheets/d/17HrOaa5pBUI1onckFfumXB8xlg35qb2uBAFfF1D-Myo/edit?usp=sharing"",""สุโขทัย!I112"")"),2)</f>
        <v>2</v>
      </c>
      <c r="AN28" s="173">
        <f ca="1">IFERROR(__xludf.DUMMYFUNCTION("IMPORTRANGE(""https://docs.google.com/spreadsheets/d/17HrOaa5pBUI1onckFfumXB8xlg35qb2uBAFfF1D-Myo/edit?usp=sharing"",""สุโขทัย!J111"")"),30)</f>
        <v>30</v>
      </c>
      <c r="AO28" s="173">
        <f t="shared" ca="1" si="15"/>
        <v>100</v>
      </c>
      <c r="AP28" s="173">
        <f ca="1">IFERROR(__xludf.DUMMYFUNCTION("IMPORTRANGE(""https://docs.google.com/spreadsheets/d/17HrOaa5pBUI1onckFfumXB8xlg35qb2uBAFfF1D-Myo/edit?usp=sharing"",""สุโขทัย!J112"")"),2)</f>
        <v>2</v>
      </c>
      <c r="AQ28" s="175">
        <f t="shared" ca="1" si="16"/>
        <v>100</v>
      </c>
      <c r="AR28" s="172">
        <f ca="1">IFERROR(__xludf.DUMMYFUNCTION("IMPORTRANGE(""https://docs.google.com/spreadsheets/d/17HrOaa5pBUI1onckFfumXB8xlg35qb2uBAFfF1D-Myo/edit?usp=sharing"",""สุโขทัย!I113"")"),30)</f>
        <v>30</v>
      </c>
      <c r="AS28" s="172">
        <f ca="1">IFERROR(__xludf.DUMMYFUNCTION("IMPORTRANGE(""https://docs.google.com/spreadsheets/d/17HrOaa5pBUI1onckFfumXB8xlg35qb2uBAFfF1D-Myo/edit?usp=sharing"",""สุโขทัย!J113"")"),30)</f>
        <v>30</v>
      </c>
      <c r="AT28" s="172">
        <f ca="1">IFERROR(__xludf.DUMMYFUNCTION("IMPORTRANGE(""https://docs.google.com/spreadsheets/d/17HrOaa5pBUI1onckFfumXB8xlg35qb2uBAFfF1D-Myo/edit?usp=sharing"",""สุโขทัย!J114"")"),30)</f>
        <v>30</v>
      </c>
      <c r="AU28" s="172">
        <f ca="1">IFERROR(__xludf.DUMMYFUNCTION("IMPORTRANGE(""https://docs.google.com/spreadsheets/d/17HrOaa5pBUI1onckFfumXB8xlg35qb2uBAFfF1D-Myo/edit?usp=sharing"",""สุโขทัย!I115"")"),1)</f>
        <v>1</v>
      </c>
      <c r="AV28" s="173">
        <f ca="1">IFERROR(__xludf.DUMMYFUNCTION("IMPORTRANGE(""https://docs.google.com/spreadsheets/d/17HrOaa5pBUI1onckFfumXB8xlg35qb2uBAFfF1D-Myo/edit?usp=sharing"",""สุโขทัย!J115"")"),1)</f>
        <v>1</v>
      </c>
      <c r="AW28" s="175">
        <f t="shared" ca="1" si="18"/>
        <v>100</v>
      </c>
      <c r="AX28" s="172">
        <f ca="1">IFERROR(__xludf.DUMMYFUNCTION("IMPORTRANGE(""https://docs.google.com/spreadsheets/d/17HrOaa5pBUI1onckFfumXB8xlg35qb2uBAFfF1D-Myo/edit?usp=sharing"",""สุโขทัย!I116"")"),1)</f>
        <v>1</v>
      </c>
      <c r="AY28" s="173">
        <f ca="1">IFERROR(__xludf.DUMMYFUNCTION("IMPORTRANGE(""https://docs.google.com/spreadsheets/d/17HrOaa5pBUI1onckFfumXB8xlg35qb2uBAFfF1D-Myo/edit?usp=sharing"",""สุโขทัย!J116"")"),1)</f>
        <v>1</v>
      </c>
      <c r="AZ28" s="175">
        <f t="shared" ca="1" si="20"/>
        <v>100</v>
      </c>
    </row>
    <row r="29" spans="1:52" ht="24" customHeight="1" x14ac:dyDescent="0.3">
      <c r="A29" s="168">
        <v>16</v>
      </c>
      <c r="B29" s="169" t="s">
        <v>51</v>
      </c>
      <c r="C29" s="170">
        <f t="shared" ca="1" si="0"/>
        <v>86040</v>
      </c>
      <c r="D29" s="171">
        <f t="shared" ca="1" si="42"/>
        <v>86040</v>
      </c>
      <c r="E29" s="172">
        <f ca="1">IFERROR(__xludf.DUMMYFUNCTION("IMPORTRANGE(""https://docs.google.com/spreadsheets/d/1MeEWN-I1oV_STSDYn1IFDPWt_1FKiwhDph83XaGc0o0/edit?usp=sharing"",""งบพรบ!AR29"")"),0)</f>
        <v>0</v>
      </c>
      <c r="F29" s="172">
        <f ca="1">IFERROR(__xludf.DUMMYFUNCTION("IMPORTRANGE(""https://docs.google.com/spreadsheets/d/1MeEWN-I1oV_STSDYn1IFDPWt_1FKiwhDph83XaGc0o0/edit?usp=sharing"",""งบพรบ!AS29"")"),86040)</f>
        <v>86040</v>
      </c>
      <c r="G29" s="172">
        <f ca="1">IFERROR(__xludf.DUMMYFUNCTION("IMPORTRANGE(""https://docs.google.com/spreadsheets/d/1MeEWN-I1oV_STSDYn1IFDPWt_1FKiwhDph83XaGc0o0/edit?usp=sharing"",""งบพรบ!AT29"")"),0)</f>
        <v>0</v>
      </c>
      <c r="H29" s="172">
        <f ca="1">IFERROR(__xludf.DUMMYFUNCTION("IMPORTRANGE(""https://docs.google.com/spreadsheets/d/1MeEWN-I1oV_STSDYn1IFDPWt_1FKiwhDph83XaGc0o0/edit?usp=sharing"",""งบพรบ!AV29"")"),86040)</f>
        <v>86040</v>
      </c>
      <c r="I29" s="172">
        <f ca="1">IFERROR(__xludf.DUMMYFUNCTION("IMPORTRANGE(""https://docs.google.com/spreadsheets/d/1MeEWN-I1oV_STSDYn1IFDPWt_1FKiwhDph83XaGc0o0/edit?usp=sharing"",""งบพรบ!AW29"")"),0)</f>
        <v>0</v>
      </c>
      <c r="J29" s="172">
        <f t="shared" ca="1" si="3"/>
        <v>67566</v>
      </c>
      <c r="K29" s="179">
        <f t="shared" ca="1" si="4"/>
        <v>78.528591352859138</v>
      </c>
      <c r="L29" s="172">
        <f ca="1">IFERROR(__xludf.DUMMYFUNCTION("IMPORTRANGE(""https://docs.google.com/spreadsheets/d/1MeEWN-I1oV_STSDYn1IFDPWt_1FKiwhDph83XaGc0o0/edit?usp=sharing"",""งบพรบ!AX29"")"),67566)</f>
        <v>67566</v>
      </c>
      <c r="M29" s="175">
        <f t="shared" ca="1" si="5"/>
        <v>78.528591352859138</v>
      </c>
      <c r="N29" s="175">
        <f t="shared" ca="1" si="6"/>
        <v>78.528591352859138</v>
      </c>
      <c r="O29" s="176">
        <f ca="1">IFERROR(__xludf.DUMMYFUNCTION("IMPORTRANGE(""https://docs.google.com/spreadsheets/d/1MeEWN-I1oV_STSDYn1IFDPWt_1FKiwhDph83XaGc0o0/edit?usp=sharing"",""งบพรบ!AY29"")"),0)</f>
        <v>0</v>
      </c>
      <c r="P29" s="176">
        <f t="shared" ca="1" si="36"/>
        <v>0</v>
      </c>
      <c r="Q29" s="175">
        <f t="shared" ca="1" si="8"/>
        <v>0</v>
      </c>
      <c r="R29" s="173">
        <f ca="1">IFERROR(__xludf.DUMMYFUNCTION("IMPORTRANGE(""https://docs.google.com/spreadsheets/d/1ubs5cl16eYL9gHbdHTJtmtYb9MGzHBs7CAphn8kNCgM/edit?usp=sharing"",""อุตรดิตถ์!I98"")"),30)</f>
        <v>30</v>
      </c>
      <c r="S29" s="173">
        <f ca="1">IFERROR(__xludf.DUMMYFUNCTION("IMPORTRANGE(""https://docs.google.com/spreadsheets/d/1ubs5cl16eYL9gHbdHTJtmtYb9MGzHBs7CAphn8kNCgM/edit?usp=sharing"",""อุตรดิตถ์!J98"")"),30)</f>
        <v>30</v>
      </c>
      <c r="T29" s="173">
        <f t="shared" ca="1" si="10"/>
        <v>100</v>
      </c>
      <c r="U29" s="173">
        <f ca="1">IFERROR(__xludf.DUMMYFUNCTION("IMPORTRANGE(""https://docs.google.com/spreadsheets/d/1ubs5cl16eYL9gHbdHTJtmtYb9MGzHBs7CAphn8kNCgM/edit?usp=sharing"",""อุตรดิตถ์!I99"")"),10)</f>
        <v>10</v>
      </c>
      <c r="V29" s="173">
        <f ca="1">IFERROR(__xludf.DUMMYFUNCTION("IMPORTRANGE(""https://docs.google.com/spreadsheets/d/1ubs5cl16eYL9gHbdHTJtmtYb9MGzHBs7CAphn8kNCgM/edit?usp=sharing"",""อุตรดิตถ์!I100"")"),2)</f>
        <v>2</v>
      </c>
      <c r="W29" s="173">
        <f ca="1">IFERROR(__xludf.DUMMYFUNCTION("IMPORTRANGE(""https://docs.google.com/spreadsheets/d/1ubs5cl16eYL9gHbdHTJtmtYb9MGzHBs7CAphn8kNCgM/edit?usp=sharing"",""อุตรดิตถ์!J99"")"),10)</f>
        <v>10</v>
      </c>
      <c r="X29" s="177">
        <f t="shared" ca="1" si="12"/>
        <v>100</v>
      </c>
      <c r="Y29" s="178">
        <f ca="1">IFERROR(__xludf.DUMMYFUNCTION("IMPORTRANGE(""https://docs.google.com/spreadsheets/d/1ubs5cl16eYL9gHbdHTJtmtYb9MGzHBs7CAphn8kNCgM/edit?usp=sharing"",""อุตรดิตถ์!J100"")"),2)</f>
        <v>2</v>
      </c>
      <c r="Z29" s="177">
        <f t="shared" ca="1" si="13"/>
        <v>100</v>
      </c>
      <c r="AA29" s="172">
        <f ca="1">IFERROR(__xludf.DUMMYFUNCTION("IMPORTRANGE(""https://docs.google.com/spreadsheets/d/1ubs5cl16eYL9gHbdHTJtmtYb9MGzHBs7CAphn8kNCgM/edit?usp=sharing"",""อุตรดิตถ์!I102"")"),30)</f>
        <v>30</v>
      </c>
      <c r="AB29" s="172">
        <f ca="1">IFERROR(__xludf.DUMMYFUNCTION("IMPORTRANGE(""https://docs.google.com/spreadsheets/d/1ubs5cl16eYL9gHbdHTJtmtYb9MGzHBs7CAphn8kNCgM/edit?usp=sharing"",""อุตรดิตถ์!I103"")"),10)</f>
        <v>10</v>
      </c>
      <c r="AC29" s="173">
        <f ca="1">IFERROR(__xludf.DUMMYFUNCTION("IMPORTRANGE(""https://docs.google.com/spreadsheets/d/1ubs5cl16eYL9gHbdHTJtmtYb9MGzHBs7CAphn8kNCgM/edit?usp=sharing"",""อุตรดิตถ์!J102"")"),30)</f>
        <v>30</v>
      </c>
      <c r="AD29" s="173">
        <f ca="1">IFERROR(__xludf.DUMMYFUNCTION("IMPORTRANGE(""https://docs.google.com/spreadsheets/d/1ubs5cl16eYL9gHbdHTJtmtYb9MGzHBs7CAphn8kNCgM/edit?usp=sharing"",""อุตรดิตถ์!J103"")"),10)</f>
        <v>10</v>
      </c>
      <c r="AE29" s="173">
        <f ca="1">IFERROR(__xludf.DUMMYFUNCTION("IMPORTRANGE(""https://docs.google.com/spreadsheets/d/1ubs5cl16eYL9gHbdHTJtmtYb9MGzHBs7CAphn8kNCgM/edit?usp=sharing"",""อุตรดิตถ์!J104"")"),10)</f>
        <v>10</v>
      </c>
      <c r="AF29" s="172">
        <f ca="1">IFERROR(__xludf.DUMMYFUNCTION("IMPORTRANGE(""https://docs.google.com/spreadsheets/d/1ubs5cl16eYL9gHbdHTJtmtYb9MGzHBs7CAphn8kNCgM/edit?usp=sharing"",""อุตรดิตถ์!I106"")"),1)</f>
        <v>1</v>
      </c>
      <c r="AG29" s="173">
        <f ca="1">IFERROR(__xludf.DUMMYFUNCTION("IMPORTRANGE(""https://docs.google.com/spreadsheets/d/1ubs5cl16eYL9gHbdHTJtmtYb9MGzHBs7CAphn8kNCgM/edit?usp=sharing"",""อุตรดิตถ์!J106"")"),1)</f>
        <v>1</v>
      </c>
      <c r="AH29" s="173">
        <f ca="1">IFERROR(__xludf.DUMMYFUNCTION("IMPORTRANGE(""https://docs.google.com/spreadsheets/d/1ubs5cl16eYL9gHbdHTJtmtYb9MGzHBs7CAphn8kNCgM/edit?usp=sharing"",""อุตรดิตถ์!J107"")"),1)</f>
        <v>1</v>
      </c>
      <c r="AI29" s="172">
        <f ca="1">IFERROR(__xludf.DUMMYFUNCTION("IMPORTRANGE(""https://docs.google.com/spreadsheets/d/1ubs5cl16eYL9gHbdHTJtmtYb9MGzHBs7CAphn8kNCgM/edit?usp=sharing"",""อุตรดิตถ์!I109"")"),1)</f>
        <v>1</v>
      </c>
      <c r="AJ29" s="173">
        <f ca="1">IFERROR(__xludf.DUMMYFUNCTION("IMPORTRANGE(""https://docs.google.com/spreadsheets/d/1ubs5cl16eYL9gHbdHTJtmtYb9MGzHBs7CAphn8kNCgM/edit?usp=sharing"",""อุตรดิตถ์!J109"")"),1)</f>
        <v>1</v>
      </c>
      <c r="AK29" s="173">
        <f ca="1">IFERROR(__xludf.DUMMYFUNCTION("IMPORTRANGE(""https://docs.google.com/spreadsheets/d/1ubs5cl16eYL9gHbdHTJtmtYb9MGzHBs7CAphn8kNCgM/edit?usp=sharing"",""อุตรดิตถ์!J110"")"),1)</f>
        <v>1</v>
      </c>
      <c r="AL29" s="172">
        <f ca="1">IFERROR(__xludf.DUMMYFUNCTION("IMPORTRANGE(""https://docs.google.com/spreadsheets/d/1ubs5cl16eYL9gHbdHTJtmtYb9MGzHBs7CAphn8kNCgM/edit?usp=sharing"",""อุตรดิตถ์!I111"")"),10)</f>
        <v>10</v>
      </c>
      <c r="AM29" s="172">
        <f ca="1">IFERROR(__xludf.DUMMYFUNCTION("IMPORTRANGE(""https://docs.google.com/spreadsheets/d/1ubs5cl16eYL9gHbdHTJtmtYb9MGzHBs7CAphn8kNCgM/edit?usp=sharing"",""อุตรดิตถ์!I112"")"),2)</f>
        <v>2</v>
      </c>
      <c r="AN29" s="173">
        <f ca="1">IFERROR(__xludf.DUMMYFUNCTION("IMPORTRANGE(""https://docs.google.com/spreadsheets/d/1ubs5cl16eYL9gHbdHTJtmtYb9MGzHBs7CAphn8kNCgM/edit?usp=sharing"",""อุตรดิตถ์!J111"")"),10)</f>
        <v>10</v>
      </c>
      <c r="AO29" s="173">
        <f t="shared" ca="1" si="15"/>
        <v>100</v>
      </c>
      <c r="AP29" s="173">
        <f ca="1">IFERROR(__xludf.DUMMYFUNCTION("IMPORTRANGE(""https://docs.google.com/spreadsheets/d/1ubs5cl16eYL9gHbdHTJtmtYb9MGzHBs7CAphn8kNCgM/edit?usp=sharing"",""อุตรดิตถ์!J112"")"),2)</f>
        <v>2</v>
      </c>
      <c r="AQ29" s="175">
        <f t="shared" ca="1" si="16"/>
        <v>100</v>
      </c>
      <c r="AR29" s="172">
        <f ca="1">IFERROR(__xludf.DUMMYFUNCTION("IMPORTRANGE(""https://docs.google.com/spreadsheets/d/1ubs5cl16eYL9gHbdHTJtmtYb9MGzHBs7CAphn8kNCgM/edit?usp=sharing"",""อุตรดิตถ์!I113"")"),10)</f>
        <v>10</v>
      </c>
      <c r="AS29" s="172">
        <f ca="1">IFERROR(__xludf.DUMMYFUNCTION("IMPORTRANGE(""https://docs.google.com/spreadsheets/d/1ubs5cl16eYL9gHbdHTJtmtYb9MGzHBs7CAphn8kNCgM/edit?usp=sharing"",""อุตรดิตถ์!J113"")"),10)</f>
        <v>10</v>
      </c>
      <c r="AT29" s="172">
        <f ca="1">IFERROR(__xludf.DUMMYFUNCTION("IMPORTRANGE(""https://docs.google.com/spreadsheets/d/1ubs5cl16eYL9gHbdHTJtmtYb9MGzHBs7CAphn8kNCgM/edit?usp=sharing"",""อุตรดิตถ์!J114"")"),10)</f>
        <v>10</v>
      </c>
      <c r="AU29" s="172">
        <f ca="1">IFERROR(__xludf.DUMMYFUNCTION("IMPORTRANGE(""https://docs.google.com/spreadsheets/d/1ubs5cl16eYL9gHbdHTJtmtYb9MGzHBs7CAphn8kNCgM/edit?usp=sharing"",""อุตรดิตถ์!I115"")"),1)</f>
        <v>1</v>
      </c>
      <c r="AV29" s="173">
        <f ca="1">IFERROR(__xludf.DUMMYFUNCTION("IMPORTRANGE(""https://docs.google.com/spreadsheets/d/1ubs5cl16eYL9gHbdHTJtmtYb9MGzHBs7CAphn8kNCgM/edit?usp=sharing"",""อุตรดิตถ์!J115"")"),1)</f>
        <v>1</v>
      </c>
      <c r="AW29" s="175">
        <f t="shared" ca="1" si="18"/>
        <v>100</v>
      </c>
      <c r="AX29" s="172">
        <f ca="1">IFERROR(__xludf.DUMMYFUNCTION("IMPORTRANGE(""https://docs.google.com/spreadsheets/d/1ubs5cl16eYL9gHbdHTJtmtYb9MGzHBs7CAphn8kNCgM/edit?usp=sharing"",""อุตรดิตถ์!I116"")"),1)</f>
        <v>1</v>
      </c>
      <c r="AY29" s="173">
        <f ca="1">IFERROR(__xludf.DUMMYFUNCTION("IMPORTRANGE(""https://docs.google.com/spreadsheets/d/1ubs5cl16eYL9gHbdHTJtmtYb9MGzHBs7CAphn8kNCgM/edit?usp=sharing"",""อุตรดิตถ์!J116"")"),1)</f>
        <v>1</v>
      </c>
      <c r="AZ29" s="175">
        <f t="shared" ca="1" si="20"/>
        <v>100</v>
      </c>
    </row>
    <row r="30" spans="1:52" ht="24" customHeight="1" x14ac:dyDescent="0.3">
      <c r="A30" s="180">
        <v>17</v>
      </c>
      <c r="B30" s="181" t="s">
        <v>52</v>
      </c>
      <c r="C30" s="182">
        <f t="shared" ca="1" si="0"/>
        <v>111180</v>
      </c>
      <c r="D30" s="183">
        <f t="shared" ca="1" si="42"/>
        <v>111180</v>
      </c>
      <c r="E30" s="184">
        <f ca="1">IFERROR(__xludf.DUMMYFUNCTION("IMPORTRANGE(""https://docs.google.com/spreadsheets/d/1MeEWN-I1oV_STSDYn1IFDPWt_1FKiwhDph83XaGc0o0/edit?usp=sharing"",""งบพรบ!AR30"")"),0)</f>
        <v>0</v>
      </c>
      <c r="F30" s="184">
        <f ca="1">IFERROR(__xludf.DUMMYFUNCTION("IMPORTRANGE(""https://docs.google.com/spreadsheets/d/1MeEWN-I1oV_STSDYn1IFDPWt_1FKiwhDph83XaGc0o0/edit?usp=sharing"",""งบพรบ!AS30"")"),111180)</f>
        <v>111180</v>
      </c>
      <c r="G30" s="184">
        <f ca="1">IFERROR(__xludf.DUMMYFUNCTION("IMPORTRANGE(""https://docs.google.com/spreadsheets/d/1MeEWN-I1oV_STSDYn1IFDPWt_1FKiwhDph83XaGc0o0/edit?usp=sharing"",""งบพรบ!AT30"")"),0)</f>
        <v>0</v>
      </c>
      <c r="H30" s="184">
        <f ca="1">IFERROR(__xludf.DUMMYFUNCTION("IMPORTRANGE(""https://docs.google.com/spreadsheets/d/1MeEWN-I1oV_STSDYn1IFDPWt_1FKiwhDph83XaGc0o0/edit?usp=sharing"",""งบพรบ!AV30"")"),111180)</f>
        <v>111180</v>
      </c>
      <c r="I30" s="184">
        <f ca="1">IFERROR(__xludf.DUMMYFUNCTION("IMPORTRANGE(""https://docs.google.com/spreadsheets/d/1MeEWN-I1oV_STSDYn1IFDPWt_1FKiwhDph83XaGc0o0/edit?usp=sharing"",""งบพรบ!AW30"")"),0)</f>
        <v>0</v>
      </c>
      <c r="J30" s="184">
        <f t="shared" ca="1" si="3"/>
        <v>111180</v>
      </c>
      <c r="K30" s="185">
        <f t="shared" ca="1" si="4"/>
        <v>100</v>
      </c>
      <c r="L30" s="184">
        <f ca="1">IFERROR(__xludf.DUMMYFUNCTION("IMPORTRANGE(""https://docs.google.com/spreadsheets/d/1MeEWN-I1oV_STSDYn1IFDPWt_1FKiwhDph83XaGc0o0/edit?usp=sharing"",""งบพรบ!AX30"")"),111180)</f>
        <v>111180</v>
      </c>
      <c r="M30" s="186">
        <f t="shared" ca="1" si="5"/>
        <v>100</v>
      </c>
      <c r="N30" s="186">
        <f t="shared" ca="1" si="6"/>
        <v>100</v>
      </c>
      <c r="O30" s="187">
        <f ca="1">IFERROR(__xludf.DUMMYFUNCTION("IMPORTRANGE(""https://docs.google.com/spreadsheets/d/1MeEWN-I1oV_STSDYn1IFDPWt_1FKiwhDph83XaGc0o0/edit?usp=sharing"",""งบพรบ!AY30"")"),0)</f>
        <v>0</v>
      </c>
      <c r="P30" s="187">
        <f t="shared" ca="1" si="36"/>
        <v>0</v>
      </c>
      <c r="Q30" s="186">
        <f t="shared" ca="1" si="8"/>
        <v>0</v>
      </c>
      <c r="R30" s="188">
        <f ca="1">IFERROR(__xludf.DUMMYFUNCTION("IMPORTRANGE(""https://docs.google.com/spreadsheets/d/1kII0BjS6CtVrBvI8IrytgPdxDrlyQDyigzMsohRtDMs/edit?usp=sharing"",""อุทัยธานี!I98"")"),60)</f>
        <v>60</v>
      </c>
      <c r="S30" s="188">
        <f ca="1">IFERROR(__xludf.DUMMYFUNCTION("IMPORTRANGE(""https://docs.google.com/spreadsheets/d/1kII0BjS6CtVrBvI8IrytgPdxDrlyQDyigzMsohRtDMs/edit?usp=sharing"",""อุทัยธานี!J98"")"),60)</f>
        <v>60</v>
      </c>
      <c r="T30" s="188">
        <f t="shared" ca="1" si="10"/>
        <v>100</v>
      </c>
      <c r="U30" s="188">
        <f ca="1">IFERROR(__xludf.DUMMYFUNCTION("IMPORTRANGE(""https://docs.google.com/spreadsheets/d/1kII0BjS6CtVrBvI8IrytgPdxDrlyQDyigzMsohRtDMs/edit?usp=sharing"",""อุทัยธานี!I99"")"),20)</f>
        <v>20</v>
      </c>
      <c r="V30" s="188">
        <f ca="1">IFERROR(__xludf.DUMMYFUNCTION("IMPORTRANGE(""https://docs.google.com/spreadsheets/d/1kII0BjS6CtVrBvI8IrytgPdxDrlyQDyigzMsohRtDMs/edit?usp=sharing"",""อุทัยธานี!I100"")"),2)</f>
        <v>2</v>
      </c>
      <c r="W30" s="188">
        <f ca="1">IFERROR(__xludf.DUMMYFUNCTION("IMPORTRANGE(""https://docs.google.com/spreadsheets/d/1kII0BjS6CtVrBvI8IrytgPdxDrlyQDyigzMsohRtDMs/edit?usp=sharing"",""อุทัยธานี!J99"")"),20)</f>
        <v>20</v>
      </c>
      <c r="X30" s="189">
        <f t="shared" ca="1" si="12"/>
        <v>100</v>
      </c>
      <c r="Y30" s="190">
        <f ca="1">IFERROR(__xludf.DUMMYFUNCTION("IMPORTRANGE(""https://docs.google.com/spreadsheets/d/1kII0BjS6CtVrBvI8IrytgPdxDrlyQDyigzMsohRtDMs/edit?usp=sharing"",""อุทัยธานี!J100"")"),2)</f>
        <v>2</v>
      </c>
      <c r="Z30" s="189">
        <f t="shared" ca="1" si="13"/>
        <v>100</v>
      </c>
      <c r="AA30" s="184">
        <f ca="1">IFERROR(__xludf.DUMMYFUNCTION("IMPORTRANGE(""https://docs.google.com/spreadsheets/d/1kII0BjS6CtVrBvI8IrytgPdxDrlyQDyigzMsohRtDMs/edit?usp=sharing"",""อุทัยธานี!I102"")"),60)</f>
        <v>60</v>
      </c>
      <c r="AB30" s="184">
        <f ca="1">IFERROR(__xludf.DUMMYFUNCTION("IMPORTRANGE(""https://docs.google.com/spreadsheets/d/1kII0BjS6CtVrBvI8IrytgPdxDrlyQDyigzMsohRtDMs/edit?usp=sharing"",""อุทัยธานี!I103"")"),20)</f>
        <v>20</v>
      </c>
      <c r="AC30" s="188">
        <f ca="1">IFERROR(__xludf.DUMMYFUNCTION("IMPORTRANGE(""https://docs.google.com/spreadsheets/d/1kII0BjS6CtVrBvI8IrytgPdxDrlyQDyigzMsohRtDMs/edit?usp=sharing"",""อุทัยธานี!J102"")"),60)</f>
        <v>60</v>
      </c>
      <c r="AD30" s="188">
        <f ca="1">IFERROR(__xludf.DUMMYFUNCTION("IMPORTRANGE(""https://docs.google.com/spreadsheets/d/1kII0BjS6CtVrBvI8IrytgPdxDrlyQDyigzMsohRtDMs/edit?usp=sharing"",""อุทัยธานี!J103"")"),20)</f>
        <v>20</v>
      </c>
      <c r="AE30" s="188">
        <f ca="1">IFERROR(__xludf.DUMMYFUNCTION("IMPORTRANGE(""https://docs.google.com/spreadsheets/d/1kII0BjS6CtVrBvI8IrytgPdxDrlyQDyigzMsohRtDMs/edit?usp=sharing"",""อุทัยธานี!J104"")"),20)</f>
        <v>20</v>
      </c>
      <c r="AF30" s="184">
        <f ca="1">IFERROR(__xludf.DUMMYFUNCTION("IMPORTRANGE(""https://docs.google.com/spreadsheets/d/1kII0BjS6CtVrBvI8IrytgPdxDrlyQDyigzMsohRtDMs/edit?usp=sharing"",""อุทัยธานี!I106"")"),1)</f>
        <v>1</v>
      </c>
      <c r="AG30" s="188">
        <f ca="1">IFERROR(__xludf.DUMMYFUNCTION("IMPORTRANGE(""https://docs.google.com/spreadsheets/d/1kII0BjS6CtVrBvI8IrytgPdxDrlyQDyigzMsohRtDMs/edit?usp=sharing"",""อุทัยธานี!J106"")"),1)</f>
        <v>1</v>
      </c>
      <c r="AH30" s="188">
        <f ca="1">IFERROR(__xludf.DUMMYFUNCTION("IMPORTRANGE(""https://docs.google.com/spreadsheets/d/1kII0BjS6CtVrBvI8IrytgPdxDrlyQDyigzMsohRtDMs/edit?usp=sharing"",""อุทัยธานี!J107"")"),1)</f>
        <v>1</v>
      </c>
      <c r="AI30" s="184">
        <f ca="1">IFERROR(__xludf.DUMMYFUNCTION("IMPORTRANGE(""https://docs.google.com/spreadsheets/d/1kII0BjS6CtVrBvI8IrytgPdxDrlyQDyigzMsohRtDMs/edit?usp=sharing"",""อุทัยธานี!I109"")"),1)</f>
        <v>1</v>
      </c>
      <c r="AJ30" s="188">
        <f ca="1">IFERROR(__xludf.DUMMYFUNCTION("IMPORTRANGE(""https://docs.google.com/spreadsheets/d/1kII0BjS6CtVrBvI8IrytgPdxDrlyQDyigzMsohRtDMs/edit?usp=sharing"",""อุทัยธานี!J109"")"),1)</f>
        <v>1</v>
      </c>
      <c r="AK30" s="188">
        <f ca="1">IFERROR(__xludf.DUMMYFUNCTION("IMPORTRANGE(""https://docs.google.com/spreadsheets/d/1kII0BjS6CtVrBvI8IrytgPdxDrlyQDyigzMsohRtDMs/edit?usp=sharing"",""อุทัยธานี!J110"")"),1)</f>
        <v>1</v>
      </c>
      <c r="AL30" s="184">
        <f ca="1">IFERROR(__xludf.DUMMYFUNCTION("IMPORTRANGE(""https://docs.google.com/spreadsheets/d/1kII0BjS6CtVrBvI8IrytgPdxDrlyQDyigzMsohRtDMs/edit?usp=sharing"",""อุทัยธานี!I111"")"),20)</f>
        <v>20</v>
      </c>
      <c r="AM30" s="184">
        <f ca="1">IFERROR(__xludf.DUMMYFUNCTION("IMPORTRANGE(""https://docs.google.com/spreadsheets/d/1kII0BjS6CtVrBvI8IrytgPdxDrlyQDyigzMsohRtDMs/edit?usp=sharing"",""อุทัยธานี!I112"")"),2)</f>
        <v>2</v>
      </c>
      <c r="AN30" s="188">
        <f ca="1">IFERROR(__xludf.DUMMYFUNCTION("IMPORTRANGE(""https://docs.google.com/spreadsheets/d/1kII0BjS6CtVrBvI8IrytgPdxDrlyQDyigzMsohRtDMs/edit?usp=sharing"",""อุทัยธานี!J111"")"),20)</f>
        <v>20</v>
      </c>
      <c r="AO30" s="188">
        <f t="shared" ca="1" si="15"/>
        <v>100</v>
      </c>
      <c r="AP30" s="188">
        <f ca="1">IFERROR(__xludf.DUMMYFUNCTION("IMPORTRANGE(""https://docs.google.com/spreadsheets/d/1kII0BjS6CtVrBvI8IrytgPdxDrlyQDyigzMsohRtDMs/edit?usp=sharing"",""อุทัยธานี!J112"")"),2)</f>
        <v>2</v>
      </c>
      <c r="AQ30" s="186">
        <f t="shared" ca="1" si="16"/>
        <v>100</v>
      </c>
      <c r="AR30" s="184">
        <f ca="1">IFERROR(__xludf.DUMMYFUNCTION("IMPORTRANGE(""https://docs.google.com/spreadsheets/d/1kII0BjS6CtVrBvI8IrytgPdxDrlyQDyigzMsohRtDMs/edit?usp=sharing"",""อุทัยธานี!I113"")"),20)</f>
        <v>20</v>
      </c>
      <c r="AS30" s="184">
        <f ca="1">IFERROR(__xludf.DUMMYFUNCTION("IMPORTRANGE(""https://docs.google.com/spreadsheets/d/1kII0BjS6CtVrBvI8IrytgPdxDrlyQDyigzMsohRtDMs/edit?usp=sharing"",""อุทัยธานี!J113"")"),20)</f>
        <v>20</v>
      </c>
      <c r="AT30" s="184">
        <f ca="1">IFERROR(__xludf.DUMMYFUNCTION("IMPORTRANGE(""https://docs.google.com/spreadsheets/d/1kII0BjS6CtVrBvI8IrytgPdxDrlyQDyigzMsohRtDMs/edit?usp=sharing"",""อุทัยธานี!J114"")"),20)</f>
        <v>20</v>
      </c>
      <c r="AU30" s="184">
        <f ca="1">IFERROR(__xludf.DUMMYFUNCTION("IMPORTRANGE(""https://docs.google.com/spreadsheets/d/1kII0BjS6CtVrBvI8IrytgPdxDrlyQDyigzMsohRtDMs/edit?usp=sharing"",""อุทัยธานี!I115"")"),1)</f>
        <v>1</v>
      </c>
      <c r="AV30" s="188">
        <f ca="1">IFERROR(__xludf.DUMMYFUNCTION("IMPORTRANGE(""https://docs.google.com/spreadsheets/d/1kII0BjS6CtVrBvI8IrytgPdxDrlyQDyigzMsohRtDMs/edit?usp=sharing"",""อุทัยธานี!J115"")"),1)</f>
        <v>1</v>
      </c>
      <c r="AW30" s="186">
        <f t="shared" ca="1" si="18"/>
        <v>100</v>
      </c>
      <c r="AX30" s="184">
        <f ca="1">IFERROR(__xludf.DUMMYFUNCTION("IMPORTRANGE(""https://docs.google.com/spreadsheets/d/1kII0BjS6CtVrBvI8IrytgPdxDrlyQDyigzMsohRtDMs/edit?usp=sharing"",""อุทัยธานี!I116"")"),1)</f>
        <v>1</v>
      </c>
      <c r="AY30" s="188">
        <f ca="1">IFERROR(__xludf.DUMMYFUNCTION("IMPORTRANGE(""https://docs.google.com/spreadsheets/d/1kII0BjS6CtVrBvI8IrytgPdxDrlyQDyigzMsohRtDMs/edit?usp=sharing"",""อุทัยธานี!J116"")"),1)</f>
        <v>1</v>
      </c>
      <c r="AZ30" s="186">
        <f t="shared" ca="1" si="20"/>
        <v>100</v>
      </c>
    </row>
    <row r="31" spans="1:52" ht="21" customHeight="1" x14ac:dyDescent="0.3">
      <c r="A31" s="431" t="s">
        <v>53</v>
      </c>
      <c r="B31" s="414"/>
      <c r="C31" s="150">
        <f t="shared" ca="1" si="0"/>
        <v>2299260</v>
      </c>
      <c r="D31" s="150">
        <f t="shared" ref="D31:I31" ca="1" si="43">SUM(D32:D51)</f>
        <v>2299260</v>
      </c>
      <c r="E31" s="150">
        <f t="shared" ca="1" si="43"/>
        <v>623700</v>
      </c>
      <c r="F31" s="150">
        <f t="shared" ca="1" si="43"/>
        <v>1675560</v>
      </c>
      <c r="G31" s="150">
        <f t="shared" ca="1" si="43"/>
        <v>0</v>
      </c>
      <c r="H31" s="150">
        <f t="shared" ca="1" si="43"/>
        <v>2490060</v>
      </c>
      <c r="I31" s="150">
        <f t="shared" ca="1" si="43"/>
        <v>0</v>
      </c>
      <c r="J31" s="150">
        <f t="shared" ca="1" si="3"/>
        <v>2297265.9699999997</v>
      </c>
      <c r="K31" s="151">
        <f t="shared" ca="1" si="4"/>
        <v>99.913275140697422</v>
      </c>
      <c r="L31" s="150">
        <f ca="1">SUM(L32:L51)</f>
        <v>2297265.9699999997</v>
      </c>
      <c r="M31" s="152">
        <f t="shared" ca="1" si="5"/>
        <v>99.913275140697422</v>
      </c>
      <c r="N31" s="152">
        <f t="shared" ca="1" si="6"/>
        <v>92.257454438848853</v>
      </c>
      <c r="O31" s="153">
        <f ca="1">SUM(O32:O51)</f>
        <v>0</v>
      </c>
      <c r="P31" s="153">
        <f t="shared" ca="1" si="36"/>
        <v>0</v>
      </c>
      <c r="Q31" s="152">
        <f t="shared" ca="1" si="8"/>
        <v>0</v>
      </c>
      <c r="R31" s="150">
        <f t="shared" ref="R31:S31" ca="1" si="44">SUM(R32:R51)</f>
        <v>795</v>
      </c>
      <c r="S31" s="150">
        <f t="shared" ca="1" si="44"/>
        <v>795</v>
      </c>
      <c r="T31" s="150">
        <f t="shared" ca="1" si="10"/>
        <v>100</v>
      </c>
      <c r="U31" s="150">
        <f t="shared" ref="U31:W31" ca="1" si="45">SUM(U32:U51)</f>
        <v>265</v>
      </c>
      <c r="V31" s="150">
        <f t="shared" ca="1" si="45"/>
        <v>33</v>
      </c>
      <c r="W31" s="150">
        <f t="shared" ca="1" si="45"/>
        <v>265</v>
      </c>
      <c r="X31" s="152">
        <f t="shared" ca="1" si="12"/>
        <v>100</v>
      </c>
      <c r="Y31" s="153">
        <f ca="1">SUM(Y32:Y51)</f>
        <v>33</v>
      </c>
      <c r="Z31" s="152">
        <f t="shared" ca="1" si="13"/>
        <v>100</v>
      </c>
      <c r="AA31" s="150">
        <f t="shared" ref="AA31:AN31" ca="1" si="46">SUM(AA32:AA51)</f>
        <v>795</v>
      </c>
      <c r="AB31" s="150">
        <f t="shared" ca="1" si="46"/>
        <v>265</v>
      </c>
      <c r="AC31" s="150">
        <f t="shared" ca="1" si="46"/>
        <v>795</v>
      </c>
      <c r="AD31" s="150">
        <f t="shared" ca="1" si="46"/>
        <v>265</v>
      </c>
      <c r="AE31" s="150">
        <f t="shared" ca="1" si="46"/>
        <v>265</v>
      </c>
      <c r="AF31" s="150">
        <f t="shared" ca="1" si="46"/>
        <v>18</v>
      </c>
      <c r="AG31" s="150">
        <f t="shared" ca="1" si="46"/>
        <v>18</v>
      </c>
      <c r="AH31" s="150">
        <f t="shared" ca="1" si="46"/>
        <v>18</v>
      </c>
      <c r="AI31" s="150">
        <f t="shared" ca="1" si="46"/>
        <v>15</v>
      </c>
      <c r="AJ31" s="150">
        <f t="shared" ca="1" si="46"/>
        <v>14</v>
      </c>
      <c r="AK31" s="150">
        <f t="shared" ca="1" si="46"/>
        <v>15</v>
      </c>
      <c r="AL31" s="150">
        <f t="shared" ca="1" si="46"/>
        <v>265</v>
      </c>
      <c r="AM31" s="150">
        <f t="shared" ca="1" si="46"/>
        <v>33</v>
      </c>
      <c r="AN31" s="150">
        <f t="shared" ca="1" si="46"/>
        <v>160</v>
      </c>
      <c r="AO31" s="150">
        <f t="shared" ca="1" si="15"/>
        <v>60.377358490566039</v>
      </c>
      <c r="AP31" s="150">
        <f ca="1">SUM(AP32:AP51)</f>
        <v>22</v>
      </c>
      <c r="AQ31" s="152">
        <f t="shared" ca="1" si="16"/>
        <v>66.666666666666671</v>
      </c>
      <c r="AR31" s="150">
        <f t="shared" ref="AR31:AV31" ca="1" si="47">SUM(AR32:AR51)</f>
        <v>265</v>
      </c>
      <c r="AS31" s="150">
        <f t="shared" ca="1" si="47"/>
        <v>160</v>
      </c>
      <c r="AT31" s="150">
        <f t="shared" ca="1" si="47"/>
        <v>160</v>
      </c>
      <c r="AU31" s="150">
        <f t="shared" ca="1" si="47"/>
        <v>18</v>
      </c>
      <c r="AV31" s="150">
        <f t="shared" ca="1" si="47"/>
        <v>12</v>
      </c>
      <c r="AW31" s="152">
        <f t="shared" ca="1" si="18"/>
        <v>66.666666666666671</v>
      </c>
      <c r="AX31" s="150">
        <f t="shared" ref="AX31:AY31" ca="1" si="48">SUM(AX32:AX51)</f>
        <v>15</v>
      </c>
      <c r="AY31" s="150">
        <f t="shared" ca="1" si="48"/>
        <v>10</v>
      </c>
      <c r="AZ31" s="152">
        <f t="shared" ca="1" si="20"/>
        <v>66.666666666666671</v>
      </c>
    </row>
    <row r="32" spans="1:52" ht="21" customHeight="1" x14ac:dyDescent="0.3">
      <c r="A32" s="168">
        <v>1</v>
      </c>
      <c r="B32" s="169" t="s">
        <v>54</v>
      </c>
      <c r="C32" s="170">
        <f t="shared" ca="1" si="0"/>
        <v>56040</v>
      </c>
      <c r="D32" s="171">
        <f t="shared" ref="D32:D51" ca="1" si="49">+E32+F32</f>
        <v>56040</v>
      </c>
      <c r="E32" s="172">
        <f ca="1">IFERROR(__xludf.DUMMYFUNCTION("IMPORTRANGE(""https://docs.google.com/spreadsheets/d/1MeEWN-I1oV_STSDYn1IFDPWt_1FKiwhDph83XaGc0o0/edit?usp=sharing"",""งบพรบ!AR32"")"),0)</f>
        <v>0</v>
      </c>
      <c r="F32" s="172">
        <f ca="1">IFERROR(__xludf.DUMMYFUNCTION("IMPORTRANGE(""https://docs.google.com/spreadsheets/d/1MeEWN-I1oV_STSDYn1IFDPWt_1FKiwhDph83XaGc0o0/edit?usp=sharing"",""งบพรบ!AS32"")"),56040)</f>
        <v>56040</v>
      </c>
      <c r="G32" s="173">
        <f ca="1">IFERROR(__xludf.DUMMYFUNCTION("IMPORTRANGE(""https://docs.google.com/spreadsheets/d/1MeEWN-I1oV_STSDYn1IFDPWt_1FKiwhDph83XaGc0o0/edit?usp=sharing"",""งบพรบ!AT32"")"),0)</f>
        <v>0</v>
      </c>
      <c r="H32" s="173">
        <f ca="1">IFERROR(__xludf.DUMMYFUNCTION("IMPORTRANGE(""https://docs.google.com/spreadsheets/d/1MeEWN-I1oV_STSDYn1IFDPWt_1FKiwhDph83XaGc0o0/edit?usp=sharing"",""งบพรบ!AV32"")"),71040)</f>
        <v>71040</v>
      </c>
      <c r="I32" s="173">
        <f ca="1">IFERROR(__xludf.DUMMYFUNCTION("IMPORTRANGE(""https://docs.google.com/spreadsheets/d/1MeEWN-I1oV_STSDYn1IFDPWt_1FKiwhDph83XaGc0o0/edit?usp=sharing"",""งบพรบ!AW32"")"),0)</f>
        <v>0</v>
      </c>
      <c r="J32" s="173">
        <f t="shared" ca="1" si="3"/>
        <v>69620</v>
      </c>
      <c r="K32" s="174">
        <f t="shared" ca="1" si="4"/>
        <v>124.23269093504639</v>
      </c>
      <c r="L32" s="173">
        <f ca="1">IFERROR(__xludf.DUMMYFUNCTION("IMPORTRANGE(""https://docs.google.com/spreadsheets/d/1MeEWN-I1oV_STSDYn1IFDPWt_1FKiwhDph83XaGc0o0/edit?usp=sharing"",""งบพรบ!AX32"")"),69620)</f>
        <v>69620</v>
      </c>
      <c r="M32" s="175">
        <f t="shared" ca="1" si="5"/>
        <v>124.23269093504639</v>
      </c>
      <c r="N32" s="175">
        <f t="shared" ca="1" si="6"/>
        <v>98.001126126126124</v>
      </c>
      <c r="O32" s="176">
        <f ca="1">IFERROR(__xludf.DUMMYFUNCTION("IMPORTRANGE(""https://docs.google.com/spreadsheets/d/1MeEWN-I1oV_STSDYn1IFDPWt_1FKiwhDph83XaGc0o0/edit?usp=sharing"",""งบพรบ!AY32"")"),0)</f>
        <v>0</v>
      </c>
      <c r="P32" s="176">
        <f t="shared" ca="1" si="36"/>
        <v>0</v>
      </c>
      <c r="Q32" s="175">
        <f t="shared" ca="1" si="8"/>
        <v>0</v>
      </c>
      <c r="R32" s="173">
        <f ca="1">IFERROR(__xludf.DUMMYFUNCTION("IMPORTRANGE(""https://docs.google.com/spreadsheets/d/1fb2B9NLcpJgjIieIJvenUTNPn0TimZDUi0OtYeiSQ_s/edit?usp=sharing"",""กาฬสินธุ์!I98"")"),30)</f>
        <v>30</v>
      </c>
      <c r="S32" s="173">
        <f ca="1">IFERROR(__xludf.DUMMYFUNCTION("IMPORTRANGE(""https://docs.google.com/spreadsheets/d/1fb2B9NLcpJgjIieIJvenUTNPn0TimZDUi0OtYeiSQ_s/edit?usp=sharing"",""กาฬสินธุ์!J98"")"),30)</f>
        <v>30</v>
      </c>
      <c r="T32" s="173">
        <f t="shared" ca="1" si="10"/>
        <v>100</v>
      </c>
      <c r="U32" s="173">
        <f ca="1">IFERROR(__xludf.DUMMYFUNCTION("IMPORTRANGE(""https://docs.google.com/spreadsheets/d/1fb2B9NLcpJgjIieIJvenUTNPn0TimZDUi0OtYeiSQ_s/edit?usp=sharing"",""กาฬสินธุ์!I99"")"),10)</f>
        <v>10</v>
      </c>
      <c r="V32" s="173">
        <f ca="1">IFERROR(__xludf.DUMMYFUNCTION("IMPORTRANGE(""https://docs.google.com/spreadsheets/d/1fb2B9NLcpJgjIieIJvenUTNPn0TimZDUi0OtYeiSQ_s/edit?usp=sharing"",""กาฬสินธุ์!I100"")"),1)</f>
        <v>1</v>
      </c>
      <c r="W32" s="173">
        <f ca="1">IFERROR(__xludf.DUMMYFUNCTION("IMPORTRANGE(""https://docs.google.com/spreadsheets/d/1fb2B9NLcpJgjIieIJvenUTNPn0TimZDUi0OtYeiSQ_s/edit?usp=sharing"",""กาฬสินธุ์!J99"")"),10)</f>
        <v>10</v>
      </c>
      <c r="X32" s="177">
        <f t="shared" ca="1" si="12"/>
        <v>100</v>
      </c>
      <c r="Y32" s="178">
        <f ca="1">IFERROR(__xludf.DUMMYFUNCTION("IMPORTRANGE(""https://docs.google.com/spreadsheets/d/1fb2B9NLcpJgjIieIJvenUTNPn0TimZDUi0OtYeiSQ_s/edit?usp=sharing"",""กาฬสินธุ์!J100"")"),1)</f>
        <v>1</v>
      </c>
      <c r="Z32" s="177">
        <f t="shared" ca="1" si="13"/>
        <v>100</v>
      </c>
      <c r="AA32" s="172">
        <f ca="1">IFERROR(__xludf.DUMMYFUNCTION("IMPORTRANGE(""https://docs.google.com/spreadsheets/d/1fb2B9NLcpJgjIieIJvenUTNPn0TimZDUi0OtYeiSQ_s/edit?usp=sharing"",""กาฬสินธุ์!I102"")"),30)</f>
        <v>30</v>
      </c>
      <c r="AB32" s="172">
        <f ca="1">IFERROR(__xludf.DUMMYFUNCTION("IMPORTRANGE(""https://docs.google.com/spreadsheets/d/1fb2B9NLcpJgjIieIJvenUTNPn0TimZDUi0OtYeiSQ_s/edit?usp=sharing"",""กาฬสินธุ์!I103"")"),10)</f>
        <v>10</v>
      </c>
      <c r="AC32" s="173">
        <f ca="1">IFERROR(__xludf.DUMMYFUNCTION("IMPORTRANGE(""https://docs.google.com/spreadsheets/d/1fb2B9NLcpJgjIieIJvenUTNPn0TimZDUi0OtYeiSQ_s/edit?usp=sharing"",""กาฬสินธุ์!J102"")"),30)</f>
        <v>30</v>
      </c>
      <c r="AD32" s="173">
        <f ca="1">IFERROR(__xludf.DUMMYFUNCTION("IMPORTRANGE(""https://docs.google.com/spreadsheets/d/1fb2B9NLcpJgjIieIJvenUTNPn0TimZDUi0OtYeiSQ_s/edit?usp=sharing"",""กาฬสินธุ์!J103"")"),10)</f>
        <v>10</v>
      </c>
      <c r="AE32" s="173">
        <f ca="1">IFERROR(__xludf.DUMMYFUNCTION("IMPORTRANGE(""https://docs.google.com/spreadsheets/d/1fb2B9NLcpJgjIieIJvenUTNPn0TimZDUi0OtYeiSQ_s/edit?usp=sharing"",""กาฬสินธุ์!J104"")"),10)</f>
        <v>10</v>
      </c>
      <c r="AF32" s="172">
        <f ca="1">IFERROR(__xludf.DUMMYFUNCTION("IMPORTRANGE(""https://docs.google.com/spreadsheets/d/1fb2B9NLcpJgjIieIJvenUTNPn0TimZDUi0OtYeiSQ_s/edit?usp=sharing"",""กาฬสินธุ์!I106"")"),1)</f>
        <v>1</v>
      </c>
      <c r="AG32" s="173">
        <f ca="1">IFERROR(__xludf.DUMMYFUNCTION("IMPORTRANGE(""https://docs.google.com/spreadsheets/d/1fb2B9NLcpJgjIieIJvenUTNPn0TimZDUi0OtYeiSQ_s/edit?usp=sharing"",""กาฬสินธุ์!J106"")"),1)</f>
        <v>1</v>
      </c>
      <c r="AH32" s="173">
        <f ca="1">IFERROR(__xludf.DUMMYFUNCTION("IMPORTRANGE(""https://docs.google.com/spreadsheets/d/1fb2B9NLcpJgjIieIJvenUTNPn0TimZDUi0OtYeiSQ_s/edit?usp=sharing"",""กาฬสินธุ์!J107"")"),1)</f>
        <v>1</v>
      </c>
      <c r="AI32" s="172">
        <f ca="1">IFERROR(__xludf.DUMMYFUNCTION("IMPORTRANGE(""https://docs.google.com/spreadsheets/d/1fb2B9NLcpJgjIieIJvenUTNPn0TimZDUi0OtYeiSQ_s/edit?usp=sharing"",""กาฬสินธุ์!I109"")"),0)</f>
        <v>0</v>
      </c>
      <c r="AJ32" s="173">
        <f ca="1">IFERROR(__xludf.DUMMYFUNCTION("IMPORTRANGE(""https://docs.google.com/spreadsheets/d/1fb2B9NLcpJgjIieIJvenUTNPn0TimZDUi0OtYeiSQ_s/edit?usp=sharing"",""กาฬสินธุ์!J109"")"),0)</f>
        <v>0</v>
      </c>
      <c r="AK32" s="173">
        <f ca="1">IFERROR(__xludf.DUMMYFUNCTION("IMPORTRANGE(""https://docs.google.com/spreadsheets/d/1fb2B9NLcpJgjIieIJvenUTNPn0TimZDUi0OtYeiSQ_s/edit?usp=sharing"",""กาฬสินธุ์!J110"")"),0)</f>
        <v>0</v>
      </c>
      <c r="AL32" s="172">
        <f ca="1">IFERROR(__xludf.DUMMYFUNCTION("IMPORTRANGE(""https://docs.google.com/spreadsheets/d/1fb2B9NLcpJgjIieIJvenUTNPn0TimZDUi0OtYeiSQ_s/edit?usp=sharing"",""กาฬสินธุ์!I111"")"),10)</f>
        <v>10</v>
      </c>
      <c r="AM32" s="172">
        <f ca="1">IFERROR(__xludf.DUMMYFUNCTION("IMPORTRANGE(""https://docs.google.com/spreadsheets/d/1fb2B9NLcpJgjIieIJvenUTNPn0TimZDUi0OtYeiSQ_s/edit?usp=sharing"",""กาฬสินธุ์!I112"")"),1)</f>
        <v>1</v>
      </c>
      <c r="AN32" s="173">
        <f ca="1">IFERROR(__xludf.DUMMYFUNCTION("IMPORTRANGE(""https://docs.google.com/spreadsheets/d/1fb2B9NLcpJgjIieIJvenUTNPn0TimZDUi0OtYeiSQ_s/edit?usp=sharing"",""กาฬสินธุ์!J111"")"),10)</f>
        <v>10</v>
      </c>
      <c r="AO32" s="173">
        <f t="shared" ca="1" si="15"/>
        <v>100</v>
      </c>
      <c r="AP32" s="173">
        <f ca="1">IFERROR(__xludf.DUMMYFUNCTION("IMPORTRANGE(""https://docs.google.com/spreadsheets/d/1fb2B9NLcpJgjIieIJvenUTNPn0TimZDUi0OtYeiSQ_s/edit?usp=sharing"",""กาฬสินธุ์!J112"")"),1)</f>
        <v>1</v>
      </c>
      <c r="AQ32" s="175">
        <f t="shared" ca="1" si="16"/>
        <v>100</v>
      </c>
      <c r="AR32" s="172">
        <f ca="1">IFERROR(__xludf.DUMMYFUNCTION("IMPORTRANGE(""https://docs.google.com/spreadsheets/d/1fb2B9NLcpJgjIieIJvenUTNPn0TimZDUi0OtYeiSQ_s/edit?usp=sharing"",""กาฬสินธุ์!I113"")"),10)</f>
        <v>10</v>
      </c>
      <c r="AS32" s="172">
        <f ca="1">IFERROR(__xludf.DUMMYFUNCTION("IMPORTRANGE(""https://docs.google.com/spreadsheets/d/1fb2B9NLcpJgjIieIJvenUTNPn0TimZDUi0OtYeiSQ_s/edit?usp=sharing"",""กาฬสินธุ์!J113"")"),10)</f>
        <v>10</v>
      </c>
      <c r="AT32" s="172">
        <f ca="1">IFERROR(__xludf.DUMMYFUNCTION("IMPORTRANGE(""https://docs.google.com/spreadsheets/d/1fb2B9NLcpJgjIieIJvenUTNPn0TimZDUi0OtYeiSQ_s/edit?usp=sharing"",""กาฬสินธุ์!J114"")"),10)</f>
        <v>10</v>
      </c>
      <c r="AU32" s="172">
        <f ca="1">IFERROR(__xludf.DUMMYFUNCTION("IMPORTRANGE(""https://docs.google.com/spreadsheets/d/1fb2B9NLcpJgjIieIJvenUTNPn0TimZDUi0OtYeiSQ_s/edit?usp=sharing"",""กาฬสินธุ์!I115"")"),1)</f>
        <v>1</v>
      </c>
      <c r="AV32" s="173">
        <f ca="1">IFERROR(__xludf.DUMMYFUNCTION("IMPORTRANGE(""https://docs.google.com/spreadsheets/d/1fb2B9NLcpJgjIieIJvenUTNPn0TimZDUi0OtYeiSQ_s/edit?usp=sharing"",""กาฬสินธุ์!J115"")"),1)</f>
        <v>1</v>
      </c>
      <c r="AW32" s="175">
        <f t="shared" ca="1" si="18"/>
        <v>100</v>
      </c>
      <c r="AX32" s="172">
        <f ca="1">IFERROR(__xludf.DUMMYFUNCTION("IMPORTRANGE(""https://docs.google.com/spreadsheets/d/1fb2B9NLcpJgjIieIJvenUTNPn0TimZDUi0OtYeiSQ_s/edit?usp=sharing"",""กาฬสินธุ์!I116"")"),0)</f>
        <v>0</v>
      </c>
      <c r="AY32" s="173">
        <f ca="1">IFERROR(__xludf.DUMMYFUNCTION("IMPORTRANGE(""https://docs.google.com/spreadsheets/d/1fb2B9NLcpJgjIieIJvenUTNPn0TimZDUi0OtYeiSQ_s/edit?usp=sharing"",""กาฬสินธุ์!J116"")"),0)</f>
        <v>0</v>
      </c>
      <c r="AZ32" s="175">
        <f t="shared" ca="1" si="20"/>
        <v>0</v>
      </c>
    </row>
    <row r="33" spans="1:52" ht="21" customHeight="1" x14ac:dyDescent="0.3">
      <c r="A33" s="168">
        <v>2</v>
      </c>
      <c r="B33" s="169" t="s">
        <v>55</v>
      </c>
      <c r="C33" s="170">
        <f t="shared" ca="1" si="0"/>
        <v>111180</v>
      </c>
      <c r="D33" s="171">
        <f t="shared" ca="1" si="49"/>
        <v>111180</v>
      </c>
      <c r="E33" s="172">
        <f ca="1">IFERROR(__xludf.DUMMYFUNCTION("IMPORTRANGE(""https://docs.google.com/spreadsheets/d/1MeEWN-I1oV_STSDYn1IFDPWt_1FKiwhDph83XaGc0o0/edit?usp=sharing"",""งบพรบ!AR33"")"),0)</f>
        <v>0</v>
      </c>
      <c r="F33" s="172">
        <f ca="1">IFERROR(__xludf.DUMMYFUNCTION("IMPORTRANGE(""https://docs.google.com/spreadsheets/d/1MeEWN-I1oV_STSDYn1IFDPWt_1FKiwhDph83XaGc0o0/edit?usp=sharing"",""งบพรบ!AS33"")"),111180)</f>
        <v>111180</v>
      </c>
      <c r="G33" s="172">
        <f ca="1">IFERROR(__xludf.DUMMYFUNCTION("IMPORTRANGE(""https://docs.google.com/spreadsheets/d/1MeEWN-I1oV_STSDYn1IFDPWt_1FKiwhDph83XaGc0o0/edit?usp=sharing"",""งบพรบ!AT33"")"),0)</f>
        <v>0</v>
      </c>
      <c r="H33" s="172">
        <f ca="1">IFERROR(__xludf.DUMMYFUNCTION("IMPORTRANGE(""https://docs.google.com/spreadsheets/d/1MeEWN-I1oV_STSDYn1IFDPWt_1FKiwhDph83XaGc0o0/edit?usp=sharing"",""งบพรบ!AV33"")"),125680)</f>
        <v>125680</v>
      </c>
      <c r="I33" s="172">
        <f ca="1">IFERROR(__xludf.DUMMYFUNCTION("IMPORTRANGE(""https://docs.google.com/spreadsheets/d/1MeEWN-I1oV_STSDYn1IFDPWt_1FKiwhDph83XaGc0o0/edit?usp=sharing"",""งบพรบ!AW33"")"),0)</f>
        <v>0</v>
      </c>
      <c r="J33" s="172">
        <f t="shared" ca="1" si="3"/>
        <v>112132.78</v>
      </c>
      <c r="K33" s="179">
        <f t="shared" ca="1" si="4"/>
        <v>100.85697067817952</v>
      </c>
      <c r="L33" s="172">
        <f ca="1">IFERROR(__xludf.DUMMYFUNCTION("IMPORTRANGE(""https://docs.google.com/spreadsheets/d/1MeEWN-I1oV_STSDYn1IFDPWt_1FKiwhDph83XaGc0o0/edit?usp=sharing"",""งบพรบ!AX33"")"),112132.78)</f>
        <v>112132.78</v>
      </c>
      <c r="M33" s="175">
        <f t="shared" ca="1" si="5"/>
        <v>100.85697067817952</v>
      </c>
      <c r="N33" s="175">
        <f t="shared" ca="1" si="6"/>
        <v>89.22086250795671</v>
      </c>
      <c r="O33" s="176">
        <f ca="1">IFERROR(__xludf.DUMMYFUNCTION("IMPORTRANGE(""https://docs.google.com/spreadsheets/d/1MeEWN-I1oV_STSDYn1IFDPWt_1FKiwhDph83XaGc0o0/edit?usp=sharing"",""งบพรบ!AY33"")"),0)</f>
        <v>0</v>
      </c>
      <c r="P33" s="176">
        <f t="shared" ca="1" si="36"/>
        <v>0</v>
      </c>
      <c r="Q33" s="175">
        <f t="shared" ca="1" si="8"/>
        <v>0</v>
      </c>
      <c r="R33" s="173">
        <f ca="1">IFERROR(__xludf.DUMMYFUNCTION("IMPORTRANGE(""https://docs.google.com/spreadsheets/d/1SaMnqrwRGmFYNR0MhpWmHuL5niYUd5E7vDq8X7whAlI/edit?usp=sharing"",""ขอนแก่น!I98"")"),60)</f>
        <v>60</v>
      </c>
      <c r="S33" s="173">
        <f ca="1">IFERROR(__xludf.DUMMYFUNCTION("IMPORTRANGE(""https://docs.google.com/spreadsheets/d/1SaMnqrwRGmFYNR0MhpWmHuL5niYUd5E7vDq8X7whAlI/edit?usp=sharing"",""ขอนแก่น!J98"")"),60)</f>
        <v>60</v>
      </c>
      <c r="T33" s="173">
        <f t="shared" ca="1" si="10"/>
        <v>100</v>
      </c>
      <c r="U33" s="173">
        <f ca="1">IFERROR(__xludf.DUMMYFUNCTION("IMPORTRANGE(""https://docs.google.com/spreadsheets/d/1SaMnqrwRGmFYNR0MhpWmHuL5niYUd5E7vDq8X7whAlI/edit?usp=sharing"",""ขอนแก่น!I99"")"),20)</f>
        <v>20</v>
      </c>
      <c r="V33" s="173">
        <f ca="1">IFERROR(__xludf.DUMMYFUNCTION("IMPORTRANGE(""https://docs.google.com/spreadsheets/d/1SaMnqrwRGmFYNR0MhpWmHuL5niYUd5E7vDq8X7whAlI/edit?usp=sharing"",""ขอนแก่น!I100"")"),2)</f>
        <v>2</v>
      </c>
      <c r="W33" s="173">
        <f ca="1">IFERROR(__xludf.DUMMYFUNCTION("IMPORTRANGE(""https://docs.google.com/spreadsheets/d/1SaMnqrwRGmFYNR0MhpWmHuL5niYUd5E7vDq8X7whAlI/edit?usp=sharing"",""ขอนแก่น!J99"")"),20)</f>
        <v>20</v>
      </c>
      <c r="X33" s="177">
        <f t="shared" ca="1" si="12"/>
        <v>100</v>
      </c>
      <c r="Y33" s="178">
        <f ca="1">IFERROR(__xludf.DUMMYFUNCTION("IMPORTRANGE(""https://docs.google.com/spreadsheets/d/1SaMnqrwRGmFYNR0MhpWmHuL5niYUd5E7vDq8X7whAlI/edit?usp=sharing"",""ขอนแก่น!J100"")"),2)</f>
        <v>2</v>
      </c>
      <c r="Z33" s="177">
        <f t="shared" ca="1" si="13"/>
        <v>100</v>
      </c>
      <c r="AA33" s="172">
        <f ca="1">IFERROR(__xludf.DUMMYFUNCTION("IMPORTRANGE(""https://docs.google.com/spreadsheets/d/1SaMnqrwRGmFYNR0MhpWmHuL5niYUd5E7vDq8X7whAlI/edit?usp=sharing"",""ขอนแก่น!I102"")"),60)</f>
        <v>60</v>
      </c>
      <c r="AB33" s="172">
        <f ca="1">IFERROR(__xludf.DUMMYFUNCTION("IMPORTRANGE(""https://docs.google.com/spreadsheets/d/1SaMnqrwRGmFYNR0MhpWmHuL5niYUd5E7vDq8X7whAlI/edit?usp=sharing"",""ขอนแก่น!I103"")"),20)</f>
        <v>20</v>
      </c>
      <c r="AC33" s="173">
        <f ca="1">IFERROR(__xludf.DUMMYFUNCTION("IMPORTRANGE(""https://docs.google.com/spreadsheets/d/1SaMnqrwRGmFYNR0MhpWmHuL5niYUd5E7vDq8X7whAlI/edit?usp=sharing"",""ขอนแก่น!J102"")"),60)</f>
        <v>60</v>
      </c>
      <c r="AD33" s="173">
        <f ca="1">IFERROR(__xludf.DUMMYFUNCTION("IMPORTRANGE(""https://docs.google.com/spreadsheets/d/1SaMnqrwRGmFYNR0MhpWmHuL5niYUd5E7vDq8X7whAlI/edit?usp=sharing"",""ขอนแก่น!J103"")"),20)</f>
        <v>20</v>
      </c>
      <c r="AE33" s="173">
        <f ca="1">IFERROR(__xludf.DUMMYFUNCTION("IMPORTRANGE(""https://docs.google.com/spreadsheets/d/1SaMnqrwRGmFYNR0MhpWmHuL5niYUd5E7vDq8X7whAlI/edit?usp=sharing"",""ขอนแก่น!J104"")"),20)</f>
        <v>20</v>
      </c>
      <c r="AF33" s="172">
        <f ca="1">IFERROR(__xludf.DUMMYFUNCTION("IMPORTRANGE(""https://docs.google.com/spreadsheets/d/1SaMnqrwRGmFYNR0MhpWmHuL5niYUd5E7vDq8X7whAlI/edit?usp=sharing"",""ขอนแก่น!I106"")"),1)</f>
        <v>1</v>
      </c>
      <c r="AG33" s="173">
        <f ca="1">IFERROR(__xludf.DUMMYFUNCTION("IMPORTRANGE(""https://docs.google.com/spreadsheets/d/1SaMnqrwRGmFYNR0MhpWmHuL5niYUd5E7vDq8X7whAlI/edit?usp=sharing"",""ขอนแก่น!J106"")"),1)</f>
        <v>1</v>
      </c>
      <c r="AH33" s="173">
        <f ca="1">IFERROR(__xludf.DUMMYFUNCTION("IMPORTRANGE(""https://docs.google.com/spreadsheets/d/1SaMnqrwRGmFYNR0MhpWmHuL5niYUd5E7vDq8X7whAlI/edit?usp=sharing"",""ขอนแก่น!J107"")"),1)</f>
        <v>1</v>
      </c>
      <c r="AI33" s="172">
        <f ca="1">IFERROR(__xludf.DUMMYFUNCTION("IMPORTRANGE(""https://docs.google.com/spreadsheets/d/1SaMnqrwRGmFYNR0MhpWmHuL5niYUd5E7vDq8X7whAlI/edit?usp=sharing"",""ขอนแก่น!I109"")"),1)</f>
        <v>1</v>
      </c>
      <c r="AJ33" s="173">
        <f ca="1">IFERROR(__xludf.DUMMYFUNCTION("IMPORTRANGE(""https://docs.google.com/spreadsheets/d/1SaMnqrwRGmFYNR0MhpWmHuL5niYUd5E7vDq8X7whAlI/edit?usp=sharing"",""ขอนแก่น!J109"")"),1)</f>
        <v>1</v>
      </c>
      <c r="AK33" s="173">
        <f ca="1">IFERROR(__xludf.DUMMYFUNCTION("IMPORTRANGE(""https://docs.google.com/spreadsheets/d/1SaMnqrwRGmFYNR0MhpWmHuL5niYUd5E7vDq8X7whAlI/edit?usp=sharing"",""ขอนแก่น!J110"")"),1)</f>
        <v>1</v>
      </c>
      <c r="AL33" s="172">
        <f ca="1">IFERROR(__xludf.DUMMYFUNCTION("IMPORTRANGE(""https://docs.google.com/spreadsheets/d/1SaMnqrwRGmFYNR0MhpWmHuL5niYUd5E7vDq8X7whAlI/edit?usp=sharing"",""ขอนแก่น!I111"")"),20)</f>
        <v>20</v>
      </c>
      <c r="AM33" s="172">
        <f ca="1">IFERROR(__xludf.DUMMYFUNCTION("IMPORTRANGE(""https://docs.google.com/spreadsheets/d/1SaMnqrwRGmFYNR0MhpWmHuL5niYUd5E7vDq8X7whAlI/edit?usp=sharing"",""ขอนแก่น!I112"")"),2)</f>
        <v>2</v>
      </c>
      <c r="AN33" s="173">
        <f ca="1">IFERROR(__xludf.DUMMYFUNCTION("IMPORTRANGE(""https://docs.google.com/spreadsheets/d/1SaMnqrwRGmFYNR0MhpWmHuL5niYUd5E7vDq8X7whAlI/edit?usp=sharing"",""ขอนแก่น!J111"")"),20)</f>
        <v>20</v>
      </c>
      <c r="AO33" s="173">
        <f t="shared" ca="1" si="15"/>
        <v>100</v>
      </c>
      <c r="AP33" s="173">
        <f ca="1">IFERROR(__xludf.DUMMYFUNCTION("IMPORTRANGE(""https://docs.google.com/spreadsheets/d/1SaMnqrwRGmFYNR0MhpWmHuL5niYUd5E7vDq8X7whAlI/edit?usp=sharing"",""ขอนแก่น!J112"")"),2)</f>
        <v>2</v>
      </c>
      <c r="AQ33" s="175">
        <f t="shared" ca="1" si="16"/>
        <v>100</v>
      </c>
      <c r="AR33" s="172">
        <f ca="1">IFERROR(__xludf.DUMMYFUNCTION("IMPORTRANGE(""https://docs.google.com/spreadsheets/d/1SaMnqrwRGmFYNR0MhpWmHuL5niYUd5E7vDq8X7whAlI/edit?usp=sharing"",""ขอนแก่น!I113"")"),20)</f>
        <v>20</v>
      </c>
      <c r="AS33" s="172">
        <f ca="1">IFERROR(__xludf.DUMMYFUNCTION("IMPORTRANGE(""https://docs.google.com/spreadsheets/d/1SaMnqrwRGmFYNR0MhpWmHuL5niYUd5E7vDq8X7whAlI/edit?usp=sharing"",""ขอนแก่น!J113"")"),20)</f>
        <v>20</v>
      </c>
      <c r="AT33" s="172">
        <f ca="1">IFERROR(__xludf.DUMMYFUNCTION("IMPORTRANGE(""https://docs.google.com/spreadsheets/d/1SaMnqrwRGmFYNR0MhpWmHuL5niYUd5E7vDq8X7whAlI/edit?usp=sharing"",""ขอนแก่น!J114"")"),20)</f>
        <v>20</v>
      </c>
      <c r="AU33" s="172">
        <f ca="1">IFERROR(__xludf.DUMMYFUNCTION("IMPORTRANGE(""https://docs.google.com/spreadsheets/d/1SaMnqrwRGmFYNR0MhpWmHuL5niYUd5E7vDq8X7whAlI/edit?usp=sharing"",""ขอนแก่น!I115"")"),1)</f>
        <v>1</v>
      </c>
      <c r="AV33" s="173">
        <f ca="1">IFERROR(__xludf.DUMMYFUNCTION("IMPORTRANGE(""https://docs.google.com/spreadsheets/d/1SaMnqrwRGmFYNR0MhpWmHuL5niYUd5E7vDq8X7whAlI/edit?usp=sharing"",""ขอนแก่น!J115"")"),1)</f>
        <v>1</v>
      </c>
      <c r="AW33" s="175">
        <f t="shared" ca="1" si="18"/>
        <v>100</v>
      </c>
      <c r="AX33" s="172">
        <f ca="1">IFERROR(__xludf.DUMMYFUNCTION("IMPORTRANGE(""https://docs.google.com/spreadsheets/d/1SaMnqrwRGmFYNR0MhpWmHuL5niYUd5E7vDq8X7whAlI/edit?usp=sharing"",""ขอนแก่น!I116"")"),1)</f>
        <v>1</v>
      </c>
      <c r="AY33" s="173">
        <f ca="1">IFERROR(__xludf.DUMMYFUNCTION("IMPORTRANGE(""https://docs.google.com/spreadsheets/d/1SaMnqrwRGmFYNR0MhpWmHuL5niYUd5E7vDq8X7whAlI/edit?usp=sharing"",""ขอนแก่น!J116"")"),1)</f>
        <v>1</v>
      </c>
      <c r="AZ33" s="175">
        <f t="shared" ca="1" si="20"/>
        <v>100</v>
      </c>
    </row>
    <row r="34" spans="1:52" ht="21" customHeight="1" x14ac:dyDescent="0.3">
      <c r="A34" s="168">
        <v>3</v>
      </c>
      <c r="B34" s="169" t="s">
        <v>56</v>
      </c>
      <c r="C34" s="170">
        <f t="shared" ca="1" si="0"/>
        <v>31200</v>
      </c>
      <c r="D34" s="171">
        <f t="shared" ca="1" si="49"/>
        <v>31200</v>
      </c>
      <c r="E34" s="172">
        <f ca="1">IFERROR(__xludf.DUMMYFUNCTION("IMPORTRANGE(""https://docs.google.com/spreadsheets/d/1MeEWN-I1oV_STSDYn1IFDPWt_1FKiwhDph83XaGc0o0/edit?usp=sharing"",""งบพรบ!AR34"")"),0)</f>
        <v>0</v>
      </c>
      <c r="F34" s="172">
        <f ca="1">IFERROR(__xludf.DUMMYFUNCTION("IMPORTRANGE(""https://docs.google.com/spreadsheets/d/1MeEWN-I1oV_STSDYn1IFDPWt_1FKiwhDph83XaGc0o0/edit?usp=sharing"",""งบพรบ!AS34"")"),31200)</f>
        <v>31200</v>
      </c>
      <c r="G34" s="172">
        <f ca="1">IFERROR(__xludf.DUMMYFUNCTION("IMPORTRANGE(""https://docs.google.com/spreadsheets/d/1MeEWN-I1oV_STSDYn1IFDPWt_1FKiwhDph83XaGc0o0/edit?usp=sharing"",""งบพรบ!AT34"")"),0)</f>
        <v>0</v>
      </c>
      <c r="H34" s="172">
        <f ca="1">IFERROR(__xludf.DUMMYFUNCTION("IMPORTRANGE(""https://docs.google.com/spreadsheets/d/1MeEWN-I1oV_STSDYn1IFDPWt_1FKiwhDph83XaGc0o0/edit?usp=sharing"",""งบพรบ!AV34"")"),31200)</f>
        <v>31200</v>
      </c>
      <c r="I34" s="172">
        <f ca="1">IFERROR(__xludf.DUMMYFUNCTION("IMPORTRANGE(""https://docs.google.com/spreadsheets/d/1MeEWN-I1oV_STSDYn1IFDPWt_1FKiwhDph83XaGc0o0/edit?usp=sharing"",""งบพรบ!AW34"")"),0)</f>
        <v>0</v>
      </c>
      <c r="J34" s="172">
        <f t="shared" ca="1" si="3"/>
        <v>31200</v>
      </c>
      <c r="K34" s="179">
        <f t="shared" ca="1" si="4"/>
        <v>100</v>
      </c>
      <c r="L34" s="172">
        <f ca="1">IFERROR(__xludf.DUMMYFUNCTION("IMPORTRANGE(""https://docs.google.com/spreadsheets/d/1MeEWN-I1oV_STSDYn1IFDPWt_1FKiwhDph83XaGc0o0/edit?usp=sharing"",""งบพรบ!AX34"")"),31200)</f>
        <v>31200</v>
      </c>
      <c r="M34" s="175">
        <f t="shared" ca="1" si="5"/>
        <v>100</v>
      </c>
      <c r="N34" s="175">
        <f t="shared" ca="1" si="6"/>
        <v>100</v>
      </c>
      <c r="O34" s="176">
        <f ca="1">IFERROR(__xludf.DUMMYFUNCTION("IMPORTRANGE(""https://docs.google.com/spreadsheets/d/1MeEWN-I1oV_STSDYn1IFDPWt_1FKiwhDph83XaGc0o0/edit?usp=sharing"",""งบพรบ!AY34"")"),0)</f>
        <v>0</v>
      </c>
      <c r="P34" s="176">
        <f t="shared" ca="1" si="36"/>
        <v>0</v>
      </c>
      <c r="Q34" s="175">
        <f t="shared" ca="1" si="8"/>
        <v>0</v>
      </c>
      <c r="R34" s="173">
        <f ca="1">IFERROR(__xludf.DUMMYFUNCTION("IMPORTRANGE(""https://docs.google.com/spreadsheets/d/1xQzEtGHhTTgxHh6YUkKY1P4dRyjVhS74dGswLfAASA4/edit?usp=sharing"",""ชัยภูมิ!I98"")"),0)</f>
        <v>0</v>
      </c>
      <c r="S34" s="173">
        <f ca="1">IFERROR(__xludf.DUMMYFUNCTION("IMPORTRANGE(""https://docs.google.com/spreadsheets/d/1xQzEtGHhTTgxHh6YUkKY1P4dRyjVhS74dGswLfAASA4/edit?usp=sharing"",""ชัยภูมิ!J98"")"),0)</f>
        <v>0</v>
      </c>
      <c r="T34" s="173">
        <f t="shared" ca="1" si="10"/>
        <v>0</v>
      </c>
      <c r="U34" s="173">
        <f ca="1">IFERROR(__xludf.DUMMYFUNCTION("IMPORTRANGE(""https://docs.google.com/spreadsheets/d/1xQzEtGHhTTgxHh6YUkKY1P4dRyjVhS74dGswLfAASA4/edit?usp=sharing"",""ชัยภูมิ!I99"")"),0)</f>
        <v>0</v>
      </c>
      <c r="V34" s="173">
        <f ca="1">IFERROR(__xludf.DUMMYFUNCTION("IMPORTRANGE(""https://docs.google.com/spreadsheets/d/1xQzEtGHhTTgxHh6YUkKY1P4dRyjVhS74dGswLfAASA4/edit?usp=sharing"",""ชัยภูมิ!I100"")"),1)</f>
        <v>1</v>
      </c>
      <c r="W34" s="173">
        <f ca="1">IFERROR(__xludf.DUMMYFUNCTION("IMPORTRANGE(""https://docs.google.com/spreadsheets/d/1xQzEtGHhTTgxHh6YUkKY1P4dRyjVhS74dGswLfAASA4/edit?usp=sharing"",""ชัยภูมิ!J99"")"),0)</f>
        <v>0</v>
      </c>
      <c r="X34" s="177">
        <f t="shared" ca="1" si="12"/>
        <v>0</v>
      </c>
      <c r="Y34" s="178">
        <f ca="1">IFERROR(__xludf.DUMMYFUNCTION("IMPORTRANGE(""https://docs.google.com/spreadsheets/d/1xQzEtGHhTTgxHh6YUkKY1P4dRyjVhS74dGswLfAASA4/edit?usp=sharing"",""ชัยภูมิ!J100"")"),1)</f>
        <v>1</v>
      </c>
      <c r="Z34" s="177">
        <f t="shared" ca="1" si="13"/>
        <v>100</v>
      </c>
      <c r="AA34" s="172">
        <f ca="1">IFERROR(__xludf.DUMMYFUNCTION("IMPORTRANGE(""https://docs.google.com/spreadsheets/d/1xQzEtGHhTTgxHh6YUkKY1P4dRyjVhS74dGswLfAASA4/edit?usp=sharing"",""ชัยภูมิ!I102"")"),0)</f>
        <v>0</v>
      </c>
      <c r="AB34" s="172">
        <f ca="1">IFERROR(__xludf.DUMMYFUNCTION("IMPORTRANGE(""https://docs.google.com/spreadsheets/d/1xQzEtGHhTTgxHh6YUkKY1P4dRyjVhS74dGswLfAASA4/edit?usp=sharing"",""ชัยภูมิ!I103"")"),0)</f>
        <v>0</v>
      </c>
      <c r="AC34" s="173">
        <f ca="1">IFERROR(__xludf.DUMMYFUNCTION("IMPORTRANGE(""https://docs.google.com/spreadsheets/d/1xQzEtGHhTTgxHh6YUkKY1P4dRyjVhS74dGswLfAASA4/edit?usp=sharing"",""ชัยภูมิ!J102"")"),0)</f>
        <v>0</v>
      </c>
      <c r="AD34" s="173">
        <f ca="1">IFERROR(__xludf.DUMMYFUNCTION("IMPORTRANGE(""https://docs.google.com/spreadsheets/d/1xQzEtGHhTTgxHh6YUkKY1P4dRyjVhS74dGswLfAASA4/edit?usp=sharing"",""ชัยภูมิ!J103"")"),0)</f>
        <v>0</v>
      </c>
      <c r="AE34" s="173">
        <f ca="1">IFERROR(__xludf.DUMMYFUNCTION("IMPORTRANGE(""https://docs.google.com/spreadsheets/d/1xQzEtGHhTTgxHh6YUkKY1P4dRyjVhS74dGswLfAASA4/edit?usp=sharing"",""ชัยภูมิ!J104"")"),0)</f>
        <v>0</v>
      </c>
      <c r="AF34" s="172">
        <f ca="1">IFERROR(__xludf.DUMMYFUNCTION("IMPORTRANGE(""https://docs.google.com/spreadsheets/d/1xQzEtGHhTTgxHh6YUkKY1P4dRyjVhS74dGswLfAASA4/edit?usp=sharing"",""ชัยภูมิ!I106"")"),0)</f>
        <v>0</v>
      </c>
      <c r="AG34" s="173">
        <f ca="1">IFERROR(__xludf.DUMMYFUNCTION("IMPORTRANGE(""https://docs.google.com/spreadsheets/d/1xQzEtGHhTTgxHh6YUkKY1P4dRyjVhS74dGswLfAASA4/edit?usp=sharing"",""ชัยภูมิ!J106"")"),0)</f>
        <v>0</v>
      </c>
      <c r="AH34" s="173">
        <f ca="1">IFERROR(__xludf.DUMMYFUNCTION("IMPORTRANGE(""https://docs.google.com/spreadsheets/d/1xQzEtGHhTTgxHh6YUkKY1P4dRyjVhS74dGswLfAASA4/edit?usp=sharing"",""ชัยภูมิ!J107"")"),0)</f>
        <v>0</v>
      </c>
      <c r="AI34" s="172">
        <f ca="1">IFERROR(__xludf.DUMMYFUNCTION("IMPORTRANGE(""https://docs.google.com/spreadsheets/d/1xQzEtGHhTTgxHh6YUkKY1P4dRyjVhS74dGswLfAASA4/edit?usp=sharing"",""ชัยภูมิ!I109"")"),1)</f>
        <v>1</v>
      </c>
      <c r="AJ34" s="173">
        <f ca="1">IFERROR(__xludf.DUMMYFUNCTION("IMPORTRANGE(""https://docs.google.com/spreadsheets/d/1xQzEtGHhTTgxHh6YUkKY1P4dRyjVhS74dGswLfAASA4/edit?usp=sharing"",""ชัยภูมิ!J109"")"),0)</f>
        <v>0</v>
      </c>
      <c r="AK34" s="173">
        <f ca="1">IFERROR(__xludf.DUMMYFUNCTION("IMPORTRANGE(""https://docs.google.com/spreadsheets/d/1xQzEtGHhTTgxHh6YUkKY1P4dRyjVhS74dGswLfAASA4/edit?usp=sharing"",""ชัยภูมิ!J110"")"),1)</f>
        <v>1</v>
      </c>
      <c r="AL34" s="172">
        <f ca="1">IFERROR(__xludf.DUMMYFUNCTION("IMPORTRANGE(""https://docs.google.com/spreadsheets/d/1xQzEtGHhTTgxHh6YUkKY1P4dRyjVhS74dGswLfAASA4/edit?usp=sharing"",""ชัยภูมิ!I111"")"),0)</f>
        <v>0</v>
      </c>
      <c r="AM34" s="172">
        <f ca="1">IFERROR(__xludf.DUMMYFUNCTION("IMPORTRANGE(""https://docs.google.com/spreadsheets/d/1xQzEtGHhTTgxHh6YUkKY1P4dRyjVhS74dGswLfAASA4/edit?usp=sharing"",""ชัยภูมิ!I112"")"),1)</f>
        <v>1</v>
      </c>
      <c r="AN34" s="173">
        <f ca="1">IFERROR(__xludf.DUMMYFUNCTION("IMPORTRANGE(""https://docs.google.com/spreadsheets/d/1xQzEtGHhTTgxHh6YUkKY1P4dRyjVhS74dGswLfAASA4/edit?usp=sharing"",""ชัยภูมิ!J111"")"),0)</f>
        <v>0</v>
      </c>
      <c r="AO34" s="173">
        <f t="shared" ca="1" si="15"/>
        <v>0</v>
      </c>
      <c r="AP34" s="173">
        <f ca="1">IFERROR(__xludf.DUMMYFUNCTION("IMPORTRANGE(""https://docs.google.com/spreadsheets/d/1xQzEtGHhTTgxHh6YUkKY1P4dRyjVhS74dGswLfAASA4/edit?usp=sharing"",""ชัยภูมิ!J112"")"),1)</f>
        <v>1</v>
      </c>
      <c r="AQ34" s="175">
        <f t="shared" ca="1" si="16"/>
        <v>100</v>
      </c>
      <c r="AR34" s="172">
        <f ca="1">IFERROR(__xludf.DUMMYFUNCTION("IMPORTRANGE(""https://docs.google.com/spreadsheets/d/1xQzEtGHhTTgxHh6YUkKY1P4dRyjVhS74dGswLfAASA4/edit?usp=sharing"",""ชัยภูมิ!I113"")"),0)</f>
        <v>0</v>
      </c>
      <c r="AS34" s="172">
        <f ca="1">IFERROR(__xludf.DUMMYFUNCTION("IMPORTRANGE(""https://docs.google.com/spreadsheets/d/1xQzEtGHhTTgxHh6YUkKY1P4dRyjVhS74dGswLfAASA4/edit?usp=sharing"",""ชัยภูมิ!J113"")"),0)</f>
        <v>0</v>
      </c>
      <c r="AT34" s="172">
        <f ca="1">IFERROR(__xludf.DUMMYFUNCTION("IMPORTRANGE(""https://docs.google.com/spreadsheets/d/1xQzEtGHhTTgxHh6YUkKY1P4dRyjVhS74dGswLfAASA4/edit?usp=sharing"",""ชัยภูมิ!J114"")"),0)</f>
        <v>0</v>
      </c>
      <c r="AU34" s="172">
        <f ca="1">IFERROR(__xludf.DUMMYFUNCTION("IMPORTRANGE(""https://docs.google.com/spreadsheets/d/1xQzEtGHhTTgxHh6YUkKY1P4dRyjVhS74dGswLfAASA4/edit?usp=sharing"",""ชัยภูมิ!I115"")"),0)</f>
        <v>0</v>
      </c>
      <c r="AV34" s="173">
        <f ca="1">IFERROR(__xludf.DUMMYFUNCTION("IMPORTRANGE(""https://docs.google.com/spreadsheets/d/1xQzEtGHhTTgxHh6YUkKY1P4dRyjVhS74dGswLfAASA4/edit?usp=sharing"",""ชัยภูมิ!J115"")"),0)</f>
        <v>0</v>
      </c>
      <c r="AW34" s="175">
        <f t="shared" ca="1" si="18"/>
        <v>0</v>
      </c>
      <c r="AX34" s="172">
        <f ca="1">IFERROR(__xludf.DUMMYFUNCTION("IMPORTRANGE(""https://docs.google.com/spreadsheets/d/1xQzEtGHhTTgxHh6YUkKY1P4dRyjVhS74dGswLfAASA4/edit?usp=sharing"",""ชัยภูมิ!I116"")"),1)</f>
        <v>1</v>
      </c>
      <c r="AY34" s="173">
        <f ca="1">IFERROR(__xludf.DUMMYFUNCTION("IMPORTRANGE(""https://docs.google.com/spreadsheets/d/1xQzEtGHhTTgxHh6YUkKY1P4dRyjVhS74dGswLfAASA4/edit?usp=sharing"",""ชัยภูมิ!J116"")"),1)</f>
        <v>1</v>
      </c>
      <c r="AZ34" s="175">
        <f t="shared" ca="1" si="20"/>
        <v>100</v>
      </c>
    </row>
    <row r="35" spans="1:52" ht="21" customHeight="1" x14ac:dyDescent="0.3">
      <c r="A35" s="168">
        <v>4</v>
      </c>
      <c r="B35" s="169" t="s">
        <v>57</v>
      </c>
      <c r="C35" s="170">
        <f t="shared" ca="1" si="0"/>
        <v>85840</v>
      </c>
      <c r="D35" s="171">
        <f t="shared" ca="1" si="49"/>
        <v>85840</v>
      </c>
      <c r="E35" s="172">
        <f ca="1">IFERROR(__xludf.DUMMYFUNCTION("IMPORTRANGE(""https://docs.google.com/spreadsheets/d/1MeEWN-I1oV_STSDYn1IFDPWt_1FKiwhDph83XaGc0o0/edit?usp=sharing"",""งบพรบ!AR35"")"),0)</f>
        <v>0</v>
      </c>
      <c r="F35" s="172">
        <f ca="1">IFERROR(__xludf.DUMMYFUNCTION("IMPORTRANGE(""https://docs.google.com/spreadsheets/d/1MeEWN-I1oV_STSDYn1IFDPWt_1FKiwhDph83XaGc0o0/edit?usp=sharing"",""งบพรบ!AS35"")"),85840)</f>
        <v>85840</v>
      </c>
      <c r="G35" s="172">
        <f ca="1">IFERROR(__xludf.DUMMYFUNCTION("IMPORTRANGE(""https://docs.google.com/spreadsheets/d/1MeEWN-I1oV_STSDYn1IFDPWt_1FKiwhDph83XaGc0o0/edit?usp=sharing"",""งบพรบ!AT35"")"),0)</f>
        <v>0</v>
      </c>
      <c r="H35" s="172">
        <f ca="1">IFERROR(__xludf.DUMMYFUNCTION("IMPORTRANGE(""https://docs.google.com/spreadsheets/d/1MeEWN-I1oV_STSDYn1IFDPWt_1FKiwhDph83XaGc0o0/edit?usp=sharing"",""งบพรบ!AV35"")"),85840)</f>
        <v>85840</v>
      </c>
      <c r="I35" s="172">
        <f ca="1">IFERROR(__xludf.DUMMYFUNCTION("IMPORTRANGE(""https://docs.google.com/spreadsheets/d/1MeEWN-I1oV_STSDYn1IFDPWt_1FKiwhDph83XaGc0o0/edit?usp=sharing"",""งบพรบ!AW35"")"),0)</f>
        <v>0</v>
      </c>
      <c r="J35" s="172">
        <f t="shared" ca="1" si="3"/>
        <v>78349</v>
      </c>
      <c r="K35" s="179">
        <f t="shared" ca="1" si="4"/>
        <v>91.273299161230199</v>
      </c>
      <c r="L35" s="172">
        <f ca="1">IFERROR(__xludf.DUMMYFUNCTION("IMPORTRANGE(""https://docs.google.com/spreadsheets/d/1MeEWN-I1oV_STSDYn1IFDPWt_1FKiwhDph83XaGc0o0/edit?usp=sharing"",""งบพรบ!AX35"")"),78349)</f>
        <v>78349</v>
      </c>
      <c r="M35" s="175">
        <f t="shared" ca="1" si="5"/>
        <v>91.273299161230199</v>
      </c>
      <c r="N35" s="175">
        <f t="shared" ca="1" si="6"/>
        <v>91.273299161230199</v>
      </c>
      <c r="O35" s="176">
        <f ca="1">IFERROR(__xludf.DUMMYFUNCTION("IMPORTRANGE(""https://docs.google.com/spreadsheets/d/1MeEWN-I1oV_STSDYn1IFDPWt_1FKiwhDph83XaGc0o0/edit?usp=sharing"",""งบพรบ!AY35"")"),0)</f>
        <v>0</v>
      </c>
      <c r="P35" s="176">
        <f t="shared" ca="1" si="36"/>
        <v>0</v>
      </c>
      <c r="Q35" s="175">
        <f t="shared" ca="1" si="8"/>
        <v>0</v>
      </c>
      <c r="R35" s="173">
        <f ca="1">IFERROR(__xludf.DUMMYFUNCTION("IMPORTRANGE(""https://docs.google.com/spreadsheets/d/1EXMBoBxU3OFbjT2TRpneM33qFjqDzrKmn9ydcflfI0o/edit?usp=sharing"",""นครพนม!I98"")"),30)</f>
        <v>30</v>
      </c>
      <c r="S35" s="173">
        <f ca="1">IFERROR(__xludf.DUMMYFUNCTION("IMPORTRANGE(""https://docs.google.com/spreadsheets/d/1EXMBoBxU3OFbjT2TRpneM33qFjqDzrKmn9ydcflfI0o/edit?usp=sharing"",""นครพนม!J98"")"),30)</f>
        <v>30</v>
      </c>
      <c r="T35" s="173">
        <f t="shared" ca="1" si="10"/>
        <v>100</v>
      </c>
      <c r="U35" s="173">
        <f ca="1">IFERROR(__xludf.DUMMYFUNCTION("IMPORTRANGE(""https://docs.google.com/spreadsheets/d/1EXMBoBxU3OFbjT2TRpneM33qFjqDzrKmn9ydcflfI0o/edit?usp=sharing"",""นครพนม!I99"")"),10)</f>
        <v>10</v>
      </c>
      <c r="V35" s="173">
        <f ca="1">IFERROR(__xludf.DUMMYFUNCTION("IMPORTRANGE(""https://docs.google.com/spreadsheets/d/1EXMBoBxU3OFbjT2TRpneM33qFjqDzrKmn9ydcflfI0o/edit?usp=sharing"",""นครพนม!I100"")"),2)</f>
        <v>2</v>
      </c>
      <c r="W35" s="173">
        <f ca="1">IFERROR(__xludf.DUMMYFUNCTION("IMPORTRANGE(""https://docs.google.com/spreadsheets/d/1EXMBoBxU3OFbjT2TRpneM33qFjqDzrKmn9ydcflfI0o/edit?usp=sharing"",""นครพนม!J99"")"),10)</f>
        <v>10</v>
      </c>
      <c r="X35" s="177">
        <f t="shared" ca="1" si="12"/>
        <v>100</v>
      </c>
      <c r="Y35" s="178">
        <f ca="1">IFERROR(__xludf.DUMMYFUNCTION("IMPORTRANGE(""https://docs.google.com/spreadsheets/d/1EXMBoBxU3OFbjT2TRpneM33qFjqDzrKmn9ydcflfI0o/edit?usp=sharing"",""นครพนม!J100"")"),2)</f>
        <v>2</v>
      </c>
      <c r="Z35" s="177">
        <f t="shared" ca="1" si="13"/>
        <v>100</v>
      </c>
      <c r="AA35" s="172">
        <f ca="1">IFERROR(__xludf.DUMMYFUNCTION("IMPORTRANGE(""https://docs.google.com/spreadsheets/d/1EXMBoBxU3OFbjT2TRpneM33qFjqDzrKmn9ydcflfI0o/edit?usp=sharing"",""นครพนม!I102"")"),30)</f>
        <v>30</v>
      </c>
      <c r="AB35" s="172">
        <f ca="1">IFERROR(__xludf.DUMMYFUNCTION("IMPORTRANGE(""https://docs.google.com/spreadsheets/d/1EXMBoBxU3OFbjT2TRpneM33qFjqDzrKmn9ydcflfI0o/edit?usp=sharing"",""นครพนม!I103"")"),10)</f>
        <v>10</v>
      </c>
      <c r="AC35" s="173">
        <f ca="1">IFERROR(__xludf.DUMMYFUNCTION("IMPORTRANGE(""https://docs.google.com/spreadsheets/d/1EXMBoBxU3OFbjT2TRpneM33qFjqDzrKmn9ydcflfI0o/edit?usp=sharing"",""นครพนม!J102"")"),30)</f>
        <v>30</v>
      </c>
      <c r="AD35" s="173">
        <f ca="1">IFERROR(__xludf.DUMMYFUNCTION("IMPORTRANGE(""https://docs.google.com/spreadsheets/d/1EXMBoBxU3OFbjT2TRpneM33qFjqDzrKmn9ydcflfI0o/edit?usp=sharing"",""นครพนม!J103"")"),10)</f>
        <v>10</v>
      </c>
      <c r="AE35" s="173">
        <f ca="1">IFERROR(__xludf.DUMMYFUNCTION("IMPORTRANGE(""https://docs.google.com/spreadsheets/d/1EXMBoBxU3OFbjT2TRpneM33qFjqDzrKmn9ydcflfI0o/edit?usp=sharing"",""นครพนม!J104"")"),10)</f>
        <v>10</v>
      </c>
      <c r="AF35" s="172">
        <f ca="1">IFERROR(__xludf.DUMMYFUNCTION("IMPORTRANGE(""https://docs.google.com/spreadsheets/d/1EXMBoBxU3OFbjT2TRpneM33qFjqDzrKmn9ydcflfI0o/edit?usp=sharing"",""นครพนม!I106"")"),1)</f>
        <v>1</v>
      </c>
      <c r="AG35" s="173">
        <f ca="1">IFERROR(__xludf.DUMMYFUNCTION("IMPORTRANGE(""https://docs.google.com/spreadsheets/d/1EXMBoBxU3OFbjT2TRpneM33qFjqDzrKmn9ydcflfI0o/edit?usp=sharing"",""นครพนม!J106"")"),1)</f>
        <v>1</v>
      </c>
      <c r="AH35" s="173">
        <f ca="1">IFERROR(__xludf.DUMMYFUNCTION("IMPORTRANGE(""https://docs.google.com/spreadsheets/d/1EXMBoBxU3OFbjT2TRpneM33qFjqDzrKmn9ydcflfI0o/edit?usp=sharing"",""นครพนม!J107"")"),1)</f>
        <v>1</v>
      </c>
      <c r="AI35" s="172">
        <f ca="1">IFERROR(__xludf.DUMMYFUNCTION("IMPORTRANGE(""https://docs.google.com/spreadsheets/d/1EXMBoBxU3OFbjT2TRpneM33qFjqDzrKmn9ydcflfI0o/edit?usp=sharing"",""นครพนม!I109"")"),1)</f>
        <v>1</v>
      </c>
      <c r="AJ35" s="173">
        <f ca="1">IFERROR(__xludf.DUMMYFUNCTION("IMPORTRANGE(""https://docs.google.com/spreadsheets/d/1EXMBoBxU3OFbjT2TRpneM33qFjqDzrKmn9ydcflfI0o/edit?usp=sharing"",""นครพนม!J109"")"),1)</f>
        <v>1</v>
      </c>
      <c r="AK35" s="173">
        <f ca="1">IFERROR(__xludf.DUMMYFUNCTION("IMPORTRANGE(""https://docs.google.com/spreadsheets/d/1EXMBoBxU3OFbjT2TRpneM33qFjqDzrKmn9ydcflfI0o/edit?usp=sharing"",""นครพนม!J110"")"),1)</f>
        <v>1</v>
      </c>
      <c r="AL35" s="172">
        <f ca="1">IFERROR(__xludf.DUMMYFUNCTION("IMPORTRANGE(""https://docs.google.com/spreadsheets/d/1EXMBoBxU3OFbjT2TRpneM33qFjqDzrKmn9ydcflfI0o/edit?usp=sharing"",""นครพนม!I111"")"),10)</f>
        <v>10</v>
      </c>
      <c r="AM35" s="172">
        <f ca="1">IFERROR(__xludf.DUMMYFUNCTION("IMPORTRANGE(""https://docs.google.com/spreadsheets/d/1EXMBoBxU3OFbjT2TRpneM33qFjqDzrKmn9ydcflfI0o/edit?usp=sharing"",""นครพนม!I112"")"),2)</f>
        <v>2</v>
      </c>
      <c r="AN35" s="173">
        <f ca="1">IFERROR(__xludf.DUMMYFUNCTION("IMPORTRANGE(""https://docs.google.com/spreadsheets/d/1EXMBoBxU3OFbjT2TRpneM33qFjqDzrKmn9ydcflfI0o/edit?usp=sharing"",""นครพนม!J111"")"),10)</f>
        <v>10</v>
      </c>
      <c r="AO35" s="173">
        <f t="shared" ca="1" si="15"/>
        <v>100</v>
      </c>
      <c r="AP35" s="173">
        <f ca="1">IFERROR(__xludf.DUMMYFUNCTION("IMPORTRANGE(""https://docs.google.com/spreadsheets/d/1EXMBoBxU3OFbjT2TRpneM33qFjqDzrKmn9ydcflfI0o/edit?usp=sharing"",""นครพนม!J112"")"),2)</f>
        <v>2</v>
      </c>
      <c r="AQ35" s="175">
        <f t="shared" ca="1" si="16"/>
        <v>100</v>
      </c>
      <c r="AR35" s="172">
        <f ca="1">IFERROR(__xludf.DUMMYFUNCTION("IMPORTRANGE(""https://docs.google.com/spreadsheets/d/1EXMBoBxU3OFbjT2TRpneM33qFjqDzrKmn9ydcflfI0o/edit?usp=sharing"",""นครพนม!I113"")"),10)</f>
        <v>10</v>
      </c>
      <c r="AS35" s="172">
        <f ca="1">IFERROR(__xludf.DUMMYFUNCTION("IMPORTRANGE(""https://docs.google.com/spreadsheets/d/1EXMBoBxU3OFbjT2TRpneM33qFjqDzrKmn9ydcflfI0o/edit?usp=sharing"",""นครพนม!J113"")"),10)</f>
        <v>10</v>
      </c>
      <c r="AT35" s="172">
        <f ca="1">IFERROR(__xludf.DUMMYFUNCTION("IMPORTRANGE(""https://docs.google.com/spreadsheets/d/1EXMBoBxU3OFbjT2TRpneM33qFjqDzrKmn9ydcflfI0o/edit?usp=sharing"",""นครพนม!J114"")"),10)</f>
        <v>10</v>
      </c>
      <c r="AU35" s="172">
        <f ca="1">IFERROR(__xludf.DUMMYFUNCTION("IMPORTRANGE(""https://docs.google.com/spreadsheets/d/1EXMBoBxU3OFbjT2TRpneM33qFjqDzrKmn9ydcflfI0o/edit?usp=sharing"",""นครพนม!I115"")"),1)</f>
        <v>1</v>
      </c>
      <c r="AV35" s="173">
        <f ca="1">IFERROR(__xludf.DUMMYFUNCTION("IMPORTRANGE(""https://docs.google.com/spreadsheets/d/1EXMBoBxU3OFbjT2TRpneM33qFjqDzrKmn9ydcflfI0o/edit?usp=sharing"",""นครพนม!J115"")"),1)</f>
        <v>1</v>
      </c>
      <c r="AW35" s="175">
        <f t="shared" ca="1" si="18"/>
        <v>100</v>
      </c>
      <c r="AX35" s="172">
        <f ca="1">IFERROR(__xludf.DUMMYFUNCTION("IMPORTRANGE(""https://docs.google.com/spreadsheets/d/1EXMBoBxU3OFbjT2TRpneM33qFjqDzrKmn9ydcflfI0o/edit?usp=sharing"",""นครพนม!I116"")"),1)</f>
        <v>1</v>
      </c>
      <c r="AY35" s="173">
        <f ca="1">IFERROR(__xludf.DUMMYFUNCTION("IMPORTRANGE(""https://docs.google.com/spreadsheets/d/1EXMBoBxU3OFbjT2TRpneM33qFjqDzrKmn9ydcflfI0o/edit?usp=sharing"",""นครพนม!J116"")"),1)</f>
        <v>1</v>
      </c>
      <c r="AZ35" s="175">
        <f t="shared" ca="1" si="20"/>
        <v>100</v>
      </c>
    </row>
    <row r="36" spans="1:52" ht="21" customHeight="1" x14ac:dyDescent="0.3">
      <c r="A36" s="168">
        <v>5</v>
      </c>
      <c r="B36" s="169" t="s">
        <v>58</v>
      </c>
      <c r="C36" s="170">
        <f t="shared" ca="1" si="0"/>
        <v>63900</v>
      </c>
      <c r="D36" s="171">
        <f t="shared" ca="1" si="49"/>
        <v>63900</v>
      </c>
      <c r="E36" s="172">
        <f ca="1">IFERROR(__xludf.DUMMYFUNCTION("IMPORTRANGE(""https://docs.google.com/spreadsheets/d/1MeEWN-I1oV_STSDYn1IFDPWt_1FKiwhDph83XaGc0o0/edit?usp=sharing"",""งบพรบ!AR36"")"),0)</f>
        <v>0</v>
      </c>
      <c r="F36" s="172">
        <f ca="1">IFERROR(__xludf.DUMMYFUNCTION("IMPORTRANGE(""https://docs.google.com/spreadsheets/d/1MeEWN-I1oV_STSDYn1IFDPWt_1FKiwhDph83XaGc0o0/edit?usp=sharing"",""งบพรบ!AS36"")"),63900)</f>
        <v>63900</v>
      </c>
      <c r="G36" s="172">
        <f ca="1">IFERROR(__xludf.DUMMYFUNCTION("IMPORTRANGE(""https://docs.google.com/spreadsheets/d/1MeEWN-I1oV_STSDYn1IFDPWt_1FKiwhDph83XaGc0o0/edit?usp=sharing"",""งบพรบ!AT36"")"),0)</f>
        <v>0</v>
      </c>
      <c r="H36" s="172">
        <f ca="1">IFERROR(__xludf.DUMMYFUNCTION("IMPORTRANGE(""https://docs.google.com/spreadsheets/d/1MeEWN-I1oV_STSDYn1IFDPWt_1FKiwhDph83XaGc0o0/edit?usp=sharing"",""งบพรบ!AV36"")"),63900)</f>
        <v>63900</v>
      </c>
      <c r="I36" s="172">
        <f ca="1">IFERROR(__xludf.DUMMYFUNCTION("IMPORTRANGE(""https://docs.google.com/spreadsheets/d/1MeEWN-I1oV_STSDYn1IFDPWt_1FKiwhDph83XaGc0o0/edit?usp=sharing"",""งบพรบ!AW36"")"),0)</f>
        <v>0</v>
      </c>
      <c r="J36" s="172">
        <f t="shared" ca="1" si="3"/>
        <v>62600</v>
      </c>
      <c r="K36" s="179">
        <f t="shared" ca="1" si="4"/>
        <v>97.965571205007819</v>
      </c>
      <c r="L36" s="172">
        <f ca="1">IFERROR(__xludf.DUMMYFUNCTION("IMPORTRANGE(""https://docs.google.com/spreadsheets/d/1MeEWN-I1oV_STSDYn1IFDPWt_1FKiwhDph83XaGc0o0/edit?usp=sharing"",""งบพรบ!AX36"")"),62600)</f>
        <v>62600</v>
      </c>
      <c r="M36" s="175">
        <f t="shared" ca="1" si="5"/>
        <v>97.965571205007819</v>
      </c>
      <c r="N36" s="175">
        <f t="shared" ca="1" si="6"/>
        <v>97.965571205007819</v>
      </c>
      <c r="O36" s="176">
        <f ca="1">IFERROR(__xludf.DUMMYFUNCTION("IMPORTRANGE(""https://docs.google.com/spreadsheets/d/1MeEWN-I1oV_STSDYn1IFDPWt_1FKiwhDph83XaGc0o0/edit?usp=sharing"",""งบพรบ!AY36"")"),0)</f>
        <v>0</v>
      </c>
      <c r="P36" s="176">
        <f t="shared" ca="1" si="36"/>
        <v>0</v>
      </c>
      <c r="Q36" s="175">
        <f t="shared" ca="1" si="8"/>
        <v>0</v>
      </c>
      <c r="R36" s="173">
        <f ca="1">IFERROR(__xludf.DUMMYFUNCTION("IMPORTRANGE(""https://docs.google.com/spreadsheets/d/1bDQrolntRWtHumK8W-x-HXKntwxB9S3sF5aDeRS66Ko/edit?usp=sharing"",""นครราชสีมา!I98"")"),75)</f>
        <v>75</v>
      </c>
      <c r="S36" s="173">
        <f ca="1">IFERROR(__xludf.DUMMYFUNCTION("IMPORTRANGE(""https://docs.google.com/spreadsheets/d/1bDQrolntRWtHumK8W-x-HXKntwxB9S3sF5aDeRS66Ko/edit?usp=sharing"",""นครราชสีมา!J98"")"),75)</f>
        <v>75</v>
      </c>
      <c r="T36" s="173">
        <f t="shared" ca="1" si="10"/>
        <v>100</v>
      </c>
      <c r="U36" s="173">
        <f ca="1">IFERROR(__xludf.DUMMYFUNCTION("IMPORTRANGE(""https://docs.google.com/spreadsheets/d/1bDQrolntRWtHumK8W-x-HXKntwxB9S3sF5aDeRS66Ko/edit?usp=sharing"",""นครราชสีมา!I99"")"),25)</f>
        <v>25</v>
      </c>
      <c r="V36" s="173">
        <f ca="1">IFERROR(__xludf.DUMMYFUNCTION("IMPORTRANGE(""https://docs.google.com/spreadsheets/d/1bDQrolntRWtHumK8W-x-HXKntwxB9S3sF5aDeRS66Ko/edit?usp=sharing"",""นครราชสีมา!I100"")"),0)</f>
        <v>0</v>
      </c>
      <c r="W36" s="173">
        <f ca="1">IFERROR(__xludf.DUMMYFUNCTION("IMPORTRANGE(""https://docs.google.com/spreadsheets/d/1bDQrolntRWtHumK8W-x-HXKntwxB9S3sF5aDeRS66Ko/edit?usp=sharing"",""นครราชสีมา!J99"")"),25)</f>
        <v>25</v>
      </c>
      <c r="X36" s="177">
        <f t="shared" ca="1" si="12"/>
        <v>100</v>
      </c>
      <c r="Y36" s="178">
        <f ca="1">IFERROR(__xludf.DUMMYFUNCTION("IMPORTRANGE(""https://docs.google.com/spreadsheets/d/1bDQrolntRWtHumK8W-x-HXKntwxB9S3sF5aDeRS66Ko/edit?usp=sharing"",""นครราชสีมา!J100"")"),0)</f>
        <v>0</v>
      </c>
      <c r="Z36" s="177">
        <f t="shared" ca="1" si="13"/>
        <v>0</v>
      </c>
      <c r="AA36" s="172">
        <f ca="1">IFERROR(__xludf.DUMMYFUNCTION("IMPORTRANGE(""https://docs.google.com/spreadsheets/d/1bDQrolntRWtHumK8W-x-HXKntwxB9S3sF5aDeRS66Ko/edit?usp=sharing"",""นครราชสีมา!I102"")"),75)</f>
        <v>75</v>
      </c>
      <c r="AB36" s="172">
        <f ca="1">IFERROR(__xludf.DUMMYFUNCTION("IMPORTRANGE(""https://docs.google.com/spreadsheets/d/1bDQrolntRWtHumK8W-x-HXKntwxB9S3sF5aDeRS66Ko/edit?usp=sharing"",""นครราชสีมา!I103"")"),25)</f>
        <v>25</v>
      </c>
      <c r="AC36" s="173">
        <f ca="1">IFERROR(__xludf.DUMMYFUNCTION("IMPORTRANGE(""https://docs.google.com/spreadsheets/d/1bDQrolntRWtHumK8W-x-HXKntwxB9S3sF5aDeRS66Ko/edit?usp=sharing"",""นครราชสีมา!J102"")"),75)</f>
        <v>75</v>
      </c>
      <c r="AD36" s="173">
        <f ca="1">IFERROR(__xludf.DUMMYFUNCTION("IMPORTRANGE(""https://docs.google.com/spreadsheets/d/1bDQrolntRWtHumK8W-x-HXKntwxB9S3sF5aDeRS66Ko/edit?usp=sharing"",""นครราชสีมา!J103"")"),25)</f>
        <v>25</v>
      </c>
      <c r="AE36" s="173">
        <f ca="1">IFERROR(__xludf.DUMMYFUNCTION("IMPORTRANGE(""https://docs.google.com/spreadsheets/d/1bDQrolntRWtHumK8W-x-HXKntwxB9S3sF5aDeRS66Ko/edit?usp=sharing"",""นครราชสีมา!J104"")"),25)</f>
        <v>25</v>
      </c>
      <c r="AF36" s="172">
        <f ca="1">IFERROR(__xludf.DUMMYFUNCTION("IMPORTRANGE(""https://docs.google.com/spreadsheets/d/1bDQrolntRWtHumK8W-x-HXKntwxB9S3sF5aDeRS66Ko/edit?usp=sharing"",""นครราชสีมา!I106"")"),0)</f>
        <v>0</v>
      </c>
      <c r="AG36" s="173">
        <f ca="1">IFERROR(__xludf.DUMMYFUNCTION("IMPORTRANGE(""https://docs.google.com/spreadsheets/d/1bDQrolntRWtHumK8W-x-HXKntwxB9S3sF5aDeRS66Ko/edit?usp=sharing"",""นครราชสีมา!J106"")"),0)</f>
        <v>0</v>
      </c>
      <c r="AH36" s="173">
        <f ca="1">IFERROR(__xludf.DUMMYFUNCTION("IMPORTRANGE(""https://docs.google.com/spreadsheets/d/1bDQrolntRWtHumK8W-x-HXKntwxB9S3sF5aDeRS66Ko/edit?usp=sharing"",""นครราชสีมา!J107"")"),0)</f>
        <v>0</v>
      </c>
      <c r="AI36" s="172">
        <f ca="1">IFERROR(__xludf.DUMMYFUNCTION("IMPORTRANGE(""https://docs.google.com/spreadsheets/d/1bDQrolntRWtHumK8W-x-HXKntwxB9S3sF5aDeRS66Ko/edit?usp=sharing"",""นครราชสีมา!I109"")"),0)</f>
        <v>0</v>
      </c>
      <c r="AJ36" s="173">
        <f ca="1">IFERROR(__xludf.DUMMYFUNCTION("IMPORTRANGE(""https://docs.google.com/spreadsheets/d/1bDQrolntRWtHumK8W-x-HXKntwxB9S3sF5aDeRS66Ko/edit?usp=sharing"",""นครราชสีมา!J109"")"),0)</f>
        <v>0</v>
      </c>
      <c r="AK36" s="173">
        <f ca="1">IFERROR(__xludf.DUMMYFUNCTION("IMPORTRANGE(""https://docs.google.com/spreadsheets/d/1bDQrolntRWtHumK8W-x-HXKntwxB9S3sF5aDeRS66Ko/edit?usp=sharing"",""นครราชสีมา!J110"")"),0)</f>
        <v>0</v>
      </c>
      <c r="AL36" s="172">
        <f ca="1">IFERROR(__xludf.DUMMYFUNCTION("IMPORTRANGE(""https://docs.google.com/spreadsheets/d/1bDQrolntRWtHumK8W-x-HXKntwxB9S3sF5aDeRS66Ko/edit?usp=sharing"",""นครราชสีมา!I111"")"),25)</f>
        <v>25</v>
      </c>
      <c r="AM36" s="172">
        <f ca="1">IFERROR(__xludf.DUMMYFUNCTION("IMPORTRANGE(""https://docs.google.com/spreadsheets/d/1bDQrolntRWtHumK8W-x-HXKntwxB9S3sF5aDeRS66Ko/edit?usp=sharing"",""นครราชสีมา!I112"")"),0)</f>
        <v>0</v>
      </c>
      <c r="AN36" s="173">
        <f ca="1">IFERROR(__xludf.DUMMYFUNCTION("IMPORTRANGE(""https://docs.google.com/spreadsheets/d/1bDQrolntRWtHumK8W-x-HXKntwxB9S3sF5aDeRS66Ko/edit?usp=sharing"",""นครราชสีมา!J111"")"),0)</f>
        <v>0</v>
      </c>
      <c r="AO36" s="173">
        <f t="shared" ca="1" si="15"/>
        <v>0</v>
      </c>
      <c r="AP36" s="173">
        <f ca="1">IFERROR(__xludf.DUMMYFUNCTION("IMPORTRANGE(""https://docs.google.com/spreadsheets/d/1bDQrolntRWtHumK8W-x-HXKntwxB9S3sF5aDeRS66Ko/edit?usp=sharing"",""นครราชสีมา!J112"")"),0)</f>
        <v>0</v>
      </c>
      <c r="AQ36" s="175">
        <f t="shared" ca="1" si="16"/>
        <v>0</v>
      </c>
      <c r="AR36" s="172">
        <f ca="1">IFERROR(__xludf.DUMMYFUNCTION("IMPORTRANGE(""https://docs.google.com/spreadsheets/d/1bDQrolntRWtHumK8W-x-HXKntwxB9S3sF5aDeRS66Ko/edit?usp=sharing"",""นครราชสีมา!I113"")"),25)</f>
        <v>25</v>
      </c>
      <c r="AS36" s="172">
        <f ca="1">IFERROR(__xludf.DUMMYFUNCTION("IMPORTRANGE(""https://docs.google.com/spreadsheets/d/1bDQrolntRWtHumK8W-x-HXKntwxB9S3sF5aDeRS66Ko/edit?usp=sharing"",""นครราชสีมา!J113"")"),0)</f>
        <v>0</v>
      </c>
      <c r="AT36" s="172">
        <f ca="1">IFERROR(__xludf.DUMMYFUNCTION("IMPORTRANGE(""https://docs.google.com/spreadsheets/d/1bDQrolntRWtHumK8W-x-HXKntwxB9S3sF5aDeRS66Ko/edit?usp=sharing"",""นครราชสีมา!J114"")"),0)</f>
        <v>0</v>
      </c>
      <c r="AU36" s="172">
        <f ca="1">IFERROR(__xludf.DUMMYFUNCTION("IMPORTRANGE(""https://docs.google.com/spreadsheets/d/1bDQrolntRWtHumK8W-x-HXKntwxB9S3sF5aDeRS66Ko/edit?usp=sharing"",""นครราชสีมา!I115"")"),0)</f>
        <v>0</v>
      </c>
      <c r="AV36" s="173">
        <f ca="1">IFERROR(__xludf.DUMMYFUNCTION("IMPORTRANGE(""https://docs.google.com/spreadsheets/d/1bDQrolntRWtHumK8W-x-HXKntwxB9S3sF5aDeRS66Ko/edit?usp=sharing"",""นครราชสีมา!J115"")"),0)</f>
        <v>0</v>
      </c>
      <c r="AW36" s="175">
        <f t="shared" ca="1" si="18"/>
        <v>0</v>
      </c>
      <c r="AX36" s="172">
        <f ca="1">IFERROR(__xludf.DUMMYFUNCTION("IMPORTRANGE(""https://docs.google.com/spreadsheets/d/1bDQrolntRWtHumK8W-x-HXKntwxB9S3sF5aDeRS66Ko/edit?usp=sharing"",""นครราชสีมา!I116"")"),0)</f>
        <v>0</v>
      </c>
      <c r="AY36" s="173">
        <f ca="1">IFERROR(__xludf.DUMMYFUNCTION("IMPORTRANGE(""https://docs.google.com/spreadsheets/d/1bDQrolntRWtHumK8W-x-HXKntwxB9S3sF5aDeRS66Ko/edit?usp=sharing"",""นครราชสีมา!J116"")"),0)</f>
        <v>0</v>
      </c>
      <c r="AZ36" s="175">
        <f t="shared" ca="1" si="20"/>
        <v>0</v>
      </c>
    </row>
    <row r="37" spans="1:52" ht="21" customHeight="1" x14ac:dyDescent="0.3">
      <c r="A37" s="168">
        <v>6</v>
      </c>
      <c r="B37" s="169" t="s">
        <v>59</v>
      </c>
      <c r="C37" s="170">
        <f t="shared" ca="1" si="0"/>
        <v>115640</v>
      </c>
      <c r="D37" s="171">
        <f t="shared" ca="1" si="49"/>
        <v>115640</v>
      </c>
      <c r="E37" s="172">
        <f ca="1">IFERROR(__xludf.DUMMYFUNCTION("IMPORTRANGE(""https://docs.google.com/spreadsheets/d/1MeEWN-I1oV_STSDYn1IFDPWt_1FKiwhDph83XaGc0o0/edit?usp=sharing"",""งบพรบ!AR37"")"),0)</f>
        <v>0</v>
      </c>
      <c r="F37" s="172">
        <f ca="1">IFERROR(__xludf.DUMMYFUNCTION("IMPORTRANGE(""https://docs.google.com/spreadsheets/d/1MeEWN-I1oV_STSDYn1IFDPWt_1FKiwhDph83XaGc0o0/edit?usp=sharing"",""งบพรบ!AS37"")"),115640)</f>
        <v>115640</v>
      </c>
      <c r="G37" s="172">
        <f ca="1">IFERROR(__xludf.DUMMYFUNCTION("IMPORTRANGE(""https://docs.google.com/spreadsheets/d/1MeEWN-I1oV_STSDYn1IFDPWt_1FKiwhDph83XaGc0o0/edit?usp=sharing"",""งบพรบ!AT37"")"),0)</f>
        <v>0</v>
      </c>
      <c r="H37" s="172">
        <f ca="1">IFERROR(__xludf.DUMMYFUNCTION("IMPORTRANGE(""https://docs.google.com/spreadsheets/d/1MeEWN-I1oV_STSDYn1IFDPWt_1FKiwhDph83XaGc0o0/edit?usp=sharing"",""งบพรบ!AV37"")"),132640)</f>
        <v>132640</v>
      </c>
      <c r="I37" s="172">
        <f ca="1">IFERROR(__xludf.DUMMYFUNCTION("IMPORTRANGE(""https://docs.google.com/spreadsheets/d/1MeEWN-I1oV_STSDYn1IFDPWt_1FKiwhDph83XaGc0o0/edit?usp=sharing"",""งบพรบ!AW37"")"),0)</f>
        <v>0</v>
      </c>
      <c r="J37" s="172">
        <f t="shared" ca="1" si="3"/>
        <v>75147</v>
      </c>
      <c r="K37" s="179">
        <f t="shared" ca="1" si="4"/>
        <v>64.983569699066067</v>
      </c>
      <c r="L37" s="172">
        <f ca="1">IFERROR(__xludf.DUMMYFUNCTION("IMPORTRANGE(""https://docs.google.com/spreadsheets/d/1MeEWN-I1oV_STSDYn1IFDPWt_1FKiwhDph83XaGc0o0/edit?usp=sharing"",""งบพรบ!AX37"")"),75147)</f>
        <v>75147</v>
      </c>
      <c r="M37" s="175">
        <f t="shared" ca="1" si="5"/>
        <v>64.983569699066067</v>
      </c>
      <c r="N37" s="175">
        <f t="shared" ca="1" si="6"/>
        <v>56.654855247285887</v>
      </c>
      <c r="O37" s="176">
        <f ca="1">IFERROR(__xludf.DUMMYFUNCTION("IMPORTRANGE(""https://docs.google.com/spreadsheets/d/1MeEWN-I1oV_STSDYn1IFDPWt_1FKiwhDph83XaGc0o0/edit?usp=sharing"",""งบพรบ!AY37"")"),0)</f>
        <v>0</v>
      </c>
      <c r="P37" s="176">
        <f t="shared" ca="1" si="36"/>
        <v>0</v>
      </c>
      <c r="Q37" s="175">
        <f t="shared" ca="1" si="8"/>
        <v>0</v>
      </c>
      <c r="R37" s="173">
        <f ca="1">IFERROR(__xludf.DUMMYFUNCTION("IMPORTRANGE(""https://docs.google.com/spreadsheets/d/1_MzZ-2gVPiCW-d2VcafoCmFJQTSrZ6SQyFcMqRRQQ2w/edit?usp=sharing"",""บึงกาฬ!I98"")"),30)</f>
        <v>30</v>
      </c>
      <c r="S37" s="173">
        <f ca="1">IFERROR(__xludf.DUMMYFUNCTION("IMPORTRANGE(""https://docs.google.com/spreadsheets/d/1_MzZ-2gVPiCW-d2VcafoCmFJQTSrZ6SQyFcMqRRQQ2w/edit?usp=sharing"",""บึงกาฬ!J98"")"),30)</f>
        <v>30</v>
      </c>
      <c r="T37" s="173">
        <f t="shared" ca="1" si="10"/>
        <v>100</v>
      </c>
      <c r="U37" s="173">
        <f ca="1">IFERROR(__xludf.DUMMYFUNCTION("IMPORTRANGE(""https://docs.google.com/spreadsheets/d/1_MzZ-2gVPiCW-d2VcafoCmFJQTSrZ6SQyFcMqRRQQ2w/edit?usp=sharing"",""บึงกาฬ!I99"")"),10)</f>
        <v>10</v>
      </c>
      <c r="V37" s="173">
        <f ca="1">IFERROR(__xludf.DUMMYFUNCTION("IMPORTRANGE(""https://docs.google.com/spreadsheets/d/1_MzZ-2gVPiCW-d2VcafoCmFJQTSrZ6SQyFcMqRRQQ2w/edit?usp=sharing"",""บึงกาฬ!I100"")"),3)</f>
        <v>3</v>
      </c>
      <c r="W37" s="173">
        <f ca="1">IFERROR(__xludf.DUMMYFUNCTION("IMPORTRANGE(""https://docs.google.com/spreadsheets/d/1_MzZ-2gVPiCW-d2VcafoCmFJQTSrZ6SQyFcMqRRQQ2w/edit?usp=sharing"",""บึงกาฬ!J99"")"),10)</f>
        <v>10</v>
      </c>
      <c r="X37" s="177">
        <f t="shared" ca="1" si="12"/>
        <v>100</v>
      </c>
      <c r="Y37" s="178">
        <f ca="1">IFERROR(__xludf.DUMMYFUNCTION("IMPORTRANGE(""https://docs.google.com/spreadsheets/d/1_MzZ-2gVPiCW-d2VcafoCmFJQTSrZ6SQyFcMqRRQQ2w/edit?usp=sharing"",""บึงกาฬ!J100"")"),3)</f>
        <v>3</v>
      </c>
      <c r="Z37" s="177">
        <f t="shared" ca="1" si="13"/>
        <v>100</v>
      </c>
      <c r="AA37" s="172">
        <f ca="1">IFERROR(__xludf.DUMMYFUNCTION("IMPORTRANGE(""https://docs.google.com/spreadsheets/d/1_MzZ-2gVPiCW-d2VcafoCmFJQTSrZ6SQyFcMqRRQQ2w/edit?usp=sharing"",""บึงกาฬ!I102"")"),30)</f>
        <v>30</v>
      </c>
      <c r="AB37" s="172">
        <f ca="1">IFERROR(__xludf.DUMMYFUNCTION("IMPORTRANGE(""https://docs.google.com/spreadsheets/d/1_MzZ-2gVPiCW-d2VcafoCmFJQTSrZ6SQyFcMqRRQQ2w/edit?usp=sharing"",""บึงกาฬ!I103"")"),10)</f>
        <v>10</v>
      </c>
      <c r="AC37" s="173">
        <f ca="1">IFERROR(__xludf.DUMMYFUNCTION("IMPORTRANGE(""https://docs.google.com/spreadsheets/d/1_MzZ-2gVPiCW-d2VcafoCmFJQTSrZ6SQyFcMqRRQQ2w/edit?usp=sharing"",""บึงกาฬ!J102"")"),30)</f>
        <v>30</v>
      </c>
      <c r="AD37" s="173">
        <f ca="1">IFERROR(__xludf.DUMMYFUNCTION("IMPORTRANGE(""https://docs.google.com/spreadsheets/d/1_MzZ-2gVPiCW-d2VcafoCmFJQTSrZ6SQyFcMqRRQQ2w/edit?usp=sharing"",""บึงกาฬ!J103"")"),10)</f>
        <v>10</v>
      </c>
      <c r="AE37" s="173">
        <f ca="1">IFERROR(__xludf.DUMMYFUNCTION("IMPORTRANGE(""https://docs.google.com/spreadsheets/d/1_MzZ-2gVPiCW-d2VcafoCmFJQTSrZ6SQyFcMqRRQQ2w/edit?usp=sharing"",""บึงกาฬ!J104"")"),10)</f>
        <v>10</v>
      </c>
      <c r="AF37" s="172">
        <f ca="1">IFERROR(__xludf.DUMMYFUNCTION("IMPORTRANGE(""https://docs.google.com/spreadsheets/d/1_MzZ-2gVPiCW-d2VcafoCmFJQTSrZ6SQyFcMqRRQQ2w/edit?usp=sharing"",""บึงกาฬ!I106"")"),2)</f>
        <v>2</v>
      </c>
      <c r="AG37" s="173">
        <f ca="1">IFERROR(__xludf.DUMMYFUNCTION("IMPORTRANGE(""https://docs.google.com/spreadsheets/d/1_MzZ-2gVPiCW-d2VcafoCmFJQTSrZ6SQyFcMqRRQQ2w/edit?usp=sharing"",""บึงกาฬ!J106"")"),2)</f>
        <v>2</v>
      </c>
      <c r="AH37" s="173">
        <f ca="1">IFERROR(__xludf.DUMMYFUNCTION("IMPORTRANGE(""https://docs.google.com/spreadsheets/d/1_MzZ-2gVPiCW-d2VcafoCmFJQTSrZ6SQyFcMqRRQQ2w/edit?usp=sharing"",""บึงกาฬ!J107"")"),2)</f>
        <v>2</v>
      </c>
      <c r="AI37" s="172">
        <f ca="1">IFERROR(__xludf.DUMMYFUNCTION("IMPORTRANGE(""https://docs.google.com/spreadsheets/d/1_MzZ-2gVPiCW-d2VcafoCmFJQTSrZ6SQyFcMqRRQQ2w/edit?usp=sharing"",""บึงกาฬ!I109"")"),1)</f>
        <v>1</v>
      </c>
      <c r="AJ37" s="173">
        <f ca="1">IFERROR(__xludf.DUMMYFUNCTION("IMPORTRANGE(""https://docs.google.com/spreadsheets/d/1_MzZ-2gVPiCW-d2VcafoCmFJQTSrZ6SQyFcMqRRQQ2w/edit?usp=sharing"",""บึงกาฬ!J109"")"),1)</f>
        <v>1</v>
      </c>
      <c r="AK37" s="173">
        <f ca="1">IFERROR(__xludf.DUMMYFUNCTION("IMPORTRANGE(""https://docs.google.com/spreadsheets/d/1_MzZ-2gVPiCW-d2VcafoCmFJQTSrZ6SQyFcMqRRQQ2w/edit?usp=sharing"",""บึงกาฬ!J110"")"),1)</f>
        <v>1</v>
      </c>
      <c r="AL37" s="172">
        <f ca="1">IFERROR(__xludf.DUMMYFUNCTION("IMPORTRANGE(""https://docs.google.com/spreadsheets/d/1_MzZ-2gVPiCW-d2VcafoCmFJQTSrZ6SQyFcMqRRQQ2w/edit?usp=sharing"",""บึงกาฬ!I111"")"),10)</f>
        <v>10</v>
      </c>
      <c r="AM37" s="172">
        <f ca="1">IFERROR(__xludf.DUMMYFUNCTION("IMPORTRANGE(""https://docs.google.com/spreadsheets/d/1_MzZ-2gVPiCW-d2VcafoCmFJQTSrZ6SQyFcMqRRQQ2w/edit?usp=sharing"",""บึงกาฬ!I112"")"),3)</f>
        <v>3</v>
      </c>
      <c r="AN37" s="173">
        <f ca="1">IFERROR(__xludf.DUMMYFUNCTION("IMPORTRANGE(""https://docs.google.com/spreadsheets/d/1_MzZ-2gVPiCW-d2VcafoCmFJQTSrZ6SQyFcMqRRQQ2w/edit?usp=sharing"",""บึงกาฬ!J111"")"),10)</f>
        <v>10</v>
      </c>
      <c r="AO37" s="173">
        <f t="shared" ca="1" si="15"/>
        <v>100</v>
      </c>
      <c r="AP37" s="173">
        <f ca="1">IFERROR(__xludf.DUMMYFUNCTION("IMPORTRANGE(""https://docs.google.com/spreadsheets/d/1_MzZ-2gVPiCW-d2VcafoCmFJQTSrZ6SQyFcMqRRQQ2w/edit?usp=sharing"",""บึงกาฬ!J112"")"),0)</f>
        <v>0</v>
      </c>
      <c r="AQ37" s="175">
        <f t="shared" ca="1" si="16"/>
        <v>0</v>
      </c>
      <c r="AR37" s="172">
        <f ca="1">IFERROR(__xludf.DUMMYFUNCTION("IMPORTRANGE(""https://docs.google.com/spreadsheets/d/1_MzZ-2gVPiCW-d2VcafoCmFJQTSrZ6SQyFcMqRRQQ2w/edit?usp=sharing"",""บึงกาฬ!I113"")"),10)</f>
        <v>10</v>
      </c>
      <c r="AS37" s="172">
        <f ca="1">IFERROR(__xludf.DUMMYFUNCTION("IMPORTRANGE(""https://docs.google.com/spreadsheets/d/1_MzZ-2gVPiCW-d2VcafoCmFJQTSrZ6SQyFcMqRRQQ2w/edit?usp=sharing"",""บึงกาฬ!J113"")"),10)</f>
        <v>10</v>
      </c>
      <c r="AT37" s="172">
        <f ca="1">IFERROR(__xludf.DUMMYFUNCTION("IMPORTRANGE(""https://docs.google.com/spreadsheets/d/1_MzZ-2gVPiCW-d2VcafoCmFJQTSrZ6SQyFcMqRRQQ2w/edit?usp=sharing"",""บึงกาฬ!J114"")"),10)</f>
        <v>10</v>
      </c>
      <c r="AU37" s="172">
        <f ca="1">IFERROR(__xludf.DUMMYFUNCTION("IMPORTRANGE(""https://docs.google.com/spreadsheets/d/1_MzZ-2gVPiCW-d2VcafoCmFJQTSrZ6SQyFcMqRRQQ2w/edit?usp=sharing"",""บึงกาฬ!I115"")"),2)</f>
        <v>2</v>
      </c>
      <c r="AV37" s="173">
        <f ca="1">IFERROR(__xludf.DUMMYFUNCTION("IMPORTRANGE(""https://docs.google.com/spreadsheets/d/1_MzZ-2gVPiCW-d2VcafoCmFJQTSrZ6SQyFcMqRRQQ2w/edit?usp=sharing"",""บึงกาฬ!J115"")"),0)</f>
        <v>0</v>
      </c>
      <c r="AW37" s="175">
        <f t="shared" ca="1" si="18"/>
        <v>0</v>
      </c>
      <c r="AX37" s="172">
        <f ca="1">IFERROR(__xludf.DUMMYFUNCTION("IMPORTRANGE(""https://docs.google.com/spreadsheets/d/1_MzZ-2gVPiCW-d2VcafoCmFJQTSrZ6SQyFcMqRRQQ2w/edit?usp=sharing"",""บึงกาฬ!I116"")"),1)</f>
        <v>1</v>
      </c>
      <c r="AY37" s="173">
        <f ca="1">IFERROR(__xludf.DUMMYFUNCTION("IMPORTRANGE(""https://docs.google.com/spreadsheets/d/1_MzZ-2gVPiCW-d2VcafoCmFJQTSrZ6SQyFcMqRRQQ2w/edit?usp=sharing"",""บึงกาฬ!J116"")"),0)</f>
        <v>0</v>
      </c>
      <c r="AZ37" s="175">
        <f t="shared" ca="1" si="20"/>
        <v>0</v>
      </c>
    </row>
    <row r="38" spans="1:52" ht="21" customHeight="1" x14ac:dyDescent="0.3">
      <c r="A38" s="168">
        <v>7</v>
      </c>
      <c r="B38" s="169" t="s">
        <v>60</v>
      </c>
      <c r="C38" s="170">
        <f t="shared" ca="1" si="0"/>
        <v>31200</v>
      </c>
      <c r="D38" s="171">
        <f t="shared" ca="1" si="49"/>
        <v>31200</v>
      </c>
      <c r="E38" s="172">
        <f ca="1">IFERROR(__xludf.DUMMYFUNCTION("IMPORTRANGE(""https://docs.google.com/spreadsheets/d/1MeEWN-I1oV_STSDYn1IFDPWt_1FKiwhDph83XaGc0o0/edit?usp=sharing"",""งบพรบ!AR38"")"),0)</f>
        <v>0</v>
      </c>
      <c r="F38" s="172">
        <f ca="1">IFERROR(__xludf.DUMMYFUNCTION("IMPORTRANGE(""https://docs.google.com/spreadsheets/d/1MeEWN-I1oV_STSDYn1IFDPWt_1FKiwhDph83XaGc0o0/edit?usp=sharing"",""งบพรบ!AS38"")"),31200)</f>
        <v>31200</v>
      </c>
      <c r="G38" s="172">
        <f ca="1">IFERROR(__xludf.DUMMYFUNCTION("IMPORTRANGE(""https://docs.google.com/spreadsheets/d/1MeEWN-I1oV_STSDYn1IFDPWt_1FKiwhDph83XaGc0o0/edit?usp=sharing"",""งบพรบ!AT38"")"),0)</f>
        <v>0</v>
      </c>
      <c r="H38" s="172">
        <f ca="1">IFERROR(__xludf.DUMMYFUNCTION("IMPORTRANGE(""https://docs.google.com/spreadsheets/d/1MeEWN-I1oV_STSDYn1IFDPWt_1FKiwhDph83XaGc0o0/edit?usp=sharing"",""งบพรบ!AV38"")"),50200)</f>
        <v>50200</v>
      </c>
      <c r="I38" s="172">
        <f ca="1">IFERROR(__xludf.DUMMYFUNCTION("IMPORTRANGE(""https://docs.google.com/spreadsheets/d/1MeEWN-I1oV_STSDYn1IFDPWt_1FKiwhDph83XaGc0o0/edit?usp=sharing"",""งบพรบ!AW38"")"),0)</f>
        <v>0</v>
      </c>
      <c r="J38" s="172">
        <f t="shared" ca="1" si="3"/>
        <v>50200</v>
      </c>
      <c r="K38" s="179">
        <f t="shared" ca="1" si="4"/>
        <v>160.89743589743588</v>
      </c>
      <c r="L38" s="172">
        <f ca="1">IFERROR(__xludf.DUMMYFUNCTION("IMPORTRANGE(""https://docs.google.com/spreadsheets/d/1MeEWN-I1oV_STSDYn1IFDPWt_1FKiwhDph83XaGc0o0/edit?usp=sharing"",""งบพรบ!AX38"")"),50200)</f>
        <v>50200</v>
      </c>
      <c r="M38" s="175">
        <f t="shared" ca="1" si="5"/>
        <v>160.89743589743588</v>
      </c>
      <c r="N38" s="175">
        <f t="shared" ca="1" si="6"/>
        <v>100</v>
      </c>
      <c r="O38" s="176">
        <f ca="1">IFERROR(__xludf.DUMMYFUNCTION("IMPORTRANGE(""https://docs.google.com/spreadsheets/d/1MeEWN-I1oV_STSDYn1IFDPWt_1FKiwhDph83XaGc0o0/edit?usp=sharing"",""งบพรบ!AY38"")"),0)</f>
        <v>0</v>
      </c>
      <c r="P38" s="176">
        <f t="shared" ca="1" si="36"/>
        <v>0</v>
      </c>
      <c r="Q38" s="175">
        <f t="shared" ca="1" si="8"/>
        <v>0</v>
      </c>
      <c r="R38" s="173">
        <f ca="1">IFERROR(__xludf.DUMMYFUNCTION("IMPORTRANGE(""https://docs.google.com/spreadsheets/d/1B3lPpzOuaNwVItLwLEZYl_qEblfcx7dRnbRkAw0l-pE/edit?usp=sharing"",""บุรีรัมย์!I98"")"),0)</f>
        <v>0</v>
      </c>
      <c r="S38" s="173">
        <f ca="1">IFERROR(__xludf.DUMMYFUNCTION("IMPORTRANGE(""https://docs.google.com/spreadsheets/d/1B3lPpzOuaNwVItLwLEZYl_qEblfcx7dRnbRkAw0l-pE/edit?usp=sharing"",""บุรีรัมย์!J98"")"),0)</f>
        <v>0</v>
      </c>
      <c r="T38" s="173">
        <f t="shared" ca="1" si="10"/>
        <v>0</v>
      </c>
      <c r="U38" s="173">
        <f ca="1">IFERROR(__xludf.DUMMYFUNCTION("IMPORTRANGE(""https://docs.google.com/spreadsheets/d/1B3lPpzOuaNwVItLwLEZYl_qEblfcx7dRnbRkAw0l-pE/edit?usp=sharing"",""บุรีรัมย์!I99"")"),0)</f>
        <v>0</v>
      </c>
      <c r="V38" s="173">
        <f ca="1">IFERROR(__xludf.DUMMYFUNCTION("IMPORTRANGE(""https://docs.google.com/spreadsheets/d/1B3lPpzOuaNwVItLwLEZYl_qEblfcx7dRnbRkAw0l-pE/edit?usp=sharing"",""บุรีรัมย์!I100"")"),1)</f>
        <v>1</v>
      </c>
      <c r="W38" s="173">
        <f ca="1">IFERROR(__xludf.DUMMYFUNCTION("IMPORTRANGE(""https://docs.google.com/spreadsheets/d/1B3lPpzOuaNwVItLwLEZYl_qEblfcx7dRnbRkAw0l-pE/edit?usp=sharing"",""บุรีรัมย์!J99"")"),0)</f>
        <v>0</v>
      </c>
      <c r="X38" s="177">
        <f t="shared" ca="1" si="12"/>
        <v>0</v>
      </c>
      <c r="Y38" s="178">
        <f ca="1">IFERROR(__xludf.DUMMYFUNCTION("IMPORTRANGE(""https://docs.google.com/spreadsheets/d/1B3lPpzOuaNwVItLwLEZYl_qEblfcx7dRnbRkAw0l-pE/edit?usp=sharing"",""บุรีรัมย์!J100"")"),1)</f>
        <v>1</v>
      </c>
      <c r="Z38" s="177">
        <f t="shared" ca="1" si="13"/>
        <v>100</v>
      </c>
      <c r="AA38" s="173">
        <f ca="1">IFERROR(__xludf.DUMMYFUNCTION("IMPORTRANGE(""https://docs.google.com/spreadsheets/d/1B3lPpzOuaNwVItLwLEZYl_qEblfcx7dRnbRkAw0l-pE/edit?usp=sharing"",""บุรีรัมย์!I102"")"),0)</f>
        <v>0</v>
      </c>
      <c r="AB38" s="173">
        <f ca="1">IFERROR(__xludf.DUMMYFUNCTION("IMPORTRANGE(""https://docs.google.com/spreadsheets/d/1B3lPpzOuaNwVItLwLEZYl_qEblfcx7dRnbRkAw0l-pE/edit?usp=sharing"",""บุรีรัมย์!I103"")"),0)</f>
        <v>0</v>
      </c>
      <c r="AC38" s="173">
        <f ca="1">IFERROR(__xludf.DUMMYFUNCTION("IMPORTRANGE(""https://docs.google.com/spreadsheets/d/1B3lPpzOuaNwVItLwLEZYl_qEblfcx7dRnbRkAw0l-pE/edit?usp=sharing"",""บุรีรัมย์!J102"")"),0)</f>
        <v>0</v>
      </c>
      <c r="AD38" s="173">
        <f ca="1">IFERROR(__xludf.DUMMYFUNCTION("IMPORTRANGE(""https://docs.google.com/spreadsheets/d/1B3lPpzOuaNwVItLwLEZYl_qEblfcx7dRnbRkAw0l-pE/edit?usp=sharing"",""บุรีรัมย์!J103"")"),0)</f>
        <v>0</v>
      </c>
      <c r="AE38" s="173">
        <f ca="1">IFERROR(__xludf.DUMMYFUNCTION("IMPORTRANGE(""https://docs.google.com/spreadsheets/d/1B3lPpzOuaNwVItLwLEZYl_qEblfcx7dRnbRkAw0l-pE/edit?usp=sharing"",""บุรีรัมย์!J104"")"),0)</f>
        <v>0</v>
      </c>
      <c r="AF38" s="173">
        <f ca="1">IFERROR(__xludf.DUMMYFUNCTION("IMPORTRANGE(""https://docs.google.com/spreadsheets/d/1B3lPpzOuaNwVItLwLEZYl_qEblfcx7dRnbRkAw0l-pE/edit?usp=sharing"",""บุรีรัมย์!I106"")"),0)</f>
        <v>0</v>
      </c>
      <c r="AG38" s="173">
        <f ca="1">IFERROR(__xludf.DUMMYFUNCTION("IMPORTRANGE(""https://docs.google.com/spreadsheets/d/1B3lPpzOuaNwVItLwLEZYl_qEblfcx7dRnbRkAw0l-pE/edit?usp=sharing"",""บุรีรัมย์!J106"")"),0)</f>
        <v>0</v>
      </c>
      <c r="AH38" s="173">
        <f ca="1">IFERROR(__xludf.DUMMYFUNCTION("IMPORTRANGE(""https://docs.google.com/spreadsheets/d/1B3lPpzOuaNwVItLwLEZYl_qEblfcx7dRnbRkAw0l-pE/edit?usp=sharing"",""บุรีรัมย์!J107"")"),0)</f>
        <v>0</v>
      </c>
      <c r="AI38" s="173">
        <f ca="1">IFERROR(__xludf.DUMMYFUNCTION("IMPORTRANGE(""https://docs.google.com/spreadsheets/d/1B3lPpzOuaNwVItLwLEZYl_qEblfcx7dRnbRkAw0l-pE/edit?usp=sharing"",""บุรีรัมย์!I109"")"),1)</f>
        <v>1</v>
      </c>
      <c r="AJ38" s="173">
        <f ca="1">IFERROR(__xludf.DUMMYFUNCTION("IMPORTRANGE(""https://docs.google.com/spreadsheets/d/1B3lPpzOuaNwVItLwLEZYl_qEblfcx7dRnbRkAw0l-pE/edit?usp=sharing"",""บุรีรัมย์!J109"")"),1)</f>
        <v>1</v>
      </c>
      <c r="AK38" s="173">
        <f ca="1">IFERROR(__xludf.DUMMYFUNCTION("IMPORTRANGE(""https://docs.google.com/spreadsheets/d/1B3lPpzOuaNwVItLwLEZYl_qEblfcx7dRnbRkAw0l-pE/edit?usp=sharing"",""บุรีรัมย์!J110"")"),1)</f>
        <v>1</v>
      </c>
      <c r="AL38" s="173">
        <f ca="1">IFERROR(__xludf.DUMMYFUNCTION("IMPORTRANGE(""https://docs.google.com/spreadsheets/d/1B3lPpzOuaNwVItLwLEZYl_qEblfcx7dRnbRkAw0l-pE/edit?usp=sharing"",""บุรีรัมย์!I111"")"),0)</f>
        <v>0</v>
      </c>
      <c r="AM38" s="173">
        <f ca="1">IFERROR(__xludf.DUMMYFUNCTION("IMPORTRANGE(""https://docs.google.com/spreadsheets/d/1B3lPpzOuaNwVItLwLEZYl_qEblfcx7dRnbRkAw0l-pE/edit?usp=sharing"",""บุรีรัมย์!I112"")"),1)</f>
        <v>1</v>
      </c>
      <c r="AN38" s="173">
        <f ca="1">IFERROR(__xludf.DUMMYFUNCTION("IMPORTRANGE(""https://docs.google.com/spreadsheets/d/1B3lPpzOuaNwVItLwLEZYl_qEblfcx7dRnbRkAw0l-pE/edit?usp=sharing"",""บุรีรัมย์!J111"")"),0)</f>
        <v>0</v>
      </c>
      <c r="AO38" s="173">
        <f t="shared" ca="1" si="15"/>
        <v>0</v>
      </c>
      <c r="AP38" s="173">
        <f ca="1">IFERROR(__xludf.DUMMYFUNCTION("IMPORTRANGE(""https://docs.google.com/spreadsheets/d/1B3lPpzOuaNwVItLwLEZYl_qEblfcx7dRnbRkAw0l-pE/edit?usp=sharing"",""บุรีรัมย์!J112"")"),1)</f>
        <v>1</v>
      </c>
      <c r="AQ38" s="177">
        <f t="shared" ca="1" si="16"/>
        <v>100</v>
      </c>
      <c r="AR38" s="173">
        <f ca="1">IFERROR(__xludf.DUMMYFUNCTION("IMPORTRANGE(""https://docs.google.com/spreadsheets/d/1B3lPpzOuaNwVItLwLEZYl_qEblfcx7dRnbRkAw0l-pE/edit?usp=sharing"",""บุรีรัมย์!I113"")"),0)</f>
        <v>0</v>
      </c>
      <c r="AS38" s="173">
        <f ca="1">IFERROR(__xludf.DUMMYFUNCTION("IMPORTRANGE(""https://docs.google.com/spreadsheets/d/1B3lPpzOuaNwVItLwLEZYl_qEblfcx7dRnbRkAw0l-pE/edit?usp=sharing"",""บุรีรัมย์!J113"")"),0)</f>
        <v>0</v>
      </c>
      <c r="AT38" s="173">
        <f ca="1">IFERROR(__xludf.DUMMYFUNCTION("IMPORTRANGE(""https://docs.google.com/spreadsheets/d/1B3lPpzOuaNwVItLwLEZYl_qEblfcx7dRnbRkAw0l-pE/edit?usp=sharing"",""บุรีรัมย์!J114"")"),0)</f>
        <v>0</v>
      </c>
      <c r="AU38" s="173">
        <f ca="1">IFERROR(__xludf.DUMMYFUNCTION("IMPORTRANGE(""https://docs.google.com/spreadsheets/d/1B3lPpzOuaNwVItLwLEZYl_qEblfcx7dRnbRkAw0l-pE/edit?usp=sharing"",""บุรีรัมย์!I115"")"),0)</f>
        <v>0</v>
      </c>
      <c r="AV38" s="173">
        <f ca="1">IFERROR(__xludf.DUMMYFUNCTION("IMPORTRANGE(""https://docs.google.com/spreadsheets/d/1B3lPpzOuaNwVItLwLEZYl_qEblfcx7dRnbRkAw0l-pE/edit?usp=sharing"",""บุรีรัมย์!J115"")"),0)</f>
        <v>0</v>
      </c>
      <c r="AW38" s="177">
        <f t="shared" ca="1" si="18"/>
        <v>0</v>
      </c>
      <c r="AX38" s="173">
        <f ca="1">IFERROR(__xludf.DUMMYFUNCTION("IMPORTRANGE(""https://docs.google.com/spreadsheets/d/1B3lPpzOuaNwVItLwLEZYl_qEblfcx7dRnbRkAw0l-pE/edit?usp=sharing"",""บุรีรัมย์!I116"")"),1)</f>
        <v>1</v>
      </c>
      <c r="AY38" s="173">
        <f ca="1">IFERROR(__xludf.DUMMYFUNCTION("IMPORTRANGE(""https://docs.google.com/spreadsheets/d/1B3lPpzOuaNwVItLwLEZYl_qEblfcx7dRnbRkAw0l-pE/edit?usp=sharing"",""บุรีรัมย์!J116"")"),1)</f>
        <v>1</v>
      </c>
      <c r="AZ38" s="177">
        <f t="shared" ca="1" si="20"/>
        <v>100</v>
      </c>
    </row>
    <row r="39" spans="1:52" ht="21" customHeight="1" x14ac:dyDescent="0.3">
      <c r="A39" s="168">
        <v>8</v>
      </c>
      <c r="B39" s="169" t="s">
        <v>61</v>
      </c>
      <c r="C39" s="170">
        <f t="shared" ca="1" si="0"/>
        <v>110880</v>
      </c>
      <c r="D39" s="171">
        <f t="shared" ca="1" si="49"/>
        <v>110880</v>
      </c>
      <c r="E39" s="172">
        <f ca="1">IFERROR(__xludf.DUMMYFUNCTION("IMPORTRANGE(""https://docs.google.com/spreadsheets/d/1MeEWN-I1oV_STSDYn1IFDPWt_1FKiwhDph83XaGc0o0/edit?usp=sharing"",""งบพรบ!AR39"")"),0)</f>
        <v>0</v>
      </c>
      <c r="F39" s="172">
        <f ca="1">IFERROR(__xludf.DUMMYFUNCTION("IMPORTRANGE(""https://docs.google.com/spreadsheets/d/1MeEWN-I1oV_STSDYn1IFDPWt_1FKiwhDph83XaGc0o0/edit?usp=sharing"",""งบพรบ!AS39"")"),110880)</f>
        <v>110880</v>
      </c>
      <c r="G39" s="172">
        <f ca="1">IFERROR(__xludf.DUMMYFUNCTION("IMPORTRANGE(""https://docs.google.com/spreadsheets/d/1MeEWN-I1oV_STSDYn1IFDPWt_1FKiwhDph83XaGc0o0/edit?usp=sharing"",""งบพรบ!AT39"")"),0)</f>
        <v>0</v>
      </c>
      <c r="H39" s="172">
        <f ca="1">IFERROR(__xludf.DUMMYFUNCTION("IMPORTRANGE(""https://docs.google.com/spreadsheets/d/1MeEWN-I1oV_STSDYn1IFDPWt_1FKiwhDph83XaGc0o0/edit?usp=sharing"",""งบพรบ!AV39"")"),130480)</f>
        <v>130480</v>
      </c>
      <c r="I39" s="172">
        <f ca="1">IFERROR(__xludf.DUMMYFUNCTION("IMPORTRANGE(""https://docs.google.com/spreadsheets/d/1MeEWN-I1oV_STSDYn1IFDPWt_1FKiwhDph83XaGc0o0/edit?usp=sharing"",""งบพรบ!AW39"")"),0)</f>
        <v>0</v>
      </c>
      <c r="J39" s="172">
        <f t="shared" ca="1" si="3"/>
        <v>123261</v>
      </c>
      <c r="K39" s="179">
        <f t="shared" ca="1" si="4"/>
        <v>111.16612554112554</v>
      </c>
      <c r="L39" s="172">
        <f ca="1">IFERROR(__xludf.DUMMYFUNCTION("IMPORTRANGE(""https://docs.google.com/spreadsheets/d/1MeEWN-I1oV_STSDYn1IFDPWt_1FKiwhDph83XaGc0o0/edit?usp=sharing"",""งบพรบ!AX39"")"),123261)</f>
        <v>123261</v>
      </c>
      <c r="M39" s="175">
        <f t="shared" ca="1" si="5"/>
        <v>111.16612554112554</v>
      </c>
      <c r="N39" s="175">
        <f t="shared" ca="1" si="6"/>
        <v>94.467351318209694</v>
      </c>
      <c r="O39" s="176">
        <f ca="1">IFERROR(__xludf.DUMMYFUNCTION("IMPORTRANGE(""https://docs.google.com/spreadsheets/d/1MeEWN-I1oV_STSDYn1IFDPWt_1FKiwhDph83XaGc0o0/edit?usp=sharing"",""งบพรบ!AY39"")"),0)</f>
        <v>0</v>
      </c>
      <c r="P39" s="176">
        <f t="shared" ca="1" si="36"/>
        <v>0</v>
      </c>
      <c r="Q39" s="175">
        <f t="shared" ca="1" si="8"/>
        <v>0</v>
      </c>
      <c r="R39" s="173">
        <f ca="1">IFERROR(__xludf.DUMMYFUNCTION("IMPORTRANGE(""https://docs.google.com/spreadsheets/d/19GOkiOqnzYbevLYWrMk4qFOXe3rX14BkSA8X-mq-a40/edit?usp=sharing"",""มหาสารคาม!I98"")"),60)</f>
        <v>60</v>
      </c>
      <c r="S39" s="173">
        <f ca="1">IFERROR(__xludf.DUMMYFUNCTION("IMPORTRANGE(""https://docs.google.com/spreadsheets/d/19GOkiOqnzYbevLYWrMk4qFOXe3rX14BkSA8X-mq-a40/edit?usp=sharing"",""มหาสารคาม!J98"")"),60)</f>
        <v>60</v>
      </c>
      <c r="T39" s="173">
        <f t="shared" ca="1" si="10"/>
        <v>100</v>
      </c>
      <c r="U39" s="173">
        <f ca="1">IFERROR(__xludf.DUMMYFUNCTION("IMPORTRANGE(""https://docs.google.com/spreadsheets/d/19GOkiOqnzYbevLYWrMk4qFOXe3rX14BkSA8X-mq-a40/edit?usp=sharing"",""มหาสารคาม!I99"")"),20)</f>
        <v>20</v>
      </c>
      <c r="V39" s="173">
        <f ca="1">IFERROR(__xludf.DUMMYFUNCTION("IMPORTRANGE(""https://docs.google.com/spreadsheets/d/19GOkiOqnzYbevLYWrMk4qFOXe3rX14BkSA8X-mq-a40/edit?usp=sharing"",""มหาสารคาม!I100"")"),2)</f>
        <v>2</v>
      </c>
      <c r="W39" s="173">
        <f ca="1">IFERROR(__xludf.DUMMYFUNCTION("IMPORTRANGE(""https://docs.google.com/spreadsheets/d/19GOkiOqnzYbevLYWrMk4qFOXe3rX14BkSA8X-mq-a40/edit?usp=sharing"",""มหาสารคาม!J99"")"),20)</f>
        <v>20</v>
      </c>
      <c r="X39" s="177">
        <f t="shared" ca="1" si="12"/>
        <v>100</v>
      </c>
      <c r="Y39" s="178">
        <f ca="1">IFERROR(__xludf.DUMMYFUNCTION("IMPORTRANGE(""https://docs.google.com/spreadsheets/d/19GOkiOqnzYbevLYWrMk4qFOXe3rX14BkSA8X-mq-a40/edit?usp=sharing"",""มหาสารคาม!J100"")"),2)</f>
        <v>2</v>
      </c>
      <c r="Z39" s="177">
        <f t="shared" ca="1" si="13"/>
        <v>100</v>
      </c>
      <c r="AA39" s="173">
        <f ca="1">IFERROR(__xludf.DUMMYFUNCTION("IMPORTRANGE(""https://docs.google.com/spreadsheets/d/19GOkiOqnzYbevLYWrMk4qFOXe3rX14BkSA8X-mq-a40/edit?usp=sharing"",""มหาสารคาม!I102"")"),60)</f>
        <v>60</v>
      </c>
      <c r="AB39" s="173">
        <f ca="1">IFERROR(__xludf.DUMMYFUNCTION("IMPORTRANGE(""https://docs.google.com/spreadsheets/d/19GOkiOqnzYbevLYWrMk4qFOXe3rX14BkSA8X-mq-a40/edit?usp=sharing"",""มหาสารคาม!I103"")"),20)</f>
        <v>20</v>
      </c>
      <c r="AC39" s="173">
        <f ca="1">IFERROR(__xludf.DUMMYFUNCTION("IMPORTRANGE(""https://docs.google.com/spreadsheets/d/19GOkiOqnzYbevLYWrMk4qFOXe3rX14BkSA8X-mq-a40/edit?usp=sharing"",""มหาสารคาม!J102"")"),60)</f>
        <v>60</v>
      </c>
      <c r="AD39" s="173">
        <f ca="1">IFERROR(__xludf.DUMMYFUNCTION("IMPORTRANGE(""https://docs.google.com/spreadsheets/d/19GOkiOqnzYbevLYWrMk4qFOXe3rX14BkSA8X-mq-a40/edit?usp=sharing"",""มหาสารคาม!J103"")"),20)</f>
        <v>20</v>
      </c>
      <c r="AE39" s="173">
        <f ca="1">IFERROR(__xludf.DUMMYFUNCTION("IMPORTRANGE(""https://docs.google.com/spreadsheets/d/19GOkiOqnzYbevLYWrMk4qFOXe3rX14BkSA8X-mq-a40/edit?usp=sharing"",""มหาสารคาม!J104"")"),20)</f>
        <v>20</v>
      </c>
      <c r="AF39" s="173">
        <f ca="1">IFERROR(__xludf.DUMMYFUNCTION("IMPORTRANGE(""https://docs.google.com/spreadsheets/d/19GOkiOqnzYbevLYWrMk4qFOXe3rX14BkSA8X-mq-a40/edit?usp=sharing"",""มหาสารคาม!I106"")"),1)</f>
        <v>1</v>
      </c>
      <c r="AG39" s="173">
        <f ca="1">IFERROR(__xludf.DUMMYFUNCTION("IMPORTRANGE(""https://docs.google.com/spreadsheets/d/19GOkiOqnzYbevLYWrMk4qFOXe3rX14BkSA8X-mq-a40/edit?usp=sharing"",""มหาสารคาม!J106"")"),1)</f>
        <v>1</v>
      </c>
      <c r="AH39" s="173">
        <f ca="1">IFERROR(__xludf.DUMMYFUNCTION("IMPORTRANGE(""https://docs.google.com/spreadsheets/d/19GOkiOqnzYbevLYWrMk4qFOXe3rX14BkSA8X-mq-a40/edit?usp=sharing"",""มหาสารคาม!J107"")"),1)</f>
        <v>1</v>
      </c>
      <c r="AI39" s="173">
        <f ca="1">IFERROR(__xludf.DUMMYFUNCTION("IMPORTRANGE(""https://docs.google.com/spreadsheets/d/19GOkiOqnzYbevLYWrMk4qFOXe3rX14BkSA8X-mq-a40/edit?usp=sharing"",""มหาสารคาม!I109"")"),1)</f>
        <v>1</v>
      </c>
      <c r="AJ39" s="173">
        <f ca="1">IFERROR(__xludf.DUMMYFUNCTION("IMPORTRANGE(""https://docs.google.com/spreadsheets/d/19GOkiOqnzYbevLYWrMk4qFOXe3rX14BkSA8X-mq-a40/edit?usp=sharing"",""มหาสารคาม!J109"")"),1)</f>
        <v>1</v>
      </c>
      <c r="AK39" s="173">
        <f ca="1">IFERROR(__xludf.DUMMYFUNCTION("IMPORTRANGE(""https://docs.google.com/spreadsheets/d/19GOkiOqnzYbevLYWrMk4qFOXe3rX14BkSA8X-mq-a40/edit?usp=sharing"",""มหาสารคาม!J110"")"),1)</f>
        <v>1</v>
      </c>
      <c r="AL39" s="173">
        <f ca="1">IFERROR(__xludf.DUMMYFUNCTION("IMPORTRANGE(""https://docs.google.com/spreadsheets/d/19GOkiOqnzYbevLYWrMk4qFOXe3rX14BkSA8X-mq-a40/edit?usp=sharing"",""มหาสารคาม!I111"")"),20)</f>
        <v>20</v>
      </c>
      <c r="AM39" s="173">
        <f ca="1">IFERROR(__xludf.DUMMYFUNCTION("IMPORTRANGE(""https://docs.google.com/spreadsheets/d/19GOkiOqnzYbevLYWrMk4qFOXe3rX14BkSA8X-mq-a40/edit?usp=sharing"",""มหาสารคาม!I112"")"),2)</f>
        <v>2</v>
      </c>
      <c r="AN39" s="173">
        <f ca="1">IFERROR(__xludf.DUMMYFUNCTION("IMPORTRANGE(""https://docs.google.com/spreadsheets/d/19GOkiOqnzYbevLYWrMk4qFOXe3rX14BkSA8X-mq-a40/edit?usp=sharing"",""มหาสารคาม!J111"")"),20)</f>
        <v>20</v>
      </c>
      <c r="AO39" s="173">
        <f t="shared" ca="1" si="15"/>
        <v>100</v>
      </c>
      <c r="AP39" s="173">
        <f ca="1">IFERROR(__xludf.DUMMYFUNCTION("IMPORTRANGE(""https://docs.google.com/spreadsheets/d/19GOkiOqnzYbevLYWrMk4qFOXe3rX14BkSA8X-mq-a40/edit?usp=sharing"",""มหาสารคาม!J112"")"),2)</f>
        <v>2</v>
      </c>
      <c r="AQ39" s="177">
        <f t="shared" ca="1" si="16"/>
        <v>100</v>
      </c>
      <c r="AR39" s="173">
        <f ca="1">IFERROR(__xludf.DUMMYFUNCTION("IMPORTRANGE(""https://docs.google.com/spreadsheets/d/19GOkiOqnzYbevLYWrMk4qFOXe3rX14BkSA8X-mq-a40/edit?usp=sharing"",""มหาสารคาม!I113"")"),20)</f>
        <v>20</v>
      </c>
      <c r="AS39" s="173">
        <f ca="1">IFERROR(__xludf.DUMMYFUNCTION("IMPORTRANGE(""https://docs.google.com/spreadsheets/d/19GOkiOqnzYbevLYWrMk4qFOXe3rX14BkSA8X-mq-a40/edit?usp=sharing"",""มหาสารคาม!J113"")"),20)</f>
        <v>20</v>
      </c>
      <c r="AT39" s="173">
        <f ca="1">IFERROR(__xludf.DUMMYFUNCTION("IMPORTRANGE(""https://docs.google.com/spreadsheets/d/19GOkiOqnzYbevLYWrMk4qFOXe3rX14BkSA8X-mq-a40/edit?usp=sharing"",""มหาสารคาม!J114"")"),20)</f>
        <v>20</v>
      </c>
      <c r="AU39" s="173">
        <f ca="1">IFERROR(__xludf.DUMMYFUNCTION("IMPORTRANGE(""https://docs.google.com/spreadsheets/d/19GOkiOqnzYbevLYWrMk4qFOXe3rX14BkSA8X-mq-a40/edit?usp=sharing"",""มหาสารคาม!I115"")"),1)</f>
        <v>1</v>
      </c>
      <c r="AV39" s="173">
        <f ca="1">IFERROR(__xludf.DUMMYFUNCTION("IMPORTRANGE(""https://docs.google.com/spreadsheets/d/19GOkiOqnzYbevLYWrMk4qFOXe3rX14BkSA8X-mq-a40/edit?usp=sharing"",""มหาสารคาม!J115"")"),1)</f>
        <v>1</v>
      </c>
      <c r="AW39" s="177">
        <f t="shared" ca="1" si="18"/>
        <v>100</v>
      </c>
      <c r="AX39" s="173">
        <f ca="1">IFERROR(__xludf.DUMMYFUNCTION("IMPORTRANGE(""https://docs.google.com/spreadsheets/d/19GOkiOqnzYbevLYWrMk4qFOXe3rX14BkSA8X-mq-a40/edit?usp=sharing"",""มหาสารคาม!I116"")"),1)</f>
        <v>1</v>
      </c>
      <c r="AY39" s="173">
        <f ca="1">IFERROR(__xludf.DUMMYFUNCTION("IMPORTRANGE(""https://docs.google.com/spreadsheets/d/19GOkiOqnzYbevLYWrMk4qFOXe3rX14BkSA8X-mq-a40/edit?usp=sharing"",""มหาสารคาม!J116"")"),1)</f>
        <v>1</v>
      </c>
      <c r="AZ39" s="177">
        <f t="shared" ca="1" si="20"/>
        <v>100</v>
      </c>
    </row>
    <row r="40" spans="1:52" ht="21" customHeight="1" x14ac:dyDescent="0.3">
      <c r="A40" s="168">
        <v>9</v>
      </c>
      <c r="B40" s="169" t="s">
        <v>62</v>
      </c>
      <c r="C40" s="170">
        <f t="shared" ca="1" si="0"/>
        <v>86340</v>
      </c>
      <c r="D40" s="171">
        <f t="shared" ca="1" si="49"/>
        <v>86340</v>
      </c>
      <c r="E40" s="172">
        <f ca="1">IFERROR(__xludf.DUMMYFUNCTION("IMPORTRANGE(""https://docs.google.com/spreadsheets/d/1MeEWN-I1oV_STSDYn1IFDPWt_1FKiwhDph83XaGc0o0/edit?usp=sharing"",""งบพรบ!AR40"")"),0)</f>
        <v>0</v>
      </c>
      <c r="F40" s="172">
        <f ca="1">IFERROR(__xludf.DUMMYFUNCTION("IMPORTRANGE(""https://docs.google.com/spreadsheets/d/1MeEWN-I1oV_STSDYn1IFDPWt_1FKiwhDph83XaGc0o0/edit?usp=sharing"",""งบพรบ!AS40"")"),86340)</f>
        <v>86340</v>
      </c>
      <c r="G40" s="172">
        <f ca="1">IFERROR(__xludf.DUMMYFUNCTION("IMPORTRANGE(""https://docs.google.com/spreadsheets/d/1MeEWN-I1oV_STSDYn1IFDPWt_1FKiwhDph83XaGc0o0/edit?usp=sharing"",""งบพรบ!AT40"")"),0)</f>
        <v>0</v>
      </c>
      <c r="H40" s="172">
        <f ca="1">IFERROR(__xludf.DUMMYFUNCTION("IMPORTRANGE(""https://docs.google.com/spreadsheets/d/1MeEWN-I1oV_STSDYn1IFDPWt_1FKiwhDph83XaGc0o0/edit?usp=sharing"",""งบพรบ!AV40"")"),112040)</f>
        <v>112040</v>
      </c>
      <c r="I40" s="172">
        <f ca="1">IFERROR(__xludf.DUMMYFUNCTION("IMPORTRANGE(""https://docs.google.com/spreadsheets/d/1MeEWN-I1oV_STSDYn1IFDPWt_1FKiwhDph83XaGc0o0/edit?usp=sharing"",""งบพรบ!AW40"")"),0)</f>
        <v>0</v>
      </c>
      <c r="J40" s="172">
        <f t="shared" ca="1" si="3"/>
        <v>108570</v>
      </c>
      <c r="K40" s="179">
        <f t="shared" ca="1" si="4"/>
        <v>125.74704656011119</v>
      </c>
      <c r="L40" s="172">
        <f ca="1">IFERROR(__xludf.DUMMYFUNCTION("IMPORTRANGE(""https://docs.google.com/spreadsheets/d/1MeEWN-I1oV_STSDYn1IFDPWt_1FKiwhDph83XaGc0o0/edit?usp=sharing"",""งบพรบ!AX40"")"),108570)</f>
        <v>108570</v>
      </c>
      <c r="M40" s="175">
        <f t="shared" ca="1" si="5"/>
        <v>125.74704656011119</v>
      </c>
      <c r="N40" s="175">
        <f t="shared" ca="1" si="6"/>
        <v>96.902891824348444</v>
      </c>
      <c r="O40" s="176">
        <f ca="1">IFERROR(__xludf.DUMMYFUNCTION("IMPORTRANGE(""https://docs.google.com/spreadsheets/d/1MeEWN-I1oV_STSDYn1IFDPWt_1FKiwhDph83XaGc0o0/edit?usp=sharing"",""งบพรบ!AY40"")"),0)</f>
        <v>0</v>
      </c>
      <c r="P40" s="176">
        <f t="shared" ca="1" si="36"/>
        <v>0</v>
      </c>
      <c r="Q40" s="175">
        <f t="shared" ca="1" si="8"/>
        <v>0</v>
      </c>
      <c r="R40" s="173">
        <f ca="1">IFERROR(__xludf.DUMMYFUNCTION("IMPORTRANGE(""https://docs.google.com/spreadsheets/d/1uMKqWwuNQ-TCKboGA3Bb1qXb5uj2-faACNUINCz8PN4/edit?usp=sharing"",""มุกดาหาร!I98"")"),30)</f>
        <v>30</v>
      </c>
      <c r="S40" s="173">
        <f ca="1">IFERROR(__xludf.DUMMYFUNCTION("IMPORTRANGE(""https://docs.google.com/spreadsheets/d/1uMKqWwuNQ-TCKboGA3Bb1qXb5uj2-faACNUINCz8PN4/edit?usp=sharing"",""มุกดาหาร!J98"")"),30)</f>
        <v>30</v>
      </c>
      <c r="T40" s="173">
        <f t="shared" ca="1" si="10"/>
        <v>100</v>
      </c>
      <c r="U40" s="173">
        <f ca="1">IFERROR(__xludf.DUMMYFUNCTION("IMPORTRANGE(""https://docs.google.com/spreadsheets/d/1uMKqWwuNQ-TCKboGA3Bb1qXb5uj2-faACNUINCz8PN4/edit?usp=sharing"",""มุกดาหาร!I99"")"),10)</f>
        <v>10</v>
      </c>
      <c r="V40" s="173">
        <f ca="1">IFERROR(__xludf.DUMMYFUNCTION("IMPORTRANGE(""https://docs.google.com/spreadsheets/d/1uMKqWwuNQ-TCKboGA3Bb1qXb5uj2-faACNUINCz8PN4/edit?usp=sharing"",""มุกดาหาร!I100"")"),2)</f>
        <v>2</v>
      </c>
      <c r="W40" s="173">
        <f ca="1">IFERROR(__xludf.DUMMYFUNCTION("IMPORTRANGE(""https://docs.google.com/spreadsheets/d/1uMKqWwuNQ-TCKboGA3Bb1qXb5uj2-faACNUINCz8PN4/edit?usp=sharing"",""มุกดาหาร!J99"")"),10)</f>
        <v>10</v>
      </c>
      <c r="X40" s="177">
        <f t="shared" ca="1" si="12"/>
        <v>100</v>
      </c>
      <c r="Y40" s="178">
        <f ca="1">IFERROR(__xludf.DUMMYFUNCTION("IMPORTRANGE(""https://docs.google.com/spreadsheets/d/1uMKqWwuNQ-TCKboGA3Bb1qXb5uj2-faACNUINCz8PN4/edit?usp=sharing"",""มุกดาหาร!J100"")"),2)</f>
        <v>2</v>
      </c>
      <c r="Z40" s="177">
        <f t="shared" ca="1" si="13"/>
        <v>100</v>
      </c>
      <c r="AA40" s="173">
        <f ca="1">IFERROR(__xludf.DUMMYFUNCTION("IMPORTRANGE(""https://docs.google.com/spreadsheets/d/1uMKqWwuNQ-TCKboGA3Bb1qXb5uj2-faACNUINCz8PN4/edit?usp=sharing"",""มุกดาหาร!I102"")"),30)</f>
        <v>30</v>
      </c>
      <c r="AB40" s="173">
        <f ca="1">IFERROR(__xludf.DUMMYFUNCTION("IMPORTRANGE(""https://docs.google.com/spreadsheets/d/1uMKqWwuNQ-TCKboGA3Bb1qXb5uj2-faACNUINCz8PN4/edit?usp=sharing"",""มุกดาหาร!I103"")"),10)</f>
        <v>10</v>
      </c>
      <c r="AC40" s="173">
        <f ca="1">IFERROR(__xludf.DUMMYFUNCTION("IMPORTRANGE(""https://docs.google.com/spreadsheets/d/1uMKqWwuNQ-TCKboGA3Bb1qXb5uj2-faACNUINCz8PN4/edit?usp=sharing"",""มุกดาหาร!J102"")"),30)</f>
        <v>30</v>
      </c>
      <c r="AD40" s="173">
        <f ca="1">IFERROR(__xludf.DUMMYFUNCTION("IMPORTRANGE(""https://docs.google.com/spreadsheets/d/1uMKqWwuNQ-TCKboGA3Bb1qXb5uj2-faACNUINCz8PN4/edit?usp=sharing"",""มุกดาหาร!J103"")"),10)</f>
        <v>10</v>
      </c>
      <c r="AE40" s="173">
        <f ca="1">IFERROR(__xludf.DUMMYFUNCTION("IMPORTRANGE(""https://docs.google.com/spreadsheets/d/1uMKqWwuNQ-TCKboGA3Bb1qXb5uj2-faACNUINCz8PN4/edit?usp=sharing"",""มุกดาหาร!J104"")"),10)</f>
        <v>10</v>
      </c>
      <c r="AF40" s="173">
        <f ca="1">IFERROR(__xludf.DUMMYFUNCTION("IMPORTRANGE(""https://docs.google.com/spreadsheets/d/1uMKqWwuNQ-TCKboGA3Bb1qXb5uj2-faACNUINCz8PN4/edit?usp=sharing"",""มุกดาหาร!I106"")"),1)</f>
        <v>1</v>
      </c>
      <c r="AG40" s="173">
        <f ca="1">IFERROR(__xludf.DUMMYFUNCTION("IMPORTRANGE(""https://docs.google.com/spreadsheets/d/1uMKqWwuNQ-TCKboGA3Bb1qXb5uj2-faACNUINCz8PN4/edit?usp=sharing"",""มุกดาหาร!J106"")"),1)</f>
        <v>1</v>
      </c>
      <c r="AH40" s="173">
        <f ca="1">IFERROR(__xludf.DUMMYFUNCTION("IMPORTRANGE(""https://docs.google.com/spreadsheets/d/1uMKqWwuNQ-TCKboGA3Bb1qXb5uj2-faACNUINCz8PN4/edit?usp=sharing"",""มุกดาหาร!J107"")"),1)</f>
        <v>1</v>
      </c>
      <c r="AI40" s="173">
        <f ca="1">IFERROR(__xludf.DUMMYFUNCTION("IMPORTRANGE(""https://docs.google.com/spreadsheets/d/1uMKqWwuNQ-TCKboGA3Bb1qXb5uj2-faACNUINCz8PN4/edit?usp=sharing"",""มุกดาหาร!I109"")"),1)</f>
        <v>1</v>
      </c>
      <c r="AJ40" s="173">
        <f ca="1">IFERROR(__xludf.DUMMYFUNCTION("IMPORTRANGE(""https://docs.google.com/spreadsheets/d/1uMKqWwuNQ-TCKboGA3Bb1qXb5uj2-faACNUINCz8PN4/edit?usp=sharing"",""มุกดาหาร!J109"")"),1)</f>
        <v>1</v>
      </c>
      <c r="AK40" s="173">
        <f ca="1">IFERROR(__xludf.DUMMYFUNCTION("IMPORTRANGE(""https://docs.google.com/spreadsheets/d/1uMKqWwuNQ-TCKboGA3Bb1qXb5uj2-faACNUINCz8PN4/edit?usp=sharing"",""มุกดาหาร!J110"")"),1)</f>
        <v>1</v>
      </c>
      <c r="AL40" s="173">
        <f ca="1">IFERROR(__xludf.DUMMYFUNCTION("IMPORTRANGE(""https://docs.google.com/spreadsheets/d/1uMKqWwuNQ-TCKboGA3Bb1qXb5uj2-faACNUINCz8PN4/edit?usp=sharing"",""มุกดาหาร!I111"")"),10)</f>
        <v>10</v>
      </c>
      <c r="AM40" s="173">
        <f ca="1">IFERROR(__xludf.DUMMYFUNCTION("IMPORTRANGE(""https://docs.google.com/spreadsheets/d/1uMKqWwuNQ-TCKboGA3Bb1qXb5uj2-faACNUINCz8PN4/edit?usp=sharing"",""มุกดาหาร!I112"")"),2)</f>
        <v>2</v>
      </c>
      <c r="AN40" s="173">
        <f ca="1">IFERROR(__xludf.DUMMYFUNCTION("IMPORTRANGE(""https://docs.google.com/spreadsheets/d/1uMKqWwuNQ-TCKboGA3Bb1qXb5uj2-faACNUINCz8PN4/edit?usp=sharing"",""มุกดาหาร!J111"")"),10)</f>
        <v>10</v>
      </c>
      <c r="AO40" s="173">
        <f t="shared" ca="1" si="15"/>
        <v>100</v>
      </c>
      <c r="AP40" s="173">
        <f ca="1">IFERROR(__xludf.DUMMYFUNCTION("IMPORTRANGE(""https://docs.google.com/spreadsheets/d/1uMKqWwuNQ-TCKboGA3Bb1qXb5uj2-faACNUINCz8PN4/edit?usp=sharing"",""มุกดาหาร!J112"")"),2)</f>
        <v>2</v>
      </c>
      <c r="AQ40" s="177">
        <f t="shared" ca="1" si="16"/>
        <v>100</v>
      </c>
      <c r="AR40" s="173">
        <f ca="1">IFERROR(__xludf.DUMMYFUNCTION("IMPORTRANGE(""https://docs.google.com/spreadsheets/d/1uMKqWwuNQ-TCKboGA3Bb1qXb5uj2-faACNUINCz8PN4/edit?usp=sharing"",""มุกดาหาร!I113"")"),10)</f>
        <v>10</v>
      </c>
      <c r="AS40" s="173">
        <f ca="1">IFERROR(__xludf.DUMMYFUNCTION("IMPORTRANGE(""https://docs.google.com/spreadsheets/d/1uMKqWwuNQ-TCKboGA3Bb1qXb5uj2-faACNUINCz8PN4/edit?usp=sharing"",""มุกดาหาร!J113"")"),10)</f>
        <v>10</v>
      </c>
      <c r="AT40" s="173">
        <f ca="1">IFERROR(__xludf.DUMMYFUNCTION("IMPORTRANGE(""https://docs.google.com/spreadsheets/d/1uMKqWwuNQ-TCKboGA3Bb1qXb5uj2-faACNUINCz8PN4/edit?usp=sharing"",""มุกดาหาร!J114"")"),10)</f>
        <v>10</v>
      </c>
      <c r="AU40" s="173">
        <f ca="1">IFERROR(__xludf.DUMMYFUNCTION("IMPORTRANGE(""https://docs.google.com/spreadsheets/d/1uMKqWwuNQ-TCKboGA3Bb1qXb5uj2-faACNUINCz8PN4/edit?usp=sharing"",""มุกดาหาร!I115"")"),1)</f>
        <v>1</v>
      </c>
      <c r="AV40" s="173">
        <f ca="1">IFERROR(__xludf.DUMMYFUNCTION("IMPORTRANGE(""https://docs.google.com/spreadsheets/d/1uMKqWwuNQ-TCKboGA3Bb1qXb5uj2-faACNUINCz8PN4/edit?usp=sharing"",""มุกดาหาร!J115"")"),1)</f>
        <v>1</v>
      </c>
      <c r="AW40" s="177">
        <f t="shared" ca="1" si="18"/>
        <v>100</v>
      </c>
      <c r="AX40" s="173">
        <f ca="1">IFERROR(__xludf.DUMMYFUNCTION("IMPORTRANGE(""https://docs.google.com/spreadsheets/d/1uMKqWwuNQ-TCKboGA3Bb1qXb5uj2-faACNUINCz8PN4/edit?usp=sharing"",""มุกดาหาร!I116"")"),1)</f>
        <v>1</v>
      </c>
      <c r="AY40" s="173">
        <f ca="1">IFERROR(__xludf.DUMMYFUNCTION("IMPORTRANGE(""https://docs.google.com/spreadsheets/d/1uMKqWwuNQ-TCKboGA3Bb1qXb5uj2-faACNUINCz8PN4/edit?usp=sharing"",""มุกดาหาร!J116"")"),1)</f>
        <v>1</v>
      </c>
      <c r="AZ40" s="177">
        <f t="shared" ca="1" si="20"/>
        <v>100</v>
      </c>
    </row>
    <row r="41" spans="1:52" ht="21" customHeight="1" x14ac:dyDescent="0.3">
      <c r="A41" s="168">
        <v>10</v>
      </c>
      <c r="B41" s="169" t="s">
        <v>63</v>
      </c>
      <c r="C41" s="170">
        <f t="shared" ca="1" si="0"/>
        <v>111880</v>
      </c>
      <c r="D41" s="171">
        <f t="shared" ca="1" si="49"/>
        <v>111880</v>
      </c>
      <c r="E41" s="172">
        <f ca="1">IFERROR(__xludf.DUMMYFUNCTION("IMPORTRANGE(""https://docs.google.com/spreadsheets/d/1MeEWN-I1oV_STSDYn1IFDPWt_1FKiwhDph83XaGc0o0/edit?usp=sharing"",""งบพรบ!AR41"")"),0)</f>
        <v>0</v>
      </c>
      <c r="F41" s="172">
        <f ca="1">IFERROR(__xludf.DUMMYFUNCTION("IMPORTRANGE(""https://docs.google.com/spreadsheets/d/1MeEWN-I1oV_STSDYn1IFDPWt_1FKiwhDph83XaGc0o0/edit?usp=sharing"",""งบพรบ!AS41"")"),111880)</f>
        <v>111880</v>
      </c>
      <c r="G41" s="172">
        <f ca="1">IFERROR(__xludf.DUMMYFUNCTION("IMPORTRANGE(""https://docs.google.com/spreadsheets/d/1MeEWN-I1oV_STSDYn1IFDPWt_1FKiwhDph83XaGc0o0/edit?usp=sharing"",""งบพรบ!AT41"")"),0)</f>
        <v>0</v>
      </c>
      <c r="H41" s="172">
        <f ca="1">IFERROR(__xludf.DUMMYFUNCTION("IMPORTRANGE(""https://docs.google.com/spreadsheets/d/1MeEWN-I1oV_STSDYn1IFDPWt_1FKiwhDph83XaGc0o0/edit?usp=sharing"",""งบพรบ!AV41"")"),111880)</f>
        <v>111880</v>
      </c>
      <c r="I41" s="172">
        <f ca="1">IFERROR(__xludf.DUMMYFUNCTION("IMPORTRANGE(""https://docs.google.com/spreadsheets/d/1MeEWN-I1oV_STSDYn1IFDPWt_1FKiwhDph83XaGc0o0/edit?usp=sharing"",""งบพรบ!AW41"")"),0)</f>
        <v>0</v>
      </c>
      <c r="J41" s="172">
        <f t="shared" ca="1" si="3"/>
        <v>111880</v>
      </c>
      <c r="K41" s="179">
        <f t="shared" ca="1" si="4"/>
        <v>100</v>
      </c>
      <c r="L41" s="172">
        <f ca="1">IFERROR(__xludf.DUMMYFUNCTION("IMPORTRANGE(""https://docs.google.com/spreadsheets/d/1MeEWN-I1oV_STSDYn1IFDPWt_1FKiwhDph83XaGc0o0/edit?usp=sharing"",""งบพรบ!AX41"")"),111880)</f>
        <v>111880</v>
      </c>
      <c r="M41" s="175">
        <f t="shared" ca="1" si="5"/>
        <v>100</v>
      </c>
      <c r="N41" s="175">
        <f t="shared" ca="1" si="6"/>
        <v>100</v>
      </c>
      <c r="O41" s="176">
        <f ca="1">IFERROR(__xludf.DUMMYFUNCTION("IMPORTRANGE(""https://docs.google.com/spreadsheets/d/1MeEWN-I1oV_STSDYn1IFDPWt_1FKiwhDph83XaGc0o0/edit?usp=sharing"",""งบพรบ!AY41"")"),0)</f>
        <v>0</v>
      </c>
      <c r="P41" s="176">
        <f t="shared" ca="1" si="36"/>
        <v>0</v>
      </c>
      <c r="Q41" s="175">
        <f t="shared" ca="1" si="8"/>
        <v>0</v>
      </c>
      <c r="R41" s="173">
        <f ca="1">IFERROR(__xludf.DUMMYFUNCTION("IMPORTRANGE(""https://docs.google.com/spreadsheets/d/1oKaccgDdQABndOzGr688Dbfxb_V3YcF67VqEPBtdzsc/edit?usp=sharing"",""ยโสธร!I98"")"),60)</f>
        <v>60</v>
      </c>
      <c r="S41" s="173">
        <f ca="1">IFERROR(__xludf.DUMMYFUNCTION("IMPORTRANGE(""https://docs.google.com/spreadsheets/d/1oKaccgDdQABndOzGr688Dbfxb_V3YcF67VqEPBtdzsc/edit?usp=sharing"",""ยโสธร!J98"")"),60)</f>
        <v>60</v>
      </c>
      <c r="T41" s="173">
        <f t="shared" ca="1" si="10"/>
        <v>100</v>
      </c>
      <c r="U41" s="173">
        <f ca="1">IFERROR(__xludf.DUMMYFUNCTION("IMPORTRANGE(""https://docs.google.com/spreadsheets/d/1oKaccgDdQABndOzGr688Dbfxb_V3YcF67VqEPBtdzsc/edit?usp=sharing"",""ยโสธร!I99"")"),20)</f>
        <v>20</v>
      </c>
      <c r="V41" s="173">
        <f ca="1">IFERROR(__xludf.DUMMYFUNCTION("IMPORTRANGE(""https://docs.google.com/spreadsheets/d/1oKaccgDdQABndOzGr688Dbfxb_V3YcF67VqEPBtdzsc/edit?usp=sharing"",""ยโสธร!I100"")"),2)</f>
        <v>2</v>
      </c>
      <c r="W41" s="173">
        <f ca="1">IFERROR(__xludf.DUMMYFUNCTION("IMPORTRANGE(""https://docs.google.com/spreadsheets/d/1oKaccgDdQABndOzGr688Dbfxb_V3YcF67VqEPBtdzsc/edit?usp=sharing"",""ยโสธร!J99"")"),20)</f>
        <v>20</v>
      </c>
      <c r="X41" s="177">
        <f t="shared" ca="1" si="12"/>
        <v>100</v>
      </c>
      <c r="Y41" s="178">
        <f ca="1">IFERROR(__xludf.DUMMYFUNCTION("IMPORTRANGE(""https://docs.google.com/spreadsheets/d/1oKaccgDdQABndOzGr688Dbfxb_V3YcF67VqEPBtdzsc/edit?usp=sharing"",""ยโสธร!J100"")"),2)</f>
        <v>2</v>
      </c>
      <c r="Z41" s="177">
        <f t="shared" ca="1" si="13"/>
        <v>100</v>
      </c>
      <c r="AA41" s="173">
        <f ca="1">IFERROR(__xludf.DUMMYFUNCTION("IMPORTRANGE(""https://docs.google.com/spreadsheets/d/1oKaccgDdQABndOzGr688Dbfxb_V3YcF67VqEPBtdzsc/edit?usp=sharing"",""ยโสธร!I102"")"),60)</f>
        <v>60</v>
      </c>
      <c r="AB41" s="173">
        <f ca="1">IFERROR(__xludf.DUMMYFUNCTION("IMPORTRANGE(""https://docs.google.com/spreadsheets/d/1oKaccgDdQABndOzGr688Dbfxb_V3YcF67VqEPBtdzsc/edit?usp=sharing"",""ยโสธร!I103"")"),20)</f>
        <v>20</v>
      </c>
      <c r="AC41" s="173">
        <f ca="1">IFERROR(__xludf.DUMMYFUNCTION("IMPORTRANGE(""https://docs.google.com/spreadsheets/d/1oKaccgDdQABndOzGr688Dbfxb_V3YcF67VqEPBtdzsc/edit?usp=sharing"",""ยโสธร!J102"")"),60)</f>
        <v>60</v>
      </c>
      <c r="AD41" s="173">
        <f ca="1">IFERROR(__xludf.DUMMYFUNCTION("IMPORTRANGE(""https://docs.google.com/spreadsheets/d/1oKaccgDdQABndOzGr688Dbfxb_V3YcF67VqEPBtdzsc/edit?usp=sharing"",""ยโสธร!J103"")"),20)</f>
        <v>20</v>
      </c>
      <c r="AE41" s="173">
        <f ca="1">IFERROR(__xludf.DUMMYFUNCTION("IMPORTRANGE(""https://docs.google.com/spreadsheets/d/1oKaccgDdQABndOzGr688Dbfxb_V3YcF67VqEPBtdzsc/edit?usp=sharing"",""ยโสธร!J104"")"),20)</f>
        <v>20</v>
      </c>
      <c r="AF41" s="173">
        <f ca="1">IFERROR(__xludf.DUMMYFUNCTION("IMPORTRANGE(""https://docs.google.com/spreadsheets/d/1oKaccgDdQABndOzGr688Dbfxb_V3YcF67VqEPBtdzsc/edit?usp=sharing"",""ยโสธร!I106"")"),1)</f>
        <v>1</v>
      </c>
      <c r="AG41" s="173">
        <f ca="1">IFERROR(__xludf.DUMMYFUNCTION("IMPORTRANGE(""https://docs.google.com/spreadsheets/d/1oKaccgDdQABndOzGr688Dbfxb_V3YcF67VqEPBtdzsc/edit?usp=sharing"",""ยโสธร!J106"")"),1)</f>
        <v>1</v>
      </c>
      <c r="AH41" s="173">
        <f ca="1">IFERROR(__xludf.DUMMYFUNCTION("IMPORTRANGE(""https://docs.google.com/spreadsheets/d/1oKaccgDdQABndOzGr688Dbfxb_V3YcF67VqEPBtdzsc/edit?usp=sharing"",""ยโสธร!J107"")"),1)</f>
        <v>1</v>
      </c>
      <c r="AI41" s="173">
        <f ca="1">IFERROR(__xludf.DUMMYFUNCTION("IMPORTRANGE(""https://docs.google.com/spreadsheets/d/1oKaccgDdQABndOzGr688Dbfxb_V3YcF67VqEPBtdzsc/edit?usp=sharing"",""ยโสธร!I109"")"),1)</f>
        <v>1</v>
      </c>
      <c r="AJ41" s="173">
        <f ca="1">IFERROR(__xludf.DUMMYFUNCTION("IMPORTRANGE(""https://docs.google.com/spreadsheets/d/1oKaccgDdQABndOzGr688Dbfxb_V3YcF67VqEPBtdzsc/edit?usp=sharing"",""ยโสธร!J109"")"),1)</f>
        <v>1</v>
      </c>
      <c r="AK41" s="173">
        <f ca="1">IFERROR(__xludf.DUMMYFUNCTION("IMPORTRANGE(""https://docs.google.com/spreadsheets/d/1oKaccgDdQABndOzGr688Dbfxb_V3YcF67VqEPBtdzsc/edit?usp=sharing"",""ยโสธร!J110"")"),1)</f>
        <v>1</v>
      </c>
      <c r="AL41" s="173">
        <f ca="1">IFERROR(__xludf.DUMMYFUNCTION("IMPORTRANGE(""https://docs.google.com/spreadsheets/d/1oKaccgDdQABndOzGr688Dbfxb_V3YcF67VqEPBtdzsc/edit?usp=sharing"",""ยโสธร!I111"")"),20)</f>
        <v>20</v>
      </c>
      <c r="AM41" s="173">
        <f ca="1">IFERROR(__xludf.DUMMYFUNCTION("IMPORTRANGE(""https://docs.google.com/spreadsheets/d/1oKaccgDdQABndOzGr688Dbfxb_V3YcF67VqEPBtdzsc/edit?usp=sharing"",""ยโสธร!I112"")"),2)</f>
        <v>2</v>
      </c>
      <c r="AN41" s="173">
        <f ca="1">IFERROR(__xludf.DUMMYFUNCTION("IMPORTRANGE(""https://docs.google.com/spreadsheets/d/1oKaccgDdQABndOzGr688Dbfxb_V3YcF67VqEPBtdzsc/edit?usp=sharing"",""ยโสธร!J111"")"),20)</f>
        <v>20</v>
      </c>
      <c r="AO41" s="173">
        <f t="shared" ca="1" si="15"/>
        <v>100</v>
      </c>
      <c r="AP41" s="173">
        <f ca="1">IFERROR(__xludf.DUMMYFUNCTION("IMPORTRANGE(""https://docs.google.com/spreadsheets/d/1oKaccgDdQABndOzGr688Dbfxb_V3YcF67VqEPBtdzsc/edit?usp=sharing"",""ยโสธร!J112"")"),2)</f>
        <v>2</v>
      </c>
      <c r="AQ41" s="177">
        <f t="shared" ca="1" si="16"/>
        <v>100</v>
      </c>
      <c r="AR41" s="173">
        <f ca="1">IFERROR(__xludf.DUMMYFUNCTION("IMPORTRANGE(""https://docs.google.com/spreadsheets/d/1oKaccgDdQABndOzGr688Dbfxb_V3YcF67VqEPBtdzsc/edit?usp=sharing"",""ยโสธร!I113"")"),20)</f>
        <v>20</v>
      </c>
      <c r="AS41" s="173">
        <f ca="1">IFERROR(__xludf.DUMMYFUNCTION("IMPORTRANGE(""https://docs.google.com/spreadsheets/d/1oKaccgDdQABndOzGr688Dbfxb_V3YcF67VqEPBtdzsc/edit?usp=sharing"",""ยโสธร!J113"")"),20)</f>
        <v>20</v>
      </c>
      <c r="AT41" s="173">
        <f ca="1">IFERROR(__xludf.DUMMYFUNCTION("IMPORTRANGE(""https://docs.google.com/spreadsheets/d/1oKaccgDdQABndOzGr688Dbfxb_V3YcF67VqEPBtdzsc/edit?usp=sharing"",""ยโสธร!J114"")"),20)</f>
        <v>20</v>
      </c>
      <c r="AU41" s="173">
        <f ca="1">IFERROR(__xludf.DUMMYFUNCTION("IMPORTRANGE(""https://docs.google.com/spreadsheets/d/1oKaccgDdQABndOzGr688Dbfxb_V3YcF67VqEPBtdzsc/edit?usp=sharing"",""ยโสธร!I115"")"),1)</f>
        <v>1</v>
      </c>
      <c r="AV41" s="173">
        <f ca="1">IFERROR(__xludf.DUMMYFUNCTION("IMPORTRANGE(""https://docs.google.com/spreadsheets/d/1oKaccgDdQABndOzGr688Dbfxb_V3YcF67VqEPBtdzsc/edit?usp=sharing"",""ยโสธร!J115"")"),1)</f>
        <v>1</v>
      </c>
      <c r="AW41" s="177">
        <f t="shared" ca="1" si="18"/>
        <v>100</v>
      </c>
      <c r="AX41" s="173">
        <f ca="1">IFERROR(__xludf.DUMMYFUNCTION("IMPORTRANGE(""https://docs.google.com/spreadsheets/d/1oKaccgDdQABndOzGr688Dbfxb_V3YcF67VqEPBtdzsc/edit?usp=sharing"",""ยโสธร!I116"")"),1)</f>
        <v>1</v>
      </c>
      <c r="AY41" s="173">
        <f ca="1">IFERROR(__xludf.DUMMYFUNCTION("IMPORTRANGE(""https://docs.google.com/spreadsheets/d/1oKaccgDdQABndOzGr688Dbfxb_V3YcF67VqEPBtdzsc/edit?usp=sharing"",""ยโสธร!J116"")"),1)</f>
        <v>1</v>
      </c>
      <c r="AZ41" s="177">
        <f t="shared" ca="1" si="20"/>
        <v>100</v>
      </c>
    </row>
    <row r="42" spans="1:52" ht="21" customHeight="1" x14ac:dyDescent="0.3">
      <c r="A42" s="168">
        <v>11</v>
      </c>
      <c r="B42" s="169" t="s">
        <v>64</v>
      </c>
      <c r="C42" s="170">
        <f t="shared" ca="1" si="0"/>
        <v>269660</v>
      </c>
      <c r="D42" s="171">
        <f t="shared" ca="1" si="49"/>
        <v>269660</v>
      </c>
      <c r="E42" s="172">
        <f ca="1">IFERROR(__xludf.DUMMYFUNCTION("IMPORTRANGE(""https://docs.google.com/spreadsheets/d/1MeEWN-I1oV_STSDYn1IFDPWt_1FKiwhDph83XaGc0o0/edit?usp=sharing"",""งบพรบ!AR42"")"),170700)</f>
        <v>170700</v>
      </c>
      <c r="F42" s="172">
        <f ca="1">IFERROR(__xludf.DUMMYFUNCTION("IMPORTRANGE(""https://docs.google.com/spreadsheets/d/1MeEWN-I1oV_STSDYn1IFDPWt_1FKiwhDph83XaGc0o0/edit?usp=sharing"",""งบพรบ!AS42"")"),98960)</f>
        <v>98960</v>
      </c>
      <c r="G42" s="172">
        <f ca="1">IFERROR(__xludf.DUMMYFUNCTION("IMPORTRANGE(""https://docs.google.com/spreadsheets/d/1MeEWN-I1oV_STSDYn1IFDPWt_1FKiwhDph83XaGc0o0/edit?usp=sharing"",""งบพรบ!AT42"")"),0)</f>
        <v>0</v>
      </c>
      <c r="H42" s="172">
        <f ca="1">IFERROR(__xludf.DUMMYFUNCTION("IMPORTRANGE(""https://docs.google.com/spreadsheets/d/1MeEWN-I1oV_STSDYn1IFDPWt_1FKiwhDph83XaGc0o0/edit?usp=sharing"",""งบพรบ!AV42"")"),281860)</f>
        <v>281860</v>
      </c>
      <c r="I42" s="172">
        <f ca="1">IFERROR(__xludf.DUMMYFUNCTION("IMPORTRANGE(""https://docs.google.com/spreadsheets/d/1MeEWN-I1oV_STSDYn1IFDPWt_1FKiwhDph83XaGc0o0/edit?usp=sharing"",""งบพรบ!AW42"")"),0)</f>
        <v>0</v>
      </c>
      <c r="J42" s="172">
        <f t="shared" ca="1" si="3"/>
        <v>281860</v>
      </c>
      <c r="K42" s="179">
        <f t="shared" ca="1" si="4"/>
        <v>104.52421567900319</v>
      </c>
      <c r="L42" s="172">
        <f ca="1">IFERROR(__xludf.DUMMYFUNCTION("IMPORTRANGE(""https://docs.google.com/spreadsheets/d/1MeEWN-I1oV_STSDYn1IFDPWt_1FKiwhDph83XaGc0o0/edit?usp=sharing"",""งบพรบ!AX42"")"),281860)</f>
        <v>281860</v>
      </c>
      <c r="M42" s="175">
        <f t="shared" ca="1" si="5"/>
        <v>104.52421567900319</v>
      </c>
      <c r="N42" s="175">
        <f t="shared" ca="1" si="6"/>
        <v>100</v>
      </c>
      <c r="O42" s="176">
        <f ca="1">IFERROR(__xludf.DUMMYFUNCTION("IMPORTRANGE(""https://docs.google.com/spreadsheets/d/1MeEWN-I1oV_STSDYn1IFDPWt_1FKiwhDph83XaGc0o0/edit?usp=sharing"",""งบพรบ!AY42"")"),0)</f>
        <v>0</v>
      </c>
      <c r="P42" s="176">
        <f t="shared" ca="1" si="36"/>
        <v>0</v>
      </c>
      <c r="Q42" s="175">
        <f t="shared" ca="1" si="8"/>
        <v>0</v>
      </c>
      <c r="R42" s="173">
        <f ca="1">IFERROR(__xludf.DUMMYFUNCTION("IMPORTRANGE(""https://docs.google.com/spreadsheets/d/1BRgc8xKpxZ0PX-gauieMVkV_IOxKSotf0yW8MabGprQ/edit?usp=sharing"",""ร้อยเอ็ด!I98"")"),45)</f>
        <v>45</v>
      </c>
      <c r="S42" s="173">
        <f ca="1">IFERROR(__xludf.DUMMYFUNCTION("IMPORTRANGE(""https://docs.google.com/spreadsheets/d/1BRgc8xKpxZ0PX-gauieMVkV_IOxKSotf0yW8MabGprQ/edit?usp=sharing"",""ร้อยเอ็ด!J98"")"),45)</f>
        <v>45</v>
      </c>
      <c r="T42" s="173">
        <f t="shared" ca="1" si="10"/>
        <v>100</v>
      </c>
      <c r="U42" s="173">
        <f ca="1">IFERROR(__xludf.DUMMYFUNCTION("IMPORTRANGE(""https://docs.google.com/spreadsheets/d/1BRgc8xKpxZ0PX-gauieMVkV_IOxKSotf0yW8MabGprQ/edit?usp=sharing"",""ร้อยเอ็ด!I99"")"),15)</f>
        <v>15</v>
      </c>
      <c r="V42" s="173">
        <f ca="1">IFERROR(__xludf.DUMMYFUNCTION("IMPORTRANGE(""https://docs.google.com/spreadsheets/d/1BRgc8xKpxZ0PX-gauieMVkV_IOxKSotf0yW8MabGprQ/edit?usp=sharing"",""ร้อยเอ็ด!I100"")"),2)</f>
        <v>2</v>
      </c>
      <c r="W42" s="173">
        <f ca="1">IFERROR(__xludf.DUMMYFUNCTION("IMPORTRANGE(""https://docs.google.com/spreadsheets/d/1BRgc8xKpxZ0PX-gauieMVkV_IOxKSotf0yW8MabGprQ/edit?usp=sharing"",""ร้อยเอ็ด!J99"")"),15)</f>
        <v>15</v>
      </c>
      <c r="X42" s="177">
        <f t="shared" ca="1" si="12"/>
        <v>100</v>
      </c>
      <c r="Y42" s="178">
        <f ca="1">IFERROR(__xludf.DUMMYFUNCTION("IMPORTRANGE(""https://docs.google.com/spreadsheets/d/1BRgc8xKpxZ0PX-gauieMVkV_IOxKSotf0yW8MabGprQ/edit?usp=sharing"",""ร้อยเอ็ด!J100"")"),2)</f>
        <v>2</v>
      </c>
      <c r="Z42" s="177">
        <f t="shared" ca="1" si="13"/>
        <v>100</v>
      </c>
      <c r="AA42" s="172">
        <f ca="1">IFERROR(__xludf.DUMMYFUNCTION("IMPORTRANGE(""https://docs.google.com/spreadsheets/d/1BRgc8xKpxZ0PX-gauieMVkV_IOxKSotf0yW8MabGprQ/edit?usp=sharing"",""ร้อยเอ็ด!I102"")"),45)</f>
        <v>45</v>
      </c>
      <c r="AB42" s="172">
        <f ca="1">IFERROR(__xludf.DUMMYFUNCTION("IMPORTRANGE(""https://docs.google.com/spreadsheets/d/1BRgc8xKpxZ0PX-gauieMVkV_IOxKSotf0yW8MabGprQ/edit?usp=sharing"",""ร้อยเอ็ด!I103"")"),15)</f>
        <v>15</v>
      </c>
      <c r="AC42" s="173">
        <f ca="1">IFERROR(__xludf.DUMMYFUNCTION("IMPORTRANGE(""https://docs.google.com/spreadsheets/d/1BRgc8xKpxZ0PX-gauieMVkV_IOxKSotf0yW8MabGprQ/edit?usp=sharing"",""ร้อยเอ็ด!J102"")"),45)</f>
        <v>45</v>
      </c>
      <c r="AD42" s="173">
        <f ca="1">IFERROR(__xludf.DUMMYFUNCTION("IMPORTRANGE(""https://docs.google.com/spreadsheets/d/1BRgc8xKpxZ0PX-gauieMVkV_IOxKSotf0yW8MabGprQ/edit?usp=sharing"",""ร้อยเอ็ด!J103"")"),15)</f>
        <v>15</v>
      </c>
      <c r="AE42" s="173">
        <f ca="1">IFERROR(__xludf.DUMMYFUNCTION("IMPORTRANGE(""https://docs.google.com/spreadsheets/d/1BRgc8xKpxZ0PX-gauieMVkV_IOxKSotf0yW8MabGprQ/edit?usp=sharing"",""ร้อยเอ็ด!J104"")"),15)</f>
        <v>15</v>
      </c>
      <c r="AF42" s="172">
        <f ca="1">IFERROR(__xludf.DUMMYFUNCTION("IMPORTRANGE(""https://docs.google.com/spreadsheets/d/1BRgc8xKpxZ0PX-gauieMVkV_IOxKSotf0yW8MabGprQ/edit?usp=sharing"",""ร้อยเอ็ด!I106"")"),1)</f>
        <v>1</v>
      </c>
      <c r="AG42" s="173">
        <f ca="1">IFERROR(__xludf.DUMMYFUNCTION("IMPORTRANGE(""https://docs.google.com/spreadsheets/d/1BRgc8xKpxZ0PX-gauieMVkV_IOxKSotf0yW8MabGprQ/edit?usp=sharing"",""ร้อยเอ็ด!J106"")"),1)</f>
        <v>1</v>
      </c>
      <c r="AH42" s="173">
        <f ca="1">IFERROR(__xludf.DUMMYFUNCTION("IMPORTRANGE(""https://docs.google.com/spreadsheets/d/1BRgc8xKpxZ0PX-gauieMVkV_IOxKSotf0yW8MabGprQ/edit?usp=sharing"",""ร้อยเอ็ด!J107"")"),1)</f>
        <v>1</v>
      </c>
      <c r="AI42" s="172">
        <f ca="1">IFERROR(__xludf.DUMMYFUNCTION("IMPORTRANGE(""https://docs.google.com/spreadsheets/d/1BRgc8xKpxZ0PX-gauieMVkV_IOxKSotf0yW8MabGprQ/edit?usp=sharing"",""ร้อยเอ็ด!I109"")"),1)</f>
        <v>1</v>
      </c>
      <c r="AJ42" s="173">
        <f ca="1">IFERROR(__xludf.DUMMYFUNCTION("IMPORTRANGE(""https://docs.google.com/spreadsheets/d/1BRgc8xKpxZ0PX-gauieMVkV_IOxKSotf0yW8MabGprQ/edit?usp=sharing"",""ร้อยเอ็ด!J109"")"),1)</f>
        <v>1</v>
      </c>
      <c r="AK42" s="173">
        <f ca="1">IFERROR(__xludf.DUMMYFUNCTION("IMPORTRANGE(""https://docs.google.com/spreadsheets/d/1BRgc8xKpxZ0PX-gauieMVkV_IOxKSotf0yW8MabGprQ/edit?usp=sharing"",""ร้อยเอ็ด!J110"")"),1)</f>
        <v>1</v>
      </c>
      <c r="AL42" s="172">
        <f ca="1">IFERROR(__xludf.DUMMYFUNCTION("IMPORTRANGE(""https://docs.google.com/spreadsheets/d/1BRgc8xKpxZ0PX-gauieMVkV_IOxKSotf0yW8MabGprQ/edit?usp=sharing"",""ร้อยเอ็ด!I111"")"),15)</f>
        <v>15</v>
      </c>
      <c r="AM42" s="172">
        <f ca="1">IFERROR(__xludf.DUMMYFUNCTION("IMPORTRANGE(""https://docs.google.com/spreadsheets/d/1BRgc8xKpxZ0PX-gauieMVkV_IOxKSotf0yW8MabGprQ/edit?usp=sharing"",""ร้อยเอ็ด!I112"")"),2)</f>
        <v>2</v>
      </c>
      <c r="AN42" s="173">
        <f ca="1">IFERROR(__xludf.DUMMYFUNCTION("IMPORTRANGE(""https://docs.google.com/spreadsheets/d/1BRgc8xKpxZ0PX-gauieMVkV_IOxKSotf0yW8MabGprQ/edit?usp=sharing"",""ร้อยเอ็ด!J111"")"),15)</f>
        <v>15</v>
      </c>
      <c r="AO42" s="173">
        <f t="shared" ca="1" si="15"/>
        <v>100</v>
      </c>
      <c r="AP42" s="173">
        <f ca="1">IFERROR(__xludf.DUMMYFUNCTION("IMPORTRANGE(""https://docs.google.com/spreadsheets/d/1BRgc8xKpxZ0PX-gauieMVkV_IOxKSotf0yW8MabGprQ/edit?usp=sharing"",""ร้อยเอ็ด!J112"")"),2)</f>
        <v>2</v>
      </c>
      <c r="AQ42" s="175">
        <f t="shared" ca="1" si="16"/>
        <v>100</v>
      </c>
      <c r="AR42" s="172">
        <f ca="1">IFERROR(__xludf.DUMMYFUNCTION("IMPORTRANGE(""https://docs.google.com/spreadsheets/d/1BRgc8xKpxZ0PX-gauieMVkV_IOxKSotf0yW8MabGprQ/edit?usp=sharing"",""ร้อยเอ็ด!I113"")"),15)</f>
        <v>15</v>
      </c>
      <c r="AS42" s="172">
        <f ca="1">IFERROR(__xludf.DUMMYFUNCTION("IMPORTRANGE(""https://docs.google.com/spreadsheets/d/1BRgc8xKpxZ0PX-gauieMVkV_IOxKSotf0yW8MabGprQ/edit?usp=sharing"",""ร้อยเอ็ด!J113"")"),15)</f>
        <v>15</v>
      </c>
      <c r="AT42" s="172">
        <f ca="1">IFERROR(__xludf.DUMMYFUNCTION("IMPORTRANGE(""https://docs.google.com/spreadsheets/d/1BRgc8xKpxZ0PX-gauieMVkV_IOxKSotf0yW8MabGprQ/edit?usp=sharing"",""ร้อยเอ็ด!J114"")"),15)</f>
        <v>15</v>
      </c>
      <c r="AU42" s="172">
        <f ca="1">IFERROR(__xludf.DUMMYFUNCTION("IMPORTRANGE(""https://docs.google.com/spreadsheets/d/1BRgc8xKpxZ0PX-gauieMVkV_IOxKSotf0yW8MabGprQ/edit?usp=sharing"",""ร้อยเอ็ด!I115"")"),1)</f>
        <v>1</v>
      </c>
      <c r="AV42" s="173">
        <f ca="1">IFERROR(__xludf.DUMMYFUNCTION("IMPORTRANGE(""https://docs.google.com/spreadsheets/d/1BRgc8xKpxZ0PX-gauieMVkV_IOxKSotf0yW8MabGprQ/edit?usp=sharing"",""ร้อยเอ็ด!J115"")"),1)</f>
        <v>1</v>
      </c>
      <c r="AW42" s="175">
        <f t="shared" ca="1" si="18"/>
        <v>100</v>
      </c>
      <c r="AX42" s="172">
        <f ca="1">IFERROR(__xludf.DUMMYFUNCTION("IMPORTRANGE(""https://docs.google.com/spreadsheets/d/1BRgc8xKpxZ0PX-gauieMVkV_IOxKSotf0yW8MabGprQ/edit?usp=sharing"",""ร้อยเอ็ด!I116"")"),1)</f>
        <v>1</v>
      </c>
      <c r="AY42" s="173">
        <f ca="1">IFERROR(__xludf.DUMMYFUNCTION("IMPORTRANGE(""https://docs.google.com/spreadsheets/d/1BRgc8xKpxZ0PX-gauieMVkV_IOxKSotf0yW8MabGprQ/edit?usp=sharing"",""ร้อยเอ็ด!J116"")"),1)</f>
        <v>1</v>
      </c>
      <c r="AZ42" s="175">
        <f t="shared" ca="1" si="20"/>
        <v>100</v>
      </c>
    </row>
    <row r="43" spans="1:52" ht="21" customHeight="1" x14ac:dyDescent="0.3">
      <c r="A43" s="168">
        <v>12</v>
      </c>
      <c r="B43" s="169" t="s">
        <v>65</v>
      </c>
      <c r="C43" s="170">
        <f t="shared" ca="1" si="0"/>
        <v>509040</v>
      </c>
      <c r="D43" s="171">
        <f t="shared" ca="1" si="49"/>
        <v>509040</v>
      </c>
      <c r="E43" s="172">
        <f ca="1">IFERROR(__xludf.DUMMYFUNCTION("IMPORTRANGE(""https://docs.google.com/spreadsheets/d/1MeEWN-I1oV_STSDYn1IFDPWt_1FKiwhDph83XaGc0o0/edit?usp=sharing"",""งบพรบ!AR43"")"),453000)</f>
        <v>453000</v>
      </c>
      <c r="F43" s="172">
        <f ca="1">IFERROR(__xludf.DUMMYFUNCTION("IMPORTRANGE(""https://docs.google.com/spreadsheets/d/1MeEWN-I1oV_STSDYn1IFDPWt_1FKiwhDph83XaGc0o0/edit?usp=sharing"",""งบพรบ!AS43"")"),56040)</f>
        <v>56040</v>
      </c>
      <c r="G43" s="172">
        <f ca="1">IFERROR(__xludf.DUMMYFUNCTION("IMPORTRANGE(""https://docs.google.com/spreadsheets/d/1MeEWN-I1oV_STSDYn1IFDPWt_1FKiwhDph83XaGc0o0/edit?usp=sharing"",""งบพรบ!AT43"")"),0)</f>
        <v>0</v>
      </c>
      <c r="H43" s="172">
        <f ca="1">IFERROR(__xludf.DUMMYFUNCTION("IMPORTRANGE(""https://docs.google.com/spreadsheets/d/1MeEWN-I1oV_STSDYn1IFDPWt_1FKiwhDph83XaGc0o0/edit?usp=sharing"",""งบพรบ!AV43"")"),524240)</f>
        <v>524240</v>
      </c>
      <c r="I43" s="172">
        <f ca="1">IFERROR(__xludf.DUMMYFUNCTION("IMPORTRANGE(""https://docs.google.com/spreadsheets/d/1MeEWN-I1oV_STSDYn1IFDPWt_1FKiwhDph83XaGc0o0/edit?usp=sharing"",""งบพรบ!AW43"")"),0)</f>
        <v>0</v>
      </c>
      <c r="J43" s="172">
        <f t="shared" ca="1" si="3"/>
        <v>489871.19</v>
      </c>
      <c r="K43" s="179">
        <f t="shared" ca="1" si="4"/>
        <v>96.234321467861065</v>
      </c>
      <c r="L43" s="172">
        <f ca="1">IFERROR(__xludf.DUMMYFUNCTION("IMPORTRANGE(""https://docs.google.com/spreadsheets/d/1MeEWN-I1oV_STSDYn1IFDPWt_1FKiwhDph83XaGc0o0/edit?usp=sharing"",""งบพรบ!AX43"")"),489871.19)</f>
        <v>489871.19</v>
      </c>
      <c r="M43" s="175">
        <f t="shared" ca="1" si="5"/>
        <v>96.234321467861065</v>
      </c>
      <c r="N43" s="175">
        <f t="shared" ca="1" si="6"/>
        <v>93.444069510148026</v>
      </c>
      <c r="O43" s="176">
        <f ca="1">IFERROR(__xludf.DUMMYFUNCTION("IMPORTRANGE(""https://docs.google.com/spreadsheets/d/1MeEWN-I1oV_STSDYn1IFDPWt_1FKiwhDph83XaGc0o0/edit?usp=sharing"",""งบพรบ!AY43"")"),0)</f>
        <v>0</v>
      </c>
      <c r="P43" s="176">
        <f t="shared" ca="1" si="36"/>
        <v>0</v>
      </c>
      <c r="Q43" s="175">
        <f t="shared" ca="1" si="8"/>
        <v>0</v>
      </c>
      <c r="R43" s="173">
        <f ca="1">IFERROR(__xludf.DUMMYFUNCTION("IMPORTRANGE(""https://docs.google.com/spreadsheets/d/1IdolZc-dfdgMwAm_KZxYJl1sUOcIgnbGQzbWOlddedo/edit?usp=sharing"",""เลย!I98"")"),30)</f>
        <v>30</v>
      </c>
      <c r="S43" s="173">
        <f ca="1">IFERROR(__xludf.DUMMYFUNCTION("IMPORTRANGE(""https://docs.google.com/spreadsheets/d/1IdolZc-dfdgMwAm_KZxYJl1sUOcIgnbGQzbWOlddedo/edit?usp=sharing"",""เลย!J98"")"),30)</f>
        <v>30</v>
      </c>
      <c r="T43" s="173">
        <f t="shared" ca="1" si="10"/>
        <v>100</v>
      </c>
      <c r="U43" s="173">
        <f ca="1">IFERROR(__xludf.DUMMYFUNCTION("IMPORTRANGE(""https://docs.google.com/spreadsheets/d/1IdolZc-dfdgMwAm_KZxYJl1sUOcIgnbGQzbWOlddedo/edit?usp=sharing"",""เลย!I99"")"),10)</f>
        <v>10</v>
      </c>
      <c r="V43" s="173">
        <f ca="1">IFERROR(__xludf.DUMMYFUNCTION("IMPORTRANGE(""https://docs.google.com/spreadsheets/d/1IdolZc-dfdgMwAm_KZxYJl1sUOcIgnbGQzbWOlddedo/edit?usp=sharing"",""เลย!I100"")"),1)</f>
        <v>1</v>
      </c>
      <c r="W43" s="173">
        <f ca="1">IFERROR(__xludf.DUMMYFUNCTION("IMPORTRANGE(""https://docs.google.com/spreadsheets/d/1IdolZc-dfdgMwAm_KZxYJl1sUOcIgnbGQzbWOlddedo/edit?usp=sharing"",""เลย!J99"")"),10)</f>
        <v>10</v>
      </c>
      <c r="X43" s="177">
        <f t="shared" ca="1" si="12"/>
        <v>100</v>
      </c>
      <c r="Y43" s="178">
        <f ca="1">IFERROR(__xludf.DUMMYFUNCTION("IMPORTRANGE(""https://docs.google.com/spreadsheets/d/1IdolZc-dfdgMwAm_KZxYJl1sUOcIgnbGQzbWOlddedo/edit?usp=sharing"",""เลย!J100"")"),1)</f>
        <v>1</v>
      </c>
      <c r="Z43" s="177">
        <f t="shared" ca="1" si="13"/>
        <v>100</v>
      </c>
      <c r="AA43" s="172">
        <f ca="1">IFERROR(__xludf.DUMMYFUNCTION("IMPORTRANGE(""https://docs.google.com/spreadsheets/d/1IdolZc-dfdgMwAm_KZxYJl1sUOcIgnbGQzbWOlddedo/edit?usp=sharing"",""เลย!I102"")"),30)</f>
        <v>30</v>
      </c>
      <c r="AB43" s="172">
        <f ca="1">IFERROR(__xludf.DUMMYFUNCTION("IMPORTRANGE(""https://docs.google.com/spreadsheets/d/1IdolZc-dfdgMwAm_KZxYJl1sUOcIgnbGQzbWOlddedo/edit?usp=sharing"",""เลย!I103"")"),10)</f>
        <v>10</v>
      </c>
      <c r="AC43" s="173">
        <f ca="1">IFERROR(__xludf.DUMMYFUNCTION("IMPORTRANGE(""https://docs.google.com/spreadsheets/d/1IdolZc-dfdgMwAm_KZxYJl1sUOcIgnbGQzbWOlddedo/edit?usp=sharing"",""เลย!J102"")"),30)</f>
        <v>30</v>
      </c>
      <c r="AD43" s="173">
        <f ca="1">IFERROR(__xludf.DUMMYFUNCTION("IMPORTRANGE(""https://docs.google.com/spreadsheets/d/1IdolZc-dfdgMwAm_KZxYJl1sUOcIgnbGQzbWOlddedo/edit?usp=sharing"",""เลย!J103"")"),10)</f>
        <v>10</v>
      </c>
      <c r="AE43" s="173">
        <f ca="1">IFERROR(__xludf.DUMMYFUNCTION("IMPORTRANGE(""https://docs.google.com/spreadsheets/d/1IdolZc-dfdgMwAm_KZxYJl1sUOcIgnbGQzbWOlddedo/edit?usp=sharing"",""เลย!J104"")"),10)</f>
        <v>10</v>
      </c>
      <c r="AF43" s="172">
        <f ca="1">IFERROR(__xludf.DUMMYFUNCTION("IMPORTRANGE(""https://docs.google.com/spreadsheets/d/1IdolZc-dfdgMwAm_KZxYJl1sUOcIgnbGQzbWOlddedo/edit?usp=sharing"",""เลย!I106"")"),1)</f>
        <v>1</v>
      </c>
      <c r="AG43" s="173">
        <f ca="1">IFERROR(__xludf.DUMMYFUNCTION("IMPORTRANGE(""https://docs.google.com/spreadsheets/d/1IdolZc-dfdgMwAm_KZxYJl1sUOcIgnbGQzbWOlddedo/edit?usp=sharing"",""เลย!J106"")"),1)</f>
        <v>1</v>
      </c>
      <c r="AH43" s="173">
        <f ca="1">IFERROR(__xludf.DUMMYFUNCTION("IMPORTRANGE(""https://docs.google.com/spreadsheets/d/1IdolZc-dfdgMwAm_KZxYJl1sUOcIgnbGQzbWOlddedo/edit?usp=sharing"",""เลย!J107"")"),1)</f>
        <v>1</v>
      </c>
      <c r="AI43" s="172">
        <f ca="1">IFERROR(__xludf.DUMMYFUNCTION("IMPORTRANGE(""https://docs.google.com/spreadsheets/d/1IdolZc-dfdgMwAm_KZxYJl1sUOcIgnbGQzbWOlddedo/edit?usp=sharing"",""เลย!I109"")"),0)</f>
        <v>0</v>
      </c>
      <c r="AJ43" s="173">
        <f ca="1">IFERROR(__xludf.DUMMYFUNCTION("IMPORTRANGE(""https://docs.google.com/spreadsheets/d/1IdolZc-dfdgMwAm_KZxYJl1sUOcIgnbGQzbWOlddedo/edit?usp=sharing"",""เลย!J109"")"),0)</f>
        <v>0</v>
      </c>
      <c r="AK43" s="173">
        <f ca="1">IFERROR(__xludf.DUMMYFUNCTION("IMPORTRANGE(""https://docs.google.com/spreadsheets/d/1IdolZc-dfdgMwAm_KZxYJl1sUOcIgnbGQzbWOlddedo/edit?usp=sharing"",""เลย!J110"")"),0)</f>
        <v>0</v>
      </c>
      <c r="AL43" s="172">
        <f ca="1">IFERROR(__xludf.DUMMYFUNCTION("IMPORTRANGE(""https://docs.google.com/spreadsheets/d/1IdolZc-dfdgMwAm_KZxYJl1sUOcIgnbGQzbWOlddedo/edit?usp=sharing"",""เลย!I111"")"),10)</f>
        <v>10</v>
      </c>
      <c r="AM43" s="172">
        <f ca="1">IFERROR(__xludf.DUMMYFUNCTION("IMPORTRANGE(""https://docs.google.com/spreadsheets/d/1IdolZc-dfdgMwAm_KZxYJl1sUOcIgnbGQzbWOlddedo/edit?usp=sharing"",""เลย!I112"")"),1)</f>
        <v>1</v>
      </c>
      <c r="AN43" s="173">
        <f ca="1">IFERROR(__xludf.DUMMYFUNCTION("IMPORTRANGE(""https://docs.google.com/spreadsheets/d/1IdolZc-dfdgMwAm_KZxYJl1sUOcIgnbGQzbWOlddedo/edit?usp=sharing"",""เลย!J111"")"),10)</f>
        <v>10</v>
      </c>
      <c r="AO43" s="173">
        <f t="shared" ca="1" si="15"/>
        <v>100</v>
      </c>
      <c r="AP43" s="173">
        <f ca="1">IFERROR(__xludf.DUMMYFUNCTION("IMPORTRANGE(""https://docs.google.com/spreadsheets/d/1IdolZc-dfdgMwAm_KZxYJl1sUOcIgnbGQzbWOlddedo/edit?usp=sharing"",""เลย!J112"")"),1)</f>
        <v>1</v>
      </c>
      <c r="AQ43" s="175">
        <f t="shared" ca="1" si="16"/>
        <v>100</v>
      </c>
      <c r="AR43" s="172">
        <f ca="1">IFERROR(__xludf.DUMMYFUNCTION("IMPORTRANGE(""https://docs.google.com/spreadsheets/d/1IdolZc-dfdgMwAm_KZxYJl1sUOcIgnbGQzbWOlddedo/edit?usp=sharing"",""เลย!I113"")"),10)</f>
        <v>10</v>
      </c>
      <c r="AS43" s="172">
        <f ca="1">IFERROR(__xludf.DUMMYFUNCTION("IMPORTRANGE(""https://docs.google.com/spreadsheets/d/1IdolZc-dfdgMwAm_KZxYJl1sUOcIgnbGQzbWOlddedo/edit?usp=sharing"",""เลย!J113"")"),10)</f>
        <v>10</v>
      </c>
      <c r="AT43" s="172">
        <f ca="1">IFERROR(__xludf.DUMMYFUNCTION("IMPORTRANGE(""https://docs.google.com/spreadsheets/d/1IdolZc-dfdgMwAm_KZxYJl1sUOcIgnbGQzbWOlddedo/edit?usp=sharing"",""เลย!J114"")"),10)</f>
        <v>10</v>
      </c>
      <c r="AU43" s="172">
        <f ca="1">IFERROR(__xludf.DUMMYFUNCTION("IMPORTRANGE(""https://docs.google.com/spreadsheets/d/1IdolZc-dfdgMwAm_KZxYJl1sUOcIgnbGQzbWOlddedo/edit?usp=sharing"",""เลย!I115"")"),1)</f>
        <v>1</v>
      </c>
      <c r="AV43" s="173">
        <f ca="1">IFERROR(__xludf.DUMMYFUNCTION("IMPORTRANGE(""https://docs.google.com/spreadsheets/d/1IdolZc-dfdgMwAm_KZxYJl1sUOcIgnbGQzbWOlddedo/edit?usp=sharing"",""เลย!J115"")"),1)</f>
        <v>1</v>
      </c>
      <c r="AW43" s="175">
        <f t="shared" ca="1" si="18"/>
        <v>100</v>
      </c>
      <c r="AX43" s="172">
        <f ca="1">IFERROR(__xludf.DUMMYFUNCTION("IMPORTRANGE(""https://docs.google.com/spreadsheets/d/1IdolZc-dfdgMwAm_KZxYJl1sUOcIgnbGQzbWOlddedo/edit?usp=sharing"",""เลย!I116"")"),0)</f>
        <v>0</v>
      </c>
      <c r="AY43" s="173">
        <f ca="1">IFERROR(__xludf.DUMMYFUNCTION("IMPORTRANGE(""https://docs.google.com/spreadsheets/d/1IdolZc-dfdgMwAm_KZxYJl1sUOcIgnbGQzbWOlddedo/edit?usp=sharing"",""เลย!J116"")"),0)</f>
        <v>0</v>
      </c>
      <c r="AZ43" s="175">
        <f t="shared" ca="1" si="20"/>
        <v>0</v>
      </c>
    </row>
    <row r="44" spans="1:52" ht="21" customHeight="1" x14ac:dyDescent="0.3">
      <c r="A44" s="168">
        <v>13</v>
      </c>
      <c r="B44" s="169" t="s">
        <v>66</v>
      </c>
      <c r="C44" s="170">
        <f t="shared" ca="1" si="0"/>
        <v>38860</v>
      </c>
      <c r="D44" s="171">
        <f t="shared" ca="1" si="49"/>
        <v>38860</v>
      </c>
      <c r="E44" s="172">
        <f ca="1">IFERROR(__xludf.DUMMYFUNCTION("IMPORTRANGE(""https://docs.google.com/spreadsheets/d/1MeEWN-I1oV_STSDYn1IFDPWt_1FKiwhDph83XaGc0o0/edit?usp=sharing"",""งบพรบ!AR44"")"),0)</f>
        <v>0</v>
      </c>
      <c r="F44" s="172">
        <f ca="1">IFERROR(__xludf.DUMMYFUNCTION("IMPORTRANGE(""https://docs.google.com/spreadsheets/d/1MeEWN-I1oV_STSDYn1IFDPWt_1FKiwhDph83XaGc0o0/edit?usp=sharing"",""งบพรบ!AS44"")"),38860)</f>
        <v>38860</v>
      </c>
      <c r="G44" s="172">
        <f ca="1">IFERROR(__xludf.DUMMYFUNCTION("IMPORTRANGE(""https://docs.google.com/spreadsheets/d/1MeEWN-I1oV_STSDYn1IFDPWt_1FKiwhDph83XaGc0o0/edit?usp=sharing"",""งบพรบ!AT44"")"),0)</f>
        <v>0</v>
      </c>
      <c r="H44" s="172">
        <f ca="1">IFERROR(__xludf.DUMMYFUNCTION("IMPORTRANGE(""https://docs.google.com/spreadsheets/d/1MeEWN-I1oV_STSDYn1IFDPWt_1FKiwhDph83XaGc0o0/edit?usp=sharing"",""งบพรบ!AV44"")"),38860)</f>
        <v>38860</v>
      </c>
      <c r="I44" s="172">
        <f ca="1">IFERROR(__xludf.DUMMYFUNCTION("IMPORTRANGE(""https://docs.google.com/spreadsheets/d/1MeEWN-I1oV_STSDYn1IFDPWt_1FKiwhDph83XaGc0o0/edit?usp=sharing"",""งบพรบ!AW44"")"),0)</f>
        <v>0</v>
      </c>
      <c r="J44" s="172">
        <f t="shared" ca="1" si="3"/>
        <v>38860</v>
      </c>
      <c r="K44" s="179">
        <f t="shared" ca="1" si="4"/>
        <v>100</v>
      </c>
      <c r="L44" s="172">
        <f ca="1">IFERROR(__xludf.DUMMYFUNCTION("IMPORTRANGE(""https://docs.google.com/spreadsheets/d/1MeEWN-I1oV_STSDYn1IFDPWt_1FKiwhDph83XaGc0o0/edit?usp=sharing"",""งบพรบ!AX44"")"),38860)</f>
        <v>38860</v>
      </c>
      <c r="M44" s="175">
        <f t="shared" ca="1" si="5"/>
        <v>100</v>
      </c>
      <c r="N44" s="175">
        <f t="shared" ca="1" si="6"/>
        <v>100</v>
      </c>
      <c r="O44" s="176">
        <f ca="1">IFERROR(__xludf.DUMMYFUNCTION("IMPORTRANGE(""https://docs.google.com/spreadsheets/d/1MeEWN-I1oV_STSDYn1IFDPWt_1FKiwhDph83XaGc0o0/edit?usp=sharing"",""งบพรบ!AY44"")"),0)</f>
        <v>0</v>
      </c>
      <c r="P44" s="176">
        <f t="shared" ca="1" si="36"/>
        <v>0</v>
      </c>
      <c r="Q44" s="175">
        <f t="shared" ca="1" si="8"/>
        <v>0</v>
      </c>
      <c r="R44" s="173">
        <f ca="1">IFERROR(__xludf.DUMMYFUNCTION("IMPORTRANGE(""https://docs.google.com/spreadsheets/d/1tZ0nmtGuIRCaGAMXHlQU8EpR9LOAJvyKfc4f7EFmE34/edit?usp=sharing"",""ศรีสะเกษ!I98"")"),45)</f>
        <v>45</v>
      </c>
      <c r="S44" s="173">
        <f ca="1">IFERROR(__xludf.DUMMYFUNCTION("IMPORTRANGE(""https://docs.google.com/spreadsheets/d/1tZ0nmtGuIRCaGAMXHlQU8EpR9LOAJvyKfc4f7EFmE34/edit?usp=sharing"",""ศรีสะเกษ!J98"")"),45)</f>
        <v>45</v>
      </c>
      <c r="T44" s="173">
        <f t="shared" ca="1" si="10"/>
        <v>100</v>
      </c>
      <c r="U44" s="173">
        <f ca="1">IFERROR(__xludf.DUMMYFUNCTION("IMPORTRANGE(""https://docs.google.com/spreadsheets/d/1tZ0nmtGuIRCaGAMXHlQU8EpR9LOAJvyKfc4f7EFmE34/edit?usp=sharing"",""ศรีสะเกษ!I99"")"),15)</f>
        <v>15</v>
      </c>
      <c r="V44" s="173">
        <f ca="1">IFERROR(__xludf.DUMMYFUNCTION("IMPORTRANGE(""https://docs.google.com/spreadsheets/d/1tZ0nmtGuIRCaGAMXHlQU8EpR9LOAJvyKfc4f7EFmE34/edit?usp=sharing"",""ศรีสะเกษ!I100"")"),0)</f>
        <v>0</v>
      </c>
      <c r="W44" s="173">
        <f ca="1">IFERROR(__xludf.DUMMYFUNCTION("IMPORTRANGE(""https://docs.google.com/spreadsheets/d/1tZ0nmtGuIRCaGAMXHlQU8EpR9LOAJvyKfc4f7EFmE34/edit?usp=sharing"",""ศรีสะเกษ!J99"")"),15)</f>
        <v>15</v>
      </c>
      <c r="X44" s="177">
        <f t="shared" ca="1" si="12"/>
        <v>100</v>
      </c>
      <c r="Y44" s="178">
        <f ca="1">IFERROR(__xludf.DUMMYFUNCTION("IMPORTRANGE(""https://docs.google.com/spreadsheets/d/1tZ0nmtGuIRCaGAMXHlQU8EpR9LOAJvyKfc4f7EFmE34/edit?usp=sharing"",""ศรีสะเกษ!J100"")"),0)</f>
        <v>0</v>
      </c>
      <c r="Z44" s="177">
        <f t="shared" ca="1" si="13"/>
        <v>0</v>
      </c>
      <c r="AA44" s="172">
        <f ca="1">IFERROR(__xludf.DUMMYFUNCTION("IMPORTRANGE(""https://docs.google.com/spreadsheets/d/1tZ0nmtGuIRCaGAMXHlQU8EpR9LOAJvyKfc4f7EFmE34/edit?usp=sharing"",""ศรีสะเกษ!I102"")"),45)</f>
        <v>45</v>
      </c>
      <c r="AB44" s="172">
        <f ca="1">IFERROR(__xludf.DUMMYFUNCTION("IMPORTRANGE(""https://docs.google.com/spreadsheets/d/1tZ0nmtGuIRCaGAMXHlQU8EpR9LOAJvyKfc4f7EFmE34/edit?usp=sharing"",""ศรีสะเกษ!I103"")"),15)</f>
        <v>15</v>
      </c>
      <c r="AC44" s="173">
        <f ca="1">IFERROR(__xludf.DUMMYFUNCTION("IMPORTRANGE(""https://docs.google.com/spreadsheets/d/1tZ0nmtGuIRCaGAMXHlQU8EpR9LOAJvyKfc4f7EFmE34/edit?usp=sharing"",""ศรีสะเกษ!J102"")"),45)</f>
        <v>45</v>
      </c>
      <c r="AD44" s="173">
        <f ca="1">IFERROR(__xludf.DUMMYFUNCTION("IMPORTRANGE(""https://docs.google.com/spreadsheets/d/1tZ0nmtGuIRCaGAMXHlQU8EpR9LOAJvyKfc4f7EFmE34/edit?usp=sharing"",""ศรีสะเกษ!J103"")"),15)</f>
        <v>15</v>
      </c>
      <c r="AE44" s="173">
        <f ca="1">IFERROR(__xludf.DUMMYFUNCTION("IMPORTRANGE(""https://docs.google.com/spreadsheets/d/1tZ0nmtGuIRCaGAMXHlQU8EpR9LOAJvyKfc4f7EFmE34/edit?usp=sharing"",""ศรีสะเกษ!J104"")"),15)</f>
        <v>15</v>
      </c>
      <c r="AF44" s="172">
        <f ca="1">IFERROR(__xludf.DUMMYFUNCTION("IMPORTRANGE(""https://docs.google.com/spreadsheets/d/1tZ0nmtGuIRCaGAMXHlQU8EpR9LOAJvyKfc4f7EFmE34/edit?usp=sharing"",""ศรีสะเกษ!I106"")"),0)</f>
        <v>0</v>
      </c>
      <c r="AG44" s="173">
        <f ca="1">IFERROR(__xludf.DUMMYFUNCTION("IMPORTRANGE(""https://docs.google.com/spreadsheets/d/1tZ0nmtGuIRCaGAMXHlQU8EpR9LOAJvyKfc4f7EFmE34/edit?usp=sharing"",""ศรีสะเกษ!J106"")"),0)</f>
        <v>0</v>
      </c>
      <c r="AH44" s="173">
        <f ca="1">IFERROR(__xludf.DUMMYFUNCTION("IMPORTRANGE(""https://docs.google.com/spreadsheets/d/1tZ0nmtGuIRCaGAMXHlQU8EpR9LOAJvyKfc4f7EFmE34/edit?usp=sharing"",""ศรีสะเกษ!J107"")"),0)</f>
        <v>0</v>
      </c>
      <c r="AI44" s="172">
        <f ca="1">IFERROR(__xludf.DUMMYFUNCTION("IMPORTRANGE(""https://docs.google.com/spreadsheets/d/1tZ0nmtGuIRCaGAMXHlQU8EpR9LOAJvyKfc4f7EFmE34/edit?usp=sharing"",""ศรีสะเกษ!I109"")"),0)</f>
        <v>0</v>
      </c>
      <c r="AJ44" s="173">
        <f ca="1">IFERROR(__xludf.DUMMYFUNCTION("IMPORTRANGE(""https://docs.google.com/spreadsheets/d/1tZ0nmtGuIRCaGAMXHlQU8EpR9LOAJvyKfc4f7EFmE34/edit?usp=sharing"",""ศรีสะเกษ!J109"")"),0)</f>
        <v>0</v>
      </c>
      <c r="AK44" s="173">
        <f ca="1">IFERROR(__xludf.DUMMYFUNCTION("IMPORTRANGE(""https://docs.google.com/spreadsheets/d/1tZ0nmtGuIRCaGAMXHlQU8EpR9LOAJvyKfc4f7EFmE34/edit?usp=sharing"",""ศรีสะเกษ!J110"")"),0)</f>
        <v>0</v>
      </c>
      <c r="AL44" s="172">
        <f ca="1">IFERROR(__xludf.DUMMYFUNCTION("IMPORTRANGE(""https://docs.google.com/spreadsheets/d/1tZ0nmtGuIRCaGAMXHlQU8EpR9LOAJvyKfc4f7EFmE34/edit?usp=sharing"",""ศรีสะเกษ!I111"")"),15)</f>
        <v>15</v>
      </c>
      <c r="AM44" s="172">
        <f ca="1">IFERROR(__xludf.DUMMYFUNCTION("IMPORTRANGE(""https://docs.google.com/spreadsheets/d/1tZ0nmtGuIRCaGAMXHlQU8EpR9LOAJvyKfc4f7EFmE34/edit?usp=sharing"",""ศรีสะเกษ!I112"")"),0)</f>
        <v>0</v>
      </c>
      <c r="AN44" s="173">
        <f ca="1">IFERROR(__xludf.DUMMYFUNCTION("IMPORTRANGE(""https://docs.google.com/spreadsheets/d/1tZ0nmtGuIRCaGAMXHlQU8EpR9LOAJvyKfc4f7EFmE34/edit?usp=sharing"",""ศรีสะเกษ!J111"")"),0)</f>
        <v>0</v>
      </c>
      <c r="AO44" s="173">
        <f t="shared" ca="1" si="15"/>
        <v>0</v>
      </c>
      <c r="AP44" s="173">
        <f ca="1">IFERROR(__xludf.DUMMYFUNCTION("IMPORTRANGE(""https://docs.google.com/spreadsheets/d/1tZ0nmtGuIRCaGAMXHlQU8EpR9LOAJvyKfc4f7EFmE34/edit?usp=sharing"",""ศรีสะเกษ!J112"")"),0)</f>
        <v>0</v>
      </c>
      <c r="AQ44" s="175">
        <f t="shared" ca="1" si="16"/>
        <v>0</v>
      </c>
      <c r="AR44" s="172">
        <f ca="1">IFERROR(__xludf.DUMMYFUNCTION("IMPORTRANGE(""https://docs.google.com/spreadsheets/d/1tZ0nmtGuIRCaGAMXHlQU8EpR9LOAJvyKfc4f7EFmE34/edit?usp=sharing"",""ศรีสะเกษ!I113"")"),15)</f>
        <v>15</v>
      </c>
      <c r="AS44" s="172">
        <f ca="1">IFERROR(__xludf.DUMMYFUNCTION("IMPORTRANGE(""https://docs.google.com/spreadsheets/d/1tZ0nmtGuIRCaGAMXHlQU8EpR9LOAJvyKfc4f7EFmE34/edit?usp=sharing"",""ศรีสะเกษ!J113"")"),0)</f>
        <v>0</v>
      </c>
      <c r="AT44" s="172">
        <f ca="1">IFERROR(__xludf.DUMMYFUNCTION("IMPORTRANGE(""https://docs.google.com/spreadsheets/d/1tZ0nmtGuIRCaGAMXHlQU8EpR9LOAJvyKfc4f7EFmE34/edit?usp=sharing"",""ศรีสะเกษ!J114"")"),0)</f>
        <v>0</v>
      </c>
      <c r="AU44" s="172">
        <f ca="1">IFERROR(__xludf.DUMMYFUNCTION("IMPORTRANGE(""https://docs.google.com/spreadsheets/d/1tZ0nmtGuIRCaGAMXHlQU8EpR9LOAJvyKfc4f7EFmE34/edit?usp=sharing"",""ศรีสะเกษ!I115"")"),0)</f>
        <v>0</v>
      </c>
      <c r="AV44" s="173">
        <f ca="1">IFERROR(__xludf.DUMMYFUNCTION("IMPORTRANGE(""https://docs.google.com/spreadsheets/d/1tZ0nmtGuIRCaGAMXHlQU8EpR9LOAJvyKfc4f7EFmE34/edit?usp=sharing"",""ศรีสะเกษ!J115"")"),0)</f>
        <v>0</v>
      </c>
      <c r="AW44" s="175">
        <f t="shared" ca="1" si="18"/>
        <v>0</v>
      </c>
      <c r="AX44" s="172">
        <f ca="1">IFERROR(__xludf.DUMMYFUNCTION("IMPORTRANGE(""https://docs.google.com/spreadsheets/d/1tZ0nmtGuIRCaGAMXHlQU8EpR9LOAJvyKfc4f7EFmE34/edit?usp=sharing"",""ศรีสะเกษ!I116"")"),0)</f>
        <v>0</v>
      </c>
      <c r="AY44" s="173">
        <f ca="1">IFERROR(__xludf.DUMMYFUNCTION("IMPORTRANGE(""https://docs.google.com/spreadsheets/d/1tZ0nmtGuIRCaGAMXHlQU8EpR9LOAJvyKfc4f7EFmE34/edit?usp=sharing"",""ศรีสะเกษ!J116"")"),0)</f>
        <v>0</v>
      </c>
      <c r="AZ44" s="175">
        <f t="shared" ca="1" si="20"/>
        <v>0</v>
      </c>
    </row>
    <row r="45" spans="1:52" ht="21" customHeight="1" x14ac:dyDescent="0.3">
      <c r="A45" s="168">
        <v>14</v>
      </c>
      <c r="B45" s="169" t="s">
        <v>67</v>
      </c>
      <c r="C45" s="170">
        <f t="shared" ca="1" si="0"/>
        <v>111180</v>
      </c>
      <c r="D45" s="171">
        <f t="shared" ca="1" si="49"/>
        <v>111180</v>
      </c>
      <c r="E45" s="172">
        <f ca="1">IFERROR(__xludf.DUMMYFUNCTION("IMPORTRANGE(""https://docs.google.com/spreadsheets/d/1MeEWN-I1oV_STSDYn1IFDPWt_1FKiwhDph83XaGc0o0/edit?usp=sharing"",""งบพรบ!AR45"")"),0)</f>
        <v>0</v>
      </c>
      <c r="F45" s="172">
        <f ca="1">IFERROR(__xludf.DUMMYFUNCTION("IMPORTRANGE(""https://docs.google.com/spreadsheets/d/1MeEWN-I1oV_STSDYn1IFDPWt_1FKiwhDph83XaGc0o0/edit?usp=sharing"",""งบพรบ!AS45"")"),111180)</f>
        <v>111180</v>
      </c>
      <c r="G45" s="172">
        <f ca="1">IFERROR(__xludf.DUMMYFUNCTION("IMPORTRANGE(""https://docs.google.com/spreadsheets/d/1MeEWN-I1oV_STSDYn1IFDPWt_1FKiwhDph83XaGc0o0/edit?usp=sharing"",""งบพรบ!AT45"")"),0)</f>
        <v>0</v>
      </c>
      <c r="H45" s="172">
        <f ca="1">IFERROR(__xludf.DUMMYFUNCTION("IMPORTRANGE(""https://docs.google.com/spreadsheets/d/1MeEWN-I1oV_STSDYn1IFDPWt_1FKiwhDph83XaGc0o0/edit?usp=sharing"",""งบพรบ!AV45"")"),127180)</f>
        <v>127180</v>
      </c>
      <c r="I45" s="172">
        <f ca="1">IFERROR(__xludf.DUMMYFUNCTION("IMPORTRANGE(""https://docs.google.com/spreadsheets/d/1MeEWN-I1oV_STSDYn1IFDPWt_1FKiwhDph83XaGc0o0/edit?usp=sharing"",""งบพรบ!AW45"")"),0)</f>
        <v>0</v>
      </c>
      <c r="J45" s="172">
        <f t="shared" ca="1" si="3"/>
        <v>106420</v>
      </c>
      <c r="K45" s="179">
        <f t="shared" ca="1" si="4"/>
        <v>95.718654434250766</v>
      </c>
      <c r="L45" s="172">
        <f ca="1">IFERROR(__xludf.DUMMYFUNCTION("IMPORTRANGE(""https://docs.google.com/spreadsheets/d/1MeEWN-I1oV_STSDYn1IFDPWt_1FKiwhDph83XaGc0o0/edit?usp=sharing"",""งบพรบ!AX45"")"),106420)</f>
        <v>106420</v>
      </c>
      <c r="M45" s="175">
        <f t="shared" ca="1" si="5"/>
        <v>95.718654434250766</v>
      </c>
      <c r="N45" s="175">
        <f t="shared" ca="1" si="6"/>
        <v>83.676678723069671</v>
      </c>
      <c r="O45" s="176">
        <f ca="1">IFERROR(__xludf.DUMMYFUNCTION("IMPORTRANGE(""https://docs.google.com/spreadsheets/d/1MeEWN-I1oV_STSDYn1IFDPWt_1FKiwhDph83XaGc0o0/edit?usp=sharing"",""งบพรบ!AY45"")"),0)</f>
        <v>0</v>
      </c>
      <c r="P45" s="176">
        <f t="shared" ca="1" si="36"/>
        <v>0</v>
      </c>
      <c r="Q45" s="175">
        <f t="shared" ca="1" si="8"/>
        <v>0</v>
      </c>
      <c r="R45" s="173">
        <f ca="1">IFERROR(__xludf.DUMMYFUNCTION("IMPORTRANGE(""https://docs.google.com/spreadsheets/d/1QC8psz9w0f9IVE9Xuc2FT_btkaOzZbbUSgYObpBuetM/edit?usp=sharing"",""สกลนคร!I98"")"),60)</f>
        <v>60</v>
      </c>
      <c r="S45" s="173">
        <f ca="1">IFERROR(__xludf.DUMMYFUNCTION("IMPORTRANGE(""https://docs.google.com/spreadsheets/d/1QC8psz9w0f9IVE9Xuc2FT_btkaOzZbbUSgYObpBuetM/edit?usp=sharing"",""สกลนคร!J98"")"),60)</f>
        <v>60</v>
      </c>
      <c r="T45" s="173">
        <f t="shared" ca="1" si="10"/>
        <v>100</v>
      </c>
      <c r="U45" s="173">
        <f ca="1">IFERROR(__xludf.DUMMYFUNCTION("IMPORTRANGE(""https://docs.google.com/spreadsheets/d/1QC8psz9w0f9IVE9Xuc2FT_btkaOzZbbUSgYObpBuetM/edit?usp=sharing"",""สกลนคร!I99"")"),20)</f>
        <v>20</v>
      </c>
      <c r="V45" s="173">
        <f ca="1">IFERROR(__xludf.DUMMYFUNCTION("IMPORTRANGE(""https://docs.google.com/spreadsheets/d/1QC8psz9w0f9IVE9Xuc2FT_btkaOzZbbUSgYObpBuetM/edit?usp=sharing"",""สกลนคร!I100"")"),2)</f>
        <v>2</v>
      </c>
      <c r="W45" s="173">
        <f ca="1">IFERROR(__xludf.DUMMYFUNCTION("IMPORTRANGE(""https://docs.google.com/spreadsheets/d/1QC8psz9w0f9IVE9Xuc2FT_btkaOzZbbUSgYObpBuetM/edit?usp=sharing"",""สกลนคร!J99"")"),20)</f>
        <v>20</v>
      </c>
      <c r="X45" s="177">
        <f t="shared" ca="1" si="12"/>
        <v>100</v>
      </c>
      <c r="Y45" s="178">
        <f ca="1">IFERROR(__xludf.DUMMYFUNCTION("IMPORTRANGE(""https://docs.google.com/spreadsheets/d/1QC8psz9w0f9IVE9Xuc2FT_btkaOzZbbUSgYObpBuetM/edit?usp=sharing"",""สกลนคร!J100"")"),2)</f>
        <v>2</v>
      </c>
      <c r="Z45" s="177">
        <f t="shared" ca="1" si="13"/>
        <v>100</v>
      </c>
      <c r="AA45" s="172">
        <f ca="1">IFERROR(__xludf.DUMMYFUNCTION("IMPORTRANGE(""https://docs.google.com/spreadsheets/d/1QC8psz9w0f9IVE9Xuc2FT_btkaOzZbbUSgYObpBuetM/edit?usp=sharing"",""สกลนคร!I102"")"),60)</f>
        <v>60</v>
      </c>
      <c r="AB45" s="172">
        <f ca="1">IFERROR(__xludf.DUMMYFUNCTION("IMPORTRANGE(""https://docs.google.com/spreadsheets/d/1QC8psz9w0f9IVE9Xuc2FT_btkaOzZbbUSgYObpBuetM/edit?usp=sharing"",""สกลนคร!I103"")"),20)</f>
        <v>20</v>
      </c>
      <c r="AC45" s="173">
        <f ca="1">IFERROR(__xludf.DUMMYFUNCTION("IMPORTRANGE(""https://docs.google.com/spreadsheets/d/1QC8psz9w0f9IVE9Xuc2FT_btkaOzZbbUSgYObpBuetM/edit?usp=sharing"",""สกลนคร!J102"")"),60)</f>
        <v>60</v>
      </c>
      <c r="AD45" s="173">
        <f ca="1">IFERROR(__xludf.DUMMYFUNCTION("IMPORTRANGE(""https://docs.google.com/spreadsheets/d/1QC8psz9w0f9IVE9Xuc2FT_btkaOzZbbUSgYObpBuetM/edit?usp=sharing"",""สกลนคร!J103"")"),20)</f>
        <v>20</v>
      </c>
      <c r="AE45" s="173">
        <f ca="1">IFERROR(__xludf.DUMMYFUNCTION("IMPORTRANGE(""https://docs.google.com/spreadsheets/d/1QC8psz9w0f9IVE9Xuc2FT_btkaOzZbbUSgYObpBuetM/edit?usp=sharing"",""สกลนคร!J104"")"),20)</f>
        <v>20</v>
      </c>
      <c r="AF45" s="172">
        <f ca="1">IFERROR(__xludf.DUMMYFUNCTION("IMPORTRANGE(""https://docs.google.com/spreadsheets/d/1QC8psz9w0f9IVE9Xuc2FT_btkaOzZbbUSgYObpBuetM/edit?usp=sharing"",""สกลนคร!I106"")"),1)</f>
        <v>1</v>
      </c>
      <c r="AG45" s="173">
        <f ca="1">IFERROR(__xludf.DUMMYFUNCTION("IMPORTRANGE(""https://docs.google.com/spreadsheets/d/1QC8psz9w0f9IVE9Xuc2FT_btkaOzZbbUSgYObpBuetM/edit?usp=sharing"",""สกลนคร!J106"")"),1)</f>
        <v>1</v>
      </c>
      <c r="AH45" s="173">
        <f ca="1">IFERROR(__xludf.DUMMYFUNCTION("IMPORTRANGE(""https://docs.google.com/spreadsheets/d/1QC8psz9w0f9IVE9Xuc2FT_btkaOzZbbUSgYObpBuetM/edit?usp=sharing"",""สกลนคร!J107"")"),1)</f>
        <v>1</v>
      </c>
      <c r="AI45" s="172">
        <f ca="1">IFERROR(__xludf.DUMMYFUNCTION("IMPORTRANGE(""https://docs.google.com/spreadsheets/d/1QC8psz9w0f9IVE9Xuc2FT_btkaOzZbbUSgYObpBuetM/edit?usp=sharing"",""สกลนคร!I109"")"),1)</f>
        <v>1</v>
      </c>
      <c r="AJ45" s="173">
        <f ca="1">IFERROR(__xludf.DUMMYFUNCTION("IMPORTRANGE(""https://docs.google.com/spreadsheets/d/1QC8psz9w0f9IVE9Xuc2FT_btkaOzZbbUSgYObpBuetM/edit?usp=sharing"",""สกลนคร!J109"")"),1)</f>
        <v>1</v>
      </c>
      <c r="AK45" s="173">
        <f ca="1">IFERROR(__xludf.DUMMYFUNCTION("IMPORTRANGE(""https://docs.google.com/spreadsheets/d/1QC8psz9w0f9IVE9Xuc2FT_btkaOzZbbUSgYObpBuetM/edit?usp=sharing"",""สกลนคร!J110"")"),1)</f>
        <v>1</v>
      </c>
      <c r="AL45" s="172">
        <f ca="1">IFERROR(__xludf.DUMMYFUNCTION("IMPORTRANGE(""https://docs.google.com/spreadsheets/d/1QC8psz9w0f9IVE9Xuc2FT_btkaOzZbbUSgYObpBuetM/edit?usp=sharing"",""สกลนคร!I111"")"),20)</f>
        <v>20</v>
      </c>
      <c r="AM45" s="172">
        <f ca="1">IFERROR(__xludf.DUMMYFUNCTION("IMPORTRANGE(""https://docs.google.com/spreadsheets/d/1QC8psz9w0f9IVE9Xuc2FT_btkaOzZbbUSgYObpBuetM/edit?usp=sharing"",""สกลนคร!I112"")"),2)</f>
        <v>2</v>
      </c>
      <c r="AN45" s="173">
        <f ca="1">IFERROR(__xludf.DUMMYFUNCTION("IMPORTRANGE(""https://docs.google.com/spreadsheets/d/1QC8psz9w0f9IVE9Xuc2FT_btkaOzZbbUSgYObpBuetM/edit?usp=sharing"",""สกลนคร!J111"")"),0)</f>
        <v>0</v>
      </c>
      <c r="AO45" s="173">
        <f t="shared" ca="1" si="15"/>
        <v>0</v>
      </c>
      <c r="AP45" s="173">
        <f ca="1">IFERROR(__xludf.DUMMYFUNCTION("IMPORTRANGE(""https://docs.google.com/spreadsheets/d/1QC8psz9w0f9IVE9Xuc2FT_btkaOzZbbUSgYObpBuetM/edit?usp=sharing"",""สกลนคร!J112"")"),0)</f>
        <v>0</v>
      </c>
      <c r="AQ45" s="175">
        <f t="shared" ca="1" si="16"/>
        <v>0</v>
      </c>
      <c r="AR45" s="172">
        <f ca="1">IFERROR(__xludf.DUMMYFUNCTION("IMPORTRANGE(""https://docs.google.com/spreadsheets/d/1QC8psz9w0f9IVE9Xuc2FT_btkaOzZbbUSgYObpBuetM/edit?usp=sharing"",""สกลนคร!I113"")"),20)</f>
        <v>20</v>
      </c>
      <c r="AS45" s="172">
        <f ca="1">IFERROR(__xludf.DUMMYFUNCTION("IMPORTRANGE(""https://docs.google.com/spreadsheets/d/1QC8psz9w0f9IVE9Xuc2FT_btkaOzZbbUSgYObpBuetM/edit?usp=sharing"",""สกลนคร!J113"")"),0)</f>
        <v>0</v>
      </c>
      <c r="AT45" s="172">
        <f ca="1">IFERROR(__xludf.DUMMYFUNCTION("IMPORTRANGE(""https://docs.google.com/spreadsheets/d/1QC8psz9w0f9IVE9Xuc2FT_btkaOzZbbUSgYObpBuetM/edit?usp=sharing"",""สกลนคร!J114"")"),0)</f>
        <v>0</v>
      </c>
      <c r="AU45" s="172">
        <f ca="1">IFERROR(__xludf.DUMMYFUNCTION("IMPORTRANGE(""https://docs.google.com/spreadsheets/d/1QC8psz9w0f9IVE9Xuc2FT_btkaOzZbbUSgYObpBuetM/edit?usp=sharing"",""สกลนคร!I115"")"),1)</f>
        <v>1</v>
      </c>
      <c r="AV45" s="173">
        <f ca="1">IFERROR(__xludf.DUMMYFUNCTION("IMPORTRANGE(""https://docs.google.com/spreadsheets/d/1QC8psz9w0f9IVE9Xuc2FT_btkaOzZbbUSgYObpBuetM/edit?usp=sharing"",""สกลนคร!J115"")"),0)</f>
        <v>0</v>
      </c>
      <c r="AW45" s="175">
        <f t="shared" ca="1" si="18"/>
        <v>0</v>
      </c>
      <c r="AX45" s="172">
        <f ca="1">IFERROR(__xludf.DUMMYFUNCTION("IMPORTRANGE(""https://docs.google.com/spreadsheets/d/1QC8psz9w0f9IVE9Xuc2FT_btkaOzZbbUSgYObpBuetM/edit?usp=sharing"",""สกลนคร!I116"")"),1)</f>
        <v>1</v>
      </c>
      <c r="AY45" s="173">
        <f ca="1">IFERROR(__xludf.DUMMYFUNCTION("IMPORTRANGE(""https://docs.google.com/spreadsheets/d/1QC8psz9w0f9IVE9Xuc2FT_btkaOzZbbUSgYObpBuetM/edit?usp=sharing"",""สกลนคร!J116"")"),0)</f>
        <v>0</v>
      </c>
      <c r="AZ45" s="175">
        <f t="shared" ca="1" si="20"/>
        <v>0</v>
      </c>
    </row>
    <row r="46" spans="1:52" ht="21" customHeight="1" x14ac:dyDescent="0.3">
      <c r="A46" s="168">
        <v>15</v>
      </c>
      <c r="B46" s="169" t="s">
        <v>68</v>
      </c>
      <c r="C46" s="170">
        <f t="shared" ca="1" si="0"/>
        <v>98760</v>
      </c>
      <c r="D46" s="171">
        <f t="shared" ca="1" si="49"/>
        <v>98760</v>
      </c>
      <c r="E46" s="172">
        <f ca="1">IFERROR(__xludf.DUMMYFUNCTION("IMPORTRANGE(""https://docs.google.com/spreadsheets/d/1MeEWN-I1oV_STSDYn1IFDPWt_1FKiwhDph83XaGc0o0/edit?usp=sharing"",""งบพรบ!AR46"")"),0)</f>
        <v>0</v>
      </c>
      <c r="F46" s="172">
        <f ca="1">IFERROR(__xludf.DUMMYFUNCTION("IMPORTRANGE(""https://docs.google.com/spreadsheets/d/1MeEWN-I1oV_STSDYn1IFDPWt_1FKiwhDph83XaGc0o0/edit?usp=sharing"",""งบพรบ!AS46"")"),98760)</f>
        <v>98760</v>
      </c>
      <c r="G46" s="172">
        <f ca="1">IFERROR(__xludf.DUMMYFUNCTION("IMPORTRANGE(""https://docs.google.com/spreadsheets/d/1MeEWN-I1oV_STSDYn1IFDPWt_1FKiwhDph83XaGc0o0/edit?usp=sharing"",""งบพรบ!AT46"")"),0)</f>
        <v>0</v>
      </c>
      <c r="H46" s="172">
        <f ca="1">IFERROR(__xludf.DUMMYFUNCTION("IMPORTRANGE(""https://docs.google.com/spreadsheets/d/1MeEWN-I1oV_STSDYn1IFDPWt_1FKiwhDph83XaGc0o0/edit?usp=sharing"",""งบพรบ!AV46"")"),98760)</f>
        <v>98760</v>
      </c>
      <c r="I46" s="172">
        <f ca="1">IFERROR(__xludf.DUMMYFUNCTION("IMPORTRANGE(""https://docs.google.com/spreadsheets/d/1MeEWN-I1oV_STSDYn1IFDPWt_1FKiwhDph83XaGc0o0/edit?usp=sharing"",""งบพรบ!AW46"")"),0)</f>
        <v>0</v>
      </c>
      <c r="J46" s="172">
        <f t="shared" ca="1" si="3"/>
        <v>83140</v>
      </c>
      <c r="K46" s="179">
        <f t="shared" ca="1" si="4"/>
        <v>84.183880113406232</v>
      </c>
      <c r="L46" s="172">
        <f ca="1">IFERROR(__xludf.DUMMYFUNCTION("IMPORTRANGE(""https://docs.google.com/spreadsheets/d/1MeEWN-I1oV_STSDYn1IFDPWt_1FKiwhDph83XaGc0o0/edit?usp=sharing"",""งบพรบ!AX46"")"),83140)</f>
        <v>83140</v>
      </c>
      <c r="M46" s="175">
        <f t="shared" ca="1" si="5"/>
        <v>84.183880113406232</v>
      </c>
      <c r="N46" s="175">
        <f t="shared" ca="1" si="6"/>
        <v>84.183880113406232</v>
      </c>
      <c r="O46" s="176">
        <f ca="1">IFERROR(__xludf.DUMMYFUNCTION("IMPORTRANGE(""https://docs.google.com/spreadsheets/d/1MeEWN-I1oV_STSDYn1IFDPWt_1FKiwhDph83XaGc0o0/edit?usp=sharing"",""งบพรบ!AY46"")"),0)</f>
        <v>0</v>
      </c>
      <c r="P46" s="176">
        <f t="shared" ca="1" si="36"/>
        <v>0</v>
      </c>
      <c r="Q46" s="175">
        <f t="shared" ca="1" si="8"/>
        <v>0</v>
      </c>
      <c r="R46" s="173">
        <f ca="1">IFERROR(__xludf.DUMMYFUNCTION("IMPORTRANGE(""https://docs.google.com/spreadsheets/d/1wPdvRbu02d33MYVlbsCnyTiZpefEBs9NNktAnT1HZvw/edit?usp=sharing"",""สุรินทร์!I98"")"),45)</f>
        <v>45</v>
      </c>
      <c r="S46" s="173">
        <f ca="1">IFERROR(__xludf.DUMMYFUNCTION("IMPORTRANGE(""https://docs.google.com/spreadsheets/d/1wPdvRbu02d33MYVlbsCnyTiZpefEBs9NNktAnT1HZvw/edit?usp=sharing"",""สุรินทร์!J98"")"),45)</f>
        <v>45</v>
      </c>
      <c r="T46" s="173">
        <f t="shared" ca="1" si="10"/>
        <v>100</v>
      </c>
      <c r="U46" s="173">
        <f ca="1">IFERROR(__xludf.DUMMYFUNCTION("IMPORTRANGE(""https://docs.google.com/spreadsheets/d/1wPdvRbu02d33MYVlbsCnyTiZpefEBs9NNktAnT1HZvw/edit?usp=sharing"",""สุรินทร์!I99"")"),15)</f>
        <v>15</v>
      </c>
      <c r="V46" s="173">
        <f ca="1">IFERROR(__xludf.DUMMYFUNCTION("IMPORTRANGE(""https://docs.google.com/spreadsheets/d/1wPdvRbu02d33MYVlbsCnyTiZpefEBs9NNktAnT1HZvw/edit?usp=sharing"",""สุรินทร์!I100"")"),2)</f>
        <v>2</v>
      </c>
      <c r="W46" s="173">
        <f ca="1">IFERROR(__xludf.DUMMYFUNCTION("IMPORTRANGE(""https://docs.google.com/spreadsheets/d/1wPdvRbu02d33MYVlbsCnyTiZpefEBs9NNktAnT1HZvw/edit?usp=sharing"",""สุรินทร์!J99"")"),15)</f>
        <v>15</v>
      </c>
      <c r="X46" s="177">
        <f t="shared" ca="1" si="12"/>
        <v>100</v>
      </c>
      <c r="Y46" s="178">
        <f ca="1">IFERROR(__xludf.DUMMYFUNCTION("IMPORTRANGE(""https://docs.google.com/spreadsheets/d/1wPdvRbu02d33MYVlbsCnyTiZpefEBs9NNktAnT1HZvw/edit?usp=sharing"",""สุรินทร์!J100"")"),2)</f>
        <v>2</v>
      </c>
      <c r="Z46" s="177">
        <f t="shared" ca="1" si="13"/>
        <v>100</v>
      </c>
      <c r="AA46" s="172">
        <f ca="1">IFERROR(__xludf.DUMMYFUNCTION("IMPORTRANGE(""https://docs.google.com/spreadsheets/d/1wPdvRbu02d33MYVlbsCnyTiZpefEBs9NNktAnT1HZvw/edit?usp=sharing"",""สุรินทร์!I102"")"),45)</f>
        <v>45</v>
      </c>
      <c r="AB46" s="172">
        <f ca="1">IFERROR(__xludf.DUMMYFUNCTION("IMPORTRANGE(""https://docs.google.com/spreadsheets/d/1wPdvRbu02d33MYVlbsCnyTiZpefEBs9NNktAnT1HZvw/edit?usp=sharing"",""สุรินทร์!I103"")"),15)</f>
        <v>15</v>
      </c>
      <c r="AC46" s="173">
        <f ca="1">IFERROR(__xludf.DUMMYFUNCTION("IMPORTRANGE(""https://docs.google.com/spreadsheets/d/1wPdvRbu02d33MYVlbsCnyTiZpefEBs9NNktAnT1HZvw/edit?usp=sharing"",""สุรินทร์!J102"")"),45)</f>
        <v>45</v>
      </c>
      <c r="AD46" s="173">
        <f ca="1">IFERROR(__xludf.DUMMYFUNCTION("IMPORTRANGE(""https://docs.google.com/spreadsheets/d/1wPdvRbu02d33MYVlbsCnyTiZpefEBs9NNktAnT1HZvw/edit?usp=sharing"",""สุรินทร์!J103"")"),15)</f>
        <v>15</v>
      </c>
      <c r="AE46" s="173">
        <f ca="1">IFERROR(__xludf.DUMMYFUNCTION("IMPORTRANGE(""https://docs.google.com/spreadsheets/d/1wPdvRbu02d33MYVlbsCnyTiZpefEBs9NNktAnT1HZvw/edit?usp=sharing"",""สุรินทร์!J104"")"),15)</f>
        <v>15</v>
      </c>
      <c r="AF46" s="172">
        <f ca="1">IFERROR(__xludf.DUMMYFUNCTION("IMPORTRANGE(""https://docs.google.com/spreadsheets/d/1wPdvRbu02d33MYVlbsCnyTiZpefEBs9NNktAnT1HZvw/edit?usp=sharing"",""สุรินทร์!I106"")"),1)</f>
        <v>1</v>
      </c>
      <c r="AG46" s="173">
        <f ca="1">IFERROR(__xludf.DUMMYFUNCTION("IMPORTRANGE(""https://docs.google.com/spreadsheets/d/1wPdvRbu02d33MYVlbsCnyTiZpefEBs9NNktAnT1HZvw/edit?usp=sharing"",""สุรินทร์!J106"")"),1)</f>
        <v>1</v>
      </c>
      <c r="AH46" s="173">
        <f ca="1">IFERROR(__xludf.DUMMYFUNCTION("IMPORTRANGE(""https://docs.google.com/spreadsheets/d/1wPdvRbu02d33MYVlbsCnyTiZpefEBs9NNktAnT1HZvw/edit?usp=sharing"",""สุรินทร์!J107"")"),1)</f>
        <v>1</v>
      </c>
      <c r="AI46" s="172">
        <f ca="1">IFERROR(__xludf.DUMMYFUNCTION("IMPORTRANGE(""https://docs.google.com/spreadsheets/d/1wPdvRbu02d33MYVlbsCnyTiZpefEBs9NNktAnT1HZvw/edit?usp=sharing"",""สุรินทร์!I109"")"),1)</f>
        <v>1</v>
      </c>
      <c r="AJ46" s="173">
        <f ca="1">IFERROR(__xludf.DUMMYFUNCTION("IMPORTRANGE(""https://docs.google.com/spreadsheets/d/1wPdvRbu02d33MYVlbsCnyTiZpefEBs9NNktAnT1HZvw/edit?usp=sharing"",""สุรินทร์!J109"")"),1)</f>
        <v>1</v>
      </c>
      <c r="AK46" s="173">
        <f ca="1">IFERROR(__xludf.DUMMYFUNCTION("IMPORTRANGE(""https://docs.google.com/spreadsheets/d/1wPdvRbu02d33MYVlbsCnyTiZpefEBs9NNktAnT1HZvw/edit?usp=sharing"",""สุรินทร์!J110"")"),1)</f>
        <v>1</v>
      </c>
      <c r="AL46" s="172">
        <f ca="1">IFERROR(__xludf.DUMMYFUNCTION("IMPORTRANGE(""https://docs.google.com/spreadsheets/d/1wPdvRbu02d33MYVlbsCnyTiZpefEBs9NNktAnT1HZvw/edit?usp=sharing"",""สุรินทร์!I111"")"),15)</f>
        <v>15</v>
      </c>
      <c r="AM46" s="172">
        <f ca="1">IFERROR(__xludf.DUMMYFUNCTION("IMPORTRANGE(""https://docs.google.com/spreadsheets/d/1wPdvRbu02d33MYVlbsCnyTiZpefEBs9NNktAnT1HZvw/edit?usp=sharing"",""สุรินทร์!I112"")"),2)</f>
        <v>2</v>
      </c>
      <c r="AN46" s="173">
        <f ca="1">IFERROR(__xludf.DUMMYFUNCTION("IMPORTRANGE(""https://docs.google.com/spreadsheets/d/1wPdvRbu02d33MYVlbsCnyTiZpefEBs9NNktAnT1HZvw/edit?usp=sharing"",""สุรินทร์!J111"")"),0)</f>
        <v>0</v>
      </c>
      <c r="AO46" s="173">
        <f t="shared" ca="1" si="15"/>
        <v>0</v>
      </c>
      <c r="AP46" s="173">
        <f ca="1">IFERROR(__xludf.DUMMYFUNCTION("IMPORTRANGE(""https://docs.google.com/spreadsheets/d/1wPdvRbu02d33MYVlbsCnyTiZpefEBs9NNktAnT1HZvw/edit?usp=sharing"",""สุรินทร์!J112"")"),0)</f>
        <v>0</v>
      </c>
      <c r="AQ46" s="175">
        <f t="shared" ca="1" si="16"/>
        <v>0</v>
      </c>
      <c r="AR46" s="172">
        <f ca="1">IFERROR(__xludf.DUMMYFUNCTION("IMPORTRANGE(""https://docs.google.com/spreadsheets/d/1wPdvRbu02d33MYVlbsCnyTiZpefEBs9NNktAnT1HZvw/edit?usp=sharing"",""สุรินทร์!I113"")"),15)</f>
        <v>15</v>
      </c>
      <c r="AS46" s="172">
        <f ca="1">IFERROR(__xludf.DUMMYFUNCTION("IMPORTRANGE(""https://docs.google.com/spreadsheets/d/1wPdvRbu02d33MYVlbsCnyTiZpefEBs9NNktAnT1HZvw/edit?usp=sharing"",""สุรินทร์!J113"")"),0)</f>
        <v>0</v>
      </c>
      <c r="AT46" s="172">
        <f ca="1">IFERROR(__xludf.DUMMYFUNCTION("IMPORTRANGE(""https://docs.google.com/spreadsheets/d/1wPdvRbu02d33MYVlbsCnyTiZpefEBs9NNktAnT1HZvw/edit?usp=sharing"",""สุรินทร์!J114"")"),0)</f>
        <v>0</v>
      </c>
      <c r="AU46" s="172">
        <f ca="1">IFERROR(__xludf.DUMMYFUNCTION("IMPORTRANGE(""https://docs.google.com/spreadsheets/d/1wPdvRbu02d33MYVlbsCnyTiZpefEBs9NNktAnT1HZvw/edit?usp=sharing"",""สุรินทร์!I115"")"),1)</f>
        <v>1</v>
      </c>
      <c r="AV46" s="173">
        <f ca="1">IFERROR(__xludf.DUMMYFUNCTION("IMPORTRANGE(""https://docs.google.com/spreadsheets/d/1wPdvRbu02d33MYVlbsCnyTiZpefEBs9NNktAnT1HZvw/edit?usp=sharing"",""สุรินทร์!J115"")"),0)</f>
        <v>0</v>
      </c>
      <c r="AW46" s="175">
        <f t="shared" ca="1" si="18"/>
        <v>0</v>
      </c>
      <c r="AX46" s="172">
        <f ca="1">IFERROR(__xludf.DUMMYFUNCTION("IMPORTRANGE(""https://docs.google.com/spreadsheets/d/1wPdvRbu02d33MYVlbsCnyTiZpefEBs9NNktAnT1HZvw/edit?usp=sharing"",""สุรินทร์!I116"")"),1)</f>
        <v>1</v>
      </c>
      <c r="AY46" s="173">
        <f ca="1">IFERROR(__xludf.DUMMYFUNCTION("IMPORTRANGE(""https://docs.google.com/spreadsheets/d/1wPdvRbu02d33MYVlbsCnyTiZpefEBs9NNktAnT1HZvw/edit?usp=sharing"",""สุรินทร์!J116"")"),0)</f>
        <v>0</v>
      </c>
      <c r="AZ46" s="175">
        <f t="shared" ca="1" si="20"/>
        <v>0</v>
      </c>
    </row>
    <row r="47" spans="1:52" ht="21" customHeight="1" x14ac:dyDescent="0.3">
      <c r="A47" s="168">
        <v>16</v>
      </c>
      <c r="B47" s="169" t="s">
        <v>69</v>
      </c>
      <c r="C47" s="170">
        <f t="shared" ca="1" si="0"/>
        <v>140780</v>
      </c>
      <c r="D47" s="171">
        <f t="shared" ca="1" si="49"/>
        <v>140780</v>
      </c>
      <c r="E47" s="172">
        <f ca="1">IFERROR(__xludf.DUMMYFUNCTION("IMPORTRANGE(""https://docs.google.com/spreadsheets/d/1MeEWN-I1oV_STSDYn1IFDPWt_1FKiwhDph83XaGc0o0/edit?usp=sharing"",""งบพรบ!AR47"")"),0)</f>
        <v>0</v>
      </c>
      <c r="F47" s="172">
        <f ca="1">IFERROR(__xludf.DUMMYFUNCTION("IMPORTRANGE(""https://docs.google.com/spreadsheets/d/1MeEWN-I1oV_STSDYn1IFDPWt_1FKiwhDph83XaGc0o0/edit?usp=sharing"",""งบพรบ!AS47"")"),140780)</f>
        <v>140780</v>
      </c>
      <c r="G47" s="172">
        <f ca="1">IFERROR(__xludf.DUMMYFUNCTION("IMPORTRANGE(""https://docs.google.com/spreadsheets/d/1MeEWN-I1oV_STSDYn1IFDPWt_1FKiwhDph83XaGc0o0/edit?usp=sharing"",""งบพรบ!AT47"")"),0)</f>
        <v>0</v>
      </c>
      <c r="H47" s="172">
        <f ca="1">IFERROR(__xludf.DUMMYFUNCTION("IMPORTRANGE(""https://docs.google.com/spreadsheets/d/1MeEWN-I1oV_STSDYn1IFDPWt_1FKiwhDph83XaGc0o0/edit?usp=sharing"",""งบพรบ!AV47"")"),140780)</f>
        <v>140780</v>
      </c>
      <c r="I47" s="172">
        <f ca="1">IFERROR(__xludf.DUMMYFUNCTION("IMPORTRANGE(""https://docs.google.com/spreadsheets/d/1MeEWN-I1oV_STSDYn1IFDPWt_1FKiwhDph83XaGc0o0/edit?usp=sharing"",""งบพรบ!AW47"")"),0)</f>
        <v>0</v>
      </c>
      <c r="J47" s="172">
        <f t="shared" ca="1" si="3"/>
        <v>119940</v>
      </c>
      <c r="K47" s="179">
        <f t="shared" ca="1" si="4"/>
        <v>85.196760903537438</v>
      </c>
      <c r="L47" s="172">
        <f ca="1">IFERROR(__xludf.DUMMYFUNCTION("IMPORTRANGE(""https://docs.google.com/spreadsheets/d/1MeEWN-I1oV_STSDYn1IFDPWt_1FKiwhDph83XaGc0o0/edit?usp=sharing"",""งบพรบ!AX47"")"),119940)</f>
        <v>119940</v>
      </c>
      <c r="M47" s="175">
        <f t="shared" ca="1" si="5"/>
        <v>85.196760903537438</v>
      </c>
      <c r="N47" s="175">
        <f t="shared" ca="1" si="6"/>
        <v>85.196760903537438</v>
      </c>
      <c r="O47" s="176">
        <f ca="1">IFERROR(__xludf.DUMMYFUNCTION("IMPORTRANGE(""https://docs.google.com/spreadsheets/d/1MeEWN-I1oV_STSDYn1IFDPWt_1FKiwhDph83XaGc0o0/edit?usp=sharing"",""งบพรบ!AY47"")"),0)</f>
        <v>0</v>
      </c>
      <c r="P47" s="176">
        <f t="shared" ca="1" si="36"/>
        <v>0</v>
      </c>
      <c r="Q47" s="175">
        <f t="shared" ca="1" si="8"/>
        <v>0</v>
      </c>
      <c r="R47" s="173">
        <f ca="1">IFERROR(__xludf.DUMMYFUNCTION("IMPORTRANGE(""https://docs.google.com/spreadsheets/d/1GVExpf-Exi_2gmuqTYH28fseTB9MoKPXWcXCbSt_YrM/edit?usp=sharing"",""หนองคาย!I98"")"),60)</f>
        <v>60</v>
      </c>
      <c r="S47" s="173">
        <f ca="1">IFERROR(__xludf.DUMMYFUNCTION("IMPORTRANGE(""https://docs.google.com/spreadsheets/d/1GVExpf-Exi_2gmuqTYH28fseTB9MoKPXWcXCbSt_YrM/edit?usp=sharing"",""หนองคาย!J98"")"),60)</f>
        <v>60</v>
      </c>
      <c r="T47" s="173">
        <f t="shared" ca="1" si="10"/>
        <v>100</v>
      </c>
      <c r="U47" s="173">
        <f ca="1">IFERROR(__xludf.DUMMYFUNCTION("IMPORTRANGE(""https://docs.google.com/spreadsheets/d/1GVExpf-Exi_2gmuqTYH28fseTB9MoKPXWcXCbSt_YrM/edit?usp=sharing"",""หนองคาย!I99"")"),20)</f>
        <v>20</v>
      </c>
      <c r="V47" s="173">
        <f ca="1">IFERROR(__xludf.DUMMYFUNCTION("IMPORTRANGE(""https://docs.google.com/spreadsheets/d/1GVExpf-Exi_2gmuqTYH28fseTB9MoKPXWcXCbSt_YrM/edit?usp=sharing"",""หนองคาย!I100"")"),3)</f>
        <v>3</v>
      </c>
      <c r="W47" s="173">
        <f ca="1">IFERROR(__xludf.DUMMYFUNCTION("IMPORTRANGE(""https://docs.google.com/spreadsheets/d/1GVExpf-Exi_2gmuqTYH28fseTB9MoKPXWcXCbSt_YrM/edit?usp=sharing"",""หนองคาย!J99"")"),20)</f>
        <v>20</v>
      </c>
      <c r="X47" s="177">
        <f t="shared" ca="1" si="12"/>
        <v>100</v>
      </c>
      <c r="Y47" s="178">
        <f ca="1">IFERROR(__xludf.DUMMYFUNCTION("IMPORTRANGE(""https://docs.google.com/spreadsheets/d/1GVExpf-Exi_2gmuqTYH28fseTB9MoKPXWcXCbSt_YrM/edit?usp=sharing"",""หนองคาย!J100"")"),3)</f>
        <v>3</v>
      </c>
      <c r="Z47" s="177">
        <f t="shared" ca="1" si="13"/>
        <v>100</v>
      </c>
      <c r="AA47" s="172">
        <f ca="1">IFERROR(__xludf.DUMMYFUNCTION("IMPORTRANGE(""https://docs.google.com/spreadsheets/d/1GVExpf-Exi_2gmuqTYH28fseTB9MoKPXWcXCbSt_YrM/edit?usp=sharing"",""หนองคาย!I102"")"),60)</f>
        <v>60</v>
      </c>
      <c r="AB47" s="172">
        <f ca="1">IFERROR(__xludf.DUMMYFUNCTION("IMPORTRANGE(""https://docs.google.com/spreadsheets/d/1GVExpf-Exi_2gmuqTYH28fseTB9MoKPXWcXCbSt_YrM/edit?usp=sharing"",""หนองคาย!I103"")"),20)</f>
        <v>20</v>
      </c>
      <c r="AC47" s="173">
        <f ca="1">IFERROR(__xludf.DUMMYFUNCTION("IMPORTRANGE(""https://docs.google.com/spreadsheets/d/1GVExpf-Exi_2gmuqTYH28fseTB9MoKPXWcXCbSt_YrM/edit?usp=sharing"",""หนองคาย!J102"")"),60)</f>
        <v>60</v>
      </c>
      <c r="AD47" s="173">
        <f ca="1">IFERROR(__xludf.DUMMYFUNCTION("IMPORTRANGE(""https://docs.google.com/spreadsheets/d/1GVExpf-Exi_2gmuqTYH28fseTB9MoKPXWcXCbSt_YrM/edit?usp=sharing"",""หนองคาย!J103"")"),20)</f>
        <v>20</v>
      </c>
      <c r="AE47" s="173">
        <f ca="1">IFERROR(__xludf.DUMMYFUNCTION("IMPORTRANGE(""https://docs.google.com/spreadsheets/d/1GVExpf-Exi_2gmuqTYH28fseTB9MoKPXWcXCbSt_YrM/edit?usp=sharing"",""หนองคาย!J104"")"),20)</f>
        <v>20</v>
      </c>
      <c r="AF47" s="172">
        <f ca="1">IFERROR(__xludf.DUMMYFUNCTION("IMPORTRANGE(""https://docs.google.com/spreadsheets/d/1GVExpf-Exi_2gmuqTYH28fseTB9MoKPXWcXCbSt_YrM/edit?usp=sharing"",""หนองคาย!I106"")"),2)</f>
        <v>2</v>
      </c>
      <c r="AG47" s="173">
        <f ca="1">IFERROR(__xludf.DUMMYFUNCTION("IMPORTRANGE(""https://docs.google.com/spreadsheets/d/1GVExpf-Exi_2gmuqTYH28fseTB9MoKPXWcXCbSt_YrM/edit?usp=sharing"",""หนองคาย!J106"")"),2)</f>
        <v>2</v>
      </c>
      <c r="AH47" s="173">
        <f ca="1">IFERROR(__xludf.DUMMYFUNCTION("IMPORTRANGE(""https://docs.google.com/spreadsheets/d/1GVExpf-Exi_2gmuqTYH28fseTB9MoKPXWcXCbSt_YrM/edit?usp=sharing"",""หนองคาย!J107"")"),2)</f>
        <v>2</v>
      </c>
      <c r="AI47" s="172">
        <f ca="1">IFERROR(__xludf.DUMMYFUNCTION("IMPORTRANGE(""https://docs.google.com/spreadsheets/d/1GVExpf-Exi_2gmuqTYH28fseTB9MoKPXWcXCbSt_YrM/edit?usp=sharing"",""หนองคาย!I109"")"),1)</f>
        <v>1</v>
      </c>
      <c r="AJ47" s="173">
        <f ca="1">IFERROR(__xludf.DUMMYFUNCTION("IMPORTRANGE(""https://docs.google.com/spreadsheets/d/1GVExpf-Exi_2gmuqTYH28fseTB9MoKPXWcXCbSt_YrM/edit?usp=sharing"",""หนองคาย!J109"")"),1)</f>
        <v>1</v>
      </c>
      <c r="AK47" s="173">
        <f ca="1">IFERROR(__xludf.DUMMYFUNCTION("IMPORTRANGE(""https://docs.google.com/spreadsheets/d/1GVExpf-Exi_2gmuqTYH28fseTB9MoKPXWcXCbSt_YrM/edit?usp=sharing"",""หนองคาย!J110"")"),1)</f>
        <v>1</v>
      </c>
      <c r="AL47" s="172">
        <f ca="1">IFERROR(__xludf.DUMMYFUNCTION("IMPORTRANGE(""https://docs.google.com/spreadsheets/d/1GVExpf-Exi_2gmuqTYH28fseTB9MoKPXWcXCbSt_YrM/edit?usp=sharing"",""หนองคาย!I111"")"),20)</f>
        <v>20</v>
      </c>
      <c r="AM47" s="172">
        <f ca="1">IFERROR(__xludf.DUMMYFUNCTION("IMPORTRANGE(""https://docs.google.com/spreadsheets/d/1GVExpf-Exi_2gmuqTYH28fseTB9MoKPXWcXCbSt_YrM/edit?usp=sharing"",""หนองคาย!I112"")"),3)</f>
        <v>3</v>
      </c>
      <c r="AN47" s="173">
        <f ca="1">IFERROR(__xludf.DUMMYFUNCTION("IMPORTRANGE(""https://docs.google.com/spreadsheets/d/1GVExpf-Exi_2gmuqTYH28fseTB9MoKPXWcXCbSt_YrM/edit?usp=sharing"",""หนองคาย!J111"")"),0)</f>
        <v>0</v>
      </c>
      <c r="AO47" s="173">
        <f t="shared" ca="1" si="15"/>
        <v>0</v>
      </c>
      <c r="AP47" s="173">
        <f ca="1">IFERROR(__xludf.DUMMYFUNCTION("IMPORTRANGE(""https://docs.google.com/spreadsheets/d/1GVExpf-Exi_2gmuqTYH28fseTB9MoKPXWcXCbSt_YrM/edit?usp=sharing"",""หนองคาย!J112"")"),1)</f>
        <v>1</v>
      </c>
      <c r="AQ47" s="175">
        <f t="shared" ca="1" si="16"/>
        <v>33.333333333333336</v>
      </c>
      <c r="AR47" s="172">
        <f ca="1">IFERROR(__xludf.DUMMYFUNCTION("IMPORTRANGE(""https://docs.google.com/spreadsheets/d/1GVExpf-Exi_2gmuqTYH28fseTB9MoKPXWcXCbSt_YrM/edit?usp=sharing"",""หนองคาย!I113"")"),20)</f>
        <v>20</v>
      </c>
      <c r="AS47" s="172">
        <f ca="1">IFERROR(__xludf.DUMMYFUNCTION("IMPORTRANGE(""https://docs.google.com/spreadsheets/d/1GVExpf-Exi_2gmuqTYH28fseTB9MoKPXWcXCbSt_YrM/edit?usp=sharing"",""หนองคาย!J113"")"),0)</f>
        <v>0</v>
      </c>
      <c r="AT47" s="172">
        <f ca="1">IFERROR(__xludf.DUMMYFUNCTION("IMPORTRANGE(""https://docs.google.com/spreadsheets/d/1GVExpf-Exi_2gmuqTYH28fseTB9MoKPXWcXCbSt_YrM/edit?usp=sharing"",""หนองคาย!J114"")"),0)</f>
        <v>0</v>
      </c>
      <c r="AU47" s="172">
        <f ca="1">IFERROR(__xludf.DUMMYFUNCTION("IMPORTRANGE(""https://docs.google.com/spreadsheets/d/1GVExpf-Exi_2gmuqTYH28fseTB9MoKPXWcXCbSt_YrM/edit?usp=sharing"",""หนองคาย!I115"")"),2)</f>
        <v>2</v>
      </c>
      <c r="AV47" s="173">
        <f ca="1">IFERROR(__xludf.DUMMYFUNCTION("IMPORTRANGE(""https://docs.google.com/spreadsheets/d/1GVExpf-Exi_2gmuqTYH28fseTB9MoKPXWcXCbSt_YrM/edit?usp=sharing"",""หนองคาย!J115"")"),1)</f>
        <v>1</v>
      </c>
      <c r="AW47" s="175">
        <f t="shared" ca="1" si="18"/>
        <v>50</v>
      </c>
      <c r="AX47" s="172">
        <f ca="1">IFERROR(__xludf.DUMMYFUNCTION("IMPORTRANGE(""https://docs.google.com/spreadsheets/d/1GVExpf-Exi_2gmuqTYH28fseTB9MoKPXWcXCbSt_YrM/edit?usp=sharing"",""หนองคาย!I116"")"),1)</f>
        <v>1</v>
      </c>
      <c r="AY47" s="173">
        <f ca="1">IFERROR(__xludf.DUMMYFUNCTION("IMPORTRANGE(""https://docs.google.com/spreadsheets/d/1GVExpf-Exi_2gmuqTYH28fseTB9MoKPXWcXCbSt_YrM/edit?usp=sharing"",""หนองคาย!J116"")"),0)</f>
        <v>0</v>
      </c>
      <c r="AZ47" s="175">
        <f t="shared" ca="1" si="20"/>
        <v>0</v>
      </c>
    </row>
    <row r="48" spans="1:52" ht="21" customHeight="1" x14ac:dyDescent="0.3">
      <c r="A48" s="168">
        <v>17</v>
      </c>
      <c r="B48" s="169" t="s">
        <v>70</v>
      </c>
      <c r="C48" s="170">
        <f t="shared" ca="1" si="0"/>
        <v>86040</v>
      </c>
      <c r="D48" s="171">
        <f t="shared" ca="1" si="49"/>
        <v>86040</v>
      </c>
      <c r="E48" s="172">
        <f ca="1">IFERROR(__xludf.DUMMYFUNCTION("IMPORTRANGE(""https://docs.google.com/spreadsheets/d/1MeEWN-I1oV_STSDYn1IFDPWt_1FKiwhDph83XaGc0o0/edit?usp=sharing"",""งบพรบ!AR48"")"),0)</f>
        <v>0</v>
      </c>
      <c r="F48" s="172">
        <f ca="1">IFERROR(__xludf.DUMMYFUNCTION("IMPORTRANGE(""https://docs.google.com/spreadsheets/d/1MeEWN-I1oV_STSDYn1IFDPWt_1FKiwhDph83XaGc0o0/edit?usp=sharing"",""งบพรบ!AS48"")"),86040)</f>
        <v>86040</v>
      </c>
      <c r="G48" s="172">
        <f ca="1">IFERROR(__xludf.DUMMYFUNCTION("IMPORTRANGE(""https://docs.google.com/spreadsheets/d/1MeEWN-I1oV_STSDYn1IFDPWt_1FKiwhDph83XaGc0o0/edit?usp=sharing"",""งบพรบ!AT48"")"),0)</f>
        <v>0</v>
      </c>
      <c r="H48" s="172">
        <f ca="1">IFERROR(__xludf.DUMMYFUNCTION("IMPORTRANGE(""https://docs.google.com/spreadsheets/d/1MeEWN-I1oV_STSDYn1IFDPWt_1FKiwhDph83XaGc0o0/edit?usp=sharing"",""งบพรบ!AV48"")"),86040)</f>
        <v>86040</v>
      </c>
      <c r="I48" s="172">
        <f ca="1">IFERROR(__xludf.DUMMYFUNCTION("IMPORTRANGE(""https://docs.google.com/spreadsheets/d/1MeEWN-I1oV_STSDYn1IFDPWt_1FKiwhDph83XaGc0o0/edit?usp=sharing"",""งบพรบ!AW48"")"),0)</f>
        <v>0</v>
      </c>
      <c r="J48" s="172">
        <f t="shared" ca="1" si="3"/>
        <v>79619</v>
      </c>
      <c r="K48" s="179">
        <f t="shared" ca="1" si="4"/>
        <v>92.537192003719198</v>
      </c>
      <c r="L48" s="172">
        <f ca="1">IFERROR(__xludf.DUMMYFUNCTION("IMPORTRANGE(""https://docs.google.com/spreadsheets/d/1MeEWN-I1oV_STSDYn1IFDPWt_1FKiwhDph83XaGc0o0/edit?usp=sharing"",""งบพรบ!AX48"")"),79619)</f>
        <v>79619</v>
      </c>
      <c r="M48" s="175">
        <f t="shared" ca="1" si="5"/>
        <v>92.537192003719198</v>
      </c>
      <c r="N48" s="175">
        <f t="shared" ca="1" si="6"/>
        <v>92.537192003719198</v>
      </c>
      <c r="O48" s="176">
        <f ca="1">IFERROR(__xludf.DUMMYFUNCTION("IMPORTRANGE(""https://docs.google.com/spreadsheets/d/1MeEWN-I1oV_STSDYn1IFDPWt_1FKiwhDph83XaGc0o0/edit?usp=sharing"",""งบพรบ!AY48"")"),0)</f>
        <v>0</v>
      </c>
      <c r="P48" s="176">
        <f t="shared" ca="1" si="36"/>
        <v>0</v>
      </c>
      <c r="Q48" s="175">
        <f t="shared" ca="1" si="8"/>
        <v>0</v>
      </c>
      <c r="R48" s="173">
        <f ca="1">IFERROR(__xludf.DUMMYFUNCTION("IMPORTRANGE(""https://docs.google.com/spreadsheets/d/16UeMz0UgOB5BZcoxP75eYGcLFtGYRn9GoesD4OX9m5U/edit?usp=sharing"",""หนองบัวลำภู!I98"")"),30)</f>
        <v>30</v>
      </c>
      <c r="S48" s="173">
        <f ca="1">IFERROR(__xludf.DUMMYFUNCTION("IMPORTRANGE(""https://docs.google.com/spreadsheets/d/16UeMz0UgOB5BZcoxP75eYGcLFtGYRn9GoesD4OX9m5U/edit?usp=sharing"",""หนองบัวลำภู!J98"")"),30)</f>
        <v>30</v>
      </c>
      <c r="T48" s="173">
        <f t="shared" ca="1" si="10"/>
        <v>100</v>
      </c>
      <c r="U48" s="173">
        <f ca="1">IFERROR(__xludf.DUMMYFUNCTION("IMPORTRANGE(""https://docs.google.com/spreadsheets/d/16UeMz0UgOB5BZcoxP75eYGcLFtGYRn9GoesD4OX9m5U/edit?usp=sharing"",""หนองบัวลำภู!I99"")"),10)</f>
        <v>10</v>
      </c>
      <c r="V48" s="173">
        <f ca="1">IFERROR(__xludf.DUMMYFUNCTION("IMPORTRANGE(""https://docs.google.com/spreadsheets/d/16UeMz0UgOB5BZcoxP75eYGcLFtGYRn9GoesD4OX9m5U/edit?usp=sharing"",""หนองบัวลำภู!I100"")"),2)</f>
        <v>2</v>
      </c>
      <c r="W48" s="173">
        <f ca="1">IFERROR(__xludf.DUMMYFUNCTION("IMPORTRANGE(""https://docs.google.com/spreadsheets/d/16UeMz0UgOB5BZcoxP75eYGcLFtGYRn9GoesD4OX9m5U/edit?usp=sharing"",""หนองบัวลำภู!J99"")"),10)</f>
        <v>10</v>
      </c>
      <c r="X48" s="177">
        <f t="shared" ca="1" si="12"/>
        <v>100</v>
      </c>
      <c r="Y48" s="178">
        <f ca="1">IFERROR(__xludf.DUMMYFUNCTION("IMPORTRANGE(""https://docs.google.com/spreadsheets/d/16UeMz0UgOB5BZcoxP75eYGcLFtGYRn9GoesD4OX9m5U/edit?usp=sharing"",""หนองบัวลำภู!J100"")"),2)</f>
        <v>2</v>
      </c>
      <c r="Z48" s="177">
        <f t="shared" ca="1" si="13"/>
        <v>100</v>
      </c>
      <c r="AA48" s="172">
        <f ca="1">IFERROR(__xludf.DUMMYFUNCTION("IMPORTRANGE(""https://docs.google.com/spreadsheets/d/16UeMz0UgOB5BZcoxP75eYGcLFtGYRn9GoesD4OX9m5U/edit?usp=sharing"",""หนองบัวลำภู!I102"")"),30)</f>
        <v>30</v>
      </c>
      <c r="AB48" s="172">
        <f ca="1">IFERROR(__xludf.DUMMYFUNCTION("IMPORTRANGE(""https://docs.google.com/spreadsheets/d/16UeMz0UgOB5BZcoxP75eYGcLFtGYRn9GoesD4OX9m5U/edit?usp=sharing"",""หนองบัวลำภู!I103"")"),10)</f>
        <v>10</v>
      </c>
      <c r="AC48" s="173">
        <f ca="1">IFERROR(__xludf.DUMMYFUNCTION("IMPORTRANGE(""https://docs.google.com/spreadsheets/d/16UeMz0UgOB5BZcoxP75eYGcLFtGYRn9GoesD4OX9m5U/edit?usp=sharing"",""หนองบัวลำภู!J102"")"),30)</f>
        <v>30</v>
      </c>
      <c r="AD48" s="173">
        <f ca="1">IFERROR(__xludf.DUMMYFUNCTION("IMPORTRANGE(""https://docs.google.com/spreadsheets/d/16UeMz0UgOB5BZcoxP75eYGcLFtGYRn9GoesD4OX9m5U/edit?usp=sharing"",""หนองบัวลำภู!J103"")"),10)</f>
        <v>10</v>
      </c>
      <c r="AE48" s="173">
        <f ca="1">IFERROR(__xludf.DUMMYFUNCTION("IMPORTRANGE(""https://docs.google.com/spreadsheets/d/16UeMz0UgOB5BZcoxP75eYGcLFtGYRn9GoesD4OX9m5U/edit?usp=sharing"",""หนองบัวลำภู!J104"")"),10)</f>
        <v>10</v>
      </c>
      <c r="AF48" s="172">
        <f ca="1">IFERROR(__xludf.DUMMYFUNCTION("IMPORTRANGE(""https://docs.google.com/spreadsheets/d/16UeMz0UgOB5BZcoxP75eYGcLFtGYRn9GoesD4OX9m5U/edit?usp=sharing"",""หนองบัวลำภู!I106"")"),1)</f>
        <v>1</v>
      </c>
      <c r="AG48" s="173">
        <f ca="1">IFERROR(__xludf.DUMMYFUNCTION("IMPORTRANGE(""https://docs.google.com/spreadsheets/d/16UeMz0UgOB5BZcoxP75eYGcLFtGYRn9GoesD4OX9m5U/edit?usp=sharing"",""หนองบัวลำภู!J106"")"),1)</f>
        <v>1</v>
      </c>
      <c r="AH48" s="173">
        <f ca="1">IFERROR(__xludf.DUMMYFUNCTION("IMPORTRANGE(""https://docs.google.com/spreadsheets/d/16UeMz0UgOB5BZcoxP75eYGcLFtGYRn9GoesD4OX9m5U/edit?usp=sharing"",""หนองบัวลำภู!J107"")"),1)</f>
        <v>1</v>
      </c>
      <c r="AI48" s="172">
        <f ca="1">IFERROR(__xludf.DUMMYFUNCTION("IMPORTRANGE(""https://docs.google.com/spreadsheets/d/16UeMz0UgOB5BZcoxP75eYGcLFtGYRn9GoesD4OX9m5U/edit?usp=sharing"",""หนองบัวลำภู!I109"")"),1)</f>
        <v>1</v>
      </c>
      <c r="AJ48" s="173">
        <f ca="1">IFERROR(__xludf.DUMMYFUNCTION("IMPORTRANGE(""https://docs.google.com/spreadsheets/d/16UeMz0UgOB5BZcoxP75eYGcLFtGYRn9GoesD4OX9m5U/edit?usp=sharing"",""หนองบัวลำภู!J109"")"),1)</f>
        <v>1</v>
      </c>
      <c r="AK48" s="173">
        <f ca="1">IFERROR(__xludf.DUMMYFUNCTION("IMPORTRANGE(""https://docs.google.com/spreadsheets/d/16UeMz0UgOB5BZcoxP75eYGcLFtGYRn9GoesD4OX9m5U/edit?usp=sharing"",""หนองบัวลำภู!J110"")"),1)</f>
        <v>1</v>
      </c>
      <c r="AL48" s="172">
        <f ca="1">IFERROR(__xludf.DUMMYFUNCTION("IMPORTRANGE(""https://docs.google.com/spreadsheets/d/16UeMz0UgOB5BZcoxP75eYGcLFtGYRn9GoesD4OX9m5U/edit?usp=sharing"",""หนองบัวลำภู!I111"")"),10)</f>
        <v>10</v>
      </c>
      <c r="AM48" s="172">
        <f ca="1">IFERROR(__xludf.DUMMYFUNCTION("IMPORTRANGE(""https://docs.google.com/spreadsheets/d/16UeMz0UgOB5BZcoxP75eYGcLFtGYRn9GoesD4OX9m5U/edit?usp=sharing"",""หนองบัวลำภู!I112"")"),2)</f>
        <v>2</v>
      </c>
      <c r="AN48" s="173">
        <f ca="1">IFERROR(__xludf.DUMMYFUNCTION("IMPORTRANGE(""https://docs.google.com/spreadsheets/d/16UeMz0UgOB5BZcoxP75eYGcLFtGYRn9GoesD4OX9m5U/edit?usp=sharing"",""หนองบัวลำภู!J111"")"),10)</f>
        <v>10</v>
      </c>
      <c r="AO48" s="173">
        <f t="shared" ca="1" si="15"/>
        <v>100</v>
      </c>
      <c r="AP48" s="173">
        <f ca="1">IFERROR(__xludf.DUMMYFUNCTION("IMPORTRANGE(""https://docs.google.com/spreadsheets/d/16UeMz0UgOB5BZcoxP75eYGcLFtGYRn9GoesD4OX9m5U/edit?usp=sharing"",""หนองบัวลำภู!J112"")"),2)</f>
        <v>2</v>
      </c>
      <c r="AQ48" s="175">
        <f t="shared" ca="1" si="16"/>
        <v>100</v>
      </c>
      <c r="AR48" s="172">
        <f ca="1">IFERROR(__xludf.DUMMYFUNCTION("IMPORTRANGE(""https://docs.google.com/spreadsheets/d/16UeMz0UgOB5BZcoxP75eYGcLFtGYRn9GoesD4OX9m5U/edit?usp=sharing"",""หนองบัวลำภู!I113"")"),10)</f>
        <v>10</v>
      </c>
      <c r="AS48" s="172">
        <f ca="1">IFERROR(__xludf.DUMMYFUNCTION("IMPORTRANGE(""https://docs.google.com/spreadsheets/d/16UeMz0UgOB5BZcoxP75eYGcLFtGYRn9GoesD4OX9m5U/edit?usp=sharing"",""หนองบัวลำภู!J113"")"),10)</f>
        <v>10</v>
      </c>
      <c r="AT48" s="172">
        <f ca="1">IFERROR(__xludf.DUMMYFUNCTION("IMPORTRANGE(""https://docs.google.com/spreadsheets/d/16UeMz0UgOB5BZcoxP75eYGcLFtGYRn9GoesD4OX9m5U/edit?usp=sharing"",""หนองบัวลำภู!J114"")"),10)</f>
        <v>10</v>
      </c>
      <c r="AU48" s="172">
        <f ca="1">IFERROR(__xludf.DUMMYFUNCTION("IMPORTRANGE(""https://docs.google.com/spreadsheets/d/16UeMz0UgOB5BZcoxP75eYGcLFtGYRn9GoesD4OX9m5U/edit?usp=sharing"",""หนองบัวลำภู!I115"")"),1)</f>
        <v>1</v>
      </c>
      <c r="AV48" s="173">
        <f ca="1">IFERROR(__xludf.DUMMYFUNCTION("IMPORTRANGE(""https://docs.google.com/spreadsheets/d/16UeMz0UgOB5BZcoxP75eYGcLFtGYRn9GoesD4OX9m5U/edit?usp=sharing"",""หนองบัวลำภู!J115"")"),1)</f>
        <v>1</v>
      </c>
      <c r="AW48" s="175">
        <f t="shared" ca="1" si="18"/>
        <v>100</v>
      </c>
      <c r="AX48" s="172">
        <f ca="1">IFERROR(__xludf.DUMMYFUNCTION("IMPORTRANGE(""https://docs.google.com/spreadsheets/d/16UeMz0UgOB5BZcoxP75eYGcLFtGYRn9GoesD4OX9m5U/edit?usp=sharing"",""หนองบัวลำภู!I116"")"),1)</f>
        <v>1</v>
      </c>
      <c r="AY48" s="173">
        <f ca="1">IFERROR(__xludf.DUMMYFUNCTION("IMPORTRANGE(""https://docs.google.com/spreadsheets/d/16UeMz0UgOB5BZcoxP75eYGcLFtGYRn9GoesD4OX9m5U/edit?usp=sharing"",""หนองบัวลำภู!J116"")"),1)</f>
        <v>1</v>
      </c>
      <c r="AZ48" s="175">
        <f t="shared" ca="1" si="20"/>
        <v>100</v>
      </c>
    </row>
    <row r="49" spans="1:52" ht="21" customHeight="1" x14ac:dyDescent="0.3">
      <c r="A49" s="168">
        <v>18</v>
      </c>
      <c r="B49" s="169" t="s">
        <v>71</v>
      </c>
      <c r="C49" s="170">
        <f t="shared" ca="1" si="0"/>
        <v>56040</v>
      </c>
      <c r="D49" s="171">
        <f t="shared" ca="1" si="49"/>
        <v>56040</v>
      </c>
      <c r="E49" s="172">
        <f ca="1">IFERROR(__xludf.DUMMYFUNCTION("IMPORTRANGE(""https://docs.google.com/spreadsheets/d/1MeEWN-I1oV_STSDYn1IFDPWt_1FKiwhDph83XaGc0o0/edit?usp=sharing"",""งบพรบ!AR49"")"),0)</f>
        <v>0</v>
      </c>
      <c r="F49" s="172">
        <f ca="1">IFERROR(__xludf.DUMMYFUNCTION("IMPORTRANGE(""https://docs.google.com/spreadsheets/d/1MeEWN-I1oV_STSDYn1IFDPWt_1FKiwhDph83XaGc0o0/edit?usp=sharing"",""งบพรบ!AS49"")"),56040)</f>
        <v>56040</v>
      </c>
      <c r="G49" s="172">
        <f ca="1">IFERROR(__xludf.DUMMYFUNCTION("IMPORTRANGE(""https://docs.google.com/spreadsheets/d/1MeEWN-I1oV_STSDYn1IFDPWt_1FKiwhDph83XaGc0o0/edit?usp=sharing"",""งบพรบ!AT49"")"),0)</f>
        <v>0</v>
      </c>
      <c r="H49" s="172">
        <f ca="1">IFERROR(__xludf.DUMMYFUNCTION("IMPORTRANGE(""https://docs.google.com/spreadsheets/d/1MeEWN-I1oV_STSDYn1IFDPWt_1FKiwhDph83XaGc0o0/edit?usp=sharing"",""งบพรบ!AV49"")"),92640)</f>
        <v>92640</v>
      </c>
      <c r="I49" s="172">
        <f ca="1">IFERROR(__xludf.DUMMYFUNCTION("IMPORTRANGE(""https://docs.google.com/spreadsheets/d/1MeEWN-I1oV_STSDYn1IFDPWt_1FKiwhDph83XaGc0o0/edit?usp=sharing"",""งบพรบ!AW49"")"),0)</f>
        <v>0</v>
      </c>
      <c r="J49" s="172">
        <f t="shared" ca="1" si="3"/>
        <v>90740</v>
      </c>
      <c r="K49" s="179">
        <f t="shared" ca="1" si="4"/>
        <v>161.92005710206996</v>
      </c>
      <c r="L49" s="172">
        <f ca="1">IFERROR(__xludf.DUMMYFUNCTION("IMPORTRANGE(""https://docs.google.com/spreadsheets/d/1MeEWN-I1oV_STSDYn1IFDPWt_1FKiwhDph83XaGc0o0/edit?usp=sharing"",""งบพรบ!AX49"")"),90740)</f>
        <v>90740</v>
      </c>
      <c r="M49" s="175">
        <f t="shared" ca="1" si="5"/>
        <v>161.92005710206996</v>
      </c>
      <c r="N49" s="175">
        <f t="shared" ca="1" si="6"/>
        <v>97.949050086355783</v>
      </c>
      <c r="O49" s="176">
        <f ca="1">IFERROR(__xludf.DUMMYFUNCTION("IMPORTRANGE(""https://docs.google.com/spreadsheets/d/1MeEWN-I1oV_STSDYn1IFDPWt_1FKiwhDph83XaGc0o0/edit?usp=sharing"",""งบพรบ!AY49"")"),0)</f>
        <v>0</v>
      </c>
      <c r="P49" s="176">
        <f t="shared" ca="1" si="36"/>
        <v>0</v>
      </c>
      <c r="Q49" s="175">
        <f t="shared" ca="1" si="8"/>
        <v>0</v>
      </c>
      <c r="R49" s="173">
        <f ca="1">IFERROR(__xludf.DUMMYFUNCTION("IMPORTRANGE(""https://docs.google.com/spreadsheets/d/1uUP8Zo1-qaJLuIkRU0qlwLSE3DHkbdrrj2JGJiWBQZE/edit?usp=sharing"",""อำนาจเจริญ!I98"")"),30)</f>
        <v>30</v>
      </c>
      <c r="S49" s="173">
        <f ca="1">IFERROR(__xludf.DUMMYFUNCTION("IMPORTRANGE(""https://docs.google.com/spreadsheets/d/1uUP8Zo1-qaJLuIkRU0qlwLSE3DHkbdrrj2JGJiWBQZE/edit?usp=sharing"",""อำนาจเจริญ!J98"")"),30)</f>
        <v>30</v>
      </c>
      <c r="T49" s="173">
        <f t="shared" ca="1" si="10"/>
        <v>100</v>
      </c>
      <c r="U49" s="173">
        <f ca="1">IFERROR(__xludf.DUMMYFUNCTION("IMPORTRANGE(""https://docs.google.com/spreadsheets/d/1uUP8Zo1-qaJLuIkRU0qlwLSE3DHkbdrrj2JGJiWBQZE/edit?usp=sharing"",""อำนาจเจริญ!I99"")"),10)</f>
        <v>10</v>
      </c>
      <c r="V49" s="173">
        <f ca="1">IFERROR(__xludf.DUMMYFUNCTION("IMPORTRANGE(""https://docs.google.com/spreadsheets/d/1uUP8Zo1-qaJLuIkRU0qlwLSE3DHkbdrrj2JGJiWBQZE/edit?usp=sharing"",""อำนาจเจริญ!I100"")"),1)</f>
        <v>1</v>
      </c>
      <c r="W49" s="173">
        <f ca="1">IFERROR(__xludf.DUMMYFUNCTION("IMPORTRANGE(""https://docs.google.com/spreadsheets/d/1uUP8Zo1-qaJLuIkRU0qlwLSE3DHkbdrrj2JGJiWBQZE/edit?usp=sharing"",""อำนาจเจริญ!J99"")"),10)</f>
        <v>10</v>
      </c>
      <c r="X49" s="177">
        <f t="shared" ca="1" si="12"/>
        <v>100</v>
      </c>
      <c r="Y49" s="178">
        <f ca="1">IFERROR(__xludf.DUMMYFUNCTION("IMPORTRANGE(""https://docs.google.com/spreadsheets/d/1uUP8Zo1-qaJLuIkRU0qlwLSE3DHkbdrrj2JGJiWBQZE/edit?usp=sharing"",""อำนาจเจริญ!J100"")"),1)</f>
        <v>1</v>
      </c>
      <c r="Z49" s="177">
        <f t="shared" ca="1" si="13"/>
        <v>100</v>
      </c>
      <c r="AA49" s="172">
        <f ca="1">IFERROR(__xludf.DUMMYFUNCTION("IMPORTRANGE(""https://docs.google.com/spreadsheets/d/1uUP8Zo1-qaJLuIkRU0qlwLSE3DHkbdrrj2JGJiWBQZE/edit?usp=sharing"",""อำนาจเจริญ!I102"")"),30)</f>
        <v>30</v>
      </c>
      <c r="AB49" s="172">
        <f ca="1">IFERROR(__xludf.DUMMYFUNCTION("IMPORTRANGE(""https://docs.google.com/spreadsheets/d/1uUP8Zo1-qaJLuIkRU0qlwLSE3DHkbdrrj2JGJiWBQZE/edit?usp=sharing"",""อำนาจเจริญ!I103"")"),10)</f>
        <v>10</v>
      </c>
      <c r="AC49" s="173">
        <f ca="1">IFERROR(__xludf.DUMMYFUNCTION("IMPORTRANGE(""https://docs.google.com/spreadsheets/d/1uUP8Zo1-qaJLuIkRU0qlwLSE3DHkbdrrj2JGJiWBQZE/edit?usp=sharing"",""อำนาจเจริญ!J102"")"),30)</f>
        <v>30</v>
      </c>
      <c r="AD49" s="173">
        <f ca="1">IFERROR(__xludf.DUMMYFUNCTION("IMPORTRANGE(""https://docs.google.com/spreadsheets/d/1uUP8Zo1-qaJLuIkRU0qlwLSE3DHkbdrrj2JGJiWBQZE/edit?usp=sharing"",""อำนาจเจริญ!J103"")"),10)</f>
        <v>10</v>
      </c>
      <c r="AE49" s="173">
        <f ca="1">IFERROR(__xludf.DUMMYFUNCTION("IMPORTRANGE(""https://docs.google.com/spreadsheets/d/1uUP8Zo1-qaJLuIkRU0qlwLSE3DHkbdrrj2JGJiWBQZE/edit?usp=sharing"",""อำนาจเจริญ!J104"")"),10)</f>
        <v>10</v>
      </c>
      <c r="AF49" s="172">
        <f ca="1">IFERROR(__xludf.DUMMYFUNCTION("IMPORTRANGE(""https://docs.google.com/spreadsheets/d/1uUP8Zo1-qaJLuIkRU0qlwLSE3DHkbdrrj2JGJiWBQZE/edit?usp=sharing"",""อำนาจเจริญ!I106"")"),1)</f>
        <v>1</v>
      </c>
      <c r="AG49" s="173">
        <f ca="1">IFERROR(__xludf.DUMMYFUNCTION("IMPORTRANGE(""https://docs.google.com/spreadsheets/d/1uUP8Zo1-qaJLuIkRU0qlwLSE3DHkbdrrj2JGJiWBQZE/edit?usp=sharing"",""อำนาจเจริญ!J106"")"),1)</f>
        <v>1</v>
      </c>
      <c r="AH49" s="173">
        <f ca="1">IFERROR(__xludf.DUMMYFUNCTION("IMPORTRANGE(""https://docs.google.com/spreadsheets/d/1uUP8Zo1-qaJLuIkRU0qlwLSE3DHkbdrrj2JGJiWBQZE/edit?usp=sharing"",""อำนาจเจริญ!J107"")"),1)</f>
        <v>1</v>
      </c>
      <c r="AI49" s="172">
        <f ca="1">IFERROR(__xludf.DUMMYFUNCTION("IMPORTRANGE(""https://docs.google.com/spreadsheets/d/1uUP8Zo1-qaJLuIkRU0qlwLSE3DHkbdrrj2JGJiWBQZE/edit?usp=sharing"",""อำนาจเจริญ!I109"")"),0)</f>
        <v>0</v>
      </c>
      <c r="AJ49" s="173">
        <f ca="1">IFERROR(__xludf.DUMMYFUNCTION("IMPORTRANGE(""https://docs.google.com/spreadsheets/d/1uUP8Zo1-qaJLuIkRU0qlwLSE3DHkbdrrj2JGJiWBQZE/edit?usp=sharing"",""อำนาจเจริญ!J109"")"),0)</f>
        <v>0</v>
      </c>
      <c r="AK49" s="173">
        <f ca="1">IFERROR(__xludf.DUMMYFUNCTION("IMPORTRANGE(""https://docs.google.com/spreadsheets/d/1uUP8Zo1-qaJLuIkRU0qlwLSE3DHkbdrrj2JGJiWBQZE/edit?usp=sharing"",""อำนาจเจริญ!J110"")"),0)</f>
        <v>0</v>
      </c>
      <c r="AL49" s="172">
        <f ca="1">IFERROR(__xludf.DUMMYFUNCTION("IMPORTRANGE(""https://docs.google.com/spreadsheets/d/1uUP8Zo1-qaJLuIkRU0qlwLSE3DHkbdrrj2JGJiWBQZE/edit?usp=sharing"",""อำนาจเจริญ!I111"")"),10)</f>
        <v>10</v>
      </c>
      <c r="AM49" s="172">
        <f ca="1">IFERROR(__xludf.DUMMYFUNCTION("IMPORTRANGE(""https://docs.google.com/spreadsheets/d/1uUP8Zo1-qaJLuIkRU0qlwLSE3DHkbdrrj2JGJiWBQZE/edit?usp=sharing"",""อำนาจเจริญ!I112"")"),1)</f>
        <v>1</v>
      </c>
      <c r="AN49" s="173">
        <f ca="1">IFERROR(__xludf.DUMMYFUNCTION("IMPORTRANGE(""https://docs.google.com/spreadsheets/d/1uUP8Zo1-qaJLuIkRU0qlwLSE3DHkbdrrj2JGJiWBQZE/edit?usp=sharing"",""อำนาจเจริญ!J111"")"),10)</f>
        <v>10</v>
      </c>
      <c r="AO49" s="173">
        <f t="shared" ca="1" si="15"/>
        <v>100</v>
      </c>
      <c r="AP49" s="173">
        <f ca="1">IFERROR(__xludf.DUMMYFUNCTION("IMPORTRANGE(""https://docs.google.com/spreadsheets/d/1uUP8Zo1-qaJLuIkRU0qlwLSE3DHkbdrrj2JGJiWBQZE/edit?usp=sharing"",""อำนาจเจริญ!J112"")"),1)</f>
        <v>1</v>
      </c>
      <c r="AQ49" s="175">
        <f t="shared" ca="1" si="16"/>
        <v>100</v>
      </c>
      <c r="AR49" s="172">
        <f ca="1">IFERROR(__xludf.DUMMYFUNCTION("IMPORTRANGE(""https://docs.google.com/spreadsheets/d/1uUP8Zo1-qaJLuIkRU0qlwLSE3DHkbdrrj2JGJiWBQZE/edit?usp=sharing"",""อำนาจเจริญ!I113"")"),10)</f>
        <v>10</v>
      </c>
      <c r="AS49" s="172">
        <f ca="1">IFERROR(__xludf.DUMMYFUNCTION("IMPORTRANGE(""https://docs.google.com/spreadsheets/d/1uUP8Zo1-qaJLuIkRU0qlwLSE3DHkbdrrj2JGJiWBQZE/edit?usp=sharing"",""อำนาจเจริญ!J113"")"),10)</f>
        <v>10</v>
      </c>
      <c r="AT49" s="172">
        <f ca="1">IFERROR(__xludf.DUMMYFUNCTION("IMPORTRANGE(""https://docs.google.com/spreadsheets/d/1uUP8Zo1-qaJLuIkRU0qlwLSE3DHkbdrrj2JGJiWBQZE/edit?usp=sharing"",""อำนาจเจริญ!J114"")"),10)</f>
        <v>10</v>
      </c>
      <c r="AU49" s="172">
        <f ca="1">IFERROR(__xludf.DUMMYFUNCTION("IMPORTRANGE(""https://docs.google.com/spreadsheets/d/1uUP8Zo1-qaJLuIkRU0qlwLSE3DHkbdrrj2JGJiWBQZE/edit?usp=sharing"",""อำนาจเจริญ!I115"")"),1)</f>
        <v>1</v>
      </c>
      <c r="AV49" s="173">
        <f ca="1">IFERROR(__xludf.DUMMYFUNCTION("IMPORTRANGE(""https://docs.google.com/spreadsheets/d/1uUP8Zo1-qaJLuIkRU0qlwLSE3DHkbdrrj2JGJiWBQZE/edit?usp=sharing"",""อำนาจเจริญ!J115"")"),1)</f>
        <v>1</v>
      </c>
      <c r="AW49" s="175">
        <f t="shared" ca="1" si="18"/>
        <v>100</v>
      </c>
      <c r="AX49" s="172">
        <f ca="1">IFERROR(__xludf.DUMMYFUNCTION("IMPORTRANGE(""https://docs.google.com/spreadsheets/d/1uUP8Zo1-qaJLuIkRU0qlwLSE3DHkbdrrj2JGJiWBQZE/edit?usp=sharing"",""อำนาจเจริญ!I116"")"),0)</f>
        <v>0</v>
      </c>
      <c r="AY49" s="173">
        <f ca="1">IFERROR(__xludf.DUMMYFUNCTION("IMPORTRANGE(""https://docs.google.com/spreadsheets/d/1uUP8Zo1-qaJLuIkRU0qlwLSE3DHkbdrrj2JGJiWBQZE/edit?usp=sharing"",""อำนาจเจริญ!J116"")"),0)</f>
        <v>0</v>
      </c>
      <c r="AZ49" s="175">
        <f t="shared" ca="1" si="20"/>
        <v>0</v>
      </c>
    </row>
    <row r="50" spans="1:52" ht="21" customHeight="1" x14ac:dyDescent="0.3">
      <c r="A50" s="168">
        <v>19</v>
      </c>
      <c r="B50" s="169" t="s">
        <v>72</v>
      </c>
      <c r="C50" s="170">
        <f t="shared" ca="1" si="0"/>
        <v>85840</v>
      </c>
      <c r="D50" s="171">
        <f t="shared" ca="1" si="49"/>
        <v>85840</v>
      </c>
      <c r="E50" s="172">
        <f ca="1">IFERROR(__xludf.DUMMYFUNCTION("IMPORTRANGE(""https://docs.google.com/spreadsheets/d/1MeEWN-I1oV_STSDYn1IFDPWt_1FKiwhDph83XaGc0o0/edit?usp=sharing"",""งบพรบ!AR50"")"),0)</f>
        <v>0</v>
      </c>
      <c r="F50" s="172">
        <f ca="1">IFERROR(__xludf.DUMMYFUNCTION("IMPORTRANGE(""https://docs.google.com/spreadsheets/d/1MeEWN-I1oV_STSDYn1IFDPWt_1FKiwhDph83XaGc0o0/edit?usp=sharing"",""งบพรบ!AS50"")"),85840)</f>
        <v>85840</v>
      </c>
      <c r="G50" s="172">
        <f ca="1">IFERROR(__xludf.DUMMYFUNCTION("IMPORTRANGE(""https://docs.google.com/spreadsheets/d/1MeEWN-I1oV_STSDYn1IFDPWt_1FKiwhDph83XaGc0o0/edit?usp=sharing"",""งบพรบ!AT50"")"),0)</f>
        <v>0</v>
      </c>
      <c r="H50" s="172">
        <f ca="1">IFERROR(__xludf.DUMMYFUNCTION("IMPORTRANGE(""https://docs.google.com/spreadsheets/d/1MeEWN-I1oV_STSDYn1IFDPWt_1FKiwhDph83XaGc0o0/edit?usp=sharing"",""งบพรบ!AV50"")"),85840)</f>
        <v>85840</v>
      </c>
      <c r="I50" s="172">
        <f ca="1">IFERROR(__xludf.DUMMYFUNCTION("IMPORTRANGE(""https://docs.google.com/spreadsheets/d/1MeEWN-I1oV_STSDYn1IFDPWt_1FKiwhDph83XaGc0o0/edit?usp=sharing"",""งบพรบ!AW50"")"),0)</f>
        <v>0</v>
      </c>
      <c r="J50" s="172">
        <f t="shared" ca="1" si="3"/>
        <v>84896</v>
      </c>
      <c r="K50" s="179">
        <f t="shared" ca="1" si="4"/>
        <v>98.900279589934769</v>
      </c>
      <c r="L50" s="172">
        <f ca="1">IFERROR(__xludf.DUMMYFUNCTION("IMPORTRANGE(""https://docs.google.com/spreadsheets/d/1MeEWN-I1oV_STSDYn1IFDPWt_1FKiwhDph83XaGc0o0/edit?usp=sharing"",""งบพรบ!AX50"")"),84896)</f>
        <v>84896</v>
      </c>
      <c r="M50" s="175">
        <f t="shared" ca="1" si="5"/>
        <v>98.900279589934769</v>
      </c>
      <c r="N50" s="175">
        <f t="shared" ca="1" si="6"/>
        <v>98.900279589934769</v>
      </c>
      <c r="O50" s="176">
        <f ca="1">IFERROR(__xludf.DUMMYFUNCTION("IMPORTRANGE(""https://docs.google.com/spreadsheets/d/1MeEWN-I1oV_STSDYn1IFDPWt_1FKiwhDph83XaGc0o0/edit?usp=sharing"",""งบพรบ!AY50"")"),0)</f>
        <v>0</v>
      </c>
      <c r="P50" s="176">
        <f t="shared" ca="1" si="36"/>
        <v>0</v>
      </c>
      <c r="Q50" s="175">
        <f t="shared" ca="1" si="8"/>
        <v>0</v>
      </c>
      <c r="R50" s="173">
        <f ca="1">IFERROR(__xludf.DUMMYFUNCTION("IMPORTRANGE(""https://docs.google.com/spreadsheets/d/1hb_taSOHanzRjqfzWPiFo8yiT83VV1L7vvUCLhOiHKc/edit?usp=sharing"",""อุดรธานี!I98"")"),30)</f>
        <v>30</v>
      </c>
      <c r="S50" s="173">
        <f ca="1">IFERROR(__xludf.DUMMYFUNCTION("IMPORTRANGE(""https://docs.google.com/spreadsheets/d/1hb_taSOHanzRjqfzWPiFo8yiT83VV1L7vvUCLhOiHKc/edit?usp=sharing"",""อุดรธานี!J98"")"),30)</f>
        <v>30</v>
      </c>
      <c r="T50" s="173">
        <f t="shared" ca="1" si="10"/>
        <v>100</v>
      </c>
      <c r="U50" s="173">
        <f ca="1">IFERROR(__xludf.DUMMYFUNCTION("IMPORTRANGE(""https://docs.google.com/spreadsheets/d/1hb_taSOHanzRjqfzWPiFo8yiT83VV1L7vvUCLhOiHKc/edit?usp=sharing"",""อุดรธานี!I99"")"),10)</f>
        <v>10</v>
      </c>
      <c r="V50" s="173">
        <f ca="1">IFERROR(__xludf.DUMMYFUNCTION("IMPORTRANGE(""https://docs.google.com/spreadsheets/d/1hb_taSOHanzRjqfzWPiFo8yiT83VV1L7vvUCLhOiHKc/edit?usp=sharing"",""อุดรธานี!I100"")"),2)</f>
        <v>2</v>
      </c>
      <c r="W50" s="173">
        <f ca="1">IFERROR(__xludf.DUMMYFUNCTION("IMPORTRANGE(""https://docs.google.com/spreadsheets/d/1hb_taSOHanzRjqfzWPiFo8yiT83VV1L7vvUCLhOiHKc/edit?usp=sharing"",""อุดรธานี!J99"")"),10)</f>
        <v>10</v>
      </c>
      <c r="X50" s="177">
        <f t="shared" ca="1" si="12"/>
        <v>100</v>
      </c>
      <c r="Y50" s="178">
        <f ca="1">IFERROR(__xludf.DUMMYFUNCTION("IMPORTRANGE(""https://docs.google.com/spreadsheets/d/1hb_taSOHanzRjqfzWPiFo8yiT83VV1L7vvUCLhOiHKc/edit?usp=sharing"",""อุดรธานี!J100"")"),2)</f>
        <v>2</v>
      </c>
      <c r="Z50" s="177">
        <f t="shared" ca="1" si="13"/>
        <v>100</v>
      </c>
      <c r="AA50" s="172">
        <f ca="1">IFERROR(__xludf.DUMMYFUNCTION("IMPORTRANGE(""https://docs.google.com/spreadsheets/d/1hb_taSOHanzRjqfzWPiFo8yiT83VV1L7vvUCLhOiHKc/edit?usp=sharing"",""อุดรธานี!I102"")"),30)</f>
        <v>30</v>
      </c>
      <c r="AB50" s="172">
        <f ca="1">IFERROR(__xludf.DUMMYFUNCTION("IMPORTRANGE(""https://docs.google.com/spreadsheets/d/1hb_taSOHanzRjqfzWPiFo8yiT83VV1L7vvUCLhOiHKc/edit?usp=sharing"",""อุดรธานี!I103"")"),10)</f>
        <v>10</v>
      </c>
      <c r="AC50" s="173">
        <f ca="1">IFERROR(__xludf.DUMMYFUNCTION("IMPORTRANGE(""https://docs.google.com/spreadsheets/d/1hb_taSOHanzRjqfzWPiFo8yiT83VV1L7vvUCLhOiHKc/edit?usp=sharing"",""อุดรธานี!J102"")"),30)</f>
        <v>30</v>
      </c>
      <c r="AD50" s="173">
        <f ca="1">IFERROR(__xludf.DUMMYFUNCTION("IMPORTRANGE(""https://docs.google.com/spreadsheets/d/1hb_taSOHanzRjqfzWPiFo8yiT83VV1L7vvUCLhOiHKc/edit?usp=sharing"",""อุดรธานี!J103"")"),10)</f>
        <v>10</v>
      </c>
      <c r="AE50" s="173">
        <f ca="1">IFERROR(__xludf.DUMMYFUNCTION("IMPORTRANGE(""https://docs.google.com/spreadsheets/d/1hb_taSOHanzRjqfzWPiFo8yiT83VV1L7vvUCLhOiHKc/edit?usp=sharing"",""อุดรธานี!J104"")"),10)</f>
        <v>10</v>
      </c>
      <c r="AF50" s="172">
        <f ca="1">IFERROR(__xludf.DUMMYFUNCTION("IMPORTRANGE(""https://docs.google.com/spreadsheets/d/1hb_taSOHanzRjqfzWPiFo8yiT83VV1L7vvUCLhOiHKc/edit?usp=sharing"",""อุดรธานี!I106"")"),1)</f>
        <v>1</v>
      </c>
      <c r="AG50" s="173">
        <f ca="1">IFERROR(__xludf.DUMMYFUNCTION("IMPORTRANGE(""https://docs.google.com/spreadsheets/d/1hb_taSOHanzRjqfzWPiFo8yiT83VV1L7vvUCLhOiHKc/edit?usp=sharing"",""อุดรธานี!J106"")"),1)</f>
        <v>1</v>
      </c>
      <c r="AH50" s="173">
        <f ca="1">IFERROR(__xludf.DUMMYFUNCTION("IMPORTRANGE(""https://docs.google.com/spreadsheets/d/1hb_taSOHanzRjqfzWPiFo8yiT83VV1L7vvUCLhOiHKc/edit?usp=sharing"",""อุดรธานี!J107"")"),1)</f>
        <v>1</v>
      </c>
      <c r="AI50" s="172">
        <f ca="1">IFERROR(__xludf.DUMMYFUNCTION("IMPORTRANGE(""https://docs.google.com/spreadsheets/d/1hb_taSOHanzRjqfzWPiFo8yiT83VV1L7vvUCLhOiHKc/edit?usp=sharing"",""อุดรธานี!I109"")"),1)</f>
        <v>1</v>
      </c>
      <c r="AJ50" s="173">
        <f ca="1">IFERROR(__xludf.DUMMYFUNCTION("IMPORTRANGE(""https://docs.google.com/spreadsheets/d/1hb_taSOHanzRjqfzWPiFo8yiT83VV1L7vvUCLhOiHKc/edit?usp=sharing"",""อุดรธานี!J109"")"),1)</f>
        <v>1</v>
      </c>
      <c r="AK50" s="173">
        <f ca="1">IFERROR(__xludf.DUMMYFUNCTION("IMPORTRANGE(""https://docs.google.com/spreadsheets/d/1hb_taSOHanzRjqfzWPiFo8yiT83VV1L7vvUCLhOiHKc/edit?usp=sharing"",""อุดรธานี!J110"")"),1)</f>
        <v>1</v>
      </c>
      <c r="AL50" s="172">
        <f ca="1">IFERROR(__xludf.DUMMYFUNCTION("IMPORTRANGE(""https://docs.google.com/spreadsheets/d/1hb_taSOHanzRjqfzWPiFo8yiT83VV1L7vvUCLhOiHKc/edit?usp=sharing"",""อุดรธานี!I111"")"),10)</f>
        <v>10</v>
      </c>
      <c r="AM50" s="172">
        <f ca="1">IFERROR(__xludf.DUMMYFUNCTION("IMPORTRANGE(""https://docs.google.com/spreadsheets/d/1hb_taSOHanzRjqfzWPiFo8yiT83VV1L7vvUCLhOiHKc/edit?usp=sharing"",""อุดรธานี!I112"")"),2)</f>
        <v>2</v>
      </c>
      <c r="AN50" s="173">
        <f ca="1">IFERROR(__xludf.DUMMYFUNCTION("IMPORTRANGE(""https://docs.google.com/spreadsheets/d/1hb_taSOHanzRjqfzWPiFo8yiT83VV1L7vvUCLhOiHKc/edit?usp=sharing"",""อุดรธานี!J111"")"),0)</f>
        <v>0</v>
      </c>
      <c r="AO50" s="173">
        <f t="shared" ca="1" si="15"/>
        <v>0</v>
      </c>
      <c r="AP50" s="173">
        <f ca="1">IFERROR(__xludf.DUMMYFUNCTION("IMPORTRANGE(""https://docs.google.com/spreadsheets/d/1hb_taSOHanzRjqfzWPiFo8yiT83VV1L7vvUCLhOiHKc/edit?usp=sharing"",""อุดรธานี!J112"")"),0)</f>
        <v>0</v>
      </c>
      <c r="AQ50" s="175">
        <f t="shared" ca="1" si="16"/>
        <v>0</v>
      </c>
      <c r="AR50" s="172">
        <f ca="1">IFERROR(__xludf.DUMMYFUNCTION("IMPORTRANGE(""https://docs.google.com/spreadsheets/d/1hb_taSOHanzRjqfzWPiFo8yiT83VV1L7vvUCLhOiHKc/edit?usp=sharing"",""อุดรธานี!I113"")"),10)</f>
        <v>10</v>
      </c>
      <c r="AS50" s="172">
        <f ca="1">IFERROR(__xludf.DUMMYFUNCTION("IMPORTRANGE(""https://docs.google.com/spreadsheets/d/1hb_taSOHanzRjqfzWPiFo8yiT83VV1L7vvUCLhOiHKc/edit?usp=sharing"",""อุดรธานี!J113"")"),0)</f>
        <v>0</v>
      </c>
      <c r="AT50" s="172">
        <f ca="1">IFERROR(__xludf.DUMMYFUNCTION("IMPORTRANGE(""https://docs.google.com/spreadsheets/d/1hb_taSOHanzRjqfzWPiFo8yiT83VV1L7vvUCLhOiHKc/edit?usp=sharing"",""อุดรธานี!J114"")"),0)</f>
        <v>0</v>
      </c>
      <c r="AU50" s="172">
        <f ca="1">IFERROR(__xludf.DUMMYFUNCTION("IMPORTRANGE(""https://docs.google.com/spreadsheets/d/1hb_taSOHanzRjqfzWPiFo8yiT83VV1L7vvUCLhOiHKc/edit?usp=sharing"",""อุดรธานี!I115"")"),1)</f>
        <v>1</v>
      </c>
      <c r="AV50" s="173">
        <f ca="1">IFERROR(__xludf.DUMMYFUNCTION("IMPORTRANGE(""https://docs.google.com/spreadsheets/d/1hb_taSOHanzRjqfzWPiFo8yiT83VV1L7vvUCLhOiHKc/edit?usp=sharing"",""อุดรธานี!J115"")"),0)</f>
        <v>0</v>
      </c>
      <c r="AW50" s="175">
        <f t="shared" ca="1" si="18"/>
        <v>0</v>
      </c>
      <c r="AX50" s="172">
        <f ca="1">IFERROR(__xludf.DUMMYFUNCTION("IMPORTRANGE(""https://docs.google.com/spreadsheets/d/1hb_taSOHanzRjqfzWPiFo8yiT83VV1L7vvUCLhOiHKc/edit?usp=sharing"",""อุดรธานี!I116"")"),1)</f>
        <v>1</v>
      </c>
      <c r="AY50" s="173">
        <f ca="1">IFERROR(__xludf.DUMMYFUNCTION("IMPORTRANGE(""https://docs.google.com/spreadsheets/d/1hb_taSOHanzRjqfzWPiFo8yiT83VV1L7vvUCLhOiHKc/edit?usp=sharing"",""อุดรธานี!J116"")"),0)</f>
        <v>0</v>
      </c>
      <c r="AZ50" s="175">
        <f t="shared" ca="1" si="20"/>
        <v>0</v>
      </c>
    </row>
    <row r="51" spans="1:52" ht="21" customHeight="1" x14ac:dyDescent="0.3">
      <c r="A51" s="168">
        <v>20</v>
      </c>
      <c r="B51" s="169" t="s">
        <v>73</v>
      </c>
      <c r="C51" s="170">
        <f t="shared" ca="1" si="0"/>
        <v>98960</v>
      </c>
      <c r="D51" s="171">
        <f t="shared" ca="1" si="49"/>
        <v>98960</v>
      </c>
      <c r="E51" s="172">
        <f ca="1">IFERROR(__xludf.DUMMYFUNCTION("IMPORTRANGE(""https://docs.google.com/spreadsheets/d/1MeEWN-I1oV_STSDYn1IFDPWt_1FKiwhDph83XaGc0o0/edit?usp=sharing"",""งบพรบ!AR51"")"),0)</f>
        <v>0</v>
      </c>
      <c r="F51" s="172">
        <f ca="1">IFERROR(__xludf.DUMMYFUNCTION("IMPORTRANGE(""https://docs.google.com/spreadsheets/d/1MeEWN-I1oV_STSDYn1IFDPWt_1FKiwhDph83XaGc0o0/edit?usp=sharing"",""งบพรบ!AS51"")"),98960)</f>
        <v>98960</v>
      </c>
      <c r="G51" s="172">
        <f ca="1">IFERROR(__xludf.DUMMYFUNCTION("IMPORTRANGE(""https://docs.google.com/spreadsheets/d/1MeEWN-I1oV_STSDYn1IFDPWt_1FKiwhDph83XaGc0o0/edit?usp=sharing"",""งบพรบ!AT51"")"),0)</f>
        <v>0</v>
      </c>
      <c r="H51" s="172">
        <f ca="1">IFERROR(__xludf.DUMMYFUNCTION("IMPORTRANGE(""https://docs.google.com/spreadsheets/d/1MeEWN-I1oV_STSDYn1IFDPWt_1FKiwhDph83XaGc0o0/edit?usp=sharing"",""งบพรบ!AV51"")"),98960)</f>
        <v>98960</v>
      </c>
      <c r="I51" s="172">
        <f ca="1">IFERROR(__xludf.DUMMYFUNCTION("IMPORTRANGE(""https://docs.google.com/spreadsheets/d/1MeEWN-I1oV_STSDYn1IFDPWt_1FKiwhDph83XaGc0o0/edit?usp=sharing"",""งบพรบ!AW51"")"),0)</f>
        <v>0</v>
      </c>
      <c r="J51" s="172">
        <f t="shared" ca="1" si="3"/>
        <v>98960</v>
      </c>
      <c r="K51" s="179">
        <f t="shared" ca="1" si="4"/>
        <v>100</v>
      </c>
      <c r="L51" s="172">
        <f ca="1">IFERROR(__xludf.DUMMYFUNCTION("IMPORTRANGE(""https://docs.google.com/spreadsheets/d/1MeEWN-I1oV_STSDYn1IFDPWt_1FKiwhDph83XaGc0o0/edit?usp=sharing"",""งบพรบ!AX51"")"),98960)</f>
        <v>98960</v>
      </c>
      <c r="M51" s="175">
        <f t="shared" ca="1" si="5"/>
        <v>100</v>
      </c>
      <c r="N51" s="175">
        <f t="shared" ca="1" si="6"/>
        <v>100</v>
      </c>
      <c r="O51" s="176">
        <f ca="1">IFERROR(__xludf.DUMMYFUNCTION("IMPORTRANGE(""https://docs.google.com/spreadsheets/d/1MeEWN-I1oV_STSDYn1IFDPWt_1FKiwhDph83XaGc0o0/edit?usp=sharing"",""งบพรบ!AY51"")"),0)</f>
        <v>0</v>
      </c>
      <c r="P51" s="176">
        <f t="shared" ca="1" si="36"/>
        <v>0</v>
      </c>
      <c r="Q51" s="175">
        <f t="shared" ca="1" si="8"/>
        <v>0</v>
      </c>
      <c r="R51" s="173">
        <f ca="1">IFERROR(__xludf.DUMMYFUNCTION("IMPORTRANGE(""https://docs.google.com/spreadsheets/d/17IOkEwkUd63EGNfyNDnM5de9YlZ7rwzTiW6-dokVjKI/edit?usp=sharing"",""อุบลราชธานี!I98"")"),45)</f>
        <v>45</v>
      </c>
      <c r="S51" s="173">
        <f ca="1">IFERROR(__xludf.DUMMYFUNCTION("IMPORTRANGE(""https://docs.google.com/spreadsheets/d/17IOkEwkUd63EGNfyNDnM5de9YlZ7rwzTiW6-dokVjKI/edit?usp=sharing"",""อุบลราชธานี!J98"")"),45)</f>
        <v>45</v>
      </c>
      <c r="T51" s="173">
        <f t="shared" ca="1" si="10"/>
        <v>100</v>
      </c>
      <c r="U51" s="173">
        <f ca="1">IFERROR(__xludf.DUMMYFUNCTION("IMPORTRANGE(""https://docs.google.com/spreadsheets/d/17IOkEwkUd63EGNfyNDnM5de9YlZ7rwzTiW6-dokVjKI/edit?usp=sharing"",""อุบลราชธานี!I99"")"),15)</f>
        <v>15</v>
      </c>
      <c r="V51" s="173">
        <f ca="1">IFERROR(__xludf.DUMMYFUNCTION("IMPORTRANGE(""https://docs.google.com/spreadsheets/d/17IOkEwkUd63EGNfyNDnM5de9YlZ7rwzTiW6-dokVjKI/edit?usp=sharing"",""อุบลราชธานี!I100"")"),2)</f>
        <v>2</v>
      </c>
      <c r="W51" s="173">
        <f ca="1">IFERROR(__xludf.DUMMYFUNCTION("IMPORTRANGE(""https://docs.google.com/spreadsheets/d/17IOkEwkUd63EGNfyNDnM5de9YlZ7rwzTiW6-dokVjKI/edit?usp=sharing"",""อุบลราชธานี!J99"")"),15)</f>
        <v>15</v>
      </c>
      <c r="X51" s="177">
        <f t="shared" ca="1" si="12"/>
        <v>100</v>
      </c>
      <c r="Y51" s="178">
        <f ca="1">IFERROR(__xludf.DUMMYFUNCTION("IMPORTRANGE(""https://docs.google.com/spreadsheets/d/17IOkEwkUd63EGNfyNDnM5de9YlZ7rwzTiW6-dokVjKI/edit?usp=sharing"",""อุบลราชธานี!J100"")"),2)</f>
        <v>2</v>
      </c>
      <c r="Z51" s="177">
        <f t="shared" ca="1" si="13"/>
        <v>100</v>
      </c>
      <c r="AA51" s="172">
        <f ca="1">IFERROR(__xludf.DUMMYFUNCTION("IMPORTRANGE(""https://docs.google.com/spreadsheets/d/17IOkEwkUd63EGNfyNDnM5de9YlZ7rwzTiW6-dokVjKI/edit?usp=sharing"",""อุบลราชธานี!I102"")"),45)</f>
        <v>45</v>
      </c>
      <c r="AB51" s="172">
        <f ca="1">IFERROR(__xludf.DUMMYFUNCTION("IMPORTRANGE(""https://docs.google.com/spreadsheets/d/17IOkEwkUd63EGNfyNDnM5de9YlZ7rwzTiW6-dokVjKI/edit?usp=sharing"",""อุบลราชธานี!I103"")"),15)</f>
        <v>15</v>
      </c>
      <c r="AC51" s="173">
        <f ca="1">IFERROR(__xludf.DUMMYFUNCTION("IMPORTRANGE(""https://docs.google.com/spreadsheets/d/17IOkEwkUd63EGNfyNDnM5de9YlZ7rwzTiW6-dokVjKI/edit?usp=sharing"",""อุบลราชธานี!J102"")"),45)</f>
        <v>45</v>
      </c>
      <c r="AD51" s="173">
        <f ca="1">IFERROR(__xludf.DUMMYFUNCTION("IMPORTRANGE(""https://docs.google.com/spreadsheets/d/17IOkEwkUd63EGNfyNDnM5de9YlZ7rwzTiW6-dokVjKI/edit?usp=sharing"",""อุบลราชธานี!J103"")"),15)</f>
        <v>15</v>
      </c>
      <c r="AE51" s="173">
        <f ca="1">IFERROR(__xludf.DUMMYFUNCTION("IMPORTRANGE(""https://docs.google.com/spreadsheets/d/17IOkEwkUd63EGNfyNDnM5de9YlZ7rwzTiW6-dokVjKI/edit?usp=sharing"",""อุบลราชธานี!J104"")"),15)</f>
        <v>15</v>
      </c>
      <c r="AF51" s="172">
        <f ca="1">IFERROR(__xludf.DUMMYFUNCTION("IMPORTRANGE(""https://docs.google.com/spreadsheets/d/17IOkEwkUd63EGNfyNDnM5de9YlZ7rwzTiW6-dokVjKI/edit?usp=sharing"",""อุบลราชธานี!I106"")"),1)</f>
        <v>1</v>
      </c>
      <c r="AG51" s="173">
        <f ca="1">IFERROR(__xludf.DUMMYFUNCTION("IMPORTRANGE(""https://docs.google.com/spreadsheets/d/17IOkEwkUd63EGNfyNDnM5de9YlZ7rwzTiW6-dokVjKI/edit?usp=sharing"",""อุบลราชธานี!J106"")"),1)</f>
        <v>1</v>
      </c>
      <c r="AH51" s="173">
        <f ca="1">IFERROR(__xludf.DUMMYFUNCTION("IMPORTRANGE(""https://docs.google.com/spreadsheets/d/17IOkEwkUd63EGNfyNDnM5de9YlZ7rwzTiW6-dokVjKI/edit?usp=sharing"",""อุบลราชธานี!J107"")"),1)</f>
        <v>1</v>
      </c>
      <c r="AI51" s="172">
        <f ca="1">IFERROR(__xludf.DUMMYFUNCTION("IMPORTRANGE(""https://docs.google.com/spreadsheets/d/17IOkEwkUd63EGNfyNDnM5de9YlZ7rwzTiW6-dokVjKI/edit?usp=sharing"",""อุบลราชธานี!I109"")"),1)</f>
        <v>1</v>
      </c>
      <c r="AJ51" s="173">
        <f ca="1">IFERROR(__xludf.DUMMYFUNCTION("IMPORTRANGE(""https://docs.google.com/spreadsheets/d/17IOkEwkUd63EGNfyNDnM5de9YlZ7rwzTiW6-dokVjKI/edit?usp=sharing"",""อุบลราชธานี!J109"")"),1)</f>
        <v>1</v>
      </c>
      <c r="AK51" s="173">
        <f ca="1">IFERROR(__xludf.DUMMYFUNCTION("IMPORTRANGE(""https://docs.google.com/spreadsheets/d/17IOkEwkUd63EGNfyNDnM5de9YlZ7rwzTiW6-dokVjKI/edit?usp=sharing"",""อุบลราชธานี!J110"")"),1)</f>
        <v>1</v>
      </c>
      <c r="AL51" s="172">
        <f ca="1">IFERROR(__xludf.DUMMYFUNCTION("IMPORTRANGE(""https://docs.google.com/spreadsheets/d/17IOkEwkUd63EGNfyNDnM5de9YlZ7rwzTiW6-dokVjKI/edit?usp=sharing"",""อุบลราชธานี!I111"")"),15)</f>
        <v>15</v>
      </c>
      <c r="AM51" s="172">
        <f ca="1">IFERROR(__xludf.DUMMYFUNCTION("IMPORTRANGE(""https://docs.google.com/spreadsheets/d/17IOkEwkUd63EGNfyNDnM5de9YlZ7rwzTiW6-dokVjKI/edit?usp=sharing"",""อุบลราชธานี!I112"")"),2)</f>
        <v>2</v>
      </c>
      <c r="AN51" s="173">
        <f ca="1">IFERROR(__xludf.DUMMYFUNCTION("IMPORTRANGE(""https://docs.google.com/spreadsheets/d/17IOkEwkUd63EGNfyNDnM5de9YlZ7rwzTiW6-dokVjKI/edit?usp=sharing"",""อุบลราชธานี!J111"")"),15)</f>
        <v>15</v>
      </c>
      <c r="AO51" s="173">
        <f t="shared" ca="1" si="15"/>
        <v>100</v>
      </c>
      <c r="AP51" s="173">
        <f ca="1">IFERROR(__xludf.DUMMYFUNCTION("IMPORTRANGE(""https://docs.google.com/spreadsheets/d/17IOkEwkUd63EGNfyNDnM5de9YlZ7rwzTiW6-dokVjKI/edit?usp=sharing"",""อุบลราชธานี!J112"")"),2)</f>
        <v>2</v>
      </c>
      <c r="AQ51" s="175">
        <f t="shared" ca="1" si="16"/>
        <v>100</v>
      </c>
      <c r="AR51" s="172">
        <f ca="1">IFERROR(__xludf.DUMMYFUNCTION("IMPORTRANGE(""https://docs.google.com/spreadsheets/d/17IOkEwkUd63EGNfyNDnM5de9YlZ7rwzTiW6-dokVjKI/edit?usp=sharing"",""อุบลราชธานี!I113"")"),15)</f>
        <v>15</v>
      </c>
      <c r="AS51" s="172">
        <f ca="1">IFERROR(__xludf.DUMMYFUNCTION("IMPORTRANGE(""https://docs.google.com/spreadsheets/d/17IOkEwkUd63EGNfyNDnM5de9YlZ7rwzTiW6-dokVjKI/edit?usp=sharing"",""อุบลราชธานี!J113"")"),15)</f>
        <v>15</v>
      </c>
      <c r="AT51" s="172">
        <f ca="1">IFERROR(__xludf.DUMMYFUNCTION("IMPORTRANGE(""https://docs.google.com/spreadsheets/d/17IOkEwkUd63EGNfyNDnM5de9YlZ7rwzTiW6-dokVjKI/edit?usp=sharing"",""อุบลราชธานี!J114"")"),15)</f>
        <v>15</v>
      </c>
      <c r="AU51" s="172">
        <f ca="1">IFERROR(__xludf.DUMMYFUNCTION("IMPORTRANGE(""https://docs.google.com/spreadsheets/d/17IOkEwkUd63EGNfyNDnM5de9YlZ7rwzTiW6-dokVjKI/edit?usp=sharing"",""อุบลราชธานี!I115"")"),1)</f>
        <v>1</v>
      </c>
      <c r="AV51" s="173">
        <f ca="1">IFERROR(__xludf.DUMMYFUNCTION("IMPORTRANGE(""https://docs.google.com/spreadsheets/d/17IOkEwkUd63EGNfyNDnM5de9YlZ7rwzTiW6-dokVjKI/edit?usp=sharing"",""อุบลราชธานี!J115"")"),1)</f>
        <v>1</v>
      </c>
      <c r="AW51" s="175">
        <f t="shared" ca="1" si="18"/>
        <v>100</v>
      </c>
      <c r="AX51" s="172">
        <f ca="1">IFERROR(__xludf.DUMMYFUNCTION("IMPORTRANGE(""https://docs.google.com/spreadsheets/d/17IOkEwkUd63EGNfyNDnM5de9YlZ7rwzTiW6-dokVjKI/edit?usp=sharing"",""อุบลราชธานี!I116"")"),1)</f>
        <v>1</v>
      </c>
      <c r="AY51" s="173">
        <f ca="1">IFERROR(__xludf.DUMMYFUNCTION("IMPORTRANGE(""https://docs.google.com/spreadsheets/d/17IOkEwkUd63EGNfyNDnM5de9YlZ7rwzTiW6-dokVjKI/edit?usp=sharing"",""อุบลราชธานี!J116"")"),1)</f>
        <v>1</v>
      </c>
      <c r="AZ51" s="175">
        <f t="shared" ca="1" si="20"/>
        <v>100</v>
      </c>
    </row>
    <row r="52" spans="1:52" ht="21" customHeight="1" x14ac:dyDescent="0.3">
      <c r="A52" s="432" t="s">
        <v>74</v>
      </c>
      <c r="B52" s="414"/>
      <c r="C52" s="150">
        <f t="shared" ca="1" si="0"/>
        <v>3424660</v>
      </c>
      <c r="D52" s="150">
        <f t="shared" ref="D52:I52" ca="1" si="50">SUM(D53:D73)</f>
        <v>3424660</v>
      </c>
      <c r="E52" s="150">
        <f t="shared" ca="1" si="50"/>
        <v>1724200</v>
      </c>
      <c r="F52" s="150">
        <f t="shared" ca="1" si="50"/>
        <v>1700460</v>
      </c>
      <c r="G52" s="150">
        <f t="shared" ca="1" si="50"/>
        <v>0</v>
      </c>
      <c r="H52" s="150">
        <f t="shared" ca="1" si="50"/>
        <v>3453165</v>
      </c>
      <c r="I52" s="150">
        <f t="shared" ca="1" si="50"/>
        <v>0</v>
      </c>
      <c r="J52" s="150">
        <f t="shared" ca="1" si="3"/>
        <v>3182172.77</v>
      </c>
      <c r="K52" s="151">
        <f t="shared" ca="1" si="4"/>
        <v>92.919377982047848</v>
      </c>
      <c r="L52" s="150">
        <f ca="1">SUM(L53:L73)</f>
        <v>3182172.77</v>
      </c>
      <c r="M52" s="152">
        <f t="shared" ca="1" si="5"/>
        <v>92.919377982047848</v>
      </c>
      <c r="N52" s="152">
        <f t="shared" ca="1" si="6"/>
        <v>92.152352117550137</v>
      </c>
      <c r="O52" s="153">
        <f ca="1">SUM(O53:O73)</f>
        <v>0</v>
      </c>
      <c r="P52" s="153">
        <f t="shared" ca="1" si="36"/>
        <v>0</v>
      </c>
      <c r="Q52" s="152">
        <f t="shared" ca="1" si="8"/>
        <v>0</v>
      </c>
      <c r="R52" s="150">
        <f t="shared" ref="R52:S52" ca="1" si="51">SUM(R53:R73)</f>
        <v>645</v>
      </c>
      <c r="S52" s="150">
        <f t="shared" ca="1" si="51"/>
        <v>645</v>
      </c>
      <c r="T52" s="150">
        <f t="shared" ca="1" si="10"/>
        <v>100</v>
      </c>
      <c r="U52" s="150">
        <f t="shared" ref="U52:W52" ca="1" si="52">SUM(U53:U73)</f>
        <v>215</v>
      </c>
      <c r="V52" s="150">
        <f t="shared" ca="1" si="52"/>
        <v>38</v>
      </c>
      <c r="W52" s="150">
        <f t="shared" ca="1" si="52"/>
        <v>215</v>
      </c>
      <c r="X52" s="152">
        <f t="shared" ca="1" si="12"/>
        <v>100</v>
      </c>
      <c r="Y52" s="153">
        <f ca="1">SUM(Y53:Y73)</f>
        <v>38</v>
      </c>
      <c r="Z52" s="152">
        <f t="shared" ca="1" si="13"/>
        <v>100</v>
      </c>
      <c r="AA52" s="150">
        <f t="shared" ref="AA52:AN52" ca="1" si="53">SUM(AA53:AA73)</f>
        <v>645</v>
      </c>
      <c r="AB52" s="150">
        <f t="shared" ca="1" si="53"/>
        <v>215</v>
      </c>
      <c r="AC52" s="150">
        <f t="shared" ca="1" si="53"/>
        <v>645</v>
      </c>
      <c r="AD52" s="150">
        <f t="shared" ca="1" si="53"/>
        <v>215</v>
      </c>
      <c r="AE52" s="150">
        <f t="shared" ca="1" si="53"/>
        <v>215</v>
      </c>
      <c r="AF52" s="150">
        <f t="shared" ca="1" si="53"/>
        <v>17</v>
      </c>
      <c r="AG52" s="150">
        <f t="shared" ca="1" si="53"/>
        <v>17</v>
      </c>
      <c r="AH52" s="150">
        <f t="shared" ca="1" si="53"/>
        <v>17</v>
      </c>
      <c r="AI52" s="150">
        <f t="shared" ca="1" si="53"/>
        <v>21</v>
      </c>
      <c r="AJ52" s="150">
        <f t="shared" ca="1" si="53"/>
        <v>30</v>
      </c>
      <c r="AK52" s="150">
        <f t="shared" ca="1" si="53"/>
        <v>21</v>
      </c>
      <c r="AL52" s="150">
        <f t="shared" ca="1" si="53"/>
        <v>215</v>
      </c>
      <c r="AM52" s="150">
        <f t="shared" ca="1" si="53"/>
        <v>38</v>
      </c>
      <c r="AN52" s="150">
        <f t="shared" ca="1" si="53"/>
        <v>195</v>
      </c>
      <c r="AO52" s="150">
        <f t="shared" ca="1" si="15"/>
        <v>90.697674418604649</v>
      </c>
      <c r="AP52" s="150">
        <f ca="1">SUM(AP53:AP73)</f>
        <v>35</v>
      </c>
      <c r="AQ52" s="152">
        <f t="shared" ca="1" si="16"/>
        <v>92.10526315789474</v>
      </c>
      <c r="AR52" s="150">
        <f t="shared" ref="AR52:AV52" ca="1" si="54">SUM(AR53:AR73)</f>
        <v>215</v>
      </c>
      <c r="AS52" s="150">
        <f t="shared" ca="1" si="54"/>
        <v>185</v>
      </c>
      <c r="AT52" s="150">
        <f t="shared" ca="1" si="54"/>
        <v>195</v>
      </c>
      <c r="AU52" s="150">
        <f t="shared" ca="1" si="54"/>
        <v>17</v>
      </c>
      <c r="AV52" s="150">
        <f t="shared" ca="1" si="54"/>
        <v>16</v>
      </c>
      <c r="AW52" s="152">
        <f t="shared" ca="1" si="18"/>
        <v>94.117647058823536</v>
      </c>
      <c r="AX52" s="150">
        <f t="shared" ref="AX52:AY52" ca="1" si="55">SUM(AX53:AX73)</f>
        <v>21</v>
      </c>
      <c r="AY52" s="150">
        <f t="shared" ca="1" si="55"/>
        <v>19</v>
      </c>
      <c r="AZ52" s="152">
        <f t="shared" ca="1" si="20"/>
        <v>90.476190476190482</v>
      </c>
    </row>
    <row r="53" spans="1:52" ht="21" customHeight="1" x14ac:dyDescent="0.3">
      <c r="A53" s="168">
        <v>1</v>
      </c>
      <c r="B53" s="169" t="s">
        <v>75</v>
      </c>
      <c r="C53" s="170">
        <f t="shared" ca="1" si="0"/>
        <v>86340</v>
      </c>
      <c r="D53" s="171">
        <f t="shared" ref="D53:D73" ca="1" si="56">+E53+F53</f>
        <v>86340</v>
      </c>
      <c r="E53" s="172">
        <f ca="1">IFERROR(__xludf.DUMMYFUNCTION("IMPORTRANGE(""https://docs.google.com/spreadsheets/d/1MeEWN-I1oV_STSDYn1IFDPWt_1FKiwhDph83XaGc0o0/edit?usp=sharing"",""งบพรบ!AR53"")"),0)</f>
        <v>0</v>
      </c>
      <c r="F53" s="172">
        <f ca="1">IFERROR(__xludf.DUMMYFUNCTION("IMPORTRANGE(""https://docs.google.com/spreadsheets/d/1MeEWN-I1oV_STSDYn1IFDPWt_1FKiwhDph83XaGc0o0/edit?usp=sharing"",""งบพรบ!AS53"")"),86340)</f>
        <v>86340</v>
      </c>
      <c r="G53" s="173">
        <f ca="1">IFERROR(__xludf.DUMMYFUNCTION("IMPORTRANGE(""https://docs.google.com/spreadsheets/d/1MeEWN-I1oV_STSDYn1IFDPWt_1FKiwhDph83XaGc0o0/edit?usp=sharing"",""งบพรบ!AT53"")"),0)</f>
        <v>0</v>
      </c>
      <c r="H53" s="173">
        <f ca="1">IFERROR(__xludf.DUMMYFUNCTION("IMPORTRANGE(""https://docs.google.com/spreadsheets/d/1MeEWN-I1oV_STSDYn1IFDPWt_1FKiwhDph83XaGc0o0/edit?usp=sharing"",""งบพรบ!AV53"")"),86340)</f>
        <v>86340</v>
      </c>
      <c r="I53" s="173">
        <f ca="1">IFERROR(__xludf.DUMMYFUNCTION("IMPORTRANGE(""https://docs.google.com/spreadsheets/d/1MeEWN-I1oV_STSDYn1IFDPWt_1FKiwhDph83XaGc0o0/edit?usp=sharing"",""งบพรบ!AW53"")"),0)</f>
        <v>0</v>
      </c>
      <c r="J53" s="173">
        <f t="shared" ca="1" si="3"/>
        <v>51840</v>
      </c>
      <c r="K53" s="174">
        <f t="shared" ca="1" si="4"/>
        <v>60.041695621959697</v>
      </c>
      <c r="L53" s="173">
        <f ca="1">IFERROR(__xludf.DUMMYFUNCTION("IMPORTRANGE(""https://docs.google.com/spreadsheets/d/1MeEWN-I1oV_STSDYn1IFDPWt_1FKiwhDph83XaGc0o0/edit?usp=sharing"",""งบพรบ!AX53"")"),51840)</f>
        <v>51840</v>
      </c>
      <c r="M53" s="175">
        <f t="shared" ca="1" si="5"/>
        <v>60.041695621959697</v>
      </c>
      <c r="N53" s="175">
        <f t="shared" ca="1" si="6"/>
        <v>60.041695621959697</v>
      </c>
      <c r="O53" s="176">
        <f ca="1">IFERROR(__xludf.DUMMYFUNCTION("IMPORTRANGE(""https://docs.google.com/spreadsheets/d/1MeEWN-I1oV_STSDYn1IFDPWt_1FKiwhDph83XaGc0o0/edit?usp=sharing"",""งบพรบ!AY53"")"),0)</f>
        <v>0</v>
      </c>
      <c r="P53" s="176">
        <f t="shared" ca="1" si="36"/>
        <v>0</v>
      </c>
      <c r="Q53" s="175">
        <f t="shared" ca="1" si="8"/>
        <v>0</v>
      </c>
      <c r="R53" s="173">
        <f ca="1">IFERROR(__xludf.DUMMYFUNCTION("IMPORTRANGE(""https://docs.google.com/spreadsheets/d/1hKO5uv94SSRZWOvrh72HRcpyoEQF9TsE_Cvxl77XNU4/edit?usp=sharing"",""กาญจนบุรี!I98"")"),30)</f>
        <v>30</v>
      </c>
      <c r="S53" s="173">
        <f ca="1">IFERROR(__xludf.DUMMYFUNCTION("IMPORTRANGE(""https://docs.google.com/spreadsheets/d/1hKO5uv94SSRZWOvrh72HRcpyoEQF9TsE_Cvxl77XNU4/edit?usp=sharing"",""กาญจนบุรี!J98"")"),30)</f>
        <v>30</v>
      </c>
      <c r="T53" s="173">
        <f t="shared" ca="1" si="10"/>
        <v>100</v>
      </c>
      <c r="U53" s="173">
        <f ca="1">IFERROR(__xludf.DUMMYFUNCTION("IMPORTRANGE(""https://docs.google.com/spreadsheets/d/1hKO5uv94SSRZWOvrh72HRcpyoEQF9TsE_Cvxl77XNU4/edit?usp=sharing"",""กาญจนบุรี!I99"")"),10)</f>
        <v>10</v>
      </c>
      <c r="V53" s="173">
        <f ca="1">IFERROR(__xludf.DUMMYFUNCTION("IMPORTRANGE(""https://docs.google.com/spreadsheets/d/1hKO5uv94SSRZWOvrh72HRcpyoEQF9TsE_Cvxl77XNU4/edit?usp=sharing"",""กาญจนบุรี!I100"")"),2)</f>
        <v>2</v>
      </c>
      <c r="W53" s="173">
        <f ca="1">IFERROR(__xludf.DUMMYFUNCTION("IMPORTRANGE(""https://docs.google.com/spreadsheets/d/1hKO5uv94SSRZWOvrh72HRcpyoEQF9TsE_Cvxl77XNU4/edit?usp=sharing"",""กาญจนบุรี!J99"")"),10)</f>
        <v>10</v>
      </c>
      <c r="X53" s="177">
        <f t="shared" ca="1" si="12"/>
        <v>100</v>
      </c>
      <c r="Y53" s="178">
        <f ca="1">IFERROR(__xludf.DUMMYFUNCTION("IMPORTRANGE(""https://docs.google.com/spreadsheets/d/1hKO5uv94SSRZWOvrh72HRcpyoEQF9TsE_Cvxl77XNU4/edit?usp=sharing"",""กาญจนบุรี!J100"")"),2)</f>
        <v>2</v>
      </c>
      <c r="Z53" s="177">
        <f t="shared" ca="1" si="13"/>
        <v>100</v>
      </c>
      <c r="AA53" s="172">
        <f ca="1">IFERROR(__xludf.DUMMYFUNCTION("IMPORTRANGE(""https://docs.google.com/spreadsheets/d/1hKO5uv94SSRZWOvrh72HRcpyoEQF9TsE_Cvxl77XNU4/edit?usp=sharing"",""กาญจนบุรี!I102"")"),30)</f>
        <v>30</v>
      </c>
      <c r="AB53" s="172">
        <f ca="1">IFERROR(__xludf.DUMMYFUNCTION("IMPORTRANGE(""https://docs.google.com/spreadsheets/d/1hKO5uv94SSRZWOvrh72HRcpyoEQF9TsE_Cvxl77XNU4/edit?usp=sharing"",""กาญจนบุรี!I103"")"),10)</f>
        <v>10</v>
      </c>
      <c r="AC53" s="173">
        <f ca="1">IFERROR(__xludf.DUMMYFUNCTION("IMPORTRANGE(""https://docs.google.com/spreadsheets/d/1hKO5uv94SSRZWOvrh72HRcpyoEQF9TsE_Cvxl77XNU4/edit?usp=sharing"",""กาญจนบุรี!J102"")"),30)</f>
        <v>30</v>
      </c>
      <c r="AD53" s="173">
        <f ca="1">IFERROR(__xludf.DUMMYFUNCTION("IMPORTRANGE(""https://docs.google.com/spreadsheets/d/1hKO5uv94SSRZWOvrh72HRcpyoEQF9TsE_Cvxl77XNU4/edit?usp=sharing"",""กาญจนบุรี!J103"")"),10)</f>
        <v>10</v>
      </c>
      <c r="AE53" s="173">
        <f ca="1">IFERROR(__xludf.DUMMYFUNCTION("IMPORTRANGE(""https://docs.google.com/spreadsheets/d/1hKO5uv94SSRZWOvrh72HRcpyoEQF9TsE_Cvxl77XNU4/edit?usp=sharing"",""กาญจนบุรี!J104"")"),10)</f>
        <v>10</v>
      </c>
      <c r="AF53" s="172">
        <f ca="1">IFERROR(__xludf.DUMMYFUNCTION("IMPORTRANGE(""https://docs.google.com/spreadsheets/d/1hKO5uv94SSRZWOvrh72HRcpyoEQF9TsE_Cvxl77XNU4/edit?usp=sharing"",""กาญจนบุรี!I106"")"),1)</f>
        <v>1</v>
      </c>
      <c r="AG53" s="173">
        <f ca="1">IFERROR(__xludf.DUMMYFUNCTION("IMPORTRANGE(""https://docs.google.com/spreadsheets/d/1hKO5uv94SSRZWOvrh72HRcpyoEQF9TsE_Cvxl77XNU4/edit?usp=sharing"",""กาญจนบุรี!J106"")"),1)</f>
        <v>1</v>
      </c>
      <c r="AH53" s="173">
        <f ca="1">IFERROR(__xludf.DUMMYFUNCTION("IMPORTRANGE(""https://docs.google.com/spreadsheets/d/1hKO5uv94SSRZWOvrh72HRcpyoEQF9TsE_Cvxl77XNU4/edit?usp=sharing"",""กาญจนบุรี!J107"")"),1)</f>
        <v>1</v>
      </c>
      <c r="AI53" s="172">
        <f ca="1">IFERROR(__xludf.DUMMYFUNCTION("IMPORTRANGE(""https://docs.google.com/spreadsheets/d/1hKO5uv94SSRZWOvrh72HRcpyoEQF9TsE_Cvxl77XNU4/edit?usp=sharing"",""กาญจนบุรี!I109"")"),1)</f>
        <v>1</v>
      </c>
      <c r="AJ53" s="173">
        <f ca="1">IFERROR(__xludf.DUMMYFUNCTION("IMPORTRANGE(""https://docs.google.com/spreadsheets/d/1hKO5uv94SSRZWOvrh72HRcpyoEQF9TsE_Cvxl77XNU4/edit?usp=sharing"",""กาญจนบุรี!J109"")"),1)</f>
        <v>1</v>
      </c>
      <c r="AK53" s="173">
        <f ca="1">IFERROR(__xludf.DUMMYFUNCTION("IMPORTRANGE(""https://docs.google.com/spreadsheets/d/1hKO5uv94SSRZWOvrh72HRcpyoEQF9TsE_Cvxl77XNU4/edit?usp=sharing"",""กาญจนบุรี!J110"")"),1)</f>
        <v>1</v>
      </c>
      <c r="AL53" s="172">
        <f ca="1">IFERROR(__xludf.DUMMYFUNCTION("IMPORTRANGE(""https://docs.google.com/spreadsheets/d/1hKO5uv94SSRZWOvrh72HRcpyoEQF9TsE_Cvxl77XNU4/edit?usp=sharing"",""กาญจนบุรี!I111"")"),10)</f>
        <v>10</v>
      </c>
      <c r="AM53" s="172">
        <f ca="1">IFERROR(__xludf.DUMMYFUNCTION("IMPORTRANGE(""https://docs.google.com/spreadsheets/d/1hKO5uv94SSRZWOvrh72HRcpyoEQF9TsE_Cvxl77XNU4/edit?usp=sharing"",""กาญจนบุรี!I112"")"),2)</f>
        <v>2</v>
      </c>
      <c r="AN53" s="173">
        <f ca="1">IFERROR(__xludf.DUMMYFUNCTION("IMPORTRANGE(""https://docs.google.com/spreadsheets/d/1hKO5uv94SSRZWOvrh72HRcpyoEQF9TsE_Cvxl77XNU4/edit?usp=sharing"",""กาญจนบุรี!J111"")"),0)</f>
        <v>0</v>
      </c>
      <c r="AO53" s="173">
        <f t="shared" ca="1" si="15"/>
        <v>0</v>
      </c>
      <c r="AP53" s="173">
        <f ca="1">IFERROR(__xludf.DUMMYFUNCTION("IMPORTRANGE(""https://docs.google.com/spreadsheets/d/1hKO5uv94SSRZWOvrh72HRcpyoEQF9TsE_Cvxl77XNU4/edit?usp=sharing"",""กาญจนบุรี!J112"")"),0)</f>
        <v>0</v>
      </c>
      <c r="AQ53" s="175">
        <f t="shared" ca="1" si="16"/>
        <v>0</v>
      </c>
      <c r="AR53" s="172">
        <f ca="1">IFERROR(__xludf.DUMMYFUNCTION("IMPORTRANGE(""https://docs.google.com/spreadsheets/d/1hKO5uv94SSRZWOvrh72HRcpyoEQF9TsE_Cvxl77XNU4/edit?usp=sharing"",""กาญจนบุรี!I113"")"),10)</f>
        <v>10</v>
      </c>
      <c r="AS53" s="172">
        <f ca="1">IFERROR(__xludf.DUMMYFUNCTION("IMPORTRANGE(""https://docs.google.com/spreadsheets/d/1hKO5uv94SSRZWOvrh72HRcpyoEQF9TsE_Cvxl77XNU4/edit?usp=sharing"",""กาญจนบุรี!J113"")"),0)</f>
        <v>0</v>
      </c>
      <c r="AT53" s="172">
        <f ca="1">IFERROR(__xludf.DUMMYFUNCTION("IMPORTRANGE(""https://docs.google.com/spreadsheets/d/1hKO5uv94SSRZWOvrh72HRcpyoEQF9TsE_Cvxl77XNU4/edit?usp=sharing"",""กาญจนบุรี!J114"")"),0)</f>
        <v>0</v>
      </c>
      <c r="AU53" s="172">
        <f ca="1">IFERROR(__xludf.DUMMYFUNCTION("IMPORTRANGE(""https://docs.google.com/spreadsheets/d/1hKO5uv94SSRZWOvrh72HRcpyoEQF9TsE_Cvxl77XNU4/edit?usp=sharing"",""กาญจนบุรี!I115"")"),1)</f>
        <v>1</v>
      </c>
      <c r="AV53" s="173">
        <f ca="1">IFERROR(__xludf.DUMMYFUNCTION("IMPORTRANGE(""https://docs.google.com/spreadsheets/d/1hKO5uv94SSRZWOvrh72HRcpyoEQF9TsE_Cvxl77XNU4/edit?usp=sharing"",""กาญจนบุรี!J115"")"),0)</f>
        <v>0</v>
      </c>
      <c r="AW53" s="175">
        <f t="shared" ca="1" si="18"/>
        <v>0</v>
      </c>
      <c r="AX53" s="172">
        <f ca="1">IFERROR(__xludf.DUMMYFUNCTION("IMPORTRANGE(""https://docs.google.com/spreadsheets/d/1hKO5uv94SSRZWOvrh72HRcpyoEQF9TsE_Cvxl77XNU4/edit?usp=sharing"",""กาญจนบุรี!I116"")"),1)</f>
        <v>1</v>
      </c>
      <c r="AY53" s="173">
        <f ca="1">IFERROR(__xludf.DUMMYFUNCTION("IMPORTRANGE(""https://docs.google.com/spreadsheets/d/1hKO5uv94SSRZWOvrh72HRcpyoEQF9TsE_Cvxl77XNU4/edit?usp=sharing"",""กาญจนบุรี!J116"")"),0)</f>
        <v>0</v>
      </c>
      <c r="AZ53" s="175">
        <f t="shared" ca="1" si="20"/>
        <v>0</v>
      </c>
    </row>
    <row r="54" spans="1:52" ht="21" customHeight="1" x14ac:dyDescent="0.3">
      <c r="A54" s="168">
        <v>2</v>
      </c>
      <c r="B54" s="169" t="s">
        <v>76</v>
      </c>
      <c r="C54" s="170">
        <f t="shared" ca="1" si="0"/>
        <v>378840</v>
      </c>
      <c r="D54" s="171">
        <f t="shared" ca="1" si="56"/>
        <v>378840</v>
      </c>
      <c r="E54" s="172">
        <f ca="1">IFERROR(__xludf.DUMMYFUNCTION("IMPORTRANGE(""https://docs.google.com/spreadsheets/d/1MeEWN-I1oV_STSDYn1IFDPWt_1FKiwhDph83XaGc0o0/edit?usp=sharing"",""งบพรบ!AR54"")"),293000)</f>
        <v>293000</v>
      </c>
      <c r="F54" s="172">
        <f ca="1">IFERROR(__xludf.DUMMYFUNCTION("IMPORTRANGE(""https://docs.google.com/spreadsheets/d/1MeEWN-I1oV_STSDYn1IFDPWt_1FKiwhDph83XaGc0o0/edit?usp=sharing"",""งบพรบ!AS54"")"),85840)</f>
        <v>85840</v>
      </c>
      <c r="G54" s="172">
        <f ca="1">IFERROR(__xludf.DUMMYFUNCTION("IMPORTRANGE(""https://docs.google.com/spreadsheets/d/1MeEWN-I1oV_STSDYn1IFDPWt_1FKiwhDph83XaGc0o0/edit?usp=sharing"",""งบพรบ!AT54"")"),0)</f>
        <v>0</v>
      </c>
      <c r="H54" s="172">
        <f ca="1">IFERROR(__xludf.DUMMYFUNCTION("IMPORTRANGE(""https://docs.google.com/spreadsheets/d/1MeEWN-I1oV_STSDYn1IFDPWt_1FKiwhDph83XaGc0o0/edit?usp=sharing"",""งบพรบ!AV54"")"),378840)</f>
        <v>378840</v>
      </c>
      <c r="I54" s="172">
        <f ca="1">IFERROR(__xludf.DUMMYFUNCTION("IMPORTRANGE(""https://docs.google.com/spreadsheets/d/1MeEWN-I1oV_STSDYn1IFDPWt_1FKiwhDph83XaGc0o0/edit?usp=sharing"",""งบพรบ!AW54"")"),0)</f>
        <v>0</v>
      </c>
      <c r="J54" s="172">
        <f t="shared" ca="1" si="3"/>
        <v>353929.45</v>
      </c>
      <c r="K54" s="179">
        <f t="shared" ca="1" si="4"/>
        <v>93.42451958610495</v>
      </c>
      <c r="L54" s="172">
        <f ca="1">IFERROR(__xludf.DUMMYFUNCTION("IMPORTRANGE(""https://docs.google.com/spreadsheets/d/1MeEWN-I1oV_STSDYn1IFDPWt_1FKiwhDph83XaGc0o0/edit?usp=sharing"",""งบพรบ!AX54"")"),353929.45)</f>
        <v>353929.45</v>
      </c>
      <c r="M54" s="175">
        <f t="shared" ca="1" si="5"/>
        <v>93.42451958610495</v>
      </c>
      <c r="N54" s="175">
        <f t="shared" ca="1" si="6"/>
        <v>93.42451958610495</v>
      </c>
      <c r="O54" s="176">
        <f ca="1">IFERROR(__xludf.DUMMYFUNCTION("IMPORTRANGE(""https://docs.google.com/spreadsheets/d/1MeEWN-I1oV_STSDYn1IFDPWt_1FKiwhDph83XaGc0o0/edit?usp=sharing"",""งบพรบ!AY54"")"),0)</f>
        <v>0</v>
      </c>
      <c r="P54" s="176">
        <f t="shared" ca="1" si="36"/>
        <v>0</v>
      </c>
      <c r="Q54" s="175">
        <f t="shared" ca="1" si="8"/>
        <v>0</v>
      </c>
      <c r="R54" s="173">
        <f ca="1">IFERROR(__xludf.DUMMYFUNCTION("IMPORTRANGE(""https://docs.google.com/spreadsheets/d/1njBaP_xXd-Uotvo2D9zb01TTCFkLJLDK97Tk1l9Qux0/edit?usp=sharing"",""จันทบุรี!I98"")"),30)</f>
        <v>30</v>
      </c>
      <c r="S54" s="173">
        <f ca="1">IFERROR(__xludf.DUMMYFUNCTION("IMPORTRANGE(""https://docs.google.com/spreadsheets/d/1njBaP_xXd-Uotvo2D9zb01TTCFkLJLDK97Tk1l9Qux0/edit?usp=sharing"",""จันทบุรี!J98"")"),30)</f>
        <v>30</v>
      </c>
      <c r="T54" s="173">
        <f t="shared" ca="1" si="10"/>
        <v>100</v>
      </c>
      <c r="U54" s="173">
        <f ca="1">IFERROR(__xludf.DUMMYFUNCTION("IMPORTRANGE(""https://docs.google.com/spreadsheets/d/1njBaP_xXd-Uotvo2D9zb01TTCFkLJLDK97Tk1l9Qux0/edit?usp=sharing"",""จันทบุรี!I99"")"),10)</f>
        <v>10</v>
      </c>
      <c r="V54" s="173">
        <f ca="1">IFERROR(__xludf.DUMMYFUNCTION("IMPORTRANGE(""https://docs.google.com/spreadsheets/d/1njBaP_xXd-Uotvo2D9zb01TTCFkLJLDK97Tk1l9Qux0/edit?usp=sharing"",""จันทบุรี!I100"")"),2)</f>
        <v>2</v>
      </c>
      <c r="W54" s="173">
        <f ca="1">IFERROR(__xludf.DUMMYFUNCTION("IMPORTRANGE(""https://docs.google.com/spreadsheets/d/1njBaP_xXd-Uotvo2D9zb01TTCFkLJLDK97Tk1l9Qux0/edit?usp=sharing"",""จันทบุรี!J99"")"),10)</f>
        <v>10</v>
      </c>
      <c r="X54" s="177">
        <f t="shared" ca="1" si="12"/>
        <v>100</v>
      </c>
      <c r="Y54" s="178">
        <f ca="1">IFERROR(__xludf.DUMMYFUNCTION("IMPORTRANGE(""https://docs.google.com/spreadsheets/d/1njBaP_xXd-Uotvo2D9zb01TTCFkLJLDK97Tk1l9Qux0/edit?usp=sharing"",""จันทบุรี!J100"")"),2)</f>
        <v>2</v>
      </c>
      <c r="Z54" s="177">
        <f t="shared" ca="1" si="13"/>
        <v>100</v>
      </c>
      <c r="AA54" s="172">
        <f ca="1">IFERROR(__xludf.DUMMYFUNCTION("IMPORTRANGE(""https://docs.google.com/spreadsheets/d/1njBaP_xXd-Uotvo2D9zb01TTCFkLJLDK97Tk1l9Qux0/edit?usp=sharing"",""จันทบุรี!I102"")"),30)</f>
        <v>30</v>
      </c>
      <c r="AB54" s="172">
        <f ca="1">IFERROR(__xludf.DUMMYFUNCTION("IMPORTRANGE(""https://docs.google.com/spreadsheets/d/1njBaP_xXd-Uotvo2D9zb01TTCFkLJLDK97Tk1l9Qux0/edit?usp=sharing"",""จันทบุรี!I103"")"),10)</f>
        <v>10</v>
      </c>
      <c r="AC54" s="173">
        <f ca="1">IFERROR(__xludf.DUMMYFUNCTION("IMPORTRANGE(""https://docs.google.com/spreadsheets/d/1njBaP_xXd-Uotvo2D9zb01TTCFkLJLDK97Tk1l9Qux0/edit?usp=sharing"",""จันทบุรี!J102"")"),30)</f>
        <v>30</v>
      </c>
      <c r="AD54" s="173">
        <f ca="1">IFERROR(__xludf.DUMMYFUNCTION("IMPORTRANGE(""https://docs.google.com/spreadsheets/d/1njBaP_xXd-Uotvo2D9zb01TTCFkLJLDK97Tk1l9Qux0/edit?usp=sharing"",""จันทบุรี!J103"")"),10)</f>
        <v>10</v>
      </c>
      <c r="AE54" s="173">
        <f ca="1">IFERROR(__xludf.DUMMYFUNCTION("IMPORTRANGE(""https://docs.google.com/spreadsheets/d/1njBaP_xXd-Uotvo2D9zb01TTCFkLJLDK97Tk1l9Qux0/edit?usp=sharing"",""จันทบุรี!J104"")"),10)</f>
        <v>10</v>
      </c>
      <c r="AF54" s="172">
        <f ca="1">IFERROR(__xludf.DUMMYFUNCTION("IMPORTRANGE(""https://docs.google.com/spreadsheets/d/1njBaP_xXd-Uotvo2D9zb01TTCFkLJLDK97Tk1l9Qux0/edit?usp=sharing"",""จันทบุรี!I106"")"),1)</f>
        <v>1</v>
      </c>
      <c r="AG54" s="173">
        <f ca="1">IFERROR(__xludf.DUMMYFUNCTION("IMPORTRANGE(""https://docs.google.com/spreadsheets/d/1njBaP_xXd-Uotvo2D9zb01TTCFkLJLDK97Tk1l9Qux0/edit?usp=sharing"",""จันทบุรี!J106"")"),1)</f>
        <v>1</v>
      </c>
      <c r="AH54" s="173">
        <f ca="1">IFERROR(__xludf.DUMMYFUNCTION("IMPORTRANGE(""https://docs.google.com/spreadsheets/d/1njBaP_xXd-Uotvo2D9zb01TTCFkLJLDK97Tk1l9Qux0/edit?usp=sharing"",""จันทบุรี!J107"")"),1)</f>
        <v>1</v>
      </c>
      <c r="AI54" s="172">
        <f ca="1">IFERROR(__xludf.DUMMYFUNCTION("IMPORTRANGE(""https://docs.google.com/spreadsheets/d/1njBaP_xXd-Uotvo2D9zb01TTCFkLJLDK97Tk1l9Qux0/edit?usp=sharing"",""จันทบุรี!I109"")"),1)</f>
        <v>1</v>
      </c>
      <c r="AJ54" s="173">
        <f ca="1">IFERROR(__xludf.DUMMYFUNCTION("IMPORTRANGE(""https://docs.google.com/spreadsheets/d/1njBaP_xXd-Uotvo2D9zb01TTCFkLJLDK97Tk1l9Qux0/edit?usp=sharing"",""จันทบุรี!J109"")"),1)</f>
        <v>1</v>
      </c>
      <c r="AK54" s="173">
        <f ca="1">IFERROR(__xludf.DUMMYFUNCTION("IMPORTRANGE(""https://docs.google.com/spreadsheets/d/1njBaP_xXd-Uotvo2D9zb01TTCFkLJLDK97Tk1l9Qux0/edit?usp=sharing"",""จันทบุรี!J110"")"),1)</f>
        <v>1</v>
      </c>
      <c r="AL54" s="172">
        <f ca="1">IFERROR(__xludf.DUMMYFUNCTION("IMPORTRANGE(""https://docs.google.com/spreadsheets/d/1njBaP_xXd-Uotvo2D9zb01TTCFkLJLDK97Tk1l9Qux0/edit?usp=sharing"",""จันทบุรี!I111"")"),10)</f>
        <v>10</v>
      </c>
      <c r="AM54" s="172">
        <f ca="1">IFERROR(__xludf.DUMMYFUNCTION("IMPORTRANGE(""https://docs.google.com/spreadsheets/d/1njBaP_xXd-Uotvo2D9zb01TTCFkLJLDK97Tk1l9Qux0/edit?usp=sharing"",""จันทบุรี!I112"")"),2)</f>
        <v>2</v>
      </c>
      <c r="AN54" s="173">
        <f ca="1">IFERROR(__xludf.DUMMYFUNCTION("IMPORTRANGE(""https://docs.google.com/spreadsheets/d/1njBaP_xXd-Uotvo2D9zb01TTCFkLJLDK97Tk1l9Qux0/edit?usp=sharing"",""จันทบุรี!J111"")"),10)</f>
        <v>10</v>
      </c>
      <c r="AO54" s="173">
        <f t="shared" ca="1" si="15"/>
        <v>100</v>
      </c>
      <c r="AP54" s="173">
        <f ca="1">IFERROR(__xludf.DUMMYFUNCTION("IMPORTRANGE(""https://docs.google.com/spreadsheets/d/1njBaP_xXd-Uotvo2D9zb01TTCFkLJLDK97Tk1l9Qux0/edit?usp=sharing"",""จันทบุรี!J112"")"),2)</f>
        <v>2</v>
      </c>
      <c r="AQ54" s="175">
        <f t="shared" ca="1" si="16"/>
        <v>100</v>
      </c>
      <c r="AR54" s="172">
        <f ca="1">IFERROR(__xludf.DUMMYFUNCTION("IMPORTRANGE(""https://docs.google.com/spreadsheets/d/1njBaP_xXd-Uotvo2D9zb01TTCFkLJLDK97Tk1l9Qux0/edit?usp=sharing"",""จันทบุรี!I113"")"),10)</f>
        <v>10</v>
      </c>
      <c r="AS54" s="172">
        <f ca="1">IFERROR(__xludf.DUMMYFUNCTION("IMPORTRANGE(""https://docs.google.com/spreadsheets/d/1njBaP_xXd-Uotvo2D9zb01TTCFkLJLDK97Tk1l9Qux0/edit?usp=sharing"",""จันทบุรี!J113"")"),10)</f>
        <v>10</v>
      </c>
      <c r="AT54" s="172">
        <f ca="1">IFERROR(__xludf.DUMMYFUNCTION("IMPORTRANGE(""https://docs.google.com/spreadsheets/d/1njBaP_xXd-Uotvo2D9zb01TTCFkLJLDK97Tk1l9Qux0/edit?usp=sharing"",""จันทบุรี!J114"")"),10)</f>
        <v>10</v>
      </c>
      <c r="AU54" s="172">
        <f ca="1">IFERROR(__xludf.DUMMYFUNCTION("IMPORTRANGE(""https://docs.google.com/spreadsheets/d/1njBaP_xXd-Uotvo2D9zb01TTCFkLJLDK97Tk1l9Qux0/edit?usp=sharing"",""จันทบุรี!I115"")"),1)</f>
        <v>1</v>
      </c>
      <c r="AV54" s="173">
        <f ca="1">IFERROR(__xludf.DUMMYFUNCTION("IMPORTRANGE(""https://docs.google.com/spreadsheets/d/1njBaP_xXd-Uotvo2D9zb01TTCFkLJLDK97Tk1l9Qux0/edit?usp=sharing"",""จันทบุรี!J115"")"),1)</f>
        <v>1</v>
      </c>
      <c r="AW54" s="175">
        <f t="shared" ca="1" si="18"/>
        <v>100</v>
      </c>
      <c r="AX54" s="172">
        <f ca="1">IFERROR(__xludf.DUMMYFUNCTION("IMPORTRANGE(""https://docs.google.com/spreadsheets/d/1njBaP_xXd-Uotvo2D9zb01TTCFkLJLDK97Tk1l9Qux0/edit?usp=sharing"",""จันทบุรี!I116"")"),1)</f>
        <v>1</v>
      </c>
      <c r="AY54" s="173">
        <f ca="1">IFERROR(__xludf.DUMMYFUNCTION("IMPORTRANGE(""https://docs.google.com/spreadsheets/d/1njBaP_xXd-Uotvo2D9zb01TTCFkLJLDK97Tk1l9Qux0/edit?usp=sharing"",""จันทบุรี!J116"")"),1)</f>
        <v>1</v>
      </c>
      <c r="AZ54" s="175">
        <f t="shared" ca="1" si="20"/>
        <v>100</v>
      </c>
    </row>
    <row r="55" spans="1:52" ht="21" customHeight="1" x14ac:dyDescent="0.3">
      <c r="A55" s="168">
        <v>3</v>
      </c>
      <c r="B55" s="169" t="s">
        <v>77</v>
      </c>
      <c r="C55" s="170">
        <f t="shared" ca="1" si="0"/>
        <v>85840</v>
      </c>
      <c r="D55" s="171">
        <f t="shared" ca="1" si="56"/>
        <v>85840</v>
      </c>
      <c r="E55" s="172">
        <f ca="1">IFERROR(__xludf.DUMMYFUNCTION("IMPORTRANGE(""https://docs.google.com/spreadsheets/d/1MeEWN-I1oV_STSDYn1IFDPWt_1FKiwhDph83XaGc0o0/edit?usp=sharing"",""งบพรบ!AR55"")"),0)</f>
        <v>0</v>
      </c>
      <c r="F55" s="172">
        <f ca="1">IFERROR(__xludf.DUMMYFUNCTION("IMPORTRANGE(""https://docs.google.com/spreadsheets/d/1MeEWN-I1oV_STSDYn1IFDPWt_1FKiwhDph83XaGc0o0/edit?usp=sharing"",""งบพรบ!AS55"")"),85840)</f>
        <v>85840</v>
      </c>
      <c r="G55" s="172">
        <f ca="1">IFERROR(__xludf.DUMMYFUNCTION("IMPORTRANGE(""https://docs.google.com/spreadsheets/d/1MeEWN-I1oV_STSDYn1IFDPWt_1FKiwhDph83XaGc0o0/edit?usp=sharing"",""งบพรบ!AT55"")"),0)</f>
        <v>0</v>
      </c>
      <c r="H55" s="172">
        <f ca="1">IFERROR(__xludf.DUMMYFUNCTION("IMPORTRANGE(""https://docs.google.com/spreadsheets/d/1MeEWN-I1oV_STSDYn1IFDPWt_1FKiwhDph83XaGc0o0/edit?usp=sharing"",""งบพรบ!AV55"")"),85840)</f>
        <v>85840</v>
      </c>
      <c r="I55" s="172">
        <f ca="1">IFERROR(__xludf.DUMMYFUNCTION("IMPORTRANGE(""https://docs.google.com/spreadsheets/d/1MeEWN-I1oV_STSDYn1IFDPWt_1FKiwhDph83XaGc0o0/edit?usp=sharing"",""งบพรบ!AW55"")"),0)</f>
        <v>0</v>
      </c>
      <c r="J55" s="172">
        <f t="shared" ca="1" si="3"/>
        <v>85840</v>
      </c>
      <c r="K55" s="179">
        <f t="shared" ca="1" si="4"/>
        <v>100</v>
      </c>
      <c r="L55" s="172">
        <f ca="1">IFERROR(__xludf.DUMMYFUNCTION("IMPORTRANGE(""https://docs.google.com/spreadsheets/d/1MeEWN-I1oV_STSDYn1IFDPWt_1FKiwhDph83XaGc0o0/edit?usp=sharing"",""งบพรบ!AX55"")"),85840)</f>
        <v>85840</v>
      </c>
      <c r="M55" s="175">
        <f t="shared" ca="1" si="5"/>
        <v>100</v>
      </c>
      <c r="N55" s="175">
        <f t="shared" ca="1" si="6"/>
        <v>100</v>
      </c>
      <c r="O55" s="176">
        <f ca="1">IFERROR(__xludf.DUMMYFUNCTION("IMPORTRANGE(""https://docs.google.com/spreadsheets/d/1MeEWN-I1oV_STSDYn1IFDPWt_1FKiwhDph83XaGc0o0/edit?usp=sharing"",""งบพรบ!AY55"")"),0)</f>
        <v>0</v>
      </c>
      <c r="P55" s="176">
        <f t="shared" ca="1" si="36"/>
        <v>0</v>
      </c>
      <c r="Q55" s="175">
        <f t="shared" ca="1" si="8"/>
        <v>0</v>
      </c>
      <c r="R55" s="173">
        <f ca="1">IFERROR(__xludf.DUMMYFUNCTION("IMPORTRANGE(""https://docs.google.com/spreadsheets/d/14xp6qUzrGFnUk_qnc1eEmfiaNRd4_grkhpfQH_46fa8/edit?usp=sharing"",""ฉะเชิงเทรา!I98"")"),30)</f>
        <v>30</v>
      </c>
      <c r="S55" s="173">
        <f ca="1">IFERROR(__xludf.DUMMYFUNCTION("IMPORTRANGE(""https://docs.google.com/spreadsheets/d/14xp6qUzrGFnUk_qnc1eEmfiaNRd4_grkhpfQH_46fa8/edit?usp=sharing"",""ฉะเชิงเทรา!J98"")"),30)</f>
        <v>30</v>
      </c>
      <c r="T55" s="173">
        <f t="shared" ca="1" si="10"/>
        <v>100</v>
      </c>
      <c r="U55" s="173">
        <f ca="1">IFERROR(__xludf.DUMMYFUNCTION("IMPORTRANGE(""https://docs.google.com/spreadsheets/d/14xp6qUzrGFnUk_qnc1eEmfiaNRd4_grkhpfQH_46fa8/edit?usp=sharing"",""ฉะเชิงเทรา!I99"")"),10)</f>
        <v>10</v>
      </c>
      <c r="V55" s="173">
        <f ca="1">IFERROR(__xludf.DUMMYFUNCTION("IMPORTRANGE(""https://docs.google.com/spreadsheets/d/14xp6qUzrGFnUk_qnc1eEmfiaNRd4_grkhpfQH_46fa8/edit?usp=sharing"",""ฉะเชิงเทรา!I100"")"),2)</f>
        <v>2</v>
      </c>
      <c r="W55" s="173">
        <f ca="1">IFERROR(__xludf.DUMMYFUNCTION("IMPORTRANGE(""https://docs.google.com/spreadsheets/d/14xp6qUzrGFnUk_qnc1eEmfiaNRd4_grkhpfQH_46fa8/edit?usp=sharing"",""ฉะเชิงเทรา!J99"")"),10)</f>
        <v>10</v>
      </c>
      <c r="X55" s="177">
        <f t="shared" ca="1" si="12"/>
        <v>100</v>
      </c>
      <c r="Y55" s="178">
        <f ca="1">IFERROR(__xludf.DUMMYFUNCTION("IMPORTRANGE(""https://docs.google.com/spreadsheets/d/14xp6qUzrGFnUk_qnc1eEmfiaNRd4_grkhpfQH_46fa8/edit?usp=sharing"",""ฉะเชิงเทรา!J100"")"),2)</f>
        <v>2</v>
      </c>
      <c r="Z55" s="177">
        <f t="shared" ca="1" si="13"/>
        <v>100</v>
      </c>
      <c r="AA55" s="172">
        <f ca="1">IFERROR(__xludf.DUMMYFUNCTION("IMPORTRANGE(""https://docs.google.com/spreadsheets/d/14xp6qUzrGFnUk_qnc1eEmfiaNRd4_grkhpfQH_46fa8/edit?usp=sharing"",""ฉะเชิงเทรา!I102"")"),30)</f>
        <v>30</v>
      </c>
      <c r="AB55" s="172">
        <f ca="1">IFERROR(__xludf.DUMMYFUNCTION("IMPORTRANGE(""https://docs.google.com/spreadsheets/d/14xp6qUzrGFnUk_qnc1eEmfiaNRd4_grkhpfQH_46fa8/edit?usp=sharing"",""ฉะเชิงเทรา!I103"")"),10)</f>
        <v>10</v>
      </c>
      <c r="AC55" s="173">
        <f ca="1">IFERROR(__xludf.DUMMYFUNCTION("IMPORTRANGE(""https://docs.google.com/spreadsheets/d/14xp6qUzrGFnUk_qnc1eEmfiaNRd4_grkhpfQH_46fa8/edit?usp=sharing"",""ฉะเชิงเทรา!J102"")"),30)</f>
        <v>30</v>
      </c>
      <c r="AD55" s="173">
        <f ca="1">IFERROR(__xludf.DUMMYFUNCTION("IMPORTRANGE(""https://docs.google.com/spreadsheets/d/14xp6qUzrGFnUk_qnc1eEmfiaNRd4_grkhpfQH_46fa8/edit?usp=sharing"",""ฉะเชิงเทรา!J103"")"),10)</f>
        <v>10</v>
      </c>
      <c r="AE55" s="173">
        <f ca="1">IFERROR(__xludf.DUMMYFUNCTION("IMPORTRANGE(""https://docs.google.com/spreadsheets/d/14xp6qUzrGFnUk_qnc1eEmfiaNRd4_grkhpfQH_46fa8/edit?usp=sharing"",""ฉะเชิงเทรา!J104"")"),10)</f>
        <v>10</v>
      </c>
      <c r="AF55" s="172">
        <f ca="1">IFERROR(__xludf.DUMMYFUNCTION("IMPORTRANGE(""https://docs.google.com/spreadsheets/d/14xp6qUzrGFnUk_qnc1eEmfiaNRd4_grkhpfQH_46fa8/edit?usp=sharing"",""ฉะเชิงเทรา!I106"")"),1)</f>
        <v>1</v>
      </c>
      <c r="AG55" s="173">
        <f ca="1">IFERROR(__xludf.DUMMYFUNCTION("IMPORTRANGE(""https://docs.google.com/spreadsheets/d/14xp6qUzrGFnUk_qnc1eEmfiaNRd4_grkhpfQH_46fa8/edit?usp=sharing"",""ฉะเชิงเทรา!J106"")"),1)</f>
        <v>1</v>
      </c>
      <c r="AH55" s="173">
        <f ca="1">IFERROR(__xludf.DUMMYFUNCTION("IMPORTRANGE(""https://docs.google.com/spreadsheets/d/14xp6qUzrGFnUk_qnc1eEmfiaNRd4_grkhpfQH_46fa8/edit?usp=sharing"",""ฉะเชิงเทรา!J107"")"),1)</f>
        <v>1</v>
      </c>
      <c r="AI55" s="172">
        <f ca="1">IFERROR(__xludf.DUMMYFUNCTION("IMPORTRANGE(""https://docs.google.com/spreadsheets/d/14xp6qUzrGFnUk_qnc1eEmfiaNRd4_grkhpfQH_46fa8/edit?usp=sharing"",""ฉะเชิงเทรา!I109"")"),1)</f>
        <v>1</v>
      </c>
      <c r="AJ55" s="173">
        <f ca="1">IFERROR(__xludf.DUMMYFUNCTION("IMPORTRANGE(""https://docs.google.com/spreadsheets/d/14xp6qUzrGFnUk_qnc1eEmfiaNRd4_grkhpfQH_46fa8/edit?usp=sharing"",""ฉะเชิงเทรา!J109"")"),1)</f>
        <v>1</v>
      </c>
      <c r="AK55" s="173">
        <f ca="1">IFERROR(__xludf.DUMMYFUNCTION("IMPORTRANGE(""https://docs.google.com/spreadsheets/d/14xp6qUzrGFnUk_qnc1eEmfiaNRd4_grkhpfQH_46fa8/edit?usp=sharing"",""ฉะเชิงเทรา!J110"")"),1)</f>
        <v>1</v>
      </c>
      <c r="AL55" s="172">
        <f ca="1">IFERROR(__xludf.DUMMYFUNCTION("IMPORTRANGE(""https://docs.google.com/spreadsheets/d/14xp6qUzrGFnUk_qnc1eEmfiaNRd4_grkhpfQH_46fa8/edit?usp=sharing"",""ฉะเชิงเทรา!I111"")"),10)</f>
        <v>10</v>
      </c>
      <c r="AM55" s="172">
        <f ca="1">IFERROR(__xludf.DUMMYFUNCTION("IMPORTRANGE(""https://docs.google.com/spreadsheets/d/14xp6qUzrGFnUk_qnc1eEmfiaNRd4_grkhpfQH_46fa8/edit?usp=sharing"",""ฉะเชิงเทรา!I112"")"),2)</f>
        <v>2</v>
      </c>
      <c r="AN55" s="173">
        <f ca="1">IFERROR(__xludf.DUMMYFUNCTION("IMPORTRANGE(""https://docs.google.com/spreadsheets/d/14xp6qUzrGFnUk_qnc1eEmfiaNRd4_grkhpfQH_46fa8/edit?usp=sharing"",""ฉะเชิงเทรา!J111"")"),10)</f>
        <v>10</v>
      </c>
      <c r="AO55" s="173">
        <f t="shared" ca="1" si="15"/>
        <v>100</v>
      </c>
      <c r="AP55" s="173">
        <f ca="1">IFERROR(__xludf.DUMMYFUNCTION("IMPORTRANGE(""https://docs.google.com/spreadsheets/d/14xp6qUzrGFnUk_qnc1eEmfiaNRd4_grkhpfQH_46fa8/edit?usp=sharing"",""ฉะเชิงเทรา!J112"")"),2)</f>
        <v>2</v>
      </c>
      <c r="AQ55" s="175">
        <f t="shared" ca="1" si="16"/>
        <v>100</v>
      </c>
      <c r="AR55" s="172">
        <f ca="1">IFERROR(__xludf.DUMMYFUNCTION("IMPORTRANGE(""https://docs.google.com/spreadsheets/d/14xp6qUzrGFnUk_qnc1eEmfiaNRd4_grkhpfQH_46fa8/edit?usp=sharing"",""ฉะเชิงเทรา!I113"")"),10)</f>
        <v>10</v>
      </c>
      <c r="AS55" s="172">
        <f ca="1">IFERROR(__xludf.DUMMYFUNCTION("IMPORTRANGE(""https://docs.google.com/spreadsheets/d/14xp6qUzrGFnUk_qnc1eEmfiaNRd4_grkhpfQH_46fa8/edit?usp=sharing"",""ฉะเชิงเทรา!J113"")"),10)</f>
        <v>10</v>
      </c>
      <c r="AT55" s="172">
        <f ca="1">IFERROR(__xludf.DUMMYFUNCTION("IMPORTRANGE(""https://docs.google.com/spreadsheets/d/14xp6qUzrGFnUk_qnc1eEmfiaNRd4_grkhpfQH_46fa8/edit?usp=sharing"",""ฉะเชิงเทรา!J114"")"),10)</f>
        <v>10</v>
      </c>
      <c r="AU55" s="172">
        <f ca="1">IFERROR(__xludf.DUMMYFUNCTION("IMPORTRANGE(""https://docs.google.com/spreadsheets/d/14xp6qUzrGFnUk_qnc1eEmfiaNRd4_grkhpfQH_46fa8/edit?usp=sharing"",""ฉะเชิงเทรา!I115"")"),1)</f>
        <v>1</v>
      </c>
      <c r="AV55" s="173">
        <f ca="1">IFERROR(__xludf.DUMMYFUNCTION("IMPORTRANGE(""https://docs.google.com/spreadsheets/d/14xp6qUzrGFnUk_qnc1eEmfiaNRd4_grkhpfQH_46fa8/edit?usp=sharing"",""ฉะเชิงเทรา!J115"")"),1)</f>
        <v>1</v>
      </c>
      <c r="AW55" s="175">
        <f t="shared" ca="1" si="18"/>
        <v>100</v>
      </c>
      <c r="AX55" s="172">
        <f ca="1">IFERROR(__xludf.DUMMYFUNCTION("IMPORTRANGE(""https://docs.google.com/spreadsheets/d/14xp6qUzrGFnUk_qnc1eEmfiaNRd4_grkhpfQH_46fa8/edit?usp=sharing"",""ฉะเชิงเทรา!I116"")"),1)</f>
        <v>1</v>
      </c>
      <c r="AY55" s="173">
        <f ca="1">IFERROR(__xludf.DUMMYFUNCTION("IMPORTRANGE(""https://docs.google.com/spreadsheets/d/14xp6qUzrGFnUk_qnc1eEmfiaNRd4_grkhpfQH_46fa8/edit?usp=sharing"",""ฉะเชิงเทรา!J116"")"),1)</f>
        <v>1</v>
      </c>
      <c r="AZ55" s="175">
        <f t="shared" ca="1" si="20"/>
        <v>100</v>
      </c>
    </row>
    <row r="56" spans="1:52" ht="21" customHeight="1" x14ac:dyDescent="0.3">
      <c r="A56" s="168">
        <v>4</v>
      </c>
      <c r="B56" s="169" t="s">
        <v>78</v>
      </c>
      <c r="C56" s="170">
        <f t="shared" ca="1" si="0"/>
        <v>31200</v>
      </c>
      <c r="D56" s="171">
        <f t="shared" ca="1" si="56"/>
        <v>31200</v>
      </c>
      <c r="E56" s="172">
        <f ca="1">IFERROR(__xludf.DUMMYFUNCTION("IMPORTRANGE(""https://docs.google.com/spreadsheets/d/1MeEWN-I1oV_STSDYn1IFDPWt_1FKiwhDph83XaGc0o0/edit?usp=sharing"",""งบพรบ!AR56"")"),0)</f>
        <v>0</v>
      </c>
      <c r="F56" s="172">
        <f ca="1">IFERROR(__xludf.DUMMYFUNCTION("IMPORTRANGE(""https://docs.google.com/spreadsheets/d/1MeEWN-I1oV_STSDYn1IFDPWt_1FKiwhDph83XaGc0o0/edit?usp=sharing"",""งบพรบ!AS56"")"),31200)</f>
        <v>31200</v>
      </c>
      <c r="G56" s="172">
        <f ca="1">IFERROR(__xludf.DUMMYFUNCTION("IMPORTRANGE(""https://docs.google.com/spreadsheets/d/1MeEWN-I1oV_STSDYn1IFDPWt_1FKiwhDph83XaGc0o0/edit?usp=sharing"",""งบพรบ!AT56"")"),0)</f>
        <v>0</v>
      </c>
      <c r="H56" s="172">
        <f ca="1">IFERROR(__xludf.DUMMYFUNCTION("IMPORTRANGE(""https://docs.google.com/spreadsheets/d/1MeEWN-I1oV_STSDYn1IFDPWt_1FKiwhDph83XaGc0o0/edit?usp=sharing"",""งบพรบ!AV56"")"),38805)</f>
        <v>38805</v>
      </c>
      <c r="I56" s="172">
        <f ca="1">IFERROR(__xludf.DUMMYFUNCTION("IMPORTRANGE(""https://docs.google.com/spreadsheets/d/1MeEWN-I1oV_STSDYn1IFDPWt_1FKiwhDph83XaGc0o0/edit?usp=sharing"",""งบพรบ!AW56"")"),0)</f>
        <v>0</v>
      </c>
      <c r="J56" s="172">
        <f t="shared" ca="1" si="3"/>
        <v>38805</v>
      </c>
      <c r="K56" s="179">
        <f t="shared" ca="1" si="4"/>
        <v>124.375</v>
      </c>
      <c r="L56" s="172">
        <f ca="1">IFERROR(__xludf.DUMMYFUNCTION("IMPORTRANGE(""https://docs.google.com/spreadsheets/d/1MeEWN-I1oV_STSDYn1IFDPWt_1FKiwhDph83XaGc0o0/edit?usp=sharing"",""งบพรบ!AX56"")"),38805)</f>
        <v>38805</v>
      </c>
      <c r="M56" s="175">
        <f t="shared" ca="1" si="5"/>
        <v>124.375</v>
      </c>
      <c r="N56" s="175">
        <f t="shared" ca="1" si="6"/>
        <v>100</v>
      </c>
      <c r="O56" s="176">
        <f ca="1">IFERROR(__xludf.DUMMYFUNCTION("IMPORTRANGE(""https://docs.google.com/spreadsheets/d/1MeEWN-I1oV_STSDYn1IFDPWt_1FKiwhDph83XaGc0o0/edit?usp=sharing"",""งบพรบ!AY56"")"),0)</f>
        <v>0</v>
      </c>
      <c r="P56" s="176">
        <f t="shared" ca="1" si="36"/>
        <v>0</v>
      </c>
      <c r="Q56" s="175">
        <f t="shared" ca="1" si="8"/>
        <v>0</v>
      </c>
      <c r="R56" s="173">
        <f ca="1">IFERROR(__xludf.DUMMYFUNCTION("IMPORTRANGE(""https://docs.google.com/spreadsheets/d/1_Zwps30dlVa-pZFsorjVf1Pil6WXwzCsJU0U2whO3NI/edit?usp=sharing"",""ชลบุรี!I98"")"),0)</f>
        <v>0</v>
      </c>
      <c r="S56" s="173">
        <f ca="1">IFERROR(__xludf.DUMMYFUNCTION("IMPORTRANGE(""https://docs.google.com/spreadsheets/d/1_Zwps30dlVa-pZFsorjVf1Pil6WXwzCsJU0U2whO3NI/edit?usp=sharing"",""ชลบุรี!J98"")"),0)</f>
        <v>0</v>
      </c>
      <c r="T56" s="173">
        <f t="shared" ca="1" si="10"/>
        <v>0</v>
      </c>
      <c r="U56" s="173">
        <f ca="1">IFERROR(__xludf.DUMMYFUNCTION("IMPORTRANGE(""https://docs.google.com/spreadsheets/d/1_Zwps30dlVa-pZFsorjVf1Pil6WXwzCsJU0U2whO3NI/edit?usp=sharing"",""ชลบุรี!I99"")"),0)</f>
        <v>0</v>
      </c>
      <c r="V56" s="173">
        <f ca="1">IFERROR(__xludf.DUMMYFUNCTION("IMPORTRANGE(""https://docs.google.com/spreadsheets/d/1_Zwps30dlVa-pZFsorjVf1Pil6WXwzCsJU0U2whO3NI/edit?usp=sharing"",""ชลบุรี!I100"")"),1)</f>
        <v>1</v>
      </c>
      <c r="W56" s="173">
        <f ca="1">IFERROR(__xludf.DUMMYFUNCTION("IMPORTRANGE(""https://docs.google.com/spreadsheets/d/1_Zwps30dlVa-pZFsorjVf1Pil6WXwzCsJU0U2whO3NI/edit?usp=sharing"",""ชลบุรี!J99"")"),0)</f>
        <v>0</v>
      </c>
      <c r="X56" s="177">
        <f t="shared" ca="1" si="12"/>
        <v>0</v>
      </c>
      <c r="Y56" s="178">
        <f ca="1">IFERROR(__xludf.DUMMYFUNCTION("IMPORTRANGE(""https://docs.google.com/spreadsheets/d/1_Zwps30dlVa-pZFsorjVf1Pil6WXwzCsJU0U2whO3NI/edit?usp=sharing"",""ชลบุรี!J100"")"),1)</f>
        <v>1</v>
      </c>
      <c r="Z56" s="177">
        <f t="shared" ca="1" si="13"/>
        <v>100</v>
      </c>
      <c r="AA56" s="172">
        <f ca="1">IFERROR(__xludf.DUMMYFUNCTION("IMPORTRANGE(""https://docs.google.com/spreadsheets/d/1_Zwps30dlVa-pZFsorjVf1Pil6WXwzCsJU0U2whO3NI/edit?usp=sharing"",""ชลบุรี!I102"")"),0)</f>
        <v>0</v>
      </c>
      <c r="AB56" s="172">
        <f ca="1">IFERROR(__xludf.DUMMYFUNCTION("IMPORTRANGE(""https://docs.google.com/spreadsheets/d/1_Zwps30dlVa-pZFsorjVf1Pil6WXwzCsJU0U2whO3NI/edit?usp=sharing"",""ชลบุรี!I103"")"),0)</f>
        <v>0</v>
      </c>
      <c r="AC56" s="173">
        <f ca="1">IFERROR(__xludf.DUMMYFUNCTION("IMPORTRANGE(""https://docs.google.com/spreadsheets/d/1_Zwps30dlVa-pZFsorjVf1Pil6WXwzCsJU0U2whO3NI/edit?usp=sharing"",""ชลบุรี!J102"")"),0)</f>
        <v>0</v>
      </c>
      <c r="AD56" s="173">
        <f ca="1">IFERROR(__xludf.DUMMYFUNCTION("IMPORTRANGE(""https://docs.google.com/spreadsheets/d/1_Zwps30dlVa-pZFsorjVf1Pil6WXwzCsJU0U2whO3NI/edit?usp=sharing"",""ชลบุรี!J103"")"),0)</f>
        <v>0</v>
      </c>
      <c r="AE56" s="173">
        <f ca="1">IFERROR(__xludf.DUMMYFUNCTION("IMPORTRANGE(""https://docs.google.com/spreadsheets/d/1_Zwps30dlVa-pZFsorjVf1Pil6WXwzCsJU0U2whO3NI/edit?usp=sharing"",""ชลบุรี!J104"")"),0)</f>
        <v>0</v>
      </c>
      <c r="AF56" s="172">
        <f ca="1">IFERROR(__xludf.DUMMYFUNCTION("IMPORTRANGE(""https://docs.google.com/spreadsheets/d/1_Zwps30dlVa-pZFsorjVf1Pil6WXwzCsJU0U2whO3NI/edit?usp=sharing"",""ชลบุรี!I106"")"),0)</f>
        <v>0</v>
      </c>
      <c r="AG56" s="173">
        <f ca="1">IFERROR(__xludf.DUMMYFUNCTION("IMPORTRANGE(""https://docs.google.com/spreadsheets/d/1_Zwps30dlVa-pZFsorjVf1Pil6WXwzCsJU0U2whO3NI/edit?usp=sharing"",""ชลบุรี!J106"")"),0)</f>
        <v>0</v>
      </c>
      <c r="AH56" s="173">
        <f ca="1">IFERROR(__xludf.DUMMYFUNCTION("IMPORTRANGE(""https://docs.google.com/spreadsheets/d/1_Zwps30dlVa-pZFsorjVf1Pil6WXwzCsJU0U2whO3NI/edit?usp=sharing"",""ชลบุรี!J107"")"),0)</f>
        <v>0</v>
      </c>
      <c r="AI56" s="172">
        <f ca="1">IFERROR(__xludf.DUMMYFUNCTION("IMPORTRANGE(""https://docs.google.com/spreadsheets/d/1_Zwps30dlVa-pZFsorjVf1Pil6WXwzCsJU0U2whO3NI/edit?usp=sharing"",""ชลบุรี!I109"")"),1)</f>
        <v>1</v>
      </c>
      <c r="AJ56" s="173">
        <f ca="1">IFERROR(__xludf.DUMMYFUNCTION("IMPORTRANGE(""https://docs.google.com/spreadsheets/d/1_Zwps30dlVa-pZFsorjVf1Pil6WXwzCsJU0U2whO3NI/edit?usp=sharing"",""ชลบุรี!J109"")"),1)</f>
        <v>1</v>
      </c>
      <c r="AK56" s="173">
        <f ca="1">IFERROR(__xludf.DUMMYFUNCTION("IMPORTRANGE(""https://docs.google.com/spreadsheets/d/1_Zwps30dlVa-pZFsorjVf1Pil6WXwzCsJU0U2whO3NI/edit?usp=sharing"",""ชลบุรี!J110"")"),1)</f>
        <v>1</v>
      </c>
      <c r="AL56" s="172">
        <f ca="1">IFERROR(__xludf.DUMMYFUNCTION("IMPORTRANGE(""https://docs.google.com/spreadsheets/d/1_Zwps30dlVa-pZFsorjVf1Pil6WXwzCsJU0U2whO3NI/edit?usp=sharing"",""ชลบุรี!I111"")"),0)</f>
        <v>0</v>
      </c>
      <c r="AM56" s="172">
        <f ca="1">IFERROR(__xludf.DUMMYFUNCTION("IMPORTRANGE(""https://docs.google.com/spreadsheets/d/1_Zwps30dlVa-pZFsorjVf1Pil6WXwzCsJU0U2whO3NI/edit?usp=sharing"",""ชลบุรี!I112"")"),1)</f>
        <v>1</v>
      </c>
      <c r="AN56" s="173">
        <f ca="1">IFERROR(__xludf.DUMMYFUNCTION("IMPORTRANGE(""https://docs.google.com/spreadsheets/d/1_Zwps30dlVa-pZFsorjVf1Pil6WXwzCsJU0U2whO3NI/edit?usp=sharing"",""ชลบุรี!J111"")"),0)</f>
        <v>0</v>
      </c>
      <c r="AO56" s="173">
        <f t="shared" ca="1" si="15"/>
        <v>0</v>
      </c>
      <c r="AP56" s="173">
        <f ca="1">IFERROR(__xludf.DUMMYFUNCTION("IMPORTRANGE(""https://docs.google.com/spreadsheets/d/1_Zwps30dlVa-pZFsorjVf1Pil6WXwzCsJU0U2whO3NI/edit?usp=sharing"",""ชลบุรี!J112"")"),1)</f>
        <v>1</v>
      </c>
      <c r="AQ56" s="175">
        <f t="shared" ca="1" si="16"/>
        <v>100</v>
      </c>
      <c r="AR56" s="172">
        <f ca="1">IFERROR(__xludf.DUMMYFUNCTION("IMPORTRANGE(""https://docs.google.com/spreadsheets/d/1_Zwps30dlVa-pZFsorjVf1Pil6WXwzCsJU0U2whO3NI/edit?usp=sharing"",""ชลบุรี!I113"")"),0)</f>
        <v>0</v>
      </c>
      <c r="AS56" s="172">
        <f ca="1">IFERROR(__xludf.DUMMYFUNCTION("IMPORTRANGE(""https://docs.google.com/spreadsheets/d/1_Zwps30dlVa-pZFsorjVf1Pil6WXwzCsJU0U2whO3NI/edit?usp=sharing"",""ชลบุรี!J113"")"),0)</f>
        <v>0</v>
      </c>
      <c r="AT56" s="172">
        <f ca="1">IFERROR(__xludf.DUMMYFUNCTION("IMPORTRANGE(""https://docs.google.com/spreadsheets/d/1_Zwps30dlVa-pZFsorjVf1Pil6WXwzCsJU0U2whO3NI/edit?usp=sharing"",""ชลบุรี!J114"")"),0)</f>
        <v>0</v>
      </c>
      <c r="AU56" s="172">
        <f ca="1">IFERROR(__xludf.DUMMYFUNCTION("IMPORTRANGE(""https://docs.google.com/spreadsheets/d/1_Zwps30dlVa-pZFsorjVf1Pil6WXwzCsJU0U2whO3NI/edit?usp=sharing"",""ชลบุรี!I115"")"),0)</f>
        <v>0</v>
      </c>
      <c r="AV56" s="173">
        <f ca="1">IFERROR(__xludf.DUMMYFUNCTION("IMPORTRANGE(""https://docs.google.com/spreadsheets/d/1_Zwps30dlVa-pZFsorjVf1Pil6WXwzCsJU0U2whO3NI/edit?usp=sharing"",""ชลบุรี!J115"")"),0)</f>
        <v>0</v>
      </c>
      <c r="AW56" s="175">
        <f t="shared" ca="1" si="18"/>
        <v>0</v>
      </c>
      <c r="AX56" s="172">
        <f ca="1">IFERROR(__xludf.DUMMYFUNCTION("IMPORTRANGE(""https://docs.google.com/spreadsheets/d/1_Zwps30dlVa-pZFsorjVf1Pil6WXwzCsJU0U2whO3NI/edit?usp=sharing"",""ชลบุรี!I116"")"),1)</f>
        <v>1</v>
      </c>
      <c r="AY56" s="173">
        <f ca="1">IFERROR(__xludf.DUMMYFUNCTION("IMPORTRANGE(""https://docs.google.com/spreadsheets/d/1_Zwps30dlVa-pZFsorjVf1Pil6WXwzCsJU0U2whO3NI/edit?usp=sharing"",""ชลบุรี!J116"")"),1)</f>
        <v>1</v>
      </c>
      <c r="AZ56" s="175">
        <f t="shared" ca="1" si="20"/>
        <v>100</v>
      </c>
    </row>
    <row r="57" spans="1:52" ht="21" customHeight="1" x14ac:dyDescent="0.3">
      <c r="A57" s="168">
        <v>5</v>
      </c>
      <c r="B57" s="169" t="s">
        <v>79</v>
      </c>
      <c r="C57" s="170">
        <f t="shared" ca="1" si="0"/>
        <v>136220</v>
      </c>
      <c r="D57" s="171">
        <f t="shared" ca="1" si="56"/>
        <v>136220</v>
      </c>
      <c r="E57" s="172">
        <f ca="1">IFERROR(__xludf.DUMMYFUNCTION("IMPORTRANGE(""https://docs.google.com/spreadsheets/d/1MeEWN-I1oV_STSDYn1IFDPWt_1FKiwhDph83XaGc0o0/edit?usp=sharing"",""งบพรบ!AR57"")"),0)</f>
        <v>0</v>
      </c>
      <c r="F57" s="172">
        <f ca="1">IFERROR(__xludf.DUMMYFUNCTION("IMPORTRANGE(""https://docs.google.com/spreadsheets/d/1MeEWN-I1oV_STSDYn1IFDPWt_1FKiwhDph83XaGc0o0/edit?usp=sharing"",""งบพรบ!AS57"")"),136220)</f>
        <v>136220</v>
      </c>
      <c r="G57" s="172">
        <f ca="1">IFERROR(__xludf.DUMMYFUNCTION("IMPORTRANGE(""https://docs.google.com/spreadsheets/d/1MeEWN-I1oV_STSDYn1IFDPWt_1FKiwhDph83XaGc0o0/edit?usp=sharing"",""งบพรบ!AT57"")"),0)</f>
        <v>0</v>
      </c>
      <c r="H57" s="172">
        <f ca="1">IFERROR(__xludf.DUMMYFUNCTION("IMPORTRANGE(""https://docs.google.com/spreadsheets/d/1MeEWN-I1oV_STSDYn1IFDPWt_1FKiwhDph83XaGc0o0/edit?usp=sharing"",""งบพรบ!AV57"")"),136220)</f>
        <v>136220</v>
      </c>
      <c r="I57" s="172">
        <f ca="1">IFERROR(__xludf.DUMMYFUNCTION("IMPORTRANGE(""https://docs.google.com/spreadsheets/d/1MeEWN-I1oV_STSDYn1IFDPWt_1FKiwhDph83XaGc0o0/edit?usp=sharing"",""งบพรบ!AW57"")"),0)</f>
        <v>0</v>
      </c>
      <c r="J57" s="172">
        <f t="shared" ca="1" si="3"/>
        <v>136220</v>
      </c>
      <c r="K57" s="179">
        <f t="shared" ca="1" si="4"/>
        <v>100</v>
      </c>
      <c r="L57" s="172">
        <f ca="1">IFERROR(__xludf.DUMMYFUNCTION("IMPORTRANGE(""https://docs.google.com/spreadsheets/d/1MeEWN-I1oV_STSDYn1IFDPWt_1FKiwhDph83XaGc0o0/edit?usp=sharing"",""งบพรบ!AX57"")"),136220)</f>
        <v>136220</v>
      </c>
      <c r="M57" s="175">
        <f t="shared" ca="1" si="5"/>
        <v>100</v>
      </c>
      <c r="N57" s="175">
        <f t="shared" ca="1" si="6"/>
        <v>100</v>
      </c>
      <c r="O57" s="176">
        <f ca="1">IFERROR(__xludf.DUMMYFUNCTION("IMPORTRANGE(""https://docs.google.com/spreadsheets/d/1MeEWN-I1oV_STSDYn1IFDPWt_1FKiwhDph83XaGc0o0/edit?usp=sharing"",""งบพรบ!AY57"")"),0)</f>
        <v>0</v>
      </c>
      <c r="P57" s="176">
        <f t="shared" ca="1" si="36"/>
        <v>0</v>
      </c>
      <c r="Q57" s="175">
        <f t="shared" ca="1" si="8"/>
        <v>0</v>
      </c>
      <c r="R57" s="173">
        <f ca="1">IFERROR(__xludf.DUMMYFUNCTION("IMPORTRANGE(""https://docs.google.com/spreadsheets/d/1xAsT4sUbBlom7l0acStESh_15nvjZcXjZM7fK5uZSq8/edit?usp=sharing"",""ชัยนาท!I98"")"),90)</f>
        <v>90</v>
      </c>
      <c r="S57" s="173">
        <f ca="1">IFERROR(__xludf.DUMMYFUNCTION("IMPORTRANGE(""https://docs.google.com/spreadsheets/d/1xAsT4sUbBlom7l0acStESh_15nvjZcXjZM7fK5uZSq8/edit?usp=sharing"",""ชัยนาท!J98"")"),90)</f>
        <v>90</v>
      </c>
      <c r="T57" s="173">
        <f t="shared" ca="1" si="10"/>
        <v>100</v>
      </c>
      <c r="U57" s="173">
        <f ca="1">IFERROR(__xludf.DUMMYFUNCTION("IMPORTRANGE(""https://docs.google.com/spreadsheets/d/1xAsT4sUbBlom7l0acStESh_15nvjZcXjZM7fK5uZSq8/edit?usp=sharing"",""ชัยนาท!I99"")"),30)</f>
        <v>30</v>
      </c>
      <c r="V57" s="173">
        <f ca="1">IFERROR(__xludf.DUMMYFUNCTION("IMPORTRANGE(""https://docs.google.com/spreadsheets/d/1xAsT4sUbBlom7l0acStESh_15nvjZcXjZM7fK5uZSq8/edit?usp=sharing"",""ชัยนาท!I100"")"),2)</f>
        <v>2</v>
      </c>
      <c r="W57" s="173">
        <f ca="1">IFERROR(__xludf.DUMMYFUNCTION("IMPORTRANGE(""https://docs.google.com/spreadsheets/d/1xAsT4sUbBlom7l0acStESh_15nvjZcXjZM7fK5uZSq8/edit?usp=sharing"",""ชัยนาท!J99"")"),30)</f>
        <v>30</v>
      </c>
      <c r="X57" s="177">
        <f t="shared" ca="1" si="12"/>
        <v>100</v>
      </c>
      <c r="Y57" s="178">
        <f ca="1">IFERROR(__xludf.DUMMYFUNCTION("IMPORTRANGE(""https://docs.google.com/spreadsheets/d/1xAsT4sUbBlom7l0acStESh_15nvjZcXjZM7fK5uZSq8/edit?usp=sharing"",""ชัยนาท!J100"")"),2)</f>
        <v>2</v>
      </c>
      <c r="Z57" s="177">
        <f t="shared" ca="1" si="13"/>
        <v>100</v>
      </c>
      <c r="AA57" s="172">
        <f ca="1">IFERROR(__xludf.DUMMYFUNCTION("IMPORTRANGE(""https://docs.google.com/spreadsheets/d/1xAsT4sUbBlom7l0acStESh_15nvjZcXjZM7fK5uZSq8/edit?usp=sharing"",""ชัยนาท!I102"")"),90)</f>
        <v>90</v>
      </c>
      <c r="AB57" s="172">
        <f ca="1">IFERROR(__xludf.DUMMYFUNCTION("IMPORTRANGE(""https://docs.google.com/spreadsheets/d/1xAsT4sUbBlom7l0acStESh_15nvjZcXjZM7fK5uZSq8/edit?usp=sharing"",""ชัยนาท!I103"")"),30)</f>
        <v>30</v>
      </c>
      <c r="AC57" s="173">
        <f ca="1">IFERROR(__xludf.DUMMYFUNCTION("IMPORTRANGE(""https://docs.google.com/spreadsheets/d/1xAsT4sUbBlom7l0acStESh_15nvjZcXjZM7fK5uZSq8/edit?usp=sharing"",""ชัยนาท!J102"")"),90)</f>
        <v>90</v>
      </c>
      <c r="AD57" s="173">
        <f ca="1">IFERROR(__xludf.DUMMYFUNCTION("IMPORTRANGE(""https://docs.google.com/spreadsheets/d/1xAsT4sUbBlom7l0acStESh_15nvjZcXjZM7fK5uZSq8/edit?usp=sharing"",""ชัยนาท!J103"")"),30)</f>
        <v>30</v>
      </c>
      <c r="AE57" s="173">
        <f ca="1">IFERROR(__xludf.DUMMYFUNCTION("IMPORTRANGE(""https://docs.google.com/spreadsheets/d/1xAsT4sUbBlom7l0acStESh_15nvjZcXjZM7fK5uZSq8/edit?usp=sharing"",""ชัยนาท!J104"")"),30)</f>
        <v>30</v>
      </c>
      <c r="AF57" s="172">
        <f ca="1">IFERROR(__xludf.DUMMYFUNCTION("IMPORTRANGE(""https://docs.google.com/spreadsheets/d/1xAsT4sUbBlom7l0acStESh_15nvjZcXjZM7fK5uZSq8/edit?usp=sharing"",""ชัยนาท!I106"")"),1)</f>
        <v>1</v>
      </c>
      <c r="AG57" s="173">
        <f ca="1">IFERROR(__xludf.DUMMYFUNCTION("IMPORTRANGE(""https://docs.google.com/spreadsheets/d/1xAsT4sUbBlom7l0acStESh_15nvjZcXjZM7fK5uZSq8/edit?usp=sharing"",""ชัยนาท!J106"")"),1)</f>
        <v>1</v>
      </c>
      <c r="AH57" s="173">
        <f ca="1">IFERROR(__xludf.DUMMYFUNCTION("IMPORTRANGE(""https://docs.google.com/spreadsheets/d/1xAsT4sUbBlom7l0acStESh_15nvjZcXjZM7fK5uZSq8/edit?usp=sharing"",""ชัยนาท!J107"")"),1)</f>
        <v>1</v>
      </c>
      <c r="AI57" s="172">
        <f ca="1">IFERROR(__xludf.DUMMYFUNCTION("IMPORTRANGE(""https://docs.google.com/spreadsheets/d/1xAsT4sUbBlom7l0acStESh_15nvjZcXjZM7fK5uZSq8/edit?usp=sharing"",""ชัยนาท!I109"")"),1)</f>
        <v>1</v>
      </c>
      <c r="AJ57" s="173">
        <f ca="1">IFERROR(__xludf.DUMMYFUNCTION("IMPORTRANGE(""https://docs.google.com/spreadsheets/d/1xAsT4sUbBlom7l0acStESh_15nvjZcXjZM7fK5uZSq8/edit?usp=sharing"",""ชัยนาท!J109"")"),1)</f>
        <v>1</v>
      </c>
      <c r="AK57" s="173">
        <f ca="1">IFERROR(__xludf.DUMMYFUNCTION("IMPORTRANGE(""https://docs.google.com/spreadsheets/d/1xAsT4sUbBlom7l0acStESh_15nvjZcXjZM7fK5uZSq8/edit?usp=sharing"",""ชัยนาท!J110"")"),1)</f>
        <v>1</v>
      </c>
      <c r="AL57" s="172">
        <f ca="1">IFERROR(__xludf.DUMMYFUNCTION("IMPORTRANGE(""https://docs.google.com/spreadsheets/d/1xAsT4sUbBlom7l0acStESh_15nvjZcXjZM7fK5uZSq8/edit?usp=sharing"",""ชัยนาท!I111"")"),30)</f>
        <v>30</v>
      </c>
      <c r="AM57" s="172">
        <f ca="1">IFERROR(__xludf.DUMMYFUNCTION("IMPORTRANGE(""https://docs.google.com/spreadsheets/d/1xAsT4sUbBlom7l0acStESh_15nvjZcXjZM7fK5uZSq8/edit?usp=sharing"",""ชัยนาท!I112"")"),2)</f>
        <v>2</v>
      </c>
      <c r="AN57" s="173">
        <f ca="1">IFERROR(__xludf.DUMMYFUNCTION("IMPORTRANGE(""https://docs.google.com/spreadsheets/d/1xAsT4sUbBlom7l0acStESh_15nvjZcXjZM7fK5uZSq8/edit?usp=sharing"",""ชัยนาท!J111"")"),30)</f>
        <v>30</v>
      </c>
      <c r="AO57" s="173">
        <f t="shared" ca="1" si="15"/>
        <v>100</v>
      </c>
      <c r="AP57" s="173">
        <f ca="1">IFERROR(__xludf.DUMMYFUNCTION("IMPORTRANGE(""https://docs.google.com/spreadsheets/d/1xAsT4sUbBlom7l0acStESh_15nvjZcXjZM7fK5uZSq8/edit?usp=sharing"",""ชัยนาท!J112"")"),2)</f>
        <v>2</v>
      </c>
      <c r="AQ57" s="175">
        <f t="shared" ca="1" si="16"/>
        <v>100</v>
      </c>
      <c r="AR57" s="172">
        <f ca="1">IFERROR(__xludf.DUMMYFUNCTION("IMPORTRANGE(""https://docs.google.com/spreadsheets/d/1xAsT4sUbBlom7l0acStESh_15nvjZcXjZM7fK5uZSq8/edit?usp=sharing"",""ชัยนาท!I113"")"),30)</f>
        <v>30</v>
      </c>
      <c r="AS57" s="172">
        <f ca="1">IFERROR(__xludf.DUMMYFUNCTION("IMPORTRANGE(""https://docs.google.com/spreadsheets/d/1xAsT4sUbBlom7l0acStESh_15nvjZcXjZM7fK5uZSq8/edit?usp=sharing"",""ชัยนาท!J113"")"),30)</f>
        <v>30</v>
      </c>
      <c r="AT57" s="172">
        <f ca="1">IFERROR(__xludf.DUMMYFUNCTION("IMPORTRANGE(""https://docs.google.com/spreadsheets/d/1xAsT4sUbBlom7l0acStESh_15nvjZcXjZM7fK5uZSq8/edit?usp=sharing"",""ชัยนาท!J114"")"),30)</f>
        <v>30</v>
      </c>
      <c r="AU57" s="172">
        <f ca="1">IFERROR(__xludf.DUMMYFUNCTION("IMPORTRANGE(""https://docs.google.com/spreadsheets/d/1xAsT4sUbBlom7l0acStESh_15nvjZcXjZM7fK5uZSq8/edit?usp=sharing"",""ชัยนาท!I115"")"),1)</f>
        <v>1</v>
      </c>
      <c r="AV57" s="173">
        <f ca="1">IFERROR(__xludf.DUMMYFUNCTION("IMPORTRANGE(""https://docs.google.com/spreadsheets/d/1xAsT4sUbBlom7l0acStESh_15nvjZcXjZM7fK5uZSq8/edit?usp=sharing"",""ชัยนาท!J115"")"),1)</f>
        <v>1</v>
      </c>
      <c r="AW57" s="175">
        <f t="shared" ca="1" si="18"/>
        <v>100</v>
      </c>
      <c r="AX57" s="172">
        <f ca="1">IFERROR(__xludf.DUMMYFUNCTION("IMPORTRANGE(""https://docs.google.com/spreadsheets/d/1xAsT4sUbBlom7l0acStESh_15nvjZcXjZM7fK5uZSq8/edit?usp=sharing"",""ชัยนาท!I116"")"),1)</f>
        <v>1</v>
      </c>
      <c r="AY57" s="173">
        <f ca="1">IFERROR(__xludf.DUMMYFUNCTION("IMPORTRANGE(""https://docs.google.com/spreadsheets/d/1xAsT4sUbBlom7l0acStESh_15nvjZcXjZM7fK5uZSq8/edit?usp=sharing"",""ชัยนาท!J116"")"),1)</f>
        <v>1</v>
      </c>
      <c r="AZ57" s="175">
        <f t="shared" ca="1" si="20"/>
        <v>100</v>
      </c>
    </row>
    <row r="58" spans="1:52" ht="21" customHeight="1" x14ac:dyDescent="0.3">
      <c r="A58" s="168">
        <v>6</v>
      </c>
      <c r="B58" s="169" t="s">
        <v>80</v>
      </c>
      <c r="C58" s="170">
        <f t="shared" ca="1" si="0"/>
        <v>372140</v>
      </c>
      <c r="D58" s="171">
        <f t="shared" ca="1" si="56"/>
        <v>372140</v>
      </c>
      <c r="E58" s="172">
        <f ca="1">IFERROR(__xludf.DUMMYFUNCTION("IMPORTRANGE(""https://docs.google.com/spreadsheets/d/1MeEWN-I1oV_STSDYn1IFDPWt_1FKiwhDph83XaGc0o0/edit?usp=sharing"",""งบพรบ!AR58"")"),286300)</f>
        <v>286300</v>
      </c>
      <c r="F58" s="172">
        <f ca="1">IFERROR(__xludf.DUMMYFUNCTION("IMPORTRANGE(""https://docs.google.com/spreadsheets/d/1MeEWN-I1oV_STSDYn1IFDPWt_1FKiwhDph83XaGc0o0/edit?usp=sharing"",""งบพรบ!AS58"")"),85840)</f>
        <v>85840</v>
      </c>
      <c r="G58" s="172">
        <f ca="1">IFERROR(__xludf.DUMMYFUNCTION("IMPORTRANGE(""https://docs.google.com/spreadsheets/d/1MeEWN-I1oV_STSDYn1IFDPWt_1FKiwhDph83XaGc0o0/edit?usp=sharing"",""งบพรบ!AT58"")"),0)</f>
        <v>0</v>
      </c>
      <c r="H58" s="172">
        <f ca="1">IFERROR(__xludf.DUMMYFUNCTION("IMPORTRANGE(""https://docs.google.com/spreadsheets/d/1MeEWN-I1oV_STSDYn1IFDPWt_1FKiwhDph83XaGc0o0/edit?usp=sharing"",""งบพรบ!AV58"")"),372140)</f>
        <v>372140</v>
      </c>
      <c r="I58" s="172">
        <f ca="1">IFERROR(__xludf.DUMMYFUNCTION("IMPORTRANGE(""https://docs.google.com/spreadsheets/d/1MeEWN-I1oV_STSDYn1IFDPWt_1FKiwhDph83XaGc0o0/edit?usp=sharing"",""งบพรบ!AW58"")"),0)</f>
        <v>0</v>
      </c>
      <c r="J58" s="172">
        <f t="shared" ca="1" si="3"/>
        <v>335742.4</v>
      </c>
      <c r="K58" s="179">
        <f t="shared" ca="1" si="4"/>
        <v>90.21937980329983</v>
      </c>
      <c r="L58" s="172">
        <f ca="1">IFERROR(__xludf.DUMMYFUNCTION("IMPORTRANGE(""https://docs.google.com/spreadsheets/d/1MeEWN-I1oV_STSDYn1IFDPWt_1FKiwhDph83XaGc0o0/edit?usp=sharing"",""งบพรบ!AX58"")"),335742.4)</f>
        <v>335742.4</v>
      </c>
      <c r="M58" s="175">
        <f t="shared" ca="1" si="5"/>
        <v>90.21937980329983</v>
      </c>
      <c r="N58" s="175">
        <f t="shared" ca="1" si="6"/>
        <v>90.21937980329983</v>
      </c>
      <c r="O58" s="176">
        <f ca="1">IFERROR(__xludf.DUMMYFUNCTION("IMPORTRANGE(""https://docs.google.com/spreadsheets/d/1MeEWN-I1oV_STSDYn1IFDPWt_1FKiwhDph83XaGc0o0/edit?usp=sharing"",""งบพรบ!AY58"")"),0)</f>
        <v>0</v>
      </c>
      <c r="P58" s="176">
        <f t="shared" ca="1" si="36"/>
        <v>0</v>
      </c>
      <c r="Q58" s="175">
        <f t="shared" ca="1" si="8"/>
        <v>0</v>
      </c>
      <c r="R58" s="173">
        <f ca="1">IFERROR(__xludf.DUMMYFUNCTION("IMPORTRANGE(""https://docs.google.com/spreadsheets/d/1vWPVBOAaZ6mHSI8yf95DNqHwTJ1cpeFsvqt6cxV34QA/edit?usp=sharing"",""ตราด!I98"")"),30)</f>
        <v>30</v>
      </c>
      <c r="S58" s="173">
        <f ca="1">IFERROR(__xludf.DUMMYFUNCTION("IMPORTRANGE(""https://docs.google.com/spreadsheets/d/1vWPVBOAaZ6mHSI8yf95DNqHwTJ1cpeFsvqt6cxV34QA/edit?usp=sharing"",""ตราด!J98"")"),30)</f>
        <v>30</v>
      </c>
      <c r="T58" s="173">
        <f t="shared" ca="1" si="10"/>
        <v>100</v>
      </c>
      <c r="U58" s="173">
        <f ca="1">IFERROR(__xludf.DUMMYFUNCTION("IMPORTRANGE(""https://docs.google.com/spreadsheets/d/1vWPVBOAaZ6mHSI8yf95DNqHwTJ1cpeFsvqt6cxV34QA/edit?usp=sharing"",""ตราด!I99"")"),10)</f>
        <v>10</v>
      </c>
      <c r="V58" s="173">
        <f ca="1">IFERROR(__xludf.DUMMYFUNCTION("IMPORTRANGE(""https://docs.google.com/spreadsheets/d/1vWPVBOAaZ6mHSI8yf95DNqHwTJ1cpeFsvqt6cxV34QA/edit?usp=sharing"",""ตราด!I100"")"),2)</f>
        <v>2</v>
      </c>
      <c r="W58" s="173">
        <f ca="1">IFERROR(__xludf.DUMMYFUNCTION("IMPORTRANGE(""https://docs.google.com/spreadsheets/d/1vWPVBOAaZ6mHSI8yf95DNqHwTJ1cpeFsvqt6cxV34QA/edit?usp=sharing"",""ตราด!J99"")"),10)</f>
        <v>10</v>
      </c>
      <c r="X58" s="177">
        <f t="shared" ca="1" si="12"/>
        <v>100</v>
      </c>
      <c r="Y58" s="178">
        <f ca="1">IFERROR(__xludf.DUMMYFUNCTION("IMPORTRANGE(""https://docs.google.com/spreadsheets/d/1vWPVBOAaZ6mHSI8yf95DNqHwTJ1cpeFsvqt6cxV34QA/edit?usp=sharing"",""ตราด!J100"")"),2)</f>
        <v>2</v>
      </c>
      <c r="Z58" s="177">
        <f t="shared" ca="1" si="13"/>
        <v>100</v>
      </c>
      <c r="AA58" s="172">
        <f ca="1">IFERROR(__xludf.DUMMYFUNCTION("IMPORTRANGE(""https://docs.google.com/spreadsheets/d/1vWPVBOAaZ6mHSI8yf95DNqHwTJ1cpeFsvqt6cxV34QA/edit?usp=sharing"",""ตราด!I102"")"),30)</f>
        <v>30</v>
      </c>
      <c r="AB58" s="172">
        <f ca="1">IFERROR(__xludf.DUMMYFUNCTION("IMPORTRANGE(""https://docs.google.com/spreadsheets/d/1vWPVBOAaZ6mHSI8yf95DNqHwTJ1cpeFsvqt6cxV34QA/edit?usp=sharing"",""ตราด!I103"")"),10)</f>
        <v>10</v>
      </c>
      <c r="AC58" s="173">
        <f ca="1">IFERROR(__xludf.DUMMYFUNCTION("IMPORTRANGE(""https://docs.google.com/spreadsheets/d/1vWPVBOAaZ6mHSI8yf95DNqHwTJ1cpeFsvqt6cxV34QA/edit?usp=sharing"",""ตราด!J102"")"),30)</f>
        <v>30</v>
      </c>
      <c r="AD58" s="173">
        <f ca="1">IFERROR(__xludf.DUMMYFUNCTION("IMPORTRANGE(""https://docs.google.com/spreadsheets/d/1vWPVBOAaZ6mHSI8yf95DNqHwTJ1cpeFsvqt6cxV34QA/edit?usp=sharing"",""ตราด!J103"")"),10)</f>
        <v>10</v>
      </c>
      <c r="AE58" s="173">
        <f ca="1">IFERROR(__xludf.DUMMYFUNCTION("IMPORTRANGE(""https://docs.google.com/spreadsheets/d/1vWPVBOAaZ6mHSI8yf95DNqHwTJ1cpeFsvqt6cxV34QA/edit?usp=sharing"",""ตราด!J104"")"),10)</f>
        <v>10</v>
      </c>
      <c r="AF58" s="172">
        <f ca="1">IFERROR(__xludf.DUMMYFUNCTION("IMPORTRANGE(""https://docs.google.com/spreadsheets/d/1vWPVBOAaZ6mHSI8yf95DNqHwTJ1cpeFsvqt6cxV34QA/edit?usp=sharing"",""ตราด!I106"")"),1)</f>
        <v>1</v>
      </c>
      <c r="AG58" s="173">
        <f ca="1">IFERROR(__xludf.DUMMYFUNCTION("IMPORTRANGE(""https://docs.google.com/spreadsheets/d/1vWPVBOAaZ6mHSI8yf95DNqHwTJ1cpeFsvqt6cxV34QA/edit?usp=sharing"",""ตราด!J106"")"),1)</f>
        <v>1</v>
      </c>
      <c r="AH58" s="173">
        <f ca="1">IFERROR(__xludf.DUMMYFUNCTION("IMPORTRANGE(""https://docs.google.com/spreadsheets/d/1vWPVBOAaZ6mHSI8yf95DNqHwTJ1cpeFsvqt6cxV34QA/edit?usp=sharing"",""ตราด!J107"")"),1)</f>
        <v>1</v>
      </c>
      <c r="AI58" s="172">
        <f ca="1">IFERROR(__xludf.DUMMYFUNCTION("IMPORTRANGE(""https://docs.google.com/spreadsheets/d/1vWPVBOAaZ6mHSI8yf95DNqHwTJ1cpeFsvqt6cxV34QA/edit?usp=sharing"",""ตราด!I109"")"),1)</f>
        <v>1</v>
      </c>
      <c r="AJ58" s="173">
        <f ca="1">IFERROR(__xludf.DUMMYFUNCTION("IMPORTRANGE(""https://docs.google.com/spreadsheets/d/1vWPVBOAaZ6mHSI8yf95DNqHwTJ1cpeFsvqt6cxV34QA/edit?usp=sharing"",""ตราด!J109"")"),1)</f>
        <v>1</v>
      </c>
      <c r="AK58" s="173">
        <f ca="1">IFERROR(__xludf.DUMMYFUNCTION("IMPORTRANGE(""https://docs.google.com/spreadsheets/d/1vWPVBOAaZ6mHSI8yf95DNqHwTJ1cpeFsvqt6cxV34QA/edit?usp=sharing"",""ตราด!J110"")"),1)</f>
        <v>1</v>
      </c>
      <c r="AL58" s="172">
        <f ca="1">IFERROR(__xludf.DUMMYFUNCTION("IMPORTRANGE(""https://docs.google.com/spreadsheets/d/1vWPVBOAaZ6mHSI8yf95DNqHwTJ1cpeFsvqt6cxV34QA/edit?usp=sharing"",""ตราด!I111"")"),10)</f>
        <v>10</v>
      </c>
      <c r="AM58" s="172">
        <f ca="1">IFERROR(__xludf.DUMMYFUNCTION("IMPORTRANGE(""https://docs.google.com/spreadsheets/d/1vWPVBOAaZ6mHSI8yf95DNqHwTJ1cpeFsvqt6cxV34QA/edit?usp=sharing"",""ตราด!I112"")"),2)</f>
        <v>2</v>
      </c>
      <c r="AN58" s="173">
        <f ca="1">IFERROR(__xludf.DUMMYFUNCTION("IMPORTRANGE(""https://docs.google.com/spreadsheets/d/1vWPVBOAaZ6mHSI8yf95DNqHwTJ1cpeFsvqt6cxV34QA/edit?usp=sharing"",""ตราด!J111"")"),10)</f>
        <v>10</v>
      </c>
      <c r="AO58" s="173">
        <f t="shared" ca="1" si="15"/>
        <v>100</v>
      </c>
      <c r="AP58" s="173">
        <f ca="1">IFERROR(__xludf.DUMMYFUNCTION("IMPORTRANGE(""https://docs.google.com/spreadsheets/d/1vWPVBOAaZ6mHSI8yf95DNqHwTJ1cpeFsvqt6cxV34QA/edit?usp=sharing"",""ตราด!J112"")"),2)</f>
        <v>2</v>
      </c>
      <c r="AQ58" s="175">
        <f t="shared" ca="1" si="16"/>
        <v>100</v>
      </c>
      <c r="AR58" s="172">
        <f ca="1">IFERROR(__xludf.DUMMYFUNCTION("IMPORTRANGE(""https://docs.google.com/spreadsheets/d/1vWPVBOAaZ6mHSI8yf95DNqHwTJ1cpeFsvqt6cxV34QA/edit?usp=sharing"",""ตราด!I113"")"),10)</f>
        <v>10</v>
      </c>
      <c r="AS58" s="172">
        <f ca="1">IFERROR(__xludf.DUMMYFUNCTION("IMPORTRANGE(""https://docs.google.com/spreadsheets/d/1vWPVBOAaZ6mHSI8yf95DNqHwTJ1cpeFsvqt6cxV34QA/edit?usp=sharing"",""ตราด!J113"")"),10)</f>
        <v>10</v>
      </c>
      <c r="AT58" s="172">
        <f ca="1">IFERROR(__xludf.DUMMYFUNCTION("IMPORTRANGE(""https://docs.google.com/spreadsheets/d/1vWPVBOAaZ6mHSI8yf95DNqHwTJ1cpeFsvqt6cxV34QA/edit?usp=sharing"",""ตราด!J114"")"),10)</f>
        <v>10</v>
      </c>
      <c r="AU58" s="172">
        <f ca="1">IFERROR(__xludf.DUMMYFUNCTION("IMPORTRANGE(""https://docs.google.com/spreadsheets/d/1vWPVBOAaZ6mHSI8yf95DNqHwTJ1cpeFsvqt6cxV34QA/edit?usp=sharing"",""ตราด!I115"")"),1)</f>
        <v>1</v>
      </c>
      <c r="AV58" s="173">
        <f ca="1">IFERROR(__xludf.DUMMYFUNCTION("IMPORTRANGE(""https://docs.google.com/spreadsheets/d/1vWPVBOAaZ6mHSI8yf95DNqHwTJ1cpeFsvqt6cxV34QA/edit?usp=sharing"",""ตราด!J115"")"),1)</f>
        <v>1</v>
      </c>
      <c r="AW58" s="175">
        <f t="shared" ca="1" si="18"/>
        <v>100</v>
      </c>
      <c r="AX58" s="172">
        <f ca="1">IFERROR(__xludf.DUMMYFUNCTION("IMPORTRANGE(""https://docs.google.com/spreadsheets/d/1vWPVBOAaZ6mHSI8yf95DNqHwTJ1cpeFsvqt6cxV34QA/edit?usp=sharing"",""ตราด!I116"")"),1)</f>
        <v>1</v>
      </c>
      <c r="AY58" s="173">
        <f ca="1">IFERROR(__xludf.DUMMYFUNCTION("IMPORTRANGE(""https://docs.google.com/spreadsheets/d/1vWPVBOAaZ6mHSI8yf95DNqHwTJ1cpeFsvqt6cxV34QA/edit?usp=sharing"",""ตราด!J116"")"),1)</f>
        <v>1</v>
      </c>
      <c r="AZ58" s="175">
        <f t="shared" ca="1" si="20"/>
        <v>100</v>
      </c>
    </row>
    <row r="59" spans="1:52" ht="21" customHeight="1" x14ac:dyDescent="0.3">
      <c r="A59" s="168">
        <v>7</v>
      </c>
      <c r="B59" s="169" t="s">
        <v>81</v>
      </c>
      <c r="C59" s="170">
        <f t="shared" ca="1" si="0"/>
        <v>115940</v>
      </c>
      <c r="D59" s="171">
        <f t="shared" ca="1" si="56"/>
        <v>115940</v>
      </c>
      <c r="E59" s="172">
        <f ca="1">IFERROR(__xludf.DUMMYFUNCTION("IMPORTRANGE(""https://docs.google.com/spreadsheets/d/1MeEWN-I1oV_STSDYn1IFDPWt_1FKiwhDph83XaGc0o0/edit?usp=sharing"",""งบพรบ!AR59"")"),0)</f>
        <v>0</v>
      </c>
      <c r="F59" s="172">
        <f ca="1">IFERROR(__xludf.DUMMYFUNCTION("IMPORTRANGE(""https://docs.google.com/spreadsheets/d/1MeEWN-I1oV_STSDYn1IFDPWt_1FKiwhDph83XaGc0o0/edit?usp=sharing"",""งบพรบ!AS59"")"),115940)</f>
        <v>115940</v>
      </c>
      <c r="G59" s="172">
        <f ca="1">IFERROR(__xludf.DUMMYFUNCTION("IMPORTRANGE(""https://docs.google.com/spreadsheets/d/1MeEWN-I1oV_STSDYn1IFDPWt_1FKiwhDph83XaGc0o0/edit?usp=sharing"",""งบพรบ!AT59"")"),0)</f>
        <v>0</v>
      </c>
      <c r="H59" s="172">
        <f ca="1">IFERROR(__xludf.DUMMYFUNCTION("IMPORTRANGE(""https://docs.google.com/spreadsheets/d/1MeEWN-I1oV_STSDYn1IFDPWt_1FKiwhDph83XaGc0o0/edit?usp=sharing"",""งบพรบ!AV59"")"),126040)</f>
        <v>126040</v>
      </c>
      <c r="I59" s="172">
        <f ca="1">IFERROR(__xludf.DUMMYFUNCTION("IMPORTRANGE(""https://docs.google.com/spreadsheets/d/1MeEWN-I1oV_STSDYn1IFDPWt_1FKiwhDph83XaGc0o0/edit?usp=sharing"",""งบพรบ!AW59"")"),0)</f>
        <v>0</v>
      </c>
      <c r="J59" s="172">
        <f t="shared" ca="1" si="3"/>
        <v>109390</v>
      </c>
      <c r="K59" s="179">
        <f t="shared" ca="1" si="4"/>
        <v>94.350526134207342</v>
      </c>
      <c r="L59" s="172">
        <f ca="1">IFERROR(__xludf.DUMMYFUNCTION("IMPORTRANGE(""https://docs.google.com/spreadsheets/d/1MeEWN-I1oV_STSDYn1IFDPWt_1FKiwhDph83XaGc0o0/edit?usp=sharing"",""งบพรบ!AX59"")"),109390)</f>
        <v>109390</v>
      </c>
      <c r="M59" s="175">
        <f t="shared" ca="1" si="5"/>
        <v>94.350526134207342</v>
      </c>
      <c r="N59" s="175">
        <f t="shared" ca="1" si="6"/>
        <v>86.789907965725163</v>
      </c>
      <c r="O59" s="176">
        <f ca="1">IFERROR(__xludf.DUMMYFUNCTION("IMPORTRANGE(""https://docs.google.com/spreadsheets/d/1MeEWN-I1oV_STSDYn1IFDPWt_1FKiwhDph83XaGc0o0/edit?usp=sharing"",""งบพรบ!AY59"")"),0)</f>
        <v>0</v>
      </c>
      <c r="P59" s="176">
        <f t="shared" ca="1" si="36"/>
        <v>0</v>
      </c>
      <c r="Q59" s="175">
        <f t="shared" ca="1" si="8"/>
        <v>0</v>
      </c>
      <c r="R59" s="173">
        <f ca="1">IFERROR(__xludf.DUMMYFUNCTION("IMPORTRANGE(""https://docs.google.com/spreadsheets/d/1phaeSb9lTGgzDpbvVqI9hfmOQQzUom07-HEvpbARzEg/edit?usp=sharing"",""นครนายก!I98"")"),30)</f>
        <v>30</v>
      </c>
      <c r="S59" s="173">
        <f ca="1">IFERROR(__xludf.DUMMYFUNCTION("IMPORTRANGE(""https://docs.google.com/spreadsheets/d/1phaeSb9lTGgzDpbvVqI9hfmOQQzUom07-HEvpbARzEg/edit?usp=sharing"",""นครนายก!J98"")"),30)</f>
        <v>30</v>
      </c>
      <c r="T59" s="173">
        <f t="shared" ca="1" si="10"/>
        <v>100</v>
      </c>
      <c r="U59" s="173">
        <f ca="1">IFERROR(__xludf.DUMMYFUNCTION("IMPORTRANGE(""https://docs.google.com/spreadsheets/d/1phaeSb9lTGgzDpbvVqI9hfmOQQzUom07-HEvpbARzEg/edit?usp=sharing"",""นครนายก!I99"")"),10)</f>
        <v>10</v>
      </c>
      <c r="V59" s="173">
        <f ca="1">IFERROR(__xludf.DUMMYFUNCTION("IMPORTRANGE(""https://docs.google.com/spreadsheets/d/1phaeSb9lTGgzDpbvVqI9hfmOQQzUom07-HEvpbARzEg/edit?usp=sharing"",""นครนายก!I100"")"),3)</f>
        <v>3</v>
      </c>
      <c r="W59" s="173">
        <f ca="1">IFERROR(__xludf.DUMMYFUNCTION("IMPORTRANGE(""https://docs.google.com/spreadsheets/d/1phaeSb9lTGgzDpbvVqI9hfmOQQzUom07-HEvpbARzEg/edit?usp=sharing"",""นครนายก!J99"")"),10)</f>
        <v>10</v>
      </c>
      <c r="X59" s="177">
        <f t="shared" ca="1" si="12"/>
        <v>100</v>
      </c>
      <c r="Y59" s="178">
        <f ca="1">IFERROR(__xludf.DUMMYFUNCTION("IMPORTRANGE(""https://docs.google.com/spreadsheets/d/1phaeSb9lTGgzDpbvVqI9hfmOQQzUom07-HEvpbARzEg/edit?usp=sharing"",""นครนายก!J100"")"),3)</f>
        <v>3</v>
      </c>
      <c r="Z59" s="177">
        <f t="shared" ca="1" si="13"/>
        <v>100</v>
      </c>
      <c r="AA59" s="172">
        <f ca="1">IFERROR(__xludf.DUMMYFUNCTION("IMPORTRANGE(""https://docs.google.com/spreadsheets/d/1phaeSb9lTGgzDpbvVqI9hfmOQQzUom07-HEvpbARzEg/edit?usp=sharing"",""นครนายก!I102"")"),30)</f>
        <v>30</v>
      </c>
      <c r="AB59" s="172">
        <f ca="1">IFERROR(__xludf.DUMMYFUNCTION("IMPORTRANGE(""https://docs.google.com/spreadsheets/d/1phaeSb9lTGgzDpbvVqI9hfmOQQzUom07-HEvpbARzEg/edit?usp=sharing"",""นครนายก!I103"")"),10)</f>
        <v>10</v>
      </c>
      <c r="AC59" s="173">
        <f ca="1">IFERROR(__xludf.DUMMYFUNCTION("IMPORTRANGE(""https://docs.google.com/spreadsheets/d/1phaeSb9lTGgzDpbvVqI9hfmOQQzUom07-HEvpbARzEg/edit?usp=sharing"",""นครนายก!J102"")"),30)</f>
        <v>30</v>
      </c>
      <c r="AD59" s="173">
        <f ca="1">IFERROR(__xludf.DUMMYFUNCTION("IMPORTRANGE(""https://docs.google.com/spreadsheets/d/1phaeSb9lTGgzDpbvVqI9hfmOQQzUom07-HEvpbARzEg/edit?usp=sharing"",""นครนายก!J103"")"),10)</f>
        <v>10</v>
      </c>
      <c r="AE59" s="173">
        <f ca="1">IFERROR(__xludf.DUMMYFUNCTION("IMPORTRANGE(""https://docs.google.com/spreadsheets/d/1phaeSb9lTGgzDpbvVqI9hfmOQQzUom07-HEvpbARzEg/edit?usp=sharing"",""นครนายก!J104"")"),10)</f>
        <v>10</v>
      </c>
      <c r="AF59" s="172">
        <f ca="1">IFERROR(__xludf.DUMMYFUNCTION("IMPORTRANGE(""https://docs.google.com/spreadsheets/d/1phaeSb9lTGgzDpbvVqI9hfmOQQzUom07-HEvpbARzEg/edit?usp=sharing"",""นครนายก!I106"")"),2)</f>
        <v>2</v>
      </c>
      <c r="AG59" s="173">
        <f ca="1">IFERROR(__xludf.DUMMYFUNCTION("IMPORTRANGE(""https://docs.google.com/spreadsheets/d/1phaeSb9lTGgzDpbvVqI9hfmOQQzUom07-HEvpbARzEg/edit?usp=sharing"",""นครนายก!J106"")"),2)</f>
        <v>2</v>
      </c>
      <c r="AH59" s="173">
        <f ca="1">IFERROR(__xludf.DUMMYFUNCTION("IMPORTRANGE(""https://docs.google.com/spreadsheets/d/1phaeSb9lTGgzDpbvVqI9hfmOQQzUom07-HEvpbARzEg/edit?usp=sharing"",""นครนายก!J107"")"),2)</f>
        <v>2</v>
      </c>
      <c r="AI59" s="172">
        <f ca="1">IFERROR(__xludf.DUMMYFUNCTION("IMPORTRANGE(""https://docs.google.com/spreadsheets/d/1phaeSb9lTGgzDpbvVqI9hfmOQQzUom07-HEvpbARzEg/edit?usp=sharing"",""นครนายก!I109"")"),1)</f>
        <v>1</v>
      </c>
      <c r="AJ59" s="173">
        <f ca="1">IFERROR(__xludf.DUMMYFUNCTION("IMPORTRANGE(""https://docs.google.com/spreadsheets/d/1phaeSb9lTGgzDpbvVqI9hfmOQQzUom07-HEvpbARzEg/edit?usp=sharing"",""นครนายก!J109"")"),1)</f>
        <v>1</v>
      </c>
      <c r="AK59" s="173">
        <f ca="1">IFERROR(__xludf.DUMMYFUNCTION("IMPORTRANGE(""https://docs.google.com/spreadsheets/d/1phaeSb9lTGgzDpbvVqI9hfmOQQzUom07-HEvpbARzEg/edit?usp=sharing"",""นครนายก!J110"")"),1)</f>
        <v>1</v>
      </c>
      <c r="AL59" s="172">
        <f ca="1">IFERROR(__xludf.DUMMYFUNCTION("IMPORTRANGE(""https://docs.google.com/spreadsheets/d/1phaeSb9lTGgzDpbvVqI9hfmOQQzUom07-HEvpbARzEg/edit?usp=sharing"",""นครนายก!I111"")"),10)</f>
        <v>10</v>
      </c>
      <c r="AM59" s="172">
        <f ca="1">IFERROR(__xludf.DUMMYFUNCTION("IMPORTRANGE(""https://docs.google.com/spreadsheets/d/1phaeSb9lTGgzDpbvVqI9hfmOQQzUom07-HEvpbARzEg/edit?usp=sharing"",""นครนายก!I112"")"),3)</f>
        <v>3</v>
      </c>
      <c r="AN59" s="173">
        <f ca="1">IFERROR(__xludf.DUMMYFUNCTION("IMPORTRANGE(""https://docs.google.com/spreadsheets/d/1phaeSb9lTGgzDpbvVqI9hfmOQQzUom07-HEvpbARzEg/edit?usp=sharing"",""นครนายก!J111"")"),10)</f>
        <v>10</v>
      </c>
      <c r="AO59" s="173">
        <f t="shared" ca="1" si="15"/>
        <v>100</v>
      </c>
      <c r="AP59" s="173">
        <f ca="1">IFERROR(__xludf.DUMMYFUNCTION("IMPORTRANGE(""https://docs.google.com/spreadsheets/d/1phaeSb9lTGgzDpbvVqI9hfmOQQzUom07-HEvpbARzEg/edit?usp=sharing"",""นครนายก!J112"")"),3)</f>
        <v>3</v>
      </c>
      <c r="AQ59" s="175">
        <f t="shared" ca="1" si="16"/>
        <v>100</v>
      </c>
      <c r="AR59" s="172">
        <f ca="1">IFERROR(__xludf.DUMMYFUNCTION("IMPORTRANGE(""https://docs.google.com/spreadsheets/d/1phaeSb9lTGgzDpbvVqI9hfmOQQzUom07-HEvpbARzEg/edit?usp=sharing"",""นครนายก!I113"")"),10)</f>
        <v>10</v>
      </c>
      <c r="AS59" s="172">
        <f ca="1">IFERROR(__xludf.DUMMYFUNCTION("IMPORTRANGE(""https://docs.google.com/spreadsheets/d/1phaeSb9lTGgzDpbvVqI9hfmOQQzUom07-HEvpbARzEg/edit?usp=sharing"",""นครนายก!J113"")"),10)</f>
        <v>10</v>
      </c>
      <c r="AT59" s="172">
        <f ca="1">IFERROR(__xludf.DUMMYFUNCTION("IMPORTRANGE(""https://docs.google.com/spreadsheets/d/1phaeSb9lTGgzDpbvVqI9hfmOQQzUom07-HEvpbARzEg/edit?usp=sharing"",""นครนายก!J114"")"),10)</f>
        <v>10</v>
      </c>
      <c r="AU59" s="172">
        <f ca="1">IFERROR(__xludf.DUMMYFUNCTION("IMPORTRANGE(""https://docs.google.com/spreadsheets/d/1phaeSb9lTGgzDpbvVqI9hfmOQQzUom07-HEvpbARzEg/edit?usp=sharing"",""นครนายก!I115"")"),2)</f>
        <v>2</v>
      </c>
      <c r="AV59" s="173">
        <f ca="1">IFERROR(__xludf.DUMMYFUNCTION("IMPORTRANGE(""https://docs.google.com/spreadsheets/d/1phaeSb9lTGgzDpbvVqI9hfmOQQzUom07-HEvpbARzEg/edit?usp=sharing"",""นครนายก!J115"")"),2)</f>
        <v>2</v>
      </c>
      <c r="AW59" s="175">
        <f t="shared" ca="1" si="18"/>
        <v>100</v>
      </c>
      <c r="AX59" s="172">
        <f ca="1">IFERROR(__xludf.DUMMYFUNCTION("IMPORTRANGE(""https://docs.google.com/spreadsheets/d/1phaeSb9lTGgzDpbvVqI9hfmOQQzUom07-HEvpbARzEg/edit?usp=sharing"",""นครนายก!I116"")"),1)</f>
        <v>1</v>
      </c>
      <c r="AY59" s="173">
        <f ca="1">IFERROR(__xludf.DUMMYFUNCTION("IMPORTRANGE(""https://docs.google.com/spreadsheets/d/1phaeSb9lTGgzDpbvVqI9hfmOQQzUom07-HEvpbARzEg/edit?usp=sharing"",""นครนายก!J116"")"),1)</f>
        <v>1</v>
      </c>
      <c r="AZ59" s="175">
        <f t="shared" ca="1" si="20"/>
        <v>100</v>
      </c>
    </row>
    <row r="60" spans="1:52" ht="21" customHeight="1" x14ac:dyDescent="0.3">
      <c r="A60" s="168">
        <v>8</v>
      </c>
      <c r="B60" s="169" t="s">
        <v>82</v>
      </c>
      <c r="C60" s="170">
        <f t="shared" ca="1" si="0"/>
        <v>199040</v>
      </c>
      <c r="D60" s="171">
        <f t="shared" ca="1" si="56"/>
        <v>199040</v>
      </c>
      <c r="E60" s="172">
        <f ca="1">IFERROR(__xludf.DUMMYFUNCTION("IMPORTRANGE(""https://docs.google.com/spreadsheets/d/1MeEWN-I1oV_STSDYn1IFDPWt_1FKiwhDph83XaGc0o0/edit?usp=sharing"",""งบพรบ!AR60"")"),143000)</f>
        <v>143000</v>
      </c>
      <c r="F60" s="172">
        <f ca="1">IFERROR(__xludf.DUMMYFUNCTION("IMPORTRANGE(""https://docs.google.com/spreadsheets/d/1MeEWN-I1oV_STSDYn1IFDPWt_1FKiwhDph83XaGc0o0/edit?usp=sharing"",""งบพรบ!AS60"")"),56040)</f>
        <v>56040</v>
      </c>
      <c r="G60" s="172">
        <f ca="1">IFERROR(__xludf.DUMMYFUNCTION("IMPORTRANGE(""https://docs.google.com/spreadsheets/d/1MeEWN-I1oV_STSDYn1IFDPWt_1FKiwhDph83XaGc0o0/edit?usp=sharing"",""งบพรบ!AT60"")"),0)</f>
        <v>0</v>
      </c>
      <c r="H60" s="172">
        <f ca="1">IFERROR(__xludf.DUMMYFUNCTION("IMPORTRANGE(""https://docs.google.com/spreadsheets/d/1MeEWN-I1oV_STSDYn1IFDPWt_1FKiwhDph83XaGc0o0/edit?usp=sharing"",""งบพรบ!AV60"")"),199040)</f>
        <v>199040</v>
      </c>
      <c r="I60" s="172">
        <f ca="1">IFERROR(__xludf.DUMMYFUNCTION("IMPORTRANGE(""https://docs.google.com/spreadsheets/d/1MeEWN-I1oV_STSDYn1IFDPWt_1FKiwhDph83XaGc0o0/edit?usp=sharing"",""งบพรบ!AW60"")"),0)</f>
        <v>0</v>
      </c>
      <c r="J60" s="172">
        <f t="shared" ca="1" si="3"/>
        <v>181470</v>
      </c>
      <c r="K60" s="179">
        <f t="shared" ca="1" si="4"/>
        <v>91.172628617363344</v>
      </c>
      <c r="L60" s="172">
        <f ca="1">IFERROR(__xludf.DUMMYFUNCTION("IMPORTRANGE(""https://docs.google.com/spreadsheets/d/1MeEWN-I1oV_STSDYn1IFDPWt_1FKiwhDph83XaGc0o0/edit?usp=sharing"",""งบพรบ!AX60"")"),181470)</f>
        <v>181470</v>
      </c>
      <c r="M60" s="175">
        <f t="shared" ca="1" si="5"/>
        <v>91.172628617363344</v>
      </c>
      <c r="N60" s="175">
        <f t="shared" ca="1" si="6"/>
        <v>91.172628617363344</v>
      </c>
      <c r="O60" s="176">
        <f ca="1">IFERROR(__xludf.DUMMYFUNCTION("IMPORTRANGE(""https://docs.google.com/spreadsheets/d/1MeEWN-I1oV_STSDYn1IFDPWt_1FKiwhDph83XaGc0o0/edit?usp=sharing"",""งบพรบ!AY60"")"),0)</f>
        <v>0</v>
      </c>
      <c r="P60" s="176">
        <f t="shared" ca="1" si="36"/>
        <v>0</v>
      </c>
      <c r="Q60" s="175">
        <f t="shared" ca="1" si="8"/>
        <v>0</v>
      </c>
      <c r="R60" s="173">
        <f ca="1">IFERROR(__xludf.DUMMYFUNCTION("IMPORTRANGE(""https://docs.google.com/spreadsheets/d/1tpwhWwkqkBeiSWCcfB5f2fbwPRbM9hHOEDSDHpl2MIc/edit?usp=sharing"",""นครปฐม!I98"")"),30)</f>
        <v>30</v>
      </c>
      <c r="S60" s="173">
        <f ca="1">IFERROR(__xludf.DUMMYFUNCTION("IMPORTRANGE(""https://docs.google.com/spreadsheets/d/1tpwhWwkqkBeiSWCcfB5f2fbwPRbM9hHOEDSDHpl2MIc/edit?usp=sharing"",""นครปฐม!J98"")"),30)</f>
        <v>30</v>
      </c>
      <c r="T60" s="173">
        <f t="shared" ca="1" si="10"/>
        <v>100</v>
      </c>
      <c r="U60" s="173">
        <f ca="1">IFERROR(__xludf.DUMMYFUNCTION("IMPORTRANGE(""https://docs.google.com/spreadsheets/d/1tpwhWwkqkBeiSWCcfB5f2fbwPRbM9hHOEDSDHpl2MIc/edit?usp=sharing"",""นครปฐม!I99"")"),10)</f>
        <v>10</v>
      </c>
      <c r="V60" s="173">
        <f ca="1">IFERROR(__xludf.DUMMYFUNCTION("IMPORTRANGE(""https://docs.google.com/spreadsheets/d/1tpwhWwkqkBeiSWCcfB5f2fbwPRbM9hHOEDSDHpl2MIc/edit?usp=sharing"",""นครปฐม!I100"")"),1)</f>
        <v>1</v>
      </c>
      <c r="W60" s="173">
        <f ca="1">IFERROR(__xludf.DUMMYFUNCTION("IMPORTRANGE(""https://docs.google.com/spreadsheets/d/1tpwhWwkqkBeiSWCcfB5f2fbwPRbM9hHOEDSDHpl2MIc/edit?usp=sharing"",""นครปฐม!J99"")"),10)</f>
        <v>10</v>
      </c>
      <c r="X60" s="177">
        <f t="shared" ca="1" si="12"/>
        <v>100</v>
      </c>
      <c r="Y60" s="178">
        <f ca="1">IFERROR(__xludf.DUMMYFUNCTION("IMPORTRANGE(""https://docs.google.com/spreadsheets/d/1tpwhWwkqkBeiSWCcfB5f2fbwPRbM9hHOEDSDHpl2MIc/edit?usp=sharing"",""นครปฐม!J100"")"),1)</f>
        <v>1</v>
      </c>
      <c r="Z60" s="177">
        <f t="shared" ca="1" si="13"/>
        <v>100</v>
      </c>
      <c r="AA60" s="172">
        <f ca="1">IFERROR(__xludf.DUMMYFUNCTION("IMPORTRANGE(""https://docs.google.com/spreadsheets/d/1tpwhWwkqkBeiSWCcfB5f2fbwPRbM9hHOEDSDHpl2MIc/edit?usp=sharing"",""นครปฐม!I102"")"),30)</f>
        <v>30</v>
      </c>
      <c r="AB60" s="172">
        <f ca="1">IFERROR(__xludf.DUMMYFUNCTION("IMPORTRANGE(""https://docs.google.com/spreadsheets/d/1tpwhWwkqkBeiSWCcfB5f2fbwPRbM9hHOEDSDHpl2MIc/edit?usp=sharing"",""นครปฐม!I103"")"),10)</f>
        <v>10</v>
      </c>
      <c r="AC60" s="173">
        <f ca="1">IFERROR(__xludf.DUMMYFUNCTION("IMPORTRANGE(""https://docs.google.com/spreadsheets/d/1tpwhWwkqkBeiSWCcfB5f2fbwPRbM9hHOEDSDHpl2MIc/edit?usp=sharing"",""นครปฐม!J102"")"),30)</f>
        <v>30</v>
      </c>
      <c r="AD60" s="173">
        <f ca="1">IFERROR(__xludf.DUMMYFUNCTION("IMPORTRANGE(""https://docs.google.com/spreadsheets/d/1tpwhWwkqkBeiSWCcfB5f2fbwPRbM9hHOEDSDHpl2MIc/edit?usp=sharing"",""นครปฐม!J103"")"),10)</f>
        <v>10</v>
      </c>
      <c r="AE60" s="173">
        <f ca="1">IFERROR(__xludf.DUMMYFUNCTION("IMPORTRANGE(""https://docs.google.com/spreadsheets/d/1tpwhWwkqkBeiSWCcfB5f2fbwPRbM9hHOEDSDHpl2MIc/edit?usp=sharing"",""นครปฐม!J104"")"),10)</f>
        <v>10</v>
      </c>
      <c r="AF60" s="172">
        <f ca="1">IFERROR(__xludf.DUMMYFUNCTION("IMPORTRANGE(""https://docs.google.com/spreadsheets/d/1tpwhWwkqkBeiSWCcfB5f2fbwPRbM9hHOEDSDHpl2MIc/edit?usp=sharing"",""นครปฐม!I106"")"),0)</f>
        <v>0</v>
      </c>
      <c r="AG60" s="173">
        <f ca="1">IFERROR(__xludf.DUMMYFUNCTION("IMPORTRANGE(""https://docs.google.com/spreadsheets/d/1tpwhWwkqkBeiSWCcfB5f2fbwPRbM9hHOEDSDHpl2MIc/edit?usp=sharing"",""นครปฐม!J106"")"),0)</f>
        <v>0</v>
      </c>
      <c r="AH60" s="173">
        <f ca="1">IFERROR(__xludf.DUMMYFUNCTION("IMPORTRANGE(""https://docs.google.com/spreadsheets/d/1tpwhWwkqkBeiSWCcfB5f2fbwPRbM9hHOEDSDHpl2MIc/edit?usp=sharing"",""นครปฐม!J107"")"),0)</f>
        <v>0</v>
      </c>
      <c r="AI60" s="172">
        <f ca="1">IFERROR(__xludf.DUMMYFUNCTION("IMPORTRANGE(""https://docs.google.com/spreadsheets/d/1tpwhWwkqkBeiSWCcfB5f2fbwPRbM9hHOEDSDHpl2MIc/edit?usp=sharing"",""นครปฐม!I109"")"),1)</f>
        <v>1</v>
      </c>
      <c r="AJ60" s="173">
        <f ca="1">IFERROR(__xludf.DUMMYFUNCTION("IMPORTRANGE(""https://docs.google.com/spreadsheets/d/1tpwhWwkqkBeiSWCcfB5f2fbwPRbM9hHOEDSDHpl2MIc/edit?usp=sharing"",""นครปฐม!J109"")"),10)</f>
        <v>10</v>
      </c>
      <c r="AK60" s="173">
        <f ca="1">IFERROR(__xludf.DUMMYFUNCTION("IMPORTRANGE(""https://docs.google.com/spreadsheets/d/1tpwhWwkqkBeiSWCcfB5f2fbwPRbM9hHOEDSDHpl2MIc/edit?usp=sharing"",""นครปฐม!J110"")"),1)</f>
        <v>1</v>
      </c>
      <c r="AL60" s="172">
        <f ca="1">IFERROR(__xludf.DUMMYFUNCTION("IMPORTRANGE(""https://docs.google.com/spreadsheets/d/1tpwhWwkqkBeiSWCcfB5f2fbwPRbM9hHOEDSDHpl2MIc/edit?usp=sharing"",""นครปฐม!I111"")"),10)</f>
        <v>10</v>
      </c>
      <c r="AM60" s="172">
        <f ca="1">IFERROR(__xludf.DUMMYFUNCTION("IMPORTRANGE(""https://docs.google.com/spreadsheets/d/1tpwhWwkqkBeiSWCcfB5f2fbwPRbM9hHOEDSDHpl2MIc/edit?usp=sharing"",""นครปฐม!I112"")"),1)</f>
        <v>1</v>
      </c>
      <c r="AN60" s="173">
        <f ca="1">IFERROR(__xludf.DUMMYFUNCTION("IMPORTRANGE(""https://docs.google.com/spreadsheets/d/1tpwhWwkqkBeiSWCcfB5f2fbwPRbM9hHOEDSDHpl2MIc/edit?usp=sharing"",""นครปฐม!J111"")"),0)</f>
        <v>0</v>
      </c>
      <c r="AO60" s="173">
        <f t="shared" ca="1" si="15"/>
        <v>0</v>
      </c>
      <c r="AP60" s="173">
        <f ca="1">IFERROR(__xludf.DUMMYFUNCTION("IMPORTRANGE(""https://docs.google.com/spreadsheets/d/1tpwhWwkqkBeiSWCcfB5f2fbwPRbM9hHOEDSDHpl2MIc/edit?usp=sharing"",""นครปฐม!J112"")"),0)</f>
        <v>0</v>
      </c>
      <c r="AQ60" s="175">
        <f t="shared" ca="1" si="16"/>
        <v>0</v>
      </c>
      <c r="AR60" s="172">
        <f ca="1">IFERROR(__xludf.DUMMYFUNCTION("IMPORTRANGE(""https://docs.google.com/spreadsheets/d/1tpwhWwkqkBeiSWCcfB5f2fbwPRbM9hHOEDSDHpl2MIc/edit?usp=sharing"",""นครปฐม!I113"")"),10)</f>
        <v>10</v>
      </c>
      <c r="AS60" s="172">
        <f ca="1">IFERROR(__xludf.DUMMYFUNCTION("IMPORTRANGE(""https://docs.google.com/spreadsheets/d/1tpwhWwkqkBeiSWCcfB5f2fbwPRbM9hHOEDSDHpl2MIc/edit?usp=sharing"",""นครปฐม!J113"")"),0)</f>
        <v>0</v>
      </c>
      <c r="AT60" s="172">
        <f ca="1">IFERROR(__xludf.DUMMYFUNCTION("IMPORTRANGE(""https://docs.google.com/spreadsheets/d/1tpwhWwkqkBeiSWCcfB5f2fbwPRbM9hHOEDSDHpl2MIc/edit?usp=sharing"",""นครปฐม!J114"")"),0)</f>
        <v>0</v>
      </c>
      <c r="AU60" s="172">
        <f ca="1">IFERROR(__xludf.DUMMYFUNCTION("IMPORTRANGE(""https://docs.google.com/spreadsheets/d/1tpwhWwkqkBeiSWCcfB5f2fbwPRbM9hHOEDSDHpl2MIc/edit?usp=sharing"",""นครปฐม!I115"")"),0)</f>
        <v>0</v>
      </c>
      <c r="AV60" s="173">
        <f ca="1">IFERROR(__xludf.DUMMYFUNCTION("IMPORTRANGE(""https://docs.google.com/spreadsheets/d/1tpwhWwkqkBeiSWCcfB5f2fbwPRbM9hHOEDSDHpl2MIc/edit?usp=sharing"",""นครปฐม!J115"")"),0)</f>
        <v>0</v>
      </c>
      <c r="AW60" s="175">
        <f t="shared" ca="1" si="18"/>
        <v>0</v>
      </c>
      <c r="AX60" s="172">
        <f ca="1">IFERROR(__xludf.DUMMYFUNCTION("IMPORTRANGE(""https://docs.google.com/spreadsheets/d/1tpwhWwkqkBeiSWCcfB5f2fbwPRbM9hHOEDSDHpl2MIc/edit?usp=sharing"",""นครปฐม!I116"")"),1)</f>
        <v>1</v>
      </c>
      <c r="AY60" s="173">
        <f ca="1">IFERROR(__xludf.DUMMYFUNCTION("IMPORTRANGE(""https://docs.google.com/spreadsheets/d/1tpwhWwkqkBeiSWCcfB5f2fbwPRbM9hHOEDSDHpl2MIc/edit?usp=sharing"",""นครปฐม!J116"")"),0)</f>
        <v>0</v>
      </c>
      <c r="AZ60" s="175">
        <f t="shared" ca="1" si="20"/>
        <v>0</v>
      </c>
    </row>
    <row r="61" spans="1:52" ht="21" customHeight="1" x14ac:dyDescent="0.3">
      <c r="A61" s="168">
        <v>9</v>
      </c>
      <c r="B61" s="169" t="s">
        <v>83</v>
      </c>
      <c r="C61" s="170">
        <f t="shared" ca="1" si="0"/>
        <v>86040</v>
      </c>
      <c r="D61" s="171">
        <f t="shared" ca="1" si="56"/>
        <v>86040</v>
      </c>
      <c r="E61" s="172">
        <f ca="1">IFERROR(__xludf.DUMMYFUNCTION("IMPORTRANGE(""https://docs.google.com/spreadsheets/d/1MeEWN-I1oV_STSDYn1IFDPWt_1FKiwhDph83XaGc0o0/edit?usp=sharing"",""งบพรบ!AR61"")"),0)</f>
        <v>0</v>
      </c>
      <c r="F61" s="172">
        <f ca="1">IFERROR(__xludf.DUMMYFUNCTION("IMPORTRANGE(""https://docs.google.com/spreadsheets/d/1MeEWN-I1oV_STSDYn1IFDPWt_1FKiwhDph83XaGc0o0/edit?usp=sharing"",""งบพรบ!AS61"")"),86040)</f>
        <v>86040</v>
      </c>
      <c r="G61" s="172">
        <f ca="1">IFERROR(__xludf.DUMMYFUNCTION("IMPORTRANGE(""https://docs.google.com/spreadsheets/d/1MeEWN-I1oV_STSDYn1IFDPWt_1FKiwhDph83XaGc0o0/edit?usp=sharing"",""งบพรบ!AT61"")"),0)</f>
        <v>0</v>
      </c>
      <c r="H61" s="172">
        <f ca="1">IFERROR(__xludf.DUMMYFUNCTION("IMPORTRANGE(""https://docs.google.com/spreadsheets/d/1MeEWN-I1oV_STSDYn1IFDPWt_1FKiwhDph83XaGc0o0/edit?usp=sharing"",""งบพรบ!AV61"")"),86040)</f>
        <v>86040</v>
      </c>
      <c r="I61" s="172">
        <f ca="1">IFERROR(__xludf.DUMMYFUNCTION("IMPORTRANGE(""https://docs.google.com/spreadsheets/d/1MeEWN-I1oV_STSDYn1IFDPWt_1FKiwhDph83XaGc0o0/edit?usp=sharing"",""งบพรบ!AW61"")"),0)</f>
        <v>0</v>
      </c>
      <c r="J61" s="172">
        <f t="shared" ca="1" si="3"/>
        <v>77150</v>
      </c>
      <c r="K61" s="179">
        <f t="shared" ca="1" si="4"/>
        <v>89.667596466759647</v>
      </c>
      <c r="L61" s="172">
        <f ca="1">IFERROR(__xludf.DUMMYFUNCTION("IMPORTRANGE(""https://docs.google.com/spreadsheets/d/1MeEWN-I1oV_STSDYn1IFDPWt_1FKiwhDph83XaGc0o0/edit?usp=sharing"",""งบพรบ!AX61"")"),77150)</f>
        <v>77150</v>
      </c>
      <c r="M61" s="175">
        <f t="shared" ca="1" si="5"/>
        <v>89.667596466759647</v>
      </c>
      <c r="N61" s="175">
        <f t="shared" ca="1" si="6"/>
        <v>89.667596466759647</v>
      </c>
      <c r="O61" s="176">
        <f ca="1">IFERROR(__xludf.DUMMYFUNCTION("IMPORTRANGE(""https://docs.google.com/spreadsheets/d/1MeEWN-I1oV_STSDYn1IFDPWt_1FKiwhDph83XaGc0o0/edit?usp=sharing"",""งบพรบ!AY61"")"),0)</f>
        <v>0</v>
      </c>
      <c r="P61" s="176">
        <f t="shared" ca="1" si="36"/>
        <v>0</v>
      </c>
      <c r="Q61" s="175">
        <f t="shared" ca="1" si="8"/>
        <v>0</v>
      </c>
      <c r="R61" s="173">
        <f ca="1">IFERROR(__xludf.DUMMYFUNCTION("IMPORTRANGE(""https://docs.google.com/spreadsheets/d/1fJJCVBkBnhriyv0Cp5ZFMr0I_yrfdEITNpb4zILJgUQ/edit?usp=sharing"",""ปทุมธานี!I98"")"),30)</f>
        <v>30</v>
      </c>
      <c r="S61" s="173">
        <f ca="1">IFERROR(__xludf.DUMMYFUNCTION("IMPORTRANGE(""https://docs.google.com/spreadsheets/d/1fJJCVBkBnhriyv0Cp5ZFMr0I_yrfdEITNpb4zILJgUQ/edit?usp=sharing"",""ปทุมธานี!J98"")"),30)</f>
        <v>30</v>
      </c>
      <c r="T61" s="173">
        <f t="shared" ca="1" si="10"/>
        <v>100</v>
      </c>
      <c r="U61" s="173">
        <f ca="1">IFERROR(__xludf.DUMMYFUNCTION("IMPORTRANGE(""https://docs.google.com/spreadsheets/d/1fJJCVBkBnhriyv0Cp5ZFMr0I_yrfdEITNpb4zILJgUQ/edit?usp=sharing"",""ปทุมธานี!I99"")"),10)</f>
        <v>10</v>
      </c>
      <c r="V61" s="173">
        <f ca="1">IFERROR(__xludf.DUMMYFUNCTION("IMPORTRANGE(""https://docs.google.com/spreadsheets/d/1fJJCVBkBnhriyv0Cp5ZFMr0I_yrfdEITNpb4zILJgUQ/edit?usp=sharing"",""ปทุมธานี!I100"")"),2)</f>
        <v>2</v>
      </c>
      <c r="W61" s="173">
        <f ca="1">IFERROR(__xludf.DUMMYFUNCTION("IMPORTRANGE(""https://docs.google.com/spreadsheets/d/1fJJCVBkBnhriyv0Cp5ZFMr0I_yrfdEITNpb4zILJgUQ/edit?usp=sharing"",""ปทุมธานี!J99"")"),10)</f>
        <v>10</v>
      </c>
      <c r="X61" s="177">
        <f t="shared" ca="1" si="12"/>
        <v>100</v>
      </c>
      <c r="Y61" s="178">
        <f ca="1">IFERROR(__xludf.DUMMYFUNCTION("IMPORTRANGE(""https://docs.google.com/spreadsheets/d/1fJJCVBkBnhriyv0Cp5ZFMr0I_yrfdEITNpb4zILJgUQ/edit?usp=sharing"",""ปทุมธานี!J100"")"),2)</f>
        <v>2</v>
      </c>
      <c r="Z61" s="177">
        <f t="shared" ca="1" si="13"/>
        <v>100</v>
      </c>
      <c r="AA61" s="172">
        <f ca="1">IFERROR(__xludf.DUMMYFUNCTION("IMPORTRANGE(""https://docs.google.com/spreadsheets/d/1fJJCVBkBnhriyv0Cp5ZFMr0I_yrfdEITNpb4zILJgUQ/edit?usp=sharing"",""ปทุมธานี!I102"")"),30)</f>
        <v>30</v>
      </c>
      <c r="AB61" s="172">
        <f ca="1">IFERROR(__xludf.DUMMYFUNCTION("IMPORTRANGE(""https://docs.google.com/spreadsheets/d/1fJJCVBkBnhriyv0Cp5ZFMr0I_yrfdEITNpb4zILJgUQ/edit?usp=sharing"",""ปทุมธานี!I103"")"),10)</f>
        <v>10</v>
      </c>
      <c r="AC61" s="173">
        <f ca="1">IFERROR(__xludf.DUMMYFUNCTION("IMPORTRANGE(""https://docs.google.com/spreadsheets/d/1fJJCVBkBnhriyv0Cp5ZFMr0I_yrfdEITNpb4zILJgUQ/edit?usp=sharing"",""ปทุมธานี!J102"")"),30)</f>
        <v>30</v>
      </c>
      <c r="AD61" s="173">
        <f ca="1">IFERROR(__xludf.DUMMYFUNCTION("IMPORTRANGE(""https://docs.google.com/spreadsheets/d/1fJJCVBkBnhriyv0Cp5ZFMr0I_yrfdEITNpb4zILJgUQ/edit?usp=sharing"",""ปทุมธานี!J103"")"),10)</f>
        <v>10</v>
      </c>
      <c r="AE61" s="173">
        <f ca="1">IFERROR(__xludf.DUMMYFUNCTION("IMPORTRANGE(""https://docs.google.com/spreadsheets/d/1fJJCVBkBnhriyv0Cp5ZFMr0I_yrfdEITNpb4zILJgUQ/edit?usp=sharing"",""ปทุมธานี!J104"")"),10)</f>
        <v>10</v>
      </c>
      <c r="AF61" s="172">
        <f ca="1">IFERROR(__xludf.DUMMYFUNCTION("IMPORTRANGE(""https://docs.google.com/spreadsheets/d/1fJJCVBkBnhriyv0Cp5ZFMr0I_yrfdEITNpb4zILJgUQ/edit?usp=sharing"",""ปทุมธานี!I106"")"),1)</f>
        <v>1</v>
      </c>
      <c r="AG61" s="173">
        <f ca="1">IFERROR(__xludf.DUMMYFUNCTION("IMPORTRANGE(""https://docs.google.com/spreadsheets/d/1fJJCVBkBnhriyv0Cp5ZFMr0I_yrfdEITNpb4zILJgUQ/edit?usp=sharing"",""ปทุมธานี!J106"")"),1)</f>
        <v>1</v>
      </c>
      <c r="AH61" s="173">
        <f ca="1">IFERROR(__xludf.DUMMYFUNCTION("IMPORTRANGE(""https://docs.google.com/spreadsheets/d/1fJJCVBkBnhriyv0Cp5ZFMr0I_yrfdEITNpb4zILJgUQ/edit?usp=sharing"",""ปทุมธานี!J107"")"),1)</f>
        <v>1</v>
      </c>
      <c r="AI61" s="172">
        <f ca="1">IFERROR(__xludf.DUMMYFUNCTION("IMPORTRANGE(""https://docs.google.com/spreadsheets/d/1fJJCVBkBnhriyv0Cp5ZFMr0I_yrfdEITNpb4zILJgUQ/edit?usp=sharing"",""ปทุมธานี!I109"")"),1)</f>
        <v>1</v>
      </c>
      <c r="AJ61" s="173">
        <f ca="1">IFERROR(__xludf.DUMMYFUNCTION("IMPORTRANGE(""https://docs.google.com/spreadsheets/d/1fJJCVBkBnhriyv0Cp5ZFMr0I_yrfdEITNpb4zILJgUQ/edit?usp=sharing"",""ปทุมธานี!J109"")"),1)</f>
        <v>1</v>
      </c>
      <c r="AK61" s="173">
        <f ca="1">IFERROR(__xludf.DUMMYFUNCTION("IMPORTRANGE(""https://docs.google.com/spreadsheets/d/1fJJCVBkBnhriyv0Cp5ZFMr0I_yrfdEITNpb4zILJgUQ/edit?usp=sharing"",""ปทุมธานี!J110"")"),1)</f>
        <v>1</v>
      </c>
      <c r="AL61" s="172">
        <f ca="1">IFERROR(__xludf.DUMMYFUNCTION("IMPORTRANGE(""https://docs.google.com/spreadsheets/d/1fJJCVBkBnhriyv0Cp5ZFMr0I_yrfdEITNpb4zILJgUQ/edit?usp=sharing"",""ปทุมธานี!I111"")"),10)</f>
        <v>10</v>
      </c>
      <c r="AM61" s="172">
        <f ca="1">IFERROR(__xludf.DUMMYFUNCTION("IMPORTRANGE(""https://docs.google.com/spreadsheets/d/1fJJCVBkBnhriyv0Cp5ZFMr0I_yrfdEITNpb4zILJgUQ/edit?usp=sharing"",""ปทุมธานี!I112"")"),2)</f>
        <v>2</v>
      </c>
      <c r="AN61" s="173">
        <f ca="1">IFERROR(__xludf.DUMMYFUNCTION("IMPORTRANGE(""https://docs.google.com/spreadsheets/d/1fJJCVBkBnhriyv0Cp5ZFMr0I_yrfdEITNpb4zILJgUQ/edit?usp=sharing"",""ปทุมธานี!J111"")"),10)</f>
        <v>10</v>
      </c>
      <c r="AO61" s="173">
        <f t="shared" ca="1" si="15"/>
        <v>100</v>
      </c>
      <c r="AP61" s="173">
        <f ca="1">IFERROR(__xludf.DUMMYFUNCTION("IMPORTRANGE(""https://docs.google.com/spreadsheets/d/1fJJCVBkBnhriyv0Cp5ZFMr0I_yrfdEITNpb4zILJgUQ/edit?usp=sharing"",""ปทุมธานี!J112"")"),2)</f>
        <v>2</v>
      </c>
      <c r="AQ61" s="175">
        <f t="shared" ca="1" si="16"/>
        <v>100</v>
      </c>
      <c r="AR61" s="172">
        <f ca="1">IFERROR(__xludf.DUMMYFUNCTION("IMPORTRANGE(""https://docs.google.com/spreadsheets/d/1fJJCVBkBnhriyv0Cp5ZFMr0I_yrfdEITNpb4zILJgUQ/edit?usp=sharing"",""ปทุมธานี!I113"")"),10)</f>
        <v>10</v>
      </c>
      <c r="AS61" s="172">
        <f ca="1">IFERROR(__xludf.DUMMYFUNCTION("IMPORTRANGE(""https://docs.google.com/spreadsheets/d/1fJJCVBkBnhriyv0Cp5ZFMr0I_yrfdEITNpb4zILJgUQ/edit?usp=sharing"",""ปทุมธานี!J113"")"),0)</f>
        <v>0</v>
      </c>
      <c r="AT61" s="172">
        <f ca="1">IFERROR(__xludf.DUMMYFUNCTION("IMPORTRANGE(""https://docs.google.com/spreadsheets/d/1fJJCVBkBnhriyv0Cp5ZFMr0I_yrfdEITNpb4zILJgUQ/edit?usp=sharing"",""ปทุมธานี!J114"")"),10)</f>
        <v>10</v>
      </c>
      <c r="AU61" s="172">
        <f ca="1">IFERROR(__xludf.DUMMYFUNCTION("IMPORTRANGE(""https://docs.google.com/spreadsheets/d/1fJJCVBkBnhriyv0Cp5ZFMr0I_yrfdEITNpb4zILJgUQ/edit?usp=sharing"",""ปทุมธานี!I115"")"),1)</f>
        <v>1</v>
      </c>
      <c r="AV61" s="173">
        <f ca="1">IFERROR(__xludf.DUMMYFUNCTION("IMPORTRANGE(""https://docs.google.com/spreadsheets/d/1fJJCVBkBnhriyv0Cp5ZFMr0I_yrfdEITNpb4zILJgUQ/edit?usp=sharing"",""ปทุมธานี!J115"")"),1)</f>
        <v>1</v>
      </c>
      <c r="AW61" s="175">
        <f t="shared" ca="1" si="18"/>
        <v>100</v>
      </c>
      <c r="AX61" s="172">
        <f ca="1">IFERROR(__xludf.DUMMYFUNCTION("IMPORTRANGE(""https://docs.google.com/spreadsheets/d/1fJJCVBkBnhriyv0Cp5ZFMr0I_yrfdEITNpb4zILJgUQ/edit?usp=sharing"",""ปทุมธานี!I116"")"),1)</f>
        <v>1</v>
      </c>
      <c r="AY61" s="173">
        <f ca="1">IFERROR(__xludf.DUMMYFUNCTION("IMPORTRANGE(""https://docs.google.com/spreadsheets/d/1fJJCVBkBnhriyv0Cp5ZFMr0I_yrfdEITNpb4zILJgUQ/edit?usp=sharing"",""ปทุมธานี!J116"")"),1)</f>
        <v>1</v>
      </c>
      <c r="AZ61" s="175">
        <f t="shared" ca="1" si="20"/>
        <v>100</v>
      </c>
    </row>
    <row r="62" spans="1:52" ht="21" customHeight="1" x14ac:dyDescent="0.3">
      <c r="A62" s="168">
        <v>10</v>
      </c>
      <c r="B62" s="169" t="s">
        <v>84</v>
      </c>
      <c r="C62" s="170">
        <f t="shared" ca="1" si="0"/>
        <v>174200</v>
      </c>
      <c r="D62" s="171">
        <f t="shared" ca="1" si="56"/>
        <v>174200</v>
      </c>
      <c r="E62" s="172">
        <f ca="1">IFERROR(__xludf.DUMMYFUNCTION("IMPORTRANGE(""https://docs.google.com/spreadsheets/d/1MeEWN-I1oV_STSDYn1IFDPWt_1FKiwhDph83XaGc0o0/edit?usp=sharing"",""งบพรบ!AR62"")"),143000)</f>
        <v>143000</v>
      </c>
      <c r="F62" s="172">
        <f ca="1">IFERROR(__xludf.DUMMYFUNCTION("IMPORTRANGE(""https://docs.google.com/spreadsheets/d/1MeEWN-I1oV_STSDYn1IFDPWt_1FKiwhDph83XaGc0o0/edit?usp=sharing"",""งบพรบ!AS62"")"),31200)</f>
        <v>31200</v>
      </c>
      <c r="G62" s="172">
        <f ca="1">IFERROR(__xludf.DUMMYFUNCTION("IMPORTRANGE(""https://docs.google.com/spreadsheets/d/1MeEWN-I1oV_STSDYn1IFDPWt_1FKiwhDph83XaGc0o0/edit?usp=sharing"",""งบพรบ!AT62"")"),0)</f>
        <v>0</v>
      </c>
      <c r="H62" s="172">
        <f ca="1">IFERROR(__xludf.DUMMYFUNCTION("IMPORTRANGE(""https://docs.google.com/spreadsheets/d/1MeEWN-I1oV_STSDYn1IFDPWt_1FKiwhDph83XaGc0o0/edit?usp=sharing"",""งบพรบ!AV62"")"),174200)</f>
        <v>174200</v>
      </c>
      <c r="I62" s="172">
        <f ca="1">IFERROR(__xludf.DUMMYFUNCTION("IMPORTRANGE(""https://docs.google.com/spreadsheets/d/1MeEWN-I1oV_STSDYn1IFDPWt_1FKiwhDph83XaGc0o0/edit?usp=sharing"",""งบพรบ!AW62"")"),0)</f>
        <v>0</v>
      </c>
      <c r="J62" s="172">
        <f t="shared" ca="1" si="3"/>
        <v>148200</v>
      </c>
      <c r="K62" s="179">
        <f t="shared" ca="1" si="4"/>
        <v>85.074626865671647</v>
      </c>
      <c r="L62" s="172">
        <f ca="1">IFERROR(__xludf.DUMMYFUNCTION("IMPORTRANGE(""https://docs.google.com/spreadsheets/d/1MeEWN-I1oV_STSDYn1IFDPWt_1FKiwhDph83XaGc0o0/edit?usp=sharing"",""งบพรบ!AX62"")"),148200)</f>
        <v>148200</v>
      </c>
      <c r="M62" s="175">
        <f t="shared" ca="1" si="5"/>
        <v>85.074626865671647</v>
      </c>
      <c r="N62" s="175">
        <f t="shared" ca="1" si="6"/>
        <v>85.074626865671647</v>
      </c>
      <c r="O62" s="176">
        <f ca="1">IFERROR(__xludf.DUMMYFUNCTION("IMPORTRANGE(""https://docs.google.com/spreadsheets/d/1MeEWN-I1oV_STSDYn1IFDPWt_1FKiwhDph83XaGc0o0/edit?usp=sharing"",""งบพรบ!AY62"")"),0)</f>
        <v>0</v>
      </c>
      <c r="P62" s="176">
        <f t="shared" ca="1" si="36"/>
        <v>0</v>
      </c>
      <c r="Q62" s="175">
        <f t="shared" ca="1" si="8"/>
        <v>0</v>
      </c>
      <c r="R62" s="173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73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73">
        <f t="shared" ca="1" si="10"/>
        <v>0</v>
      </c>
      <c r="U62" s="173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73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73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77">
        <f t="shared" ca="1" si="12"/>
        <v>0</v>
      </c>
      <c r="Y62" s="178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77">
        <f t="shared" ca="1" si="13"/>
        <v>100</v>
      </c>
      <c r="AA62" s="172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72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73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73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73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72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73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73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72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73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73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72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72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73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73">
        <f t="shared" ca="1" si="15"/>
        <v>0</v>
      </c>
      <c r="AP62" s="173">
        <f ca="1">IFERROR(__xludf.DUMMYFUNCTION("IMPORTRANGE(""https://docs.google.com/spreadsheets/d/1W5Jj_S0gYw6wSO7QcMI02YgyOBDKYgmm0NSUk-AQEac/edit?usp=sharing"",""ประจวบคีรีขันธ์!J112"")"),1)</f>
        <v>1</v>
      </c>
      <c r="AQ62" s="175">
        <f t="shared" ca="1" si="16"/>
        <v>100</v>
      </c>
      <c r="AR62" s="172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72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72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72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73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75">
        <f t="shared" ca="1" si="18"/>
        <v>0</v>
      </c>
      <c r="AX62" s="172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73">
        <f ca="1">IFERROR(__xludf.DUMMYFUNCTION("IMPORTRANGE(""https://docs.google.com/spreadsheets/d/1W5Jj_S0gYw6wSO7QcMI02YgyOBDKYgmm0NSUk-AQEac/edit?usp=sharing"",""ประจวบคีรีขันธ์!J116"")"),1)</f>
        <v>1</v>
      </c>
      <c r="AZ62" s="175">
        <f t="shared" ca="1" si="20"/>
        <v>100</v>
      </c>
    </row>
    <row r="63" spans="1:52" ht="21" customHeight="1" x14ac:dyDescent="0.3">
      <c r="A63" s="168">
        <v>11</v>
      </c>
      <c r="B63" s="169" t="s">
        <v>85</v>
      </c>
      <c r="C63" s="170">
        <f t="shared" ca="1" si="0"/>
        <v>85840</v>
      </c>
      <c r="D63" s="171">
        <f t="shared" ca="1" si="56"/>
        <v>85840</v>
      </c>
      <c r="E63" s="172">
        <f ca="1">IFERROR(__xludf.DUMMYFUNCTION("IMPORTRANGE(""https://docs.google.com/spreadsheets/d/1MeEWN-I1oV_STSDYn1IFDPWt_1FKiwhDph83XaGc0o0/edit?usp=sharing"",""งบพรบ!AR63"")"),0)</f>
        <v>0</v>
      </c>
      <c r="F63" s="172">
        <f ca="1">IFERROR(__xludf.DUMMYFUNCTION("IMPORTRANGE(""https://docs.google.com/spreadsheets/d/1MeEWN-I1oV_STSDYn1IFDPWt_1FKiwhDph83XaGc0o0/edit?usp=sharing"",""งบพรบ!AS63"")"),85840)</f>
        <v>85840</v>
      </c>
      <c r="G63" s="172">
        <f ca="1">IFERROR(__xludf.DUMMYFUNCTION("IMPORTRANGE(""https://docs.google.com/spreadsheets/d/1MeEWN-I1oV_STSDYn1IFDPWt_1FKiwhDph83XaGc0o0/edit?usp=sharing"",""งบพรบ!AT63"")"),0)</f>
        <v>0</v>
      </c>
      <c r="H63" s="172">
        <f ca="1">IFERROR(__xludf.DUMMYFUNCTION("IMPORTRANGE(""https://docs.google.com/spreadsheets/d/1MeEWN-I1oV_STSDYn1IFDPWt_1FKiwhDph83XaGc0o0/edit?usp=sharing"",""งบพรบ!AV63"")"),96640)</f>
        <v>96640</v>
      </c>
      <c r="I63" s="172">
        <f ca="1">IFERROR(__xludf.DUMMYFUNCTION("IMPORTRANGE(""https://docs.google.com/spreadsheets/d/1MeEWN-I1oV_STSDYn1IFDPWt_1FKiwhDph83XaGc0o0/edit?usp=sharing"",""งบพรบ!AW63"")"),0)</f>
        <v>0</v>
      </c>
      <c r="J63" s="172">
        <f t="shared" ca="1" si="3"/>
        <v>96640</v>
      </c>
      <c r="K63" s="179">
        <f t="shared" ca="1" si="4"/>
        <v>112.58154706430568</v>
      </c>
      <c r="L63" s="172">
        <f ca="1">IFERROR(__xludf.DUMMYFUNCTION("IMPORTRANGE(""https://docs.google.com/spreadsheets/d/1MeEWN-I1oV_STSDYn1IFDPWt_1FKiwhDph83XaGc0o0/edit?usp=sharing"",""งบพรบ!AX63"")"),96640)</f>
        <v>96640</v>
      </c>
      <c r="M63" s="175">
        <f t="shared" ca="1" si="5"/>
        <v>112.58154706430568</v>
      </c>
      <c r="N63" s="175">
        <f t="shared" ca="1" si="6"/>
        <v>100</v>
      </c>
      <c r="O63" s="176">
        <f ca="1">IFERROR(__xludf.DUMMYFUNCTION("IMPORTRANGE(""https://docs.google.com/spreadsheets/d/1MeEWN-I1oV_STSDYn1IFDPWt_1FKiwhDph83XaGc0o0/edit?usp=sharing"",""งบพรบ!AY63"")"),0)</f>
        <v>0</v>
      </c>
      <c r="P63" s="176">
        <f t="shared" ca="1" si="36"/>
        <v>0</v>
      </c>
      <c r="Q63" s="175">
        <f t="shared" ca="1" si="8"/>
        <v>0</v>
      </c>
      <c r="R63" s="173">
        <f ca="1">IFERROR(__xludf.DUMMYFUNCTION("IMPORTRANGE(""https://docs.google.com/spreadsheets/d/1nYxRXgnCfTXtqUY1otYuTlnrzE0Tn-Y0YRsW5pkRVqo/edit?usp=sharing"",""ปราจีนบุรี!I98"")"),30)</f>
        <v>30</v>
      </c>
      <c r="S63" s="173">
        <f ca="1">IFERROR(__xludf.DUMMYFUNCTION("IMPORTRANGE(""https://docs.google.com/spreadsheets/d/1nYxRXgnCfTXtqUY1otYuTlnrzE0Tn-Y0YRsW5pkRVqo/edit?usp=sharing"",""ปราจีนบุรี!J98"")"),30)</f>
        <v>30</v>
      </c>
      <c r="T63" s="173">
        <f t="shared" ca="1" si="10"/>
        <v>100</v>
      </c>
      <c r="U63" s="173">
        <f ca="1">IFERROR(__xludf.DUMMYFUNCTION("IMPORTRANGE(""https://docs.google.com/spreadsheets/d/1nYxRXgnCfTXtqUY1otYuTlnrzE0Tn-Y0YRsW5pkRVqo/edit?usp=sharing"",""ปราจีนบุรี!I99"")"),10)</f>
        <v>10</v>
      </c>
      <c r="V63" s="173">
        <f ca="1">IFERROR(__xludf.DUMMYFUNCTION("IMPORTRANGE(""https://docs.google.com/spreadsheets/d/1nYxRXgnCfTXtqUY1otYuTlnrzE0Tn-Y0YRsW5pkRVqo/edit?usp=sharing"",""ปราจีนบุรี!I100"")"),2)</f>
        <v>2</v>
      </c>
      <c r="W63" s="173">
        <f ca="1">IFERROR(__xludf.DUMMYFUNCTION("IMPORTRANGE(""https://docs.google.com/spreadsheets/d/1nYxRXgnCfTXtqUY1otYuTlnrzE0Tn-Y0YRsW5pkRVqo/edit?usp=sharing"",""ปราจีนบุรี!J99"")"),10)</f>
        <v>10</v>
      </c>
      <c r="X63" s="177">
        <f t="shared" ca="1" si="12"/>
        <v>100</v>
      </c>
      <c r="Y63" s="178">
        <f ca="1">IFERROR(__xludf.DUMMYFUNCTION("IMPORTRANGE(""https://docs.google.com/spreadsheets/d/1nYxRXgnCfTXtqUY1otYuTlnrzE0Tn-Y0YRsW5pkRVqo/edit?usp=sharing"",""ปราจีนบุรี!J100"")"),2)</f>
        <v>2</v>
      </c>
      <c r="Z63" s="177">
        <f t="shared" ca="1" si="13"/>
        <v>100</v>
      </c>
      <c r="AA63" s="172">
        <f ca="1">IFERROR(__xludf.DUMMYFUNCTION("IMPORTRANGE(""https://docs.google.com/spreadsheets/d/1nYxRXgnCfTXtqUY1otYuTlnrzE0Tn-Y0YRsW5pkRVqo/edit?usp=sharing"",""ปราจีนบุรี!I102"")"),30)</f>
        <v>30</v>
      </c>
      <c r="AB63" s="172">
        <f ca="1">IFERROR(__xludf.DUMMYFUNCTION("IMPORTRANGE(""https://docs.google.com/spreadsheets/d/1nYxRXgnCfTXtqUY1otYuTlnrzE0Tn-Y0YRsW5pkRVqo/edit?usp=sharing"",""ปราจีนบุรี!I103"")"),10)</f>
        <v>10</v>
      </c>
      <c r="AC63" s="173">
        <f ca="1">IFERROR(__xludf.DUMMYFUNCTION("IMPORTRANGE(""https://docs.google.com/spreadsheets/d/1nYxRXgnCfTXtqUY1otYuTlnrzE0Tn-Y0YRsW5pkRVqo/edit?usp=sharing"",""ปราจีนบุรี!J102"")"),30)</f>
        <v>30</v>
      </c>
      <c r="AD63" s="173">
        <f ca="1">IFERROR(__xludf.DUMMYFUNCTION("IMPORTRANGE(""https://docs.google.com/spreadsheets/d/1nYxRXgnCfTXtqUY1otYuTlnrzE0Tn-Y0YRsW5pkRVqo/edit?usp=sharing"",""ปราจีนบุรี!J103"")"),10)</f>
        <v>10</v>
      </c>
      <c r="AE63" s="173">
        <f ca="1">IFERROR(__xludf.DUMMYFUNCTION("IMPORTRANGE(""https://docs.google.com/spreadsheets/d/1nYxRXgnCfTXtqUY1otYuTlnrzE0Tn-Y0YRsW5pkRVqo/edit?usp=sharing"",""ปราจีนบุรี!J104"")"),10)</f>
        <v>10</v>
      </c>
      <c r="AF63" s="172">
        <f ca="1">IFERROR(__xludf.DUMMYFUNCTION("IMPORTRANGE(""https://docs.google.com/spreadsheets/d/1nYxRXgnCfTXtqUY1otYuTlnrzE0Tn-Y0YRsW5pkRVqo/edit?usp=sharing"",""ปราจีนบุรี!I106"")"),1)</f>
        <v>1</v>
      </c>
      <c r="AG63" s="173">
        <f ca="1">IFERROR(__xludf.DUMMYFUNCTION("IMPORTRANGE(""https://docs.google.com/spreadsheets/d/1nYxRXgnCfTXtqUY1otYuTlnrzE0Tn-Y0YRsW5pkRVqo/edit?usp=sharing"",""ปราจีนบุรี!J106"")"),1)</f>
        <v>1</v>
      </c>
      <c r="AH63" s="173">
        <f ca="1">IFERROR(__xludf.DUMMYFUNCTION("IMPORTRANGE(""https://docs.google.com/spreadsheets/d/1nYxRXgnCfTXtqUY1otYuTlnrzE0Tn-Y0YRsW5pkRVqo/edit?usp=sharing"",""ปราจีนบุรี!J107"")"),1)</f>
        <v>1</v>
      </c>
      <c r="AI63" s="172">
        <f ca="1">IFERROR(__xludf.DUMMYFUNCTION("IMPORTRANGE(""https://docs.google.com/spreadsheets/d/1nYxRXgnCfTXtqUY1otYuTlnrzE0Tn-Y0YRsW5pkRVqo/edit?usp=sharing"",""ปราจีนบุรี!I109"")"),1)</f>
        <v>1</v>
      </c>
      <c r="AJ63" s="173">
        <f ca="1">IFERROR(__xludf.DUMMYFUNCTION("IMPORTRANGE(""https://docs.google.com/spreadsheets/d/1nYxRXgnCfTXtqUY1otYuTlnrzE0Tn-Y0YRsW5pkRVqo/edit?usp=sharing"",""ปราจีนบุรี!J109"")"),1)</f>
        <v>1</v>
      </c>
      <c r="AK63" s="173">
        <f ca="1">IFERROR(__xludf.DUMMYFUNCTION("IMPORTRANGE(""https://docs.google.com/spreadsheets/d/1nYxRXgnCfTXtqUY1otYuTlnrzE0Tn-Y0YRsW5pkRVqo/edit?usp=sharing"",""ปราจีนบุรี!J110"")"),1)</f>
        <v>1</v>
      </c>
      <c r="AL63" s="172">
        <f ca="1">IFERROR(__xludf.DUMMYFUNCTION("IMPORTRANGE(""https://docs.google.com/spreadsheets/d/1nYxRXgnCfTXtqUY1otYuTlnrzE0Tn-Y0YRsW5pkRVqo/edit?usp=sharing"",""ปราจีนบุรี!I111"")"),10)</f>
        <v>10</v>
      </c>
      <c r="AM63" s="172">
        <f ca="1">IFERROR(__xludf.DUMMYFUNCTION("IMPORTRANGE(""https://docs.google.com/spreadsheets/d/1nYxRXgnCfTXtqUY1otYuTlnrzE0Tn-Y0YRsW5pkRVqo/edit?usp=sharing"",""ปราจีนบุรี!I112"")"),2)</f>
        <v>2</v>
      </c>
      <c r="AN63" s="173">
        <f ca="1">IFERROR(__xludf.DUMMYFUNCTION("IMPORTRANGE(""https://docs.google.com/spreadsheets/d/1nYxRXgnCfTXtqUY1otYuTlnrzE0Tn-Y0YRsW5pkRVqo/edit?usp=sharing"",""ปราจีนบุรี!J111"")"),10)</f>
        <v>10</v>
      </c>
      <c r="AO63" s="173">
        <f t="shared" ca="1" si="15"/>
        <v>100</v>
      </c>
      <c r="AP63" s="173">
        <f ca="1">IFERROR(__xludf.DUMMYFUNCTION("IMPORTRANGE(""https://docs.google.com/spreadsheets/d/1nYxRXgnCfTXtqUY1otYuTlnrzE0Tn-Y0YRsW5pkRVqo/edit?usp=sharing"",""ปราจีนบุรี!J112"")"),2)</f>
        <v>2</v>
      </c>
      <c r="AQ63" s="175">
        <f t="shared" ca="1" si="16"/>
        <v>100</v>
      </c>
      <c r="AR63" s="172">
        <f ca="1">IFERROR(__xludf.DUMMYFUNCTION("IMPORTRANGE(""https://docs.google.com/spreadsheets/d/1nYxRXgnCfTXtqUY1otYuTlnrzE0Tn-Y0YRsW5pkRVqo/edit?usp=sharing"",""ปราจีนบุรี!I113"")"),10)</f>
        <v>10</v>
      </c>
      <c r="AS63" s="172">
        <f ca="1">IFERROR(__xludf.DUMMYFUNCTION("IMPORTRANGE(""https://docs.google.com/spreadsheets/d/1nYxRXgnCfTXtqUY1otYuTlnrzE0Tn-Y0YRsW5pkRVqo/edit?usp=sharing"",""ปราจีนบุรี!J113"")"),10)</f>
        <v>10</v>
      </c>
      <c r="AT63" s="172">
        <f ca="1">IFERROR(__xludf.DUMMYFUNCTION("IMPORTRANGE(""https://docs.google.com/spreadsheets/d/1nYxRXgnCfTXtqUY1otYuTlnrzE0Tn-Y0YRsW5pkRVqo/edit?usp=sharing"",""ปราจีนบุรี!J114"")"),10)</f>
        <v>10</v>
      </c>
      <c r="AU63" s="172">
        <f ca="1">IFERROR(__xludf.DUMMYFUNCTION("IMPORTRANGE(""https://docs.google.com/spreadsheets/d/1nYxRXgnCfTXtqUY1otYuTlnrzE0Tn-Y0YRsW5pkRVqo/edit?usp=sharing"",""ปราจีนบุรี!I115"")"),1)</f>
        <v>1</v>
      </c>
      <c r="AV63" s="173">
        <f ca="1">IFERROR(__xludf.DUMMYFUNCTION("IMPORTRANGE(""https://docs.google.com/spreadsheets/d/1nYxRXgnCfTXtqUY1otYuTlnrzE0Tn-Y0YRsW5pkRVqo/edit?usp=sharing"",""ปราจีนบุรี!J115"")"),1)</f>
        <v>1</v>
      </c>
      <c r="AW63" s="175">
        <f t="shared" ca="1" si="18"/>
        <v>100</v>
      </c>
      <c r="AX63" s="172">
        <f ca="1">IFERROR(__xludf.DUMMYFUNCTION("IMPORTRANGE(""https://docs.google.com/spreadsheets/d/1nYxRXgnCfTXtqUY1otYuTlnrzE0Tn-Y0YRsW5pkRVqo/edit?usp=sharing"",""ปราจีนบุรี!I116"")"),1)</f>
        <v>1</v>
      </c>
      <c r="AY63" s="173">
        <f ca="1">IFERROR(__xludf.DUMMYFUNCTION("IMPORTRANGE(""https://docs.google.com/spreadsheets/d/1nYxRXgnCfTXtqUY1otYuTlnrzE0Tn-Y0YRsW5pkRVqo/edit?usp=sharing"",""ปราจีนบุรี!J116"")"),1)</f>
        <v>1</v>
      </c>
      <c r="AZ63" s="175">
        <f t="shared" ca="1" si="20"/>
        <v>100</v>
      </c>
    </row>
    <row r="64" spans="1:52" ht="21" customHeight="1" x14ac:dyDescent="0.3">
      <c r="A64" s="168">
        <v>12</v>
      </c>
      <c r="B64" s="169" t="s">
        <v>86</v>
      </c>
      <c r="C64" s="170">
        <f t="shared" ca="1" si="0"/>
        <v>31200</v>
      </c>
      <c r="D64" s="171">
        <f t="shared" ca="1" si="56"/>
        <v>31200</v>
      </c>
      <c r="E64" s="172">
        <f ca="1">IFERROR(__xludf.DUMMYFUNCTION("IMPORTRANGE(""https://docs.google.com/spreadsheets/d/1MeEWN-I1oV_STSDYn1IFDPWt_1FKiwhDph83XaGc0o0/edit?usp=sharing"",""งบพรบ!AR64"")"),0)</f>
        <v>0</v>
      </c>
      <c r="F64" s="172">
        <f ca="1">IFERROR(__xludf.DUMMYFUNCTION("IMPORTRANGE(""https://docs.google.com/spreadsheets/d/1MeEWN-I1oV_STSDYn1IFDPWt_1FKiwhDph83XaGc0o0/edit?usp=sharing"",""งบพรบ!AS64"")"),31200)</f>
        <v>31200</v>
      </c>
      <c r="G64" s="172">
        <f ca="1">IFERROR(__xludf.DUMMYFUNCTION("IMPORTRANGE(""https://docs.google.com/spreadsheets/d/1MeEWN-I1oV_STSDYn1IFDPWt_1FKiwhDph83XaGc0o0/edit?usp=sharing"",""งบพรบ!AT64"")"),0)</f>
        <v>0</v>
      </c>
      <c r="H64" s="172">
        <f ca="1">IFERROR(__xludf.DUMMYFUNCTION("IMPORTRANGE(""https://docs.google.com/spreadsheets/d/1MeEWN-I1oV_STSDYn1IFDPWt_1FKiwhDph83XaGc0o0/edit?usp=sharing"",""งบพรบ!AV64"")"),31200)</f>
        <v>31200</v>
      </c>
      <c r="I64" s="172">
        <f ca="1">IFERROR(__xludf.DUMMYFUNCTION("IMPORTRANGE(""https://docs.google.com/spreadsheets/d/1MeEWN-I1oV_STSDYn1IFDPWt_1FKiwhDph83XaGc0o0/edit?usp=sharing"",""งบพรบ!AW64"")"),0)</f>
        <v>0</v>
      </c>
      <c r="J64" s="172">
        <f t="shared" ca="1" si="3"/>
        <v>31200</v>
      </c>
      <c r="K64" s="179">
        <f t="shared" ca="1" si="4"/>
        <v>100</v>
      </c>
      <c r="L64" s="172">
        <f ca="1">IFERROR(__xludf.DUMMYFUNCTION("IMPORTRANGE(""https://docs.google.com/spreadsheets/d/1MeEWN-I1oV_STSDYn1IFDPWt_1FKiwhDph83XaGc0o0/edit?usp=sharing"",""งบพรบ!AX64"")"),31200)</f>
        <v>31200</v>
      </c>
      <c r="M64" s="175">
        <f t="shared" ca="1" si="5"/>
        <v>100</v>
      </c>
      <c r="N64" s="175">
        <f t="shared" ca="1" si="6"/>
        <v>100</v>
      </c>
      <c r="O64" s="176">
        <f ca="1">IFERROR(__xludf.DUMMYFUNCTION("IMPORTRANGE(""https://docs.google.com/spreadsheets/d/1MeEWN-I1oV_STSDYn1IFDPWt_1FKiwhDph83XaGc0o0/edit?usp=sharing"",""งบพรบ!AY64"")"),0)</f>
        <v>0</v>
      </c>
      <c r="P64" s="176">
        <f t="shared" ca="1" si="36"/>
        <v>0</v>
      </c>
      <c r="Q64" s="175">
        <f t="shared" ca="1" si="8"/>
        <v>0</v>
      </c>
      <c r="R64" s="173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73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73">
        <f t="shared" ca="1" si="10"/>
        <v>0</v>
      </c>
      <c r="U64" s="173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73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73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77">
        <f t="shared" ca="1" si="12"/>
        <v>0</v>
      </c>
      <c r="Y64" s="178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77">
        <f t="shared" ca="1" si="13"/>
        <v>100</v>
      </c>
      <c r="AA64" s="172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72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73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73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73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72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73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73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72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73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73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72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72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73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73">
        <f t="shared" ca="1" si="15"/>
        <v>0</v>
      </c>
      <c r="AP64" s="173">
        <f ca="1">IFERROR(__xludf.DUMMYFUNCTION("IMPORTRANGE(""https://docs.google.com/spreadsheets/d/1nNHCLO8ZAXOMfQvxux7cf_hrzPAh8FAvaHq_ClKbZNo/edit?usp=sharing"",""พระนครศรีอยุธยา!J112"")"),1)</f>
        <v>1</v>
      </c>
      <c r="AQ64" s="175">
        <f t="shared" ca="1" si="16"/>
        <v>100</v>
      </c>
      <c r="AR64" s="172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72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72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72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73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75">
        <f t="shared" ca="1" si="18"/>
        <v>0</v>
      </c>
      <c r="AX64" s="172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73">
        <f ca="1">IFERROR(__xludf.DUMMYFUNCTION("IMPORTRANGE(""https://docs.google.com/spreadsheets/d/1nNHCLO8ZAXOMfQvxux7cf_hrzPAh8FAvaHq_ClKbZNo/edit?usp=sharing"",""พระนครศรีอยุธยา!J116"")"),1)</f>
        <v>1</v>
      </c>
      <c r="AZ64" s="175">
        <f t="shared" ca="1" si="20"/>
        <v>100</v>
      </c>
    </row>
    <row r="65" spans="1:52" ht="21" customHeight="1" x14ac:dyDescent="0.3">
      <c r="A65" s="168">
        <v>13</v>
      </c>
      <c r="B65" s="169" t="s">
        <v>87</v>
      </c>
      <c r="C65" s="170">
        <f t="shared" ca="1" si="0"/>
        <v>397480</v>
      </c>
      <c r="D65" s="171">
        <f t="shared" ca="1" si="56"/>
        <v>397480</v>
      </c>
      <c r="E65" s="172">
        <f ca="1">IFERROR(__xludf.DUMMYFUNCTION("IMPORTRANGE(""https://docs.google.com/spreadsheets/d/1MeEWN-I1oV_STSDYn1IFDPWt_1FKiwhDph83XaGc0o0/edit?usp=sharing"",""งบพรบ!AR65"")"),286300)</f>
        <v>286300</v>
      </c>
      <c r="F65" s="172">
        <f ca="1">IFERROR(__xludf.DUMMYFUNCTION("IMPORTRANGE(""https://docs.google.com/spreadsheets/d/1MeEWN-I1oV_STSDYn1IFDPWt_1FKiwhDph83XaGc0o0/edit?usp=sharing"",""งบพรบ!AS65"")"),111180)</f>
        <v>111180</v>
      </c>
      <c r="G65" s="172">
        <f ca="1">IFERROR(__xludf.DUMMYFUNCTION("IMPORTRANGE(""https://docs.google.com/spreadsheets/d/1MeEWN-I1oV_STSDYn1IFDPWt_1FKiwhDph83XaGc0o0/edit?usp=sharing"",""งบพรบ!AT65"")"),0)</f>
        <v>0</v>
      </c>
      <c r="H65" s="172">
        <f ca="1">IFERROR(__xludf.DUMMYFUNCTION("IMPORTRANGE(""https://docs.google.com/spreadsheets/d/1MeEWN-I1oV_STSDYn1IFDPWt_1FKiwhDph83XaGc0o0/edit?usp=sharing"",""งบพรบ!AV65"")"),397480)</f>
        <v>397480</v>
      </c>
      <c r="I65" s="172">
        <f ca="1">IFERROR(__xludf.DUMMYFUNCTION("IMPORTRANGE(""https://docs.google.com/spreadsheets/d/1MeEWN-I1oV_STSDYn1IFDPWt_1FKiwhDph83XaGc0o0/edit?usp=sharing"",""งบพรบ!AW65"")"),0)</f>
        <v>0</v>
      </c>
      <c r="J65" s="172">
        <f t="shared" ca="1" si="3"/>
        <v>384299</v>
      </c>
      <c r="K65" s="179">
        <f t="shared" ca="1" si="4"/>
        <v>96.683858307336223</v>
      </c>
      <c r="L65" s="172">
        <f ca="1">IFERROR(__xludf.DUMMYFUNCTION("IMPORTRANGE(""https://docs.google.com/spreadsheets/d/1MeEWN-I1oV_STSDYn1IFDPWt_1FKiwhDph83XaGc0o0/edit?usp=sharing"",""งบพรบ!AX65"")"),384299)</f>
        <v>384299</v>
      </c>
      <c r="M65" s="175">
        <f t="shared" ca="1" si="5"/>
        <v>96.683858307336223</v>
      </c>
      <c r="N65" s="175">
        <f t="shared" ca="1" si="6"/>
        <v>96.683858307336223</v>
      </c>
      <c r="O65" s="176">
        <f ca="1">IFERROR(__xludf.DUMMYFUNCTION("IMPORTRANGE(""https://docs.google.com/spreadsheets/d/1MeEWN-I1oV_STSDYn1IFDPWt_1FKiwhDph83XaGc0o0/edit?usp=sharing"",""งบพรบ!AY65"")"),0)</f>
        <v>0</v>
      </c>
      <c r="P65" s="176">
        <f t="shared" ca="1" si="36"/>
        <v>0</v>
      </c>
      <c r="Q65" s="175">
        <f t="shared" ca="1" si="8"/>
        <v>0</v>
      </c>
      <c r="R65" s="173">
        <f ca="1">IFERROR(__xludf.DUMMYFUNCTION("IMPORTRANGE(""https://docs.google.com/spreadsheets/d/1CdNicvf3i6yt4tJlCePe3V1Va76wYqW0QzMzTsaGRrA/edit?usp=sharing"",""เพชรบุรี!I98"")"),60)</f>
        <v>60</v>
      </c>
      <c r="S65" s="173">
        <f ca="1">IFERROR(__xludf.DUMMYFUNCTION("IMPORTRANGE(""https://docs.google.com/spreadsheets/d/1CdNicvf3i6yt4tJlCePe3V1Va76wYqW0QzMzTsaGRrA/edit?usp=sharing"",""เพชรบุรี!J98"")"),60)</f>
        <v>60</v>
      </c>
      <c r="T65" s="173">
        <f t="shared" ca="1" si="10"/>
        <v>100</v>
      </c>
      <c r="U65" s="173">
        <f ca="1">IFERROR(__xludf.DUMMYFUNCTION("IMPORTRANGE(""https://docs.google.com/spreadsheets/d/1CdNicvf3i6yt4tJlCePe3V1Va76wYqW0QzMzTsaGRrA/edit?usp=sharing"",""เพชรบุรี!I99"")"),20)</f>
        <v>20</v>
      </c>
      <c r="V65" s="173">
        <f ca="1">IFERROR(__xludf.DUMMYFUNCTION("IMPORTRANGE(""https://docs.google.com/spreadsheets/d/1CdNicvf3i6yt4tJlCePe3V1Va76wYqW0QzMzTsaGRrA/edit?usp=sharing"",""เพชรบุรี!I100"")"),2)</f>
        <v>2</v>
      </c>
      <c r="W65" s="173">
        <f ca="1">IFERROR(__xludf.DUMMYFUNCTION("IMPORTRANGE(""https://docs.google.com/spreadsheets/d/1CdNicvf3i6yt4tJlCePe3V1Va76wYqW0QzMzTsaGRrA/edit?usp=sharing"",""เพชรบุรี!J99"")"),20)</f>
        <v>20</v>
      </c>
      <c r="X65" s="177">
        <f t="shared" ca="1" si="12"/>
        <v>100</v>
      </c>
      <c r="Y65" s="178">
        <f ca="1">IFERROR(__xludf.DUMMYFUNCTION("IMPORTRANGE(""https://docs.google.com/spreadsheets/d/1CdNicvf3i6yt4tJlCePe3V1Va76wYqW0QzMzTsaGRrA/edit?usp=sharing"",""เพชรบุรี!J100"")"),2)</f>
        <v>2</v>
      </c>
      <c r="Z65" s="177">
        <f t="shared" ca="1" si="13"/>
        <v>100</v>
      </c>
      <c r="AA65" s="172">
        <f ca="1">IFERROR(__xludf.DUMMYFUNCTION("IMPORTRANGE(""https://docs.google.com/spreadsheets/d/1CdNicvf3i6yt4tJlCePe3V1Va76wYqW0QzMzTsaGRrA/edit?usp=sharing"",""เพชรบุรี!I102"")"),60)</f>
        <v>60</v>
      </c>
      <c r="AB65" s="172">
        <f ca="1">IFERROR(__xludf.DUMMYFUNCTION("IMPORTRANGE(""https://docs.google.com/spreadsheets/d/1CdNicvf3i6yt4tJlCePe3V1Va76wYqW0QzMzTsaGRrA/edit?usp=sharing"",""เพชรบุรี!I103"")"),20)</f>
        <v>20</v>
      </c>
      <c r="AC65" s="173">
        <f ca="1">IFERROR(__xludf.DUMMYFUNCTION("IMPORTRANGE(""https://docs.google.com/spreadsheets/d/1CdNicvf3i6yt4tJlCePe3V1Va76wYqW0QzMzTsaGRrA/edit?usp=sharing"",""เพชรบุรี!J102"")"),60)</f>
        <v>60</v>
      </c>
      <c r="AD65" s="173">
        <f ca="1">IFERROR(__xludf.DUMMYFUNCTION("IMPORTRANGE(""https://docs.google.com/spreadsheets/d/1CdNicvf3i6yt4tJlCePe3V1Va76wYqW0QzMzTsaGRrA/edit?usp=sharing"",""เพชรบุรี!J103"")"),20)</f>
        <v>20</v>
      </c>
      <c r="AE65" s="173">
        <f ca="1">IFERROR(__xludf.DUMMYFUNCTION("IMPORTRANGE(""https://docs.google.com/spreadsheets/d/1CdNicvf3i6yt4tJlCePe3V1Va76wYqW0QzMzTsaGRrA/edit?usp=sharing"",""เพชรบุรี!J104"")"),20)</f>
        <v>20</v>
      </c>
      <c r="AF65" s="172">
        <f ca="1">IFERROR(__xludf.DUMMYFUNCTION("IMPORTRANGE(""https://docs.google.com/spreadsheets/d/1CdNicvf3i6yt4tJlCePe3V1Va76wYqW0QzMzTsaGRrA/edit?usp=sharing"",""เพชรบุรี!I106"")"),1)</f>
        <v>1</v>
      </c>
      <c r="AG65" s="173">
        <f ca="1">IFERROR(__xludf.DUMMYFUNCTION("IMPORTRANGE(""https://docs.google.com/spreadsheets/d/1CdNicvf3i6yt4tJlCePe3V1Va76wYqW0QzMzTsaGRrA/edit?usp=sharing"",""เพชรบุรี!J106"")"),1)</f>
        <v>1</v>
      </c>
      <c r="AH65" s="173">
        <f ca="1">IFERROR(__xludf.DUMMYFUNCTION("IMPORTRANGE(""https://docs.google.com/spreadsheets/d/1CdNicvf3i6yt4tJlCePe3V1Va76wYqW0QzMzTsaGRrA/edit?usp=sharing"",""เพชรบุรี!J107"")"),1)</f>
        <v>1</v>
      </c>
      <c r="AI65" s="172">
        <f ca="1">IFERROR(__xludf.DUMMYFUNCTION("IMPORTRANGE(""https://docs.google.com/spreadsheets/d/1CdNicvf3i6yt4tJlCePe3V1Va76wYqW0QzMzTsaGRrA/edit?usp=sharing"",""เพชรบุรี!I109"")"),1)</f>
        <v>1</v>
      </c>
      <c r="AJ65" s="173">
        <f ca="1">IFERROR(__xludf.DUMMYFUNCTION("IMPORTRANGE(""https://docs.google.com/spreadsheets/d/1CdNicvf3i6yt4tJlCePe3V1Va76wYqW0QzMzTsaGRrA/edit?usp=sharing"",""เพชรบุรี!J109"")"),1)</f>
        <v>1</v>
      </c>
      <c r="AK65" s="173">
        <f ca="1">IFERROR(__xludf.DUMMYFUNCTION("IMPORTRANGE(""https://docs.google.com/spreadsheets/d/1CdNicvf3i6yt4tJlCePe3V1Va76wYqW0QzMzTsaGRrA/edit?usp=sharing"",""เพชรบุรี!J110"")"),1)</f>
        <v>1</v>
      </c>
      <c r="AL65" s="172">
        <f ca="1">IFERROR(__xludf.DUMMYFUNCTION("IMPORTRANGE(""https://docs.google.com/spreadsheets/d/1CdNicvf3i6yt4tJlCePe3V1Va76wYqW0QzMzTsaGRrA/edit?usp=sharing"",""เพชรบุรี!I111"")"),20)</f>
        <v>20</v>
      </c>
      <c r="AM65" s="172">
        <f ca="1">IFERROR(__xludf.DUMMYFUNCTION("IMPORTRANGE(""https://docs.google.com/spreadsheets/d/1CdNicvf3i6yt4tJlCePe3V1Va76wYqW0QzMzTsaGRrA/edit?usp=sharing"",""เพชรบุรี!I112"")"),2)</f>
        <v>2</v>
      </c>
      <c r="AN65" s="173">
        <f ca="1">IFERROR(__xludf.DUMMYFUNCTION("IMPORTRANGE(""https://docs.google.com/spreadsheets/d/1CdNicvf3i6yt4tJlCePe3V1Va76wYqW0QzMzTsaGRrA/edit?usp=sharing"",""เพชรบุรี!J111"")"),20)</f>
        <v>20</v>
      </c>
      <c r="AO65" s="173">
        <f t="shared" ca="1" si="15"/>
        <v>100</v>
      </c>
      <c r="AP65" s="173">
        <f ca="1">IFERROR(__xludf.DUMMYFUNCTION("IMPORTRANGE(""https://docs.google.com/spreadsheets/d/1CdNicvf3i6yt4tJlCePe3V1Va76wYqW0QzMzTsaGRrA/edit?usp=sharing"",""เพชรบุรี!J112"")"),2)</f>
        <v>2</v>
      </c>
      <c r="AQ65" s="175">
        <f t="shared" ca="1" si="16"/>
        <v>100</v>
      </c>
      <c r="AR65" s="172">
        <f ca="1">IFERROR(__xludf.DUMMYFUNCTION("IMPORTRANGE(""https://docs.google.com/spreadsheets/d/1CdNicvf3i6yt4tJlCePe3V1Va76wYqW0QzMzTsaGRrA/edit?usp=sharing"",""เพชรบุรี!I113"")"),20)</f>
        <v>20</v>
      </c>
      <c r="AS65" s="172">
        <f ca="1">IFERROR(__xludf.DUMMYFUNCTION("IMPORTRANGE(""https://docs.google.com/spreadsheets/d/1CdNicvf3i6yt4tJlCePe3V1Va76wYqW0QzMzTsaGRrA/edit?usp=sharing"",""เพชรบุรี!J113"")"),20)</f>
        <v>20</v>
      </c>
      <c r="AT65" s="172">
        <f ca="1">IFERROR(__xludf.DUMMYFUNCTION("IMPORTRANGE(""https://docs.google.com/spreadsheets/d/1CdNicvf3i6yt4tJlCePe3V1Va76wYqW0QzMzTsaGRrA/edit?usp=sharing"",""เพชรบุรี!J114"")"),20)</f>
        <v>20</v>
      </c>
      <c r="AU65" s="172">
        <f ca="1">IFERROR(__xludf.DUMMYFUNCTION("IMPORTRANGE(""https://docs.google.com/spreadsheets/d/1CdNicvf3i6yt4tJlCePe3V1Va76wYqW0QzMzTsaGRrA/edit?usp=sharing"",""เพชรบุรี!I115"")"),1)</f>
        <v>1</v>
      </c>
      <c r="AV65" s="173">
        <f ca="1">IFERROR(__xludf.DUMMYFUNCTION("IMPORTRANGE(""https://docs.google.com/spreadsheets/d/1CdNicvf3i6yt4tJlCePe3V1Va76wYqW0QzMzTsaGRrA/edit?usp=sharing"",""เพชรบุรี!J115"")"),1)</f>
        <v>1</v>
      </c>
      <c r="AW65" s="175">
        <f t="shared" ca="1" si="18"/>
        <v>100</v>
      </c>
      <c r="AX65" s="172">
        <f ca="1">IFERROR(__xludf.DUMMYFUNCTION("IMPORTRANGE(""https://docs.google.com/spreadsheets/d/1CdNicvf3i6yt4tJlCePe3V1Va76wYqW0QzMzTsaGRrA/edit?usp=sharing"",""เพชรบุรี!I116"")"),1)</f>
        <v>1</v>
      </c>
      <c r="AY65" s="173">
        <f ca="1">IFERROR(__xludf.DUMMYFUNCTION("IMPORTRANGE(""https://docs.google.com/spreadsheets/d/1CdNicvf3i6yt4tJlCePe3V1Va76wYqW0QzMzTsaGRrA/edit?usp=sharing"",""เพชรบุรี!J116"")"),1)</f>
        <v>1</v>
      </c>
      <c r="AZ65" s="175">
        <f t="shared" ca="1" si="20"/>
        <v>100</v>
      </c>
    </row>
    <row r="66" spans="1:52" ht="21" customHeight="1" x14ac:dyDescent="0.3">
      <c r="A66" s="168">
        <v>14</v>
      </c>
      <c r="B66" s="169" t="s">
        <v>88</v>
      </c>
      <c r="C66" s="170">
        <f t="shared" ca="1" si="0"/>
        <v>98760</v>
      </c>
      <c r="D66" s="171">
        <f t="shared" ca="1" si="56"/>
        <v>98760</v>
      </c>
      <c r="E66" s="172">
        <f ca="1">IFERROR(__xludf.DUMMYFUNCTION("IMPORTRANGE(""https://docs.google.com/spreadsheets/d/1MeEWN-I1oV_STSDYn1IFDPWt_1FKiwhDph83XaGc0o0/edit?usp=sharing"",""งบพรบ!AR66"")"),0)</f>
        <v>0</v>
      </c>
      <c r="F66" s="172">
        <f ca="1">IFERROR(__xludf.DUMMYFUNCTION("IMPORTRANGE(""https://docs.google.com/spreadsheets/d/1MeEWN-I1oV_STSDYn1IFDPWt_1FKiwhDph83XaGc0o0/edit?usp=sharing"",""งบพรบ!AS66"")"),98760)</f>
        <v>98760</v>
      </c>
      <c r="G66" s="172">
        <f ca="1">IFERROR(__xludf.DUMMYFUNCTION("IMPORTRANGE(""https://docs.google.com/spreadsheets/d/1MeEWN-I1oV_STSDYn1IFDPWt_1FKiwhDph83XaGc0o0/edit?usp=sharing"",""งบพรบ!AT66"")"),0)</f>
        <v>0</v>
      </c>
      <c r="H66" s="172">
        <f ca="1">IFERROR(__xludf.DUMMYFUNCTION("IMPORTRANGE(""https://docs.google.com/spreadsheets/d/1MeEWN-I1oV_STSDYn1IFDPWt_1FKiwhDph83XaGc0o0/edit?usp=sharing"",""งบพรบ!AV66"")"),98760)</f>
        <v>98760</v>
      </c>
      <c r="I66" s="172">
        <f ca="1">IFERROR(__xludf.DUMMYFUNCTION("IMPORTRANGE(""https://docs.google.com/spreadsheets/d/1MeEWN-I1oV_STSDYn1IFDPWt_1FKiwhDph83XaGc0o0/edit?usp=sharing"",""งบพรบ!AW66"")"),0)</f>
        <v>0</v>
      </c>
      <c r="J66" s="172">
        <f t="shared" ca="1" si="3"/>
        <v>98760</v>
      </c>
      <c r="K66" s="179">
        <f t="shared" ca="1" si="4"/>
        <v>100</v>
      </c>
      <c r="L66" s="172">
        <f ca="1">IFERROR(__xludf.DUMMYFUNCTION("IMPORTRANGE(""https://docs.google.com/spreadsheets/d/1MeEWN-I1oV_STSDYn1IFDPWt_1FKiwhDph83XaGc0o0/edit?usp=sharing"",""งบพรบ!AX66"")"),98760)</f>
        <v>98760</v>
      </c>
      <c r="M66" s="175">
        <f t="shared" ca="1" si="5"/>
        <v>100</v>
      </c>
      <c r="N66" s="175">
        <f t="shared" ca="1" si="6"/>
        <v>100</v>
      </c>
      <c r="O66" s="176">
        <f ca="1">IFERROR(__xludf.DUMMYFUNCTION("IMPORTRANGE(""https://docs.google.com/spreadsheets/d/1MeEWN-I1oV_STSDYn1IFDPWt_1FKiwhDph83XaGc0o0/edit?usp=sharing"",""งบพรบ!AY66"")"),0)</f>
        <v>0</v>
      </c>
      <c r="P66" s="176">
        <f t="shared" ca="1" si="36"/>
        <v>0</v>
      </c>
      <c r="Q66" s="175">
        <f t="shared" ca="1" si="8"/>
        <v>0</v>
      </c>
      <c r="R66" s="173">
        <f ca="1">IFERROR(__xludf.DUMMYFUNCTION("IMPORTRANGE(""https://docs.google.com/spreadsheets/d/1XiF77UIVHV0Kjc6xbXuOuJ10WgJYxd4p_22ngKVV5oM/edit?usp=sharing"",""ระยอง!I98"")"),45)</f>
        <v>45</v>
      </c>
      <c r="S66" s="173">
        <f ca="1">IFERROR(__xludf.DUMMYFUNCTION("IMPORTRANGE(""https://docs.google.com/spreadsheets/d/1XiF77UIVHV0Kjc6xbXuOuJ10WgJYxd4p_22ngKVV5oM/edit?usp=sharing"",""ระยอง!J98"")"),45)</f>
        <v>45</v>
      </c>
      <c r="T66" s="173">
        <f t="shared" ca="1" si="10"/>
        <v>100</v>
      </c>
      <c r="U66" s="173">
        <f ca="1">IFERROR(__xludf.DUMMYFUNCTION("IMPORTRANGE(""https://docs.google.com/spreadsheets/d/1XiF77UIVHV0Kjc6xbXuOuJ10WgJYxd4p_22ngKVV5oM/edit?usp=sharing"",""ระยอง!I99"")"),15)</f>
        <v>15</v>
      </c>
      <c r="V66" s="173">
        <f ca="1">IFERROR(__xludf.DUMMYFUNCTION("IMPORTRANGE(""https://docs.google.com/spreadsheets/d/1XiF77UIVHV0Kjc6xbXuOuJ10WgJYxd4p_22ngKVV5oM/edit?usp=sharing"",""ระยอง!I100"")"),2)</f>
        <v>2</v>
      </c>
      <c r="W66" s="173">
        <f ca="1">IFERROR(__xludf.DUMMYFUNCTION("IMPORTRANGE(""https://docs.google.com/spreadsheets/d/1XiF77UIVHV0Kjc6xbXuOuJ10WgJYxd4p_22ngKVV5oM/edit?usp=sharing"",""ระยอง!J99"")"),15)</f>
        <v>15</v>
      </c>
      <c r="X66" s="177">
        <f t="shared" ca="1" si="12"/>
        <v>100</v>
      </c>
      <c r="Y66" s="178">
        <f ca="1">IFERROR(__xludf.DUMMYFUNCTION("IMPORTRANGE(""https://docs.google.com/spreadsheets/d/1XiF77UIVHV0Kjc6xbXuOuJ10WgJYxd4p_22ngKVV5oM/edit?usp=sharing"",""ระยอง!J100"")"),2)</f>
        <v>2</v>
      </c>
      <c r="Z66" s="177">
        <f t="shared" ca="1" si="13"/>
        <v>100</v>
      </c>
      <c r="AA66" s="172">
        <f ca="1">IFERROR(__xludf.DUMMYFUNCTION("IMPORTRANGE(""https://docs.google.com/spreadsheets/d/1XiF77UIVHV0Kjc6xbXuOuJ10WgJYxd4p_22ngKVV5oM/edit?usp=sharing"",""ระยอง!I102"")"),45)</f>
        <v>45</v>
      </c>
      <c r="AB66" s="172">
        <f ca="1">IFERROR(__xludf.DUMMYFUNCTION("IMPORTRANGE(""https://docs.google.com/spreadsheets/d/1XiF77UIVHV0Kjc6xbXuOuJ10WgJYxd4p_22ngKVV5oM/edit?usp=sharing"",""ระยอง!I103"")"),15)</f>
        <v>15</v>
      </c>
      <c r="AC66" s="173">
        <f ca="1">IFERROR(__xludf.DUMMYFUNCTION("IMPORTRANGE(""https://docs.google.com/spreadsheets/d/1XiF77UIVHV0Kjc6xbXuOuJ10WgJYxd4p_22ngKVV5oM/edit?usp=sharing"",""ระยอง!J102"")"),45)</f>
        <v>45</v>
      </c>
      <c r="AD66" s="173">
        <f ca="1">IFERROR(__xludf.DUMMYFUNCTION("IMPORTRANGE(""https://docs.google.com/spreadsheets/d/1XiF77UIVHV0Kjc6xbXuOuJ10WgJYxd4p_22ngKVV5oM/edit?usp=sharing"",""ระยอง!J103"")"),15)</f>
        <v>15</v>
      </c>
      <c r="AE66" s="173">
        <f ca="1">IFERROR(__xludf.DUMMYFUNCTION("IMPORTRANGE(""https://docs.google.com/spreadsheets/d/1XiF77UIVHV0Kjc6xbXuOuJ10WgJYxd4p_22ngKVV5oM/edit?usp=sharing"",""ระยอง!J104"")"),15)</f>
        <v>15</v>
      </c>
      <c r="AF66" s="172">
        <f ca="1">IFERROR(__xludf.DUMMYFUNCTION("IMPORTRANGE(""https://docs.google.com/spreadsheets/d/1XiF77UIVHV0Kjc6xbXuOuJ10WgJYxd4p_22ngKVV5oM/edit?usp=sharing"",""ระยอง!I106"")"),1)</f>
        <v>1</v>
      </c>
      <c r="AG66" s="173">
        <f ca="1">IFERROR(__xludf.DUMMYFUNCTION("IMPORTRANGE(""https://docs.google.com/spreadsheets/d/1XiF77UIVHV0Kjc6xbXuOuJ10WgJYxd4p_22ngKVV5oM/edit?usp=sharing"",""ระยอง!J106"")"),1)</f>
        <v>1</v>
      </c>
      <c r="AH66" s="173">
        <f ca="1">IFERROR(__xludf.DUMMYFUNCTION("IMPORTRANGE(""https://docs.google.com/spreadsheets/d/1XiF77UIVHV0Kjc6xbXuOuJ10WgJYxd4p_22ngKVV5oM/edit?usp=sharing"",""ระยอง!J107"")"),1)</f>
        <v>1</v>
      </c>
      <c r="AI66" s="172">
        <f ca="1">IFERROR(__xludf.DUMMYFUNCTION("IMPORTRANGE(""https://docs.google.com/spreadsheets/d/1XiF77UIVHV0Kjc6xbXuOuJ10WgJYxd4p_22ngKVV5oM/edit?usp=sharing"",""ระยอง!I109"")"),1)</f>
        <v>1</v>
      </c>
      <c r="AJ66" s="173">
        <f ca="1">IFERROR(__xludf.DUMMYFUNCTION("IMPORTRANGE(""https://docs.google.com/spreadsheets/d/1XiF77UIVHV0Kjc6xbXuOuJ10WgJYxd4p_22ngKVV5oM/edit?usp=sharing"",""ระยอง!J109"")"),1)</f>
        <v>1</v>
      </c>
      <c r="AK66" s="173">
        <f ca="1">IFERROR(__xludf.DUMMYFUNCTION("IMPORTRANGE(""https://docs.google.com/spreadsheets/d/1XiF77UIVHV0Kjc6xbXuOuJ10WgJYxd4p_22ngKVV5oM/edit?usp=sharing"",""ระยอง!J110"")"),1)</f>
        <v>1</v>
      </c>
      <c r="AL66" s="172">
        <f ca="1">IFERROR(__xludf.DUMMYFUNCTION("IMPORTRANGE(""https://docs.google.com/spreadsheets/d/1XiF77UIVHV0Kjc6xbXuOuJ10WgJYxd4p_22ngKVV5oM/edit?usp=sharing"",""ระยอง!I111"")"),15)</f>
        <v>15</v>
      </c>
      <c r="AM66" s="172">
        <f ca="1">IFERROR(__xludf.DUMMYFUNCTION("IMPORTRANGE(""https://docs.google.com/spreadsheets/d/1XiF77UIVHV0Kjc6xbXuOuJ10WgJYxd4p_22ngKVV5oM/edit?usp=sharing"",""ระยอง!I112"")"),2)</f>
        <v>2</v>
      </c>
      <c r="AN66" s="173">
        <f ca="1">IFERROR(__xludf.DUMMYFUNCTION("IMPORTRANGE(""https://docs.google.com/spreadsheets/d/1XiF77UIVHV0Kjc6xbXuOuJ10WgJYxd4p_22ngKVV5oM/edit?usp=sharing"",""ระยอง!J111"")"),15)</f>
        <v>15</v>
      </c>
      <c r="AO66" s="173">
        <f t="shared" ca="1" si="15"/>
        <v>100</v>
      </c>
      <c r="AP66" s="173">
        <f ca="1">IFERROR(__xludf.DUMMYFUNCTION("IMPORTRANGE(""https://docs.google.com/spreadsheets/d/1XiF77UIVHV0Kjc6xbXuOuJ10WgJYxd4p_22ngKVV5oM/edit?usp=sharing"",""ระยอง!J112"")"),2)</f>
        <v>2</v>
      </c>
      <c r="AQ66" s="175">
        <f t="shared" ca="1" si="16"/>
        <v>100</v>
      </c>
      <c r="AR66" s="172">
        <f ca="1">IFERROR(__xludf.DUMMYFUNCTION("IMPORTRANGE(""https://docs.google.com/spreadsheets/d/1XiF77UIVHV0Kjc6xbXuOuJ10WgJYxd4p_22ngKVV5oM/edit?usp=sharing"",""ระยอง!I113"")"),15)</f>
        <v>15</v>
      </c>
      <c r="AS66" s="172">
        <f ca="1">IFERROR(__xludf.DUMMYFUNCTION("IMPORTRANGE(""https://docs.google.com/spreadsheets/d/1XiF77UIVHV0Kjc6xbXuOuJ10WgJYxd4p_22ngKVV5oM/edit?usp=sharing"",""ระยอง!J113"")"),15)</f>
        <v>15</v>
      </c>
      <c r="AT66" s="172">
        <f ca="1">IFERROR(__xludf.DUMMYFUNCTION("IMPORTRANGE(""https://docs.google.com/spreadsheets/d/1XiF77UIVHV0Kjc6xbXuOuJ10WgJYxd4p_22ngKVV5oM/edit?usp=sharing"",""ระยอง!J114"")"),15)</f>
        <v>15</v>
      </c>
      <c r="AU66" s="172">
        <f ca="1">IFERROR(__xludf.DUMMYFUNCTION("IMPORTRANGE(""https://docs.google.com/spreadsheets/d/1XiF77UIVHV0Kjc6xbXuOuJ10WgJYxd4p_22ngKVV5oM/edit?usp=sharing"",""ระยอง!I115"")"),1)</f>
        <v>1</v>
      </c>
      <c r="AV66" s="173">
        <f ca="1">IFERROR(__xludf.DUMMYFUNCTION("IMPORTRANGE(""https://docs.google.com/spreadsheets/d/1XiF77UIVHV0Kjc6xbXuOuJ10WgJYxd4p_22ngKVV5oM/edit?usp=sharing"",""ระยอง!J115"")"),1)</f>
        <v>1</v>
      </c>
      <c r="AW66" s="175">
        <f t="shared" ca="1" si="18"/>
        <v>100</v>
      </c>
      <c r="AX66" s="172">
        <f ca="1">IFERROR(__xludf.DUMMYFUNCTION("IMPORTRANGE(""https://docs.google.com/spreadsheets/d/1XiF77UIVHV0Kjc6xbXuOuJ10WgJYxd4p_22ngKVV5oM/edit?usp=sharing"",""ระยอง!I116"")"),1)</f>
        <v>1</v>
      </c>
      <c r="AY66" s="173">
        <f ca="1">IFERROR(__xludf.DUMMYFUNCTION("IMPORTRANGE(""https://docs.google.com/spreadsheets/d/1XiF77UIVHV0Kjc6xbXuOuJ10WgJYxd4p_22ngKVV5oM/edit?usp=sharing"",""ระยอง!J116"")"),1)</f>
        <v>1</v>
      </c>
      <c r="AZ66" s="175">
        <f t="shared" ca="1" si="20"/>
        <v>100</v>
      </c>
    </row>
    <row r="67" spans="1:52" ht="21" customHeight="1" x14ac:dyDescent="0.3">
      <c r="A67" s="168">
        <v>15</v>
      </c>
      <c r="B67" s="169" t="s">
        <v>89</v>
      </c>
      <c r="C67" s="170">
        <f t="shared" ca="1" si="0"/>
        <v>128360</v>
      </c>
      <c r="D67" s="171">
        <f t="shared" ca="1" si="56"/>
        <v>128360</v>
      </c>
      <c r="E67" s="172">
        <f ca="1">IFERROR(__xludf.DUMMYFUNCTION("IMPORTRANGE(""https://docs.google.com/spreadsheets/d/1MeEWN-I1oV_STSDYn1IFDPWt_1FKiwhDph83XaGc0o0/edit?usp=sharing"",""งบพรบ!AR67"")"),0)</f>
        <v>0</v>
      </c>
      <c r="F67" s="172">
        <f ca="1">IFERROR(__xludf.DUMMYFUNCTION("IMPORTRANGE(""https://docs.google.com/spreadsheets/d/1MeEWN-I1oV_STSDYn1IFDPWt_1FKiwhDph83XaGc0o0/edit?usp=sharing"",""งบพรบ!AS67"")"),128360)</f>
        <v>128360</v>
      </c>
      <c r="G67" s="172">
        <f ca="1">IFERROR(__xludf.DUMMYFUNCTION("IMPORTRANGE(""https://docs.google.com/spreadsheets/d/1MeEWN-I1oV_STSDYn1IFDPWt_1FKiwhDph83XaGc0o0/edit?usp=sharing"",""งบพรบ!AT67"")"),0)</f>
        <v>0</v>
      </c>
      <c r="H67" s="172">
        <f ca="1">IFERROR(__xludf.DUMMYFUNCTION("IMPORTRANGE(""https://docs.google.com/spreadsheets/d/1MeEWN-I1oV_STSDYn1IFDPWt_1FKiwhDph83XaGc0o0/edit?usp=sharing"",""งบพรบ!AV67"")"),128360)</f>
        <v>128360</v>
      </c>
      <c r="I67" s="172">
        <f ca="1">IFERROR(__xludf.DUMMYFUNCTION("IMPORTRANGE(""https://docs.google.com/spreadsheets/d/1MeEWN-I1oV_STSDYn1IFDPWt_1FKiwhDph83XaGc0o0/edit?usp=sharing"",""งบพรบ!AW67"")"),0)</f>
        <v>0</v>
      </c>
      <c r="J67" s="172">
        <f t="shared" ca="1" si="3"/>
        <v>106655.9</v>
      </c>
      <c r="K67" s="179">
        <f t="shared" ca="1" si="4"/>
        <v>83.091227796821443</v>
      </c>
      <c r="L67" s="172">
        <f ca="1">IFERROR(__xludf.DUMMYFUNCTION("IMPORTRANGE(""https://docs.google.com/spreadsheets/d/1MeEWN-I1oV_STSDYn1IFDPWt_1FKiwhDph83XaGc0o0/edit?usp=sharing"",""งบพรบ!AX67"")"),106655.9)</f>
        <v>106655.9</v>
      </c>
      <c r="M67" s="175">
        <f t="shared" ca="1" si="5"/>
        <v>83.091227796821443</v>
      </c>
      <c r="N67" s="175">
        <f t="shared" ca="1" si="6"/>
        <v>83.091227796821443</v>
      </c>
      <c r="O67" s="176">
        <f ca="1">IFERROR(__xludf.DUMMYFUNCTION("IMPORTRANGE(""https://docs.google.com/spreadsheets/d/1MeEWN-I1oV_STSDYn1IFDPWt_1FKiwhDph83XaGc0o0/edit?usp=sharing"",""งบพรบ!AY67"")"),0)</f>
        <v>0</v>
      </c>
      <c r="P67" s="176">
        <f t="shared" ca="1" si="36"/>
        <v>0</v>
      </c>
      <c r="Q67" s="175">
        <f t="shared" ca="1" si="8"/>
        <v>0</v>
      </c>
      <c r="R67" s="173">
        <f ca="1">IFERROR(__xludf.DUMMYFUNCTION("IMPORTRANGE(""https://docs.google.com/spreadsheets/d/1qU-W_9MCQD1pgIVXGEOjCFo9QqlmJywuebyGgaN92r8/edit?usp=sharing"",""ราชบุรี!I98"")"),45)</f>
        <v>45</v>
      </c>
      <c r="S67" s="173">
        <f ca="1">IFERROR(__xludf.DUMMYFUNCTION("IMPORTRANGE(""https://docs.google.com/spreadsheets/d/1qU-W_9MCQD1pgIVXGEOjCFo9QqlmJywuebyGgaN92r8/edit?usp=sharing"",""ราชบุรี!J98"")"),45)</f>
        <v>45</v>
      </c>
      <c r="T67" s="173">
        <f t="shared" ca="1" si="10"/>
        <v>100</v>
      </c>
      <c r="U67" s="173">
        <f ca="1">IFERROR(__xludf.DUMMYFUNCTION("IMPORTRANGE(""https://docs.google.com/spreadsheets/d/1qU-W_9MCQD1pgIVXGEOjCFo9QqlmJywuebyGgaN92r8/edit?usp=sharing"",""ราชบุรี!I99"")"),15)</f>
        <v>15</v>
      </c>
      <c r="V67" s="173">
        <f ca="1">IFERROR(__xludf.DUMMYFUNCTION("IMPORTRANGE(""https://docs.google.com/spreadsheets/d/1qU-W_9MCQD1pgIVXGEOjCFo9QqlmJywuebyGgaN92r8/edit?usp=sharing"",""ราชบุรี!I100"")"),3)</f>
        <v>3</v>
      </c>
      <c r="W67" s="173">
        <f ca="1">IFERROR(__xludf.DUMMYFUNCTION("IMPORTRANGE(""https://docs.google.com/spreadsheets/d/1qU-W_9MCQD1pgIVXGEOjCFo9QqlmJywuebyGgaN92r8/edit?usp=sharing"",""ราชบุรี!J99"")"),15)</f>
        <v>15</v>
      </c>
      <c r="X67" s="177">
        <f t="shared" ca="1" si="12"/>
        <v>100</v>
      </c>
      <c r="Y67" s="178">
        <f ca="1">IFERROR(__xludf.DUMMYFUNCTION("IMPORTRANGE(""https://docs.google.com/spreadsheets/d/1qU-W_9MCQD1pgIVXGEOjCFo9QqlmJywuebyGgaN92r8/edit?usp=sharing"",""ราชบุรี!J100"")"),3)</f>
        <v>3</v>
      </c>
      <c r="Z67" s="177">
        <f t="shared" ca="1" si="13"/>
        <v>100</v>
      </c>
      <c r="AA67" s="172">
        <f ca="1">IFERROR(__xludf.DUMMYFUNCTION("IMPORTRANGE(""https://docs.google.com/spreadsheets/d/1qU-W_9MCQD1pgIVXGEOjCFo9QqlmJywuebyGgaN92r8/edit?usp=sharing"",""ราชบุรี!I102"")"),45)</f>
        <v>45</v>
      </c>
      <c r="AB67" s="172">
        <f ca="1">IFERROR(__xludf.DUMMYFUNCTION("IMPORTRANGE(""https://docs.google.com/spreadsheets/d/1qU-W_9MCQD1pgIVXGEOjCFo9QqlmJywuebyGgaN92r8/edit?usp=sharing"",""ราชบุรี!I103"")"),15)</f>
        <v>15</v>
      </c>
      <c r="AC67" s="173">
        <f ca="1">IFERROR(__xludf.DUMMYFUNCTION("IMPORTRANGE(""https://docs.google.com/spreadsheets/d/1qU-W_9MCQD1pgIVXGEOjCFo9QqlmJywuebyGgaN92r8/edit?usp=sharing"",""ราชบุรี!J102"")"),45)</f>
        <v>45</v>
      </c>
      <c r="AD67" s="173">
        <f ca="1">IFERROR(__xludf.DUMMYFUNCTION("IMPORTRANGE(""https://docs.google.com/spreadsheets/d/1qU-W_9MCQD1pgIVXGEOjCFo9QqlmJywuebyGgaN92r8/edit?usp=sharing"",""ราชบุรี!J103"")"),15)</f>
        <v>15</v>
      </c>
      <c r="AE67" s="173">
        <f ca="1">IFERROR(__xludf.DUMMYFUNCTION("IMPORTRANGE(""https://docs.google.com/spreadsheets/d/1qU-W_9MCQD1pgIVXGEOjCFo9QqlmJywuebyGgaN92r8/edit?usp=sharing"",""ราชบุรี!J104"")"),15)</f>
        <v>15</v>
      </c>
      <c r="AF67" s="172">
        <f ca="1">IFERROR(__xludf.DUMMYFUNCTION("IMPORTRANGE(""https://docs.google.com/spreadsheets/d/1qU-W_9MCQD1pgIVXGEOjCFo9QqlmJywuebyGgaN92r8/edit?usp=sharing"",""ราชบุรี!I106"")"),2)</f>
        <v>2</v>
      </c>
      <c r="AG67" s="173">
        <f ca="1">IFERROR(__xludf.DUMMYFUNCTION("IMPORTRANGE(""https://docs.google.com/spreadsheets/d/1qU-W_9MCQD1pgIVXGEOjCFo9QqlmJywuebyGgaN92r8/edit?usp=sharing"",""ราชบุรี!J106"")"),2)</f>
        <v>2</v>
      </c>
      <c r="AH67" s="173">
        <f ca="1">IFERROR(__xludf.DUMMYFUNCTION("IMPORTRANGE(""https://docs.google.com/spreadsheets/d/1qU-W_9MCQD1pgIVXGEOjCFo9QqlmJywuebyGgaN92r8/edit?usp=sharing"",""ราชบุรี!J107"")"),2)</f>
        <v>2</v>
      </c>
      <c r="AI67" s="172">
        <f ca="1">IFERROR(__xludf.DUMMYFUNCTION("IMPORTRANGE(""https://docs.google.com/spreadsheets/d/1qU-W_9MCQD1pgIVXGEOjCFo9QqlmJywuebyGgaN92r8/edit?usp=sharing"",""ราชบุรี!I109"")"),1)</f>
        <v>1</v>
      </c>
      <c r="AJ67" s="173">
        <f ca="1">IFERROR(__xludf.DUMMYFUNCTION("IMPORTRANGE(""https://docs.google.com/spreadsheets/d/1qU-W_9MCQD1pgIVXGEOjCFo9QqlmJywuebyGgaN92r8/edit?usp=sharing"",""ราชบุรี!J109"")"),1)</f>
        <v>1</v>
      </c>
      <c r="AK67" s="173">
        <f ca="1">IFERROR(__xludf.DUMMYFUNCTION("IMPORTRANGE(""https://docs.google.com/spreadsheets/d/1qU-W_9MCQD1pgIVXGEOjCFo9QqlmJywuebyGgaN92r8/edit?usp=sharing"",""ราชบุรี!J110"")"),1)</f>
        <v>1</v>
      </c>
      <c r="AL67" s="172">
        <f ca="1">IFERROR(__xludf.DUMMYFUNCTION("IMPORTRANGE(""https://docs.google.com/spreadsheets/d/1qU-W_9MCQD1pgIVXGEOjCFo9QqlmJywuebyGgaN92r8/edit?usp=sharing"",""ราชบุรี!I111"")"),15)</f>
        <v>15</v>
      </c>
      <c r="AM67" s="172">
        <f ca="1">IFERROR(__xludf.DUMMYFUNCTION("IMPORTRANGE(""https://docs.google.com/spreadsheets/d/1qU-W_9MCQD1pgIVXGEOjCFo9QqlmJywuebyGgaN92r8/edit?usp=sharing"",""ราชบุรี!I112"")"),3)</f>
        <v>3</v>
      </c>
      <c r="AN67" s="173">
        <f ca="1">IFERROR(__xludf.DUMMYFUNCTION("IMPORTRANGE(""https://docs.google.com/spreadsheets/d/1qU-W_9MCQD1pgIVXGEOjCFo9QqlmJywuebyGgaN92r8/edit?usp=sharing"",""ราชบุรี!J111"")"),15)</f>
        <v>15</v>
      </c>
      <c r="AO67" s="173">
        <f t="shared" ca="1" si="15"/>
        <v>100</v>
      </c>
      <c r="AP67" s="173">
        <f ca="1">IFERROR(__xludf.DUMMYFUNCTION("IMPORTRANGE(""https://docs.google.com/spreadsheets/d/1qU-W_9MCQD1pgIVXGEOjCFo9QqlmJywuebyGgaN92r8/edit?usp=sharing"",""ราชบุรี!J112"")"),3)</f>
        <v>3</v>
      </c>
      <c r="AQ67" s="175">
        <f t="shared" ca="1" si="16"/>
        <v>100</v>
      </c>
      <c r="AR67" s="172">
        <f ca="1">IFERROR(__xludf.DUMMYFUNCTION("IMPORTRANGE(""https://docs.google.com/spreadsheets/d/1qU-W_9MCQD1pgIVXGEOjCFo9QqlmJywuebyGgaN92r8/edit?usp=sharing"",""ราชบุรี!I113"")"),15)</f>
        <v>15</v>
      </c>
      <c r="AS67" s="172">
        <f ca="1">IFERROR(__xludf.DUMMYFUNCTION("IMPORTRANGE(""https://docs.google.com/spreadsheets/d/1qU-W_9MCQD1pgIVXGEOjCFo9QqlmJywuebyGgaN92r8/edit?usp=sharing"",""ราชบุรี!J113"")"),15)</f>
        <v>15</v>
      </c>
      <c r="AT67" s="172">
        <f ca="1">IFERROR(__xludf.DUMMYFUNCTION("IMPORTRANGE(""https://docs.google.com/spreadsheets/d/1qU-W_9MCQD1pgIVXGEOjCFo9QqlmJywuebyGgaN92r8/edit?usp=sharing"",""ราชบุรี!J114"")"),15)</f>
        <v>15</v>
      </c>
      <c r="AU67" s="172">
        <f ca="1">IFERROR(__xludf.DUMMYFUNCTION("IMPORTRANGE(""https://docs.google.com/spreadsheets/d/1qU-W_9MCQD1pgIVXGEOjCFo9QqlmJywuebyGgaN92r8/edit?usp=sharing"",""ราชบุรี!I115"")"),2)</f>
        <v>2</v>
      </c>
      <c r="AV67" s="173">
        <f ca="1">IFERROR(__xludf.DUMMYFUNCTION("IMPORTRANGE(""https://docs.google.com/spreadsheets/d/1qU-W_9MCQD1pgIVXGEOjCFo9QqlmJywuebyGgaN92r8/edit?usp=sharing"",""ราชบุรี!J115"")"),2)</f>
        <v>2</v>
      </c>
      <c r="AW67" s="175">
        <f t="shared" ca="1" si="18"/>
        <v>100</v>
      </c>
      <c r="AX67" s="172">
        <f ca="1">IFERROR(__xludf.DUMMYFUNCTION("IMPORTRANGE(""https://docs.google.com/spreadsheets/d/1qU-W_9MCQD1pgIVXGEOjCFo9QqlmJywuebyGgaN92r8/edit?usp=sharing"",""ราชบุรี!I116"")"),1)</f>
        <v>1</v>
      </c>
      <c r="AY67" s="173">
        <f ca="1">IFERROR(__xludf.DUMMYFUNCTION("IMPORTRANGE(""https://docs.google.com/spreadsheets/d/1qU-W_9MCQD1pgIVXGEOjCFo9QqlmJywuebyGgaN92r8/edit?usp=sharing"",""ราชบุรี!J116"")"),1)</f>
        <v>1</v>
      </c>
      <c r="AZ67" s="175">
        <f t="shared" ca="1" si="20"/>
        <v>100</v>
      </c>
    </row>
    <row r="68" spans="1:52" ht="24" customHeight="1" x14ac:dyDescent="0.3">
      <c r="A68" s="168">
        <v>16</v>
      </c>
      <c r="B68" s="169" t="s">
        <v>90</v>
      </c>
      <c r="C68" s="170">
        <f t="shared" ca="1" si="0"/>
        <v>384460</v>
      </c>
      <c r="D68" s="171">
        <f t="shared" ca="1" si="56"/>
        <v>384460</v>
      </c>
      <c r="E68" s="172">
        <f ca="1">IFERROR(__xludf.DUMMYFUNCTION("IMPORTRANGE(""https://docs.google.com/spreadsheets/d/1MeEWN-I1oV_STSDYn1IFDPWt_1FKiwhDph83XaGc0o0/edit?usp=sharing"",""งบพรบ!AR68"")"),286000)</f>
        <v>286000</v>
      </c>
      <c r="F68" s="172">
        <f ca="1">IFERROR(__xludf.DUMMYFUNCTION("IMPORTRANGE(""https://docs.google.com/spreadsheets/d/1MeEWN-I1oV_STSDYn1IFDPWt_1FKiwhDph83XaGc0o0/edit?usp=sharing"",""งบพรบ!AS68"")"),98460)</f>
        <v>98460</v>
      </c>
      <c r="G68" s="172">
        <f ca="1">IFERROR(__xludf.DUMMYFUNCTION("IMPORTRANGE(""https://docs.google.com/spreadsheets/d/1MeEWN-I1oV_STSDYn1IFDPWt_1FKiwhDph83XaGc0o0/edit?usp=sharing"",""งบพรบ!AT68"")"),0)</f>
        <v>0</v>
      </c>
      <c r="H68" s="172">
        <f ca="1">IFERROR(__xludf.DUMMYFUNCTION("IMPORTRANGE(""https://docs.google.com/spreadsheets/d/1MeEWN-I1oV_STSDYn1IFDPWt_1FKiwhDph83XaGc0o0/edit?usp=sharing"",""งบพรบ!AV68"")"),384460)</f>
        <v>384460</v>
      </c>
      <c r="I68" s="172">
        <f ca="1">IFERROR(__xludf.DUMMYFUNCTION("IMPORTRANGE(""https://docs.google.com/spreadsheets/d/1MeEWN-I1oV_STSDYn1IFDPWt_1FKiwhDph83XaGc0o0/edit?usp=sharing"",""งบพรบ!AW68"")"),0)</f>
        <v>0</v>
      </c>
      <c r="J68" s="172">
        <f t="shared" ca="1" si="3"/>
        <v>329956</v>
      </c>
      <c r="K68" s="179">
        <f t="shared" ca="1" si="4"/>
        <v>85.823232585964732</v>
      </c>
      <c r="L68" s="172">
        <f ca="1">IFERROR(__xludf.DUMMYFUNCTION("IMPORTRANGE(""https://docs.google.com/spreadsheets/d/1MeEWN-I1oV_STSDYn1IFDPWt_1FKiwhDph83XaGc0o0/edit?usp=sharing"",""งบพรบ!AX68"")"),329956)</f>
        <v>329956</v>
      </c>
      <c r="M68" s="175">
        <f t="shared" ca="1" si="5"/>
        <v>85.823232585964732</v>
      </c>
      <c r="N68" s="175">
        <f t="shared" ca="1" si="6"/>
        <v>85.823232585964732</v>
      </c>
      <c r="O68" s="176">
        <f ca="1">IFERROR(__xludf.DUMMYFUNCTION("IMPORTRANGE(""https://docs.google.com/spreadsheets/d/1MeEWN-I1oV_STSDYn1IFDPWt_1FKiwhDph83XaGc0o0/edit?usp=sharing"",""งบพรบ!AY68"")"),0)</f>
        <v>0</v>
      </c>
      <c r="P68" s="176">
        <f t="shared" ca="1" si="36"/>
        <v>0</v>
      </c>
      <c r="Q68" s="175">
        <f t="shared" ca="1" si="8"/>
        <v>0</v>
      </c>
      <c r="R68" s="173">
        <f ca="1">IFERROR(__xludf.DUMMYFUNCTION("IMPORTRANGE(""https://docs.google.com/spreadsheets/d/1xYFIxIM_CspAP5Q-5Zx_V0T_Ut3cjryrjd2hss28vGk/edit?usp=sharing"",""ลพบุรี!I98"")"),45)</f>
        <v>45</v>
      </c>
      <c r="S68" s="173">
        <f ca="1">IFERROR(__xludf.DUMMYFUNCTION("IMPORTRANGE(""https://docs.google.com/spreadsheets/d/1xYFIxIM_CspAP5Q-5Zx_V0T_Ut3cjryrjd2hss28vGk/edit?usp=sharing"",""ลพบุรี!J98"")"),45)</f>
        <v>45</v>
      </c>
      <c r="T68" s="173">
        <f t="shared" ca="1" si="10"/>
        <v>100</v>
      </c>
      <c r="U68" s="173">
        <f ca="1">IFERROR(__xludf.DUMMYFUNCTION("IMPORTRANGE(""https://docs.google.com/spreadsheets/d/1xYFIxIM_CspAP5Q-5Zx_V0T_Ut3cjryrjd2hss28vGk/edit?usp=sharing"",""ลพบุรี!I99"")"),15)</f>
        <v>15</v>
      </c>
      <c r="V68" s="173">
        <f ca="1">IFERROR(__xludf.DUMMYFUNCTION("IMPORTRANGE(""https://docs.google.com/spreadsheets/d/1xYFIxIM_CspAP5Q-5Zx_V0T_Ut3cjryrjd2hss28vGk/edit?usp=sharing"",""ลพบุรี!I100"")"),2)</f>
        <v>2</v>
      </c>
      <c r="W68" s="173">
        <f ca="1">IFERROR(__xludf.DUMMYFUNCTION("IMPORTRANGE(""https://docs.google.com/spreadsheets/d/1xYFIxIM_CspAP5Q-5Zx_V0T_Ut3cjryrjd2hss28vGk/edit?usp=sharing"",""ลพบุรี!J99"")"),15)</f>
        <v>15</v>
      </c>
      <c r="X68" s="177">
        <f t="shared" ca="1" si="12"/>
        <v>100</v>
      </c>
      <c r="Y68" s="178">
        <f ca="1">IFERROR(__xludf.DUMMYFUNCTION("IMPORTRANGE(""https://docs.google.com/spreadsheets/d/1xYFIxIM_CspAP5Q-5Zx_V0T_Ut3cjryrjd2hss28vGk/edit?usp=sharing"",""ลพบุรี!J100"")"),2)</f>
        <v>2</v>
      </c>
      <c r="Z68" s="177">
        <f t="shared" ca="1" si="13"/>
        <v>100</v>
      </c>
      <c r="AA68" s="173">
        <f ca="1">IFERROR(__xludf.DUMMYFUNCTION("IMPORTRANGE(""https://docs.google.com/spreadsheets/d/1xYFIxIM_CspAP5Q-5Zx_V0T_Ut3cjryrjd2hss28vGk/edit?usp=sharing"",""ลพบุรี!I102"")"),45)</f>
        <v>45</v>
      </c>
      <c r="AB68" s="173">
        <f ca="1">IFERROR(__xludf.DUMMYFUNCTION("IMPORTRANGE(""https://docs.google.com/spreadsheets/d/1xYFIxIM_CspAP5Q-5Zx_V0T_Ut3cjryrjd2hss28vGk/edit?usp=sharing"",""ลพบุรี!I103"")"),15)</f>
        <v>15</v>
      </c>
      <c r="AC68" s="173">
        <f ca="1">IFERROR(__xludf.DUMMYFUNCTION("IMPORTRANGE(""https://docs.google.com/spreadsheets/d/1xYFIxIM_CspAP5Q-5Zx_V0T_Ut3cjryrjd2hss28vGk/edit?usp=sharing"",""ลพบุรี!J102"")"),45)</f>
        <v>45</v>
      </c>
      <c r="AD68" s="173">
        <f ca="1">IFERROR(__xludf.DUMMYFUNCTION("IMPORTRANGE(""https://docs.google.com/spreadsheets/d/1xYFIxIM_CspAP5Q-5Zx_V0T_Ut3cjryrjd2hss28vGk/edit?usp=sharing"",""ลพบุรี!J103"")"),15)</f>
        <v>15</v>
      </c>
      <c r="AE68" s="173">
        <f ca="1">IFERROR(__xludf.DUMMYFUNCTION("IMPORTRANGE(""https://docs.google.com/spreadsheets/d/1xYFIxIM_CspAP5Q-5Zx_V0T_Ut3cjryrjd2hss28vGk/edit?usp=sharing"",""ลพบุรี!J104"")"),15)</f>
        <v>15</v>
      </c>
      <c r="AF68" s="173">
        <f ca="1">IFERROR(__xludf.DUMMYFUNCTION("IMPORTRANGE(""https://docs.google.com/spreadsheets/d/1xYFIxIM_CspAP5Q-5Zx_V0T_Ut3cjryrjd2hss28vGk/edit?usp=sharing"",""ลพบุรี!I106"")"),1)</f>
        <v>1</v>
      </c>
      <c r="AG68" s="173">
        <f ca="1">IFERROR(__xludf.DUMMYFUNCTION("IMPORTRANGE(""https://docs.google.com/spreadsheets/d/1xYFIxIM_CspAP5Q-5Zx_V0T_Ut3cjryrjd2hss28vGk/edit?usp=sharing"",""ลพบุรี!J106"")"),1)</f>
        <v>1</v>
      </c>
      <c r="AH68" s="173">
        <f ca="1">IFERROR(__xludf.DUMMYFUNCTION("IMPORTRANGE(""https://docs.google.com/spreadsheets/d/1xYFIxIM_CspAP5Q-5Zx_V0T_Ut3cjryrjd2hss28vGk/edit?usp=sharing"",""ลพบุรี!J107"")"),1)</f>
        <v>1</v>
      </c>
      <c r="AI68" s="172">
        <f ca="1">IFERROR(__xludf.DUMMYFUNCTION("IMPORTRANGE(""https://docs.google.com/spreadsheets/d/1xYFIxIM_CspAP5Q-5Zx_V0T_Ut3cjryrjd2hss28vGk/edit?usp=sharing"",""ลพบุรี!I109"")"),1)</f>
        <v>1</v>
      </c>
      <c r="AJ68" s="173">
        <f ca="1">IFERROR(__xludf.DUMMYFUNCTION("IMPORTRANGE(""https://docs.google.com/spreadsheets/d/1xYFIxIM_CspAP5Q-5Zx_V0T_Ut3cjryrjd2hss28vGk/edit?usp=sharing"",""ลพบุรี!J109"")"),1)</f>
        <v>1</v>
      </c>
      <c r="AK68" s="173">
        <f ca="1">IFERROR(__xludf.DUMMYFUNCTION("IMPORTRANGE(""https://docs.google.com/spreadsheets/d/1xYFIxIM_CspAP5Q-5Zx_V0T_Ut3cjryrjd2hss28vGk/edit?usp=sharing"",""ลพบุรี!J110"")"),1)</f>
        <v>1</v>
      </c>
      <c r="AL68" s="173">
        <f ca="1">IFERROR(__xludf.DUMMYFUNCTION("IMPORTRANGE(""https://docs.google.com/spreadsheets/d/1xYFIxIM_CspAP5Q-5Zx_V0T_Ut3cjryrjd2hss28vGk/edit?usp=sharing"",""ลพบุรี!I111"")"),15)</f>
        <v>15</v>
      </c>
      <c r="AM68" s="173">
        <f ca="1">IFERROR(__xludf.DUMMYFUNCTION("IMPORTRANGE(""https://docs.google.com/spreadsheets/d/1xYFIxIM_CspAP5Q-5Zx_V0T_Ut3cjryrjd2hss28vGk/edit?usp=sharing"",""ลพบุรี!I112"")"),2)</f>
        <v>2</v>
      </c>
      <c r="AN68" s="173">
        <f ca="1">IFERROR(__xludf.DUMMYFUNCTION("IMPORTRANGE(""https://docs.google.com/spreadsheets/d/1xYFIxIM_CspAP5Q-5Zx_V0T_Ut3cjryrjd2hss28vGk/edit?usp=sharing"",""ลพบุรี!J111"")"),15)</f>
        <v>15</v>
      </c>
      <c r="AO68" s="173">
        <f t="shared" ca="1" si="15"/>
        <v>100</v>
      </c>
      <c r="AP68" s="173">
        <f ca="1">IFERROR(__xludf.DUMMYFUNCTION("IMPORTRANGE(""https://docs.google.com/spreadsheets/d/1xYFIxIM_CspAP5Q-5Zx_V0T_Ut3cjryrjd2hss28vGk/edit?usp=sharing"",""ลพบุรี!J112"")"),2)</f>
        <v>2</v>
      </c>
      <c r="AQ68" s="177">
        <f t="shared" ca="1" si="16"/>
        <v>100</v>
      </c>
      <c r="AR68" s="173">
        <f ca="1">IFERROR(__xludf.DUMMYFUNCTION("IMPORTRANGE(""https://docs.google.com/spreadsheets/d/1xYFIxIM_CspAP5Q-5Zx_V0T_Ut3cjryrjd2hss28vGk/edit?usp=sharing"",""ลพบุรี!I113"")"),15)</f>
        <v>15</v>
      </c>
      <c r="AS68" s="173">
        <f ca="1">IFERROR(__xludf.DUMMYFUNCTION("IMPORTRANGE(""https://docs.google.com/spreadsheets/d/1xYFIxIM_CspAP5Q-5Zx_V0T_Ut3cjryrjd2hss28vGk/edit?usp=sharing"",""ลพบุรี!J113"")"),15)</f>
        <v>15</v>
      </c>
      <c r="AT68" s="173">
        <f ca="1">IFERROR(__xludf.DUMMYFUNCTION("IMPORTRANGE(""https://docs.google.com/spreadsheets/d/1xYFIxIM_CspAP5Q-5Zx_V0T_Ut3cjryrjd2hss28vGk/edit?usp=sharing"",""ลพบุรี!J114"")"),15)</f>
        <v>15</v>
      </c>
      <c r="AU68" s="173">
        <f ca="1">IFERROR(__xludf.DUMMYFUNCTION("IMPORTRANGE(""https://docs.google.com/spreadsheets/d/1xYFIxIM_CspAP5Q-5Zx_V0T_Ut3cjryrjd2hss28vGk/edit?usp=sharing"",""ลพบุรี!I115"")"),1)</f>
        <v>1</v>
      </c>
      <c r="AV68" s="173">
        <f ca="1">IFERROR(__xludf.DUMMYFUNCTION("IMPORTRANGE(""https://docs.google.com/spreadsheets/d/1xYFIxIM_CspAP5Q-5Zx_V0T_Ut3cjryrjd2hss28vGk/edit?usp=sharing"",""ลพบุรี!J115"")"),1)</f>
        <v>1</v>
      </c>
      <c r="AW68" s="177">
        <f t="shared" ca="1" si="18"/>
        <v>100</v>
      </c>
      <c r="AX68" s="173">
        <f ca="1">IFERROR(__xludf.DUMMYFUNCTION("IMPORTRANGE(""https://docs.google.com/spreadsheets/d/1xYFIxIM_CspAP5Q-5Zx_V0T_Ut3cjryrjd2hss28vGk/edit?usp=sharing"",""ลพบุรี!I116"")"),1)</f>
        <v>1</v>
      </c>
      <c r="AY68" s="173">
        <f ca="1">IFERROR(__xludf.DUMMYFUNCTION("IMPORTRANGE(""https://docs.google.com/spreadsheets/d/1xYFIxIM_CspAP5Q-5Zx_V0T_Ut3cjryrjd2hss28vGk/edit?usp=sharing"",""ลพบุรี!J116"")"),1)</f>
        <v>1</v>
      </c>
      <c r="AZ68" s="177">
        <f t="shared" ca="1" si="20"/>
        <v>100</v>
      </c>
    </row>
    <row r="69" spans="1:52" ht="21" customHeight="1" x14ac:dyDescent="0.3">
      <c r="A69" s="168">
        <v>17</v>
      </c>
      <c r="B69" s="169" t="s">
        <v>91</v>
      </c>
      <c r="C69" s="170">
        <f t="shared" ca="1" si="0"/>
        <v>98960</v>
      </c>
      <c r="D69" s="171">
        <f t="shared" ca="1" si="56"/>
        <v>98960</v>
      </c>
      <c r="E69" s="172">
        <f ca="1">IFERROR(__xludf.DUMMYFUNCTION("IMPORTRANGE(""https://docs.google.com/spreadsheets/d/1MeEWN-I1oV_STSDYn1IFDPWt_1FKiwhDph83XaGc0o0/edit?usp=sharing"",""งบพรบ!AR69"")"),0)</f>
        <v>0</v>
      </c>
      <c r="F69" s="172">
        <f ca="1">IFERROR(__xludf.DUMMYFUNCTION("IMPORTRANGE(""https://docs.google.com/spreadsheets/d/1MeEWN-I1oV_STSDYn1IFDPWt_1FKiwhDph83XaGc0o0/edit?usp=sharing"",""งบพรบ!AS69"")"),98960)</f>
        <v>98960</v>
      </c>
      <c r="G69" s="172">
        <f ca="1">IFERROR(__xludf.DUMMYFUNCTION("IMPORTRANGE(""https://docs.google.com/spreadsheets/d/1MeEWN-I1oV_STSDYn1IFDPWt_1FKiwhDph83XaGc0o0/edit?usp=sharing"",""งบพรบ!AT69"")"),0)</f>
        <v>0</v>
      </c>
      <c r="H69" s="172">
        <f ca="1">IFERROR(__xludf.DUMMYFUNCTION("IMPORTRANGE(""https://docs.google.com/spreadsheets/d/1MeEWN-I1oV_STSDYn1IFDPWt_1FKiwhDph83XaGc0o0/edit?usp=sharing"",""งบพรบ!AV69"")"),98960)</f>
        <v>98960</v>
      </c>
      <c r="I69" s="172">
        <f ca="1">IFERROR(__xludf.DUMMYFUNCTION("IMPORTRANGE(""https://docs.google.com/spreadsheets/d/1MeEWN-I1oV_STSDYn1IFDPWt_1FKiwhDph83XaGc0o0/edit?usp=sharing"",""งบพรบ!AW69"")"),0)</f>
        <v>0</v>
      </c>
      <c r="J69" s="172">
        <f t="shared" ca="1" si="3"/>
        <v>88760</v>
      </c>
      <c r="K69" s="179">
        <f t="shared" ca="1" si="4"/>
        <v>89.692805173807599</v>
      </c>
      <c r="L69" s="172">
        <f ca="1">IFERROR(__xludf.DUMMYFUNCTION("IMPORTRANGE(""https://docs.google.com/spreadsheets/d/1MeEWN-I1oV_STSDYn1IFDPWt_1FKiwhDph83XaGc0o0/edit?usp=sharing"",""งบพรบ!AX69"")"),88760)</f>
        <v>88760</v>
      </c>
      <c r="M69" s="175">
        <f t="shared" ca="1" si="5"/>
        <v>89.692805173807599</v>
      </c>
      <c r="N69" s="175">
        <f t="shared" ca="1" si="6"/>
        <v>89.692805173807599</v>
      </c>
      <c r="O69" s="176">
        <f ca="1">IFERROR(__xludf.DUMMYFUNCTION("IMPORTRANGE(""https://docs.google.com/spreadsheets/d/1MeEWN-I1oV_STSDYn1IFDPWt_1FKiwhDph83XaGc0o0/edit?usp=sharing"",""งบพรบ!AY69"")"),0)</f>
        <v>0</v>
      </c>
      <c r="P69" s="176">
        <f t="shared" ca="1" si="36"/>
        <v>0</v>
      </c>
      <c r="Q69" s="175">
        <f t="shared" ca="1" si="8"/>
        <v>0</v>
      </c>
      <c r="R69" s="173">
        <f ca="1">IFERROR(__xludf.DUMMYFUNCTION("IMPORTRANGE(""https://docs.google.com/spreadsheets/d/11s9m3tKsCBdPWq6syhZm27eBGbKneDLZc75co106bio/edit?usp=sharing"",""สระแก้ว!I98"")"),45)</f>
        <v>45</v>
      </c>
      <c r="S69" s="173">
        <f ca="1">IFERROR(__xludf.DUMMYFUNCTION("IMPORTRANGE(""https://docs.google.com/spreadsheets/d/11s9m3tKsCBdPWq6syhZm27eBGbKneDLZc75co106bio/edit?usp=sharing"",""สระแก้ว!J98"")"),45)</f>
        <v>45</v>
      </c>
      <c r="T69" s="173">
        <f t="shared" ca="1" si="10"/>
        <v>100</v>
      </c>
      <c r="U69" s="173">
        <f ca="1">IFERROR(__xludf.DUMMYFUNCTION("IMPORTRANGE(""https://docs.google.com/spreadsheets/d/11s9m3tKsCBdPWq6syhZm27eBGbKneDLZc75co106bio/edit?usp=sharing"",""สระแก้ว!I99"")"),15)</f>
        <v>15</v>
      </c>
      <c r="V69" s="173">
        <f ca="1">IFERROR(__xludf.DUMMYFUNCTION("IMPORTRANGE(""https://docs.google.com/spreadsheets/d/11s9m3tKsCBdPWq6syhZm27eBGbKneDLZc75co106bio/edit?usp=sharing"",""สระแก้ว!I100"")"),2)</f>
        <v>2</v>
      </c>
      <c r="W69" s="173">
        <f ca="1">IFERROR(__xludf.DUMMYFUNCTION("IMPORTRANGE(""https://docs.google.com/spreadsheets/d/11s9m3tKsCBdPWq6syhZm27eBGbKneDLZc75co106bio/edit?usp=sharing"",""สระแก้ว!J99"")"),15)</f>
        <v>15</v>
      </c>
      <c r="X69" s="177">
        <f t="shared" ca="1" si="12"/>
        <v>100</v>
      </c>
      <c r="Y69" s="178">
        <f ca="1">IFERROR(__xludf.DUMMYFUNCTION("IMPORTRANGE(""https://docs.google.com/spreadsheets/d/11s9m3tKsCBdPWq6syhZm27eBGbKneDLZc75co106bio/edit?usp=sharing"",""สระแก้ว!J100"")"),2)</f>
        <v>2</v>
      </c>
      <c r="Z69" s="177">
        <f t="shared" ca="1" si="13"/>
        <v>100</v>
      </c>
      <c r="AA69" s="172">
        <f ca="1">IFERROR(__xludf.DUMMYFUNCTION("IMPORTRANGE(""https://docs.google.com/spreadsheets/d/11s9m3tKsCBdPWq6syhZm27eBGbKneDLZc75co106bio/edit?usp=sharing"",""สระแก้ว!I102"")"),45)</f>
        <v>45</v>
      </c>
      <c r="AB69" s="172">
        <f ca="1">IFERROR(__xludf.DUMMYFUNCTION("IMPORTRANGE(""https://docs.google.com/spreadsheets/d/11s9m3tKsCBdPWq6syhZm27eBGbKneDLZc75co106bio/edit?usp=sharing"",""สระแก้ว!I103"")"),15)</f>
        <v>15</v>
      </c>
      <c r="AC69" s="173">
        <f ca="1">IFERROR(__xludf.DUMMYFUNCTION("IMPORTRANGE(""https://docs.google.com/spreadsheets/d/11s9m3tKsCBdPWq6syhZm27eBGbKneDLZc75co106bio/edit?usp=sharing"",""สระแก้ว!J102"")"),45)</f>
        <v>45</v>
      </c>
      <c r="AD69" s="173">
        <f ca="1">IFERROR(__xludf.DUMMYFUNCTION("IMPORTRANGE(""https://docs.google.com/spreadsheets/d/11s9m3tKsCBdPWq6syhZm27eBGbKneDLZc75co106bio/edit?usp=sharing"",""สระแก้ว!J103"")"),15)</f>
        <v>15</v>
      </c>
      <c r="AE69" s="173">
        <f ca="1">IFERROR(__xludf.DUMMYFUNCTION("IMPORTRANGE(""https://docs.google.com/spreadsheets/d/11s9m3tKsCBdPWq6syhZm27eBGbKneDLZc75co106bio/edit?usp=sharing"",""สระแก้ว!J104"")"),15)</f>
        <v>15</v>
      </c>
      <c r="AF69" s="172">
        <f ca="1">IFERROR(__xludf.DUMMYFUNCTION("IMPORTRANGE(""https://docs.google.com/spreadsheets/d/11s9m3tKsCBdPWq6syhZm27eBGbKneDLZc75co106bio/edit?usp=sharing"",""สระแก้ว!I106"")"),1)</f>
        <v>1</v>
      </c>
      <c r="AG69" s="173">
        <f ca="1">IFERROR(__xludf.DUMMYFUNCTION("IMPORTRANGE(""https://docs.google.com/spreadsheets/d/11s9m3tKsCBdPWq6syhZm27eBGbKneDLZc75co106bio/edit?usp=sharing"",""สระแก้ว!J106"")"),1)</f>
        <v>1</v>
      </c>
      <c r="AH69" s="173">
        <f ca="1">IFERROR(__xludf.DUMMYFUNCTION("IMPORTRANGE(""https://docs.google.com/spreadsheets/d/11s9m3tKsCBdPWq6syhZm27eBGbKneDLZc75co106bio/edit?usp=sharing"",""สระแก้ว!J107"")"),1)</f>
        <v>1</v>
      </c>
      <c r="AI69" s="172">
        <f ca="1">IFERROR(__xludf.DUMMYFUNCTION("IMPORTRANGE(""https://docs.google.com/spreadsheets/d/11s9m3tKsCBdPWq6syhZm27eBGbKneDLZc75co106bio/edit?usp=sharing"",""สระแก้ว!I109"")"),1)</f>
        <v>1</v>
      </c>
      <c r="AJ69" s="173">
        <f ca="1">IFERROR(__xludf.DUMMYFUNCTION("IMPORTRANGE(""https://docs.google.com/spreadsheets/d/11s9m3tKsCBdPWq6syhZm27eBGbKneDLZc75co106bio/edit?usp=sharing"",""สระแก้ว!J109"")"),1)</f>
        <v>1</v>
      </c>
      <c r="AK69" s="173">
        <f ca="1">IFERROR(__xludf.DUMMYFUNCTION("IMPORTRANGE(""https://docs.google.com/spreadsheets/d/11s9m3tKsCBdPWq6syhZm27eBGbKneDLZc75co106bio/edit?usp=sharing"",""สระแก้ว!J110"")"),1)</f>
        <v>1</v>
      </c>
      <c r="AL69" s="172">
        <f ca="1">IFERROR(__xludf.DUMMYFUNCTION("IMPORTRANGE(""https://docs.google.com/spreadsheets/d/11s9m3tKsCBdPWq6syhZm27eBGbKneDLZc75co106bio/edit?usp=sharing"",""สระแก้ว!I111"")"),15)</f>
        <v>15</v>
      </c>
      <c r="AM69" s="172">
        <f ca="1">IFERROR(__xludf.DUMMYFUNCTION("IMPORTRANGE(""https://docs.google.com/spreadsheets/d/11s9m3tKsCBdPWq6syhZm27eBGbKneDLZc75co106bio/edit?usp=sharing"",""สระแก้ว!I112"")"),2)</f>
        <v>2</v>
      </c>
      <c r="AN69" s="173">
        <f ca="1">IFERROR(__xludf.DUMMYFUNCTION("IMPORTRANGE(""https://docs.google.com/spreadsheets/d/11s9m3tKsCBdPWq6syhZm27eBGbKneDLZc75co106bio/edit?usp=sharing"",""สระแก้ว!J111"")"),15)</f>
        <v>15</v>
      </c>
      <c r="AO69" s="173">
        <f t="shared" ca="1" si="15"/>
        <v>100</v>
      </c>
      <c r="AP69" s="173">
        <f ca="1">IFERROR(__xludf.DUMMYFUNCTION("IMPORTRANGE(""https://docs.google.com/spreadsheets/d/11s9m3tKsCBdPWq6syhZm27eBGbKneDLZc75co106bio/edit?usp=sharing"",""สระแก้ว!J112"")"),2)</f>
        <v>2</v>
      </c>
      <c r="AQ69" s="175">
        <f t="shared" ca="1" si="16"/>
        <v>100</v>
      </c>
      <c r="AR69" s="172">
        <f ca="1">IFERROR(__xludf.DUMMYFUNCTION("IMPORTRANGE(""https://docs.google.com/spreadsheets/d/11s9m3tKsCBdPWq6syhZm27eBGbKneDLZc75co106bio/edit?usp=sharing"",""สระแก้ว!I113"")"),15)</f>
        <v>15</v>
      </c>
      <c r="AS69" s="172">
        <f ca="1">IFERROR(__xludf.DUMMYFUNCTION("IMPORTRANGE(""https://docs.google.com/spreadsheets/d/11s9m3tKsCBdPWq6syhZm27eBGbKneDLZc75co106bio/edit?usp=sharing"",""สระแก้ว!J113"")"),15)</f>
        <v>15</v>
      </c>
      <c r="AT69" s="172">
        <f ca="1">IFERROR(__xludf.DUMMYFUNCTION("IMPORTRANGE(""https://docs.google.com/spreadsheets/d/11s9m3tKsCBdPWq6syhZm27eBGbKneDLZc75co106bio/edit?usp=sharing"",""สระแก้ว!J114"")"),15)</f>
        <v>15</v>
      </c>
      <c r="AU69" s="172">
        <f ca="1">IFERROR(__xludf.DUMMYFUNCTION("IMPORTRANGE(""https://docs.google.com/spreadsheets/d/11s9m3tKsCBdPWq6syhZm27eBGbKneDLZc75co106bio/edit?usp=sharing"",""สระแก้ว!I115"")"),1)</f>
        <v>1</v>
      </c>
      <c r="AV69" s="173">
        <f ca="1">IFERROR(__xludf.DUMMYFUNCTION("IMPORTRANGE(""https://docs.google.com/spreadsheets/d/11s9m3tKsCBdPWq6syhZm27eBGbKneDLZc75co106bio/edit?usp=sharing"",""สระแก้ว!J115"")"),1)</f>
        <v>1</v>
      </c>
      <c r="AW69" s="175">
        <f t="shared" ca="1" si="18"/>
        <v>100</v>
      </c>
      <c r="AX69" s="172">
        <f ca="1">IFERROR(__xludf.DUMMYFUNCTION("IMPORTRANGE(""https://docs.google.com/spreadsheets/d/11s9m3tKsCBdPWq6syhZm27eBGbKneDLZc75co106bio/edit?usp=sharing"",""สระแก้ว!I116"")"),1)</f>
        <v>1</v>
      </c>
      <c r="AY69" s="173">
        <f ca="1">IFERROR(__xludf.DUMMYFUNCTION("IMPORTRANGE(""https://docs.google.com/spreadsheets/d/11s9m3tKsCBdPWq6syhZm27eBGbKneDLZc75co106bio/edit?usp=sharing"",""สระแก้ว!J116"")"),1)</f>
        <v>1</v>
      </c>
      <c r="AZ69" s="175">
        <f t="shared" ca="1" si="20"/>
        <v>100</v>
      </c>
    </row>
    <row r="70" spans="1:52" ht="21" customHeight="1" x14ac:dyDescent="0.3">
      <c r="A70" s="168">
        <v>18</v>
      </c>
      <c r="B70" s="169" t="s">
        <v>92</v>
      </c>
      <c r="C70" s="170">
        <f t="shared" ca="1" si="0"/>
        <v>68660</v>
      </c>
      <c r="D70" s="171">
        <f t="shared" ca="1" si="56"/>
        <v>68660</v>
      </c>
      <c r="E70" s="172">
        <f ca="1">IFERROR(__xludf.DUMMYFUNCTION("IMPORTRANGE(""https://docs.google.com/spreadsheets/d/1MeEWN-I1oV_STSDYn1IFDPWt_1FKiwhDph83XaGc0o0/edit?usp=sharing"",""งบพรบ!AR70"")"),0)</f>
        <v>0</v>
      </c>
      <c r="F70" s="172">
        <f ca="1">IFERROR(__xludf.DUMMYFUNCTION("IMPORTRANGE(""https://docs.google.com/spreadsheets/d/1MeEWN-I1oV_STSDYn1IFDPWt_1FKiwhDph83XaGc0o0/edit?usp=sharing"",""งบพรบ!AS70"")"),68660)</f>
        <v>68660</v>
      </c>
      <c r="G70" s="172">
        <f ca="1">IFERROR(__xludf.DUMMYFUNCTION("IMPORTRANGE(""https://docs.google.com/spreadsheets/d/1MeEWN-I1oV_STSDYn1IFDPWt_1FKiwhDph83XaGc0o0/edit?usp=sharing"",""งบพรบ!AT70"")"),0)</f>
        <v>0</v>
      </c>
      <c r="H70" s="172">
        <f ca="1">IFERROR(__xludf.DUMMYFUNCTION("IMPORTRANGE(""https://docs.google.com/spreadsheets/d/1MeEWN-I1oV_STSDYn1IFDPWt_1FKiwhDph83XaGc0o0/edit?usp=sharing"",""งบพรบ!AV70"")"),68660)</f>
        <v>68660</v>
      </c>
      <c r="I70" s="172">
        <f ca="1">IFERROR(__xludf.DUMMYFUNCTION("IMPORTRANGE(""https://docs.google.com/spreadsheets/d/1MeEWN-I1oV_STSDYn1IFDPWt_1FKiwhDph83XaGc0o0/edit?usp=sharing"",""งบพรบ!AW70"")"),0)</f>
        <v>0</v>
      </c>
      <c r="J70" s="172">
        <f t="shared" ca="1" si="3"/>
        <v>63825.599999999999</v>
      </c>
      <c r="K70" s="179">
        <f t="shared" ca="1" si="4"/>
        <v>92.958928051267108</v>
      </c>
      <c r="L70" s="172">
        <f ca="1">IFERROR(__xludf.DUMMYFUNCTION("IMPORTRANGE(""https://docs.google.com/spreadsheets/d/1MeEWN-I1oV_STSDYn1IFDPWt_1FKiwhDph83XaGc0o0/edit?usp=sharing"",""งบพรบ!AX70"")"),63825.6)</f>
        <v>63825.599999999999</v>
      </c>
      <c r="M70" s="175">
        <f t="shared" ca="1" si="5"/>
        <v>92.958928051267108</v>
      </c>
      <c r="N70" s="175">
        <f t="shared" ca="1" si="6"/>
        <v>92.958928051267108</v>
      </c>
      <c r="O70" s="176">
        <f ca="1">IFERROR(__xludf.DUMMYFUNCTION("IMPORTRANGE(""https://docs.google.com/spreadsheets/d/1MeEWN-I1oV_STSDYn1IFDPWt_1FKiwhDph83XaGc0o0/edit?usp=sharing"",""งบพรบ!AY70"")"),0)</f>
        <v>0</v>
      </c>
      <c r="P70" s="176">
        <f t="shared" ca="1" si="36"/>
        <v>0</v>
      </c>
      <c r="Q70" s="175">
        <f t="shared" ca="1" si="8"/>
        <v>0</v>
      </c>
      <c r="R70" s="173">
        <f ca="1">IFERROR(__xludf.DUMMYFUNCTION("IMPORTRANGE(""https://docs.google.com/spreadsheets/d/1Nn1EvsFPtXldgpgVb3Rcng2K2cls68LFQsBh2FyW0Bg/edit?usp=sharing"",""สระบุรี!I98"")"),45)</f>
        <v>45</v>
      </c>
      <c r="S70" s="173">
        <f ca="1">IFERROR(__xludf.DUMMYFUNCTION("IMPORTRANGE(""https://docs.google.com/spreadsheets/d/1Nn1EvsFPtXldgpgVb3Rcng2K2cls68LFQsBh2FyW0Bg/edit?usp=sharing"",""สระบุรี!J98"")"),45)</f>
        <v>45</v>
      </c>
      <c r="T70" s="173">
        <f t="shared" ca="1" si="10"/>
        <v>100</v>
      </c>
      <c r="U70" s="173">
        <f ca="1">IFERROR(__xludf.DUMMYFUNCTION("IMPORTRANGE(""https://docs.google.com/spreadsheets/d/1Nn1EvsFPtXldgpgVb3Rcng2K2cls68LFQsBh2FyW0Bg/edit?usp=sharing"",""สระบุรี!I99"")"),15)</f>
        <v>15</v>
      </c>
      <c r="V70" s="173">
        <f ca="1">IFERROR(__xludf.DUMMYFUNCTION("IMPORTRANGE(""https://docs.google.com/spreadsheets/d/1Nn1EvsFPtXldgpgVb3Rcng2K2cls68LFQsBh2FyW0Bg/edit?usp=sharing"",""สระบุรี!I100"")"),1)</f>
        <v>1</v>
      </c>
      <c r="W70" s="173">
        <f ca="1">IFERROR(__xludf.DUMMYFUNCTION("IMPORTRANGE(""https://docs.google.com/spreadsheets/d/1Nn1EvsFPtXldgpgVb3Rcng2K2cls68LFQsBh2FyW0Bg/edit?usp=sharing"",""สระบุรี!J99"")"),15)</f>
        <v>15</v>
      </c>
      <c r="X70" s="177">
        <f t="shared" ca="1" si="12"/>
        <v>100</v>
      </c>
      <c r="Y70" s="178">
        <f ca="1">IFERROR(__xludf.DUMMYFUNCTION("IMPORTRANGE(""https://docs.google.com/spreadsheets/d/1Nn1EvsFPtXldgpgVb3Rcng2K2cls68LFQsBh2FyW0Bg/edit?usp=sharing"",""สระบุรี!J100"")"),1)</f>
        <v>1</v>
      </c>
      <c r="Z70" s="177">
        <f t="shared" ca="1" si="13"/>
        <v>100</v>
      </c>
      <c r="AA70" s="172">
        <f ca="1">IFERROR(__xludf.DUMMYFUNCTION("IMPORTRANGE(""https://docs.google.com/spreadsheets/d/1Nn1EvsFPtXldgpgVb3Rcng2K2cls68LFQsBh2FyW0Bg/edit?usp=sharing"",""สระบุรี!I102"")"),45)</f>
        <v>45</v>
      </c>
      <c r="AB70" s="172">
        <f ca="1">IFERROR(__xludf.DUMMYFUNCTION("IMPORTRANGE(""https://docs.google.com/spreadsheets/d/1Nn1EvsFPtXldgpgVb3Rcng2K2cls68LFQsBh2FyW0Bg/edit?usp=sharing"",""สระบุรี!I103"")"),15)</f>
        <v>15</v>
      </c>
      <c r="AC70" s="173">
        <f ca="1">IFERROR(__xludf.DUMMYFUNCTION("IMPORTRANGE(""https://docs.google.com/spreadsheets/d/1Nn1EvsFPtXldgpgVb3Rcng2K2cls68LFQsBh2FyW0Bg/edit?usp=sharing"",""สระบุรี!J102"")"),45)</f>
        <v>45</v>
      </c>
      <c r="AD70" s="173">
        <f ca="1">IFERROR(__xludf.DUMMYFUNCTION("IMPORTRANGE(""https://docs.google.com/spreadsheets/d/1Nn1EvsFPtXldgpgVb3Rcng2K2cls68LFQsBh2FyW0Bg/edit?usp=sharing"",""สระบุรี!J103"")"),15)</f>
        <v>15</v>
      </c>
      <c r="AE70" s="173">
        <f ca="1">IFERROR(__xludf.DUMMYFUNCTION("IMPORTRANGE(""https://docs.google.com/spreadsheets/d/1Nn1EvsFPtXldgpgVb3Rcng2K2cls68LFQsBh2FyW0Bg/edit?usp=sharing"",""สระบุรี!J104"")"),15)</f>
        <v>15</v>
      </c>
      <c r="AF70" s="172">
        <f ca="1">IFERROR(__xludf.DUMMYFUNCTION("IMPORTRANGE(""https://docs.google.com/spreadsheets/d/1Nn1EvsFPtXldgpgVb3Rcng2K2cls68LFQsBh2FyW0Bg/edit?usp=sharing"",""สระบุรี!I106"")"),0)</f>
        <v>0</v>
      </c>
      <c r="AG70" s="173">
        <f ca="1">IFERROR(__xludf.DUMMYFUNCTION("IMPORTRANGE(""https://docs.google.com/spreadsheets/d/1Nn1EvsFPtXldgpgVb3Rcng2K2cls68LFQsBh2FyW0Bg/edit?usp=sharing"",""สระบุรี!J106"")"),0)</f>
        <v>0</v>
      </c>
      <c r="AH70" s="173">
        <f ca="1">IFERROR(__xludf.DUMMYFUNCTION("IMPORTRANGE(""https://docs.google.com/spreadsheets/d/1Nn1EvsFPtXldgpgVb3Rcng2K2cls68LFQsBh2FyW0Bg/edit?usp=sharing"",""สระบุรี!J107"")"),0)</f>
        <v>0</v>
      </c>
      <c r="AI70" s="172">
        <f ca="1">IFERROR(__xludf.DUMMYFUNCTION("IMPORTRANGE(""https://docs.google.com/spreadsheets/d/1Nn1EvsFPtXldgpgVb3Rcng2K2cls68LFQsBh2FyW0Bg/edit?usp=sharing"",""สระบุรี!I109"")"),1)</f>
        <v>1</v>
      </c>
      <c r="AJ70" s="173">
        <f ca="1">IFERROR(__xludf.DUMMYFUNCTION("IMPORTRANGE(""https://docs.google.com/spreadsheets/d/1Nn1EvsFPtXldgpgVb3Rcng2K2cls68LFQsBh2FyW0Bg/edit?usp=sharing"",""สระบุรี!J109"")"),1)</f>
        <v>1</v>
      </c>
      <c r="AK70" s="173">
        <f ca="1">IFERROR(__xludf.DUMMYFUNCTION("IMPORTRANGE(""https://docs.google.com/spreadsheets/d/1Nn1EvsFPtXldgpgVb3Rcng2K2cls68LFQsBh2FyW0Bg/edit?usp=sharing"",""สระบุรี!J110"")"),1)</f>
        <v>1</v>
      </c>
      <c r="AL70" s="172">
        <f ca="1">IFERROR(__xludf.DUMMYFUNCTION("IMPORTRANGE(""https://docs.google.com/spreadsheets/d/1Nn1EvsFPtXldgpgVb3Rcng2K2cls68LFQsBh2FyW0Bg/edit?usp=sharing"",""สระบุรี!I111"")"),15)</f>
        <v>15</v>
      </c>
      <c r="AM70" s="172">
        <f ca="1">IFERROR(__xludf.DUMMYFUNCTION("IMPORTRANGE(""https://docs.google.com/spreadsheets/d/1Nn1EvsFPtXldgpgVb3Rcng2K2cls68LFQsBh2FyW0Bg/edit?usp=sharing"",""สระบุรี!I112"")"),1)</f>
        <v>1</v>
      </c>
      <c r="AN70" s="173">
        <f ca="1">IFERROR(__xludf.DUMMYFUNCTION("IMPORTRANGE(""https://docs.google.com/spreadsheets/d/1Nn1EvsFPtXldgpgVb3Rcng2K2cls68LFQsBh2FyW0Bg/edit?usp=sharing"",""สระบุรี!J111"")"),15)</f>
        <v>15</v>
      </c>
      <c r="AO70" s="173">
        <f t="shared" ca="1" si="15"/>
        <v>100</v>
      </c>
      <c r="AP70" s="173">
        <f ca="1">IFERROR(__xludf.DUMMYFUNCTION("IMPORTRANGE(""https://docs.google.com/spreadsheets/d/1Nn1EvsFPtXldgpgVb3Rcng2K2cls68LFQsBh2FyW0Bg/edit?usp=sharing"",""สระบุรี!J112"")"),1)</f>
        <v>1</v>
      </c>
      <c r="AQ70" s="175">
        <f t="shared" ca="1" si="16"/>
        <v>100</v>
      </c>
      <c r="AR70" s="172">
        <f ca="1">IFERROR(__xludf.DUMMYFUNCTION("IMPORTRANGE(""https://docs.google.com/spreadsheets/d/1Nn1EvsFPtXldgpgVb3Rcng2K2cls68LFQsBh2FyW0Bg/edit?usp=sharing"",""สระบุรี!I113"")"),15)</f>
        <v>15</v>
      </c>
      <c r="AS70" s="172">
        <f ca="1">IFERROR(__xludf.DUMMYFUNCTION("IMPORTRANGE(""https://docs.google.com/spreadsheets/d/1Nn1EvsFPtXldgpgVb3Rcng2K2cls68LFQsBh2FyW0Bg/edit?usp=sharing"",""สระบุรี!J113"")"),15)</f>
        <v>15</v>
      </c>
      <c r="AT70" s="172">
        <f ca="1">IFERROR(__xludf.DUMMYFUNCTION("IMPORTRANGE(""https://docs.google.com/spreadsheets/d/1Nn1EvsFPtXldgpgVb3Rcng2K2cls68LFQsBh2FyW0Bg/edit?usp=sharing"",""สระบุรี!J114"")"),15)</f>
        <v>15</v>
      </c>
      <c r="AU70" s="172">
        <f ca="1">IFERROR(__xludf.DUMMYFUNCTION("IMPORTRANGE(""https://docs.google.com/spreadsheets/d/1Nn1EvsFPtXldgpgVb3Rcng2K2cls68LFQsBh2FyW0Bg/edit?usp=sharing"",""สระบุรี!I115"")"),0)</f>
        <v>0</v>
      </c>
      <c r="AV70" s="173">
        <f ca="1">IFERROR(__xludf.DUMMYFUNCTION("IMPORTRANGE(""https://docs.google.com/spreadsheets/d/1Nn1EvsFPtXldgpgVb3Rcng2K2cls68LFQsBh2FyW0Bg/edit?usp=sharing"",""สระบุรี!J115"")"),0)</f>
        <v>0</v>
      </c>
      <c r="AW70" s="175">
        <f t="shared" ca="1" si="18"/>
        <v>0</v>
      </c>
      <c r="AX70" s="172">
        <f ca="1">IFERROR(__xludf.DUMMYFUNCTION("IMPORTRANGE(""https://docs.google.com/spreadsheets/d/1Nn1EvsFPtXldgpgVb3Rcng2K2cls68LFQsBh2FyW0Bg/edit?usp=sharing"",""สระบุรี!I116"")"),1)</f>
        <v>1</v>
      </c>
      <c r="AY70" s="173">
        <f ca="1">IFERROR(__xludf.DUMMYFUNCTION("IMPORTRANGE(""https://docs.google.com/spreadsheets/d/1Nn1EvsFPtXldgpgVb3Rcng2K2cls68LFQsBh2FyW0Bg/edit?usp=sharing"",""สระบุรี!J116"")"),1)</f>
        <v>1</v>
      </c>
      <c r="AZ70" s="175">
        <f t="shared" ca="1" si="20"/>
        <v>100</v>
      </c>
    </row>
    <row r="71" spans="1:52" ht="21" customHeight="1" x14ac:dyDescent="0.3">
      <c r="A71" s="168">
        <v>19</v>
      </c>
      <c r="B71" s="169" t="s">
        <v>93</v>
      </c>
      <c r="C71" s="170">
        <f t="shared" ca="1" si="0"/>
        <v>174500</v>
      </c>
      <c r="D71" s="171">
        <f t="shared" ca="1" si="56"/>
        <v>174500</v>
      </c>
      <c r="E71" s="172">
        <f ca="1">IFERROR(__xludf.DUMMYFUNCTION("IMPORTRANGE(""https://docs.google.com/spreadsheets/d/1MeEWN-I1oV_STSDYn1IFDPWt_1FKiwhDph83XaGc0o0/edit?usp=sharing"",""งบพรบ!AR71"")"),143300)</f>
        <v>143300</v>
      </c>
      <c r="F71" s="172">
        <f ca="1">IFERROR(__xludf.DUMMYFUNCTION("IMPORTRANGE(""https://docs.google.com/spreadsheets/d/1MeEWN-I1oV_STSDYn1IFDPWt_1FKiwhDph83XaGc0o0/edit?usp=sharing"",""งบพรบ!AS71"")"),31200)</f>
        <v>31200</v>
      </c>
      <c r="G71" s="172">
        <f ca="1">IFERROR(__xludf.DUMMYFUNCTION("IMPORTRANGE(""https://docs.google.com/spreadsheets/d/1MeEWN-I1oV_STSDYn1IFDPWt_1FKiwhDph83XaGc0o0/edit?usp=sharing"",""งบพรบ!AT71"")"),0)</f>
        <v>0</v>
      </c>
      <c r="H71" s="172">
        <f ca="1">IFERROR(__xludf.DUMMYFUNCTION("IMPORTRANGE(""https://docs.google.com/spreadsheets/d/1MeEWN-I1oV_STSDYn1IFDPWt_1FKiwhDph83XaGc0o0/edit?usp=sharing"",""งบพรบ!AV71"")"),174500)</f>
        <v>174500</v>
      </c>
      <c r="I71" s="172">
        <f ca="1">IFERROR(__xludf.DUMMYFUNCTION("IMPORTRANGE(""https://docs.google.com/spreadsheets/d/1MeEWN-I1oV_STSDYn1IFDPWt_1FKiwhDph83XaGc0o0/edit?usp=sharing"",""งบพรบ!AW71"")"),0)</f>
        <v>0</v>
      </c>
      <c r="J71" s="172">
        <f t="shared" ca="1" si="3"/>
        <v>172849.42</v>
      </c>
      <c r="K71" s="179">
        <f t="shared" ca="1" si="4"/>
        <v>99.05410888252149</v>
      </c>
      <c r="L71" s="172">
        <f ca="1">IFERROR(__xludf.DUMMYFUNCTION("IMPORTRANGE(""https://docs.google.com/spreadsheets/d/1MeEWN-I1oV_STSDYn1IFDPWt_1FKiwhDph83XaGc0o0/edit?usp=sharing"",""งบพรบ!AX71"")"),172849.42)</f>
        <v>172849.42</v>
      </c>
      <c r="M71" s="175">
        <f t="shared" ca="1" si="5"/>
        <v>99.05410888252149</v>
      </c>
      <c r="N71" s="175">
        <f t="shared" ca="1" si="6"/>
        <v>99.05410888252149</v>
      </c>
      <c r="O71" s="176">
        <f ca="1">IFERROR(__xludf.DUMMYFUNCTION("IMPORTRANGE(""https://docs.google.com/spreadsheets/d/1MeEWN-I1oV_STSDYn1IFDPWt_1FKiwhDph83XaGc0o0/edit?usp=sharing"",""งบพรบ!AY71"")"),0)</f>
        <v>0</v>
      </c>
      <c r="P71" s="176">
        <f t="shared" ca="1" si="36"/>
        <v>0</v>
      </c>
      <c r="Q71" s="175">
        <f t="shared" ca="1" si="8"/>
        <v>0</v>
      </c>
      <c r="R71" s="173">
        <f ca="1">IFERROR(__xludf.DUMMYFUNCTION("IMPORTRANGE(""https://docs.google.com/spreadsheets/d/149xufxukrnEciK3WPbNpHwUK8BKEJxp3UcBG3Al6dA4/edit?usp=sharing"",""สิงห์บุรี!I98"")"),0)</f>
        <v>0</v>
      </c>
      <c r="S71" s="173">
        <f ca="1">IFERROR(__xludf.DUMMYFUNCTION("IMPORTRANGE(""https://docs.google.com/spreadsheets/d/149xufxukrnEciK3WPbNpHwUK8BKEJxp3UcBG3Al6dA4/edit?usp=sharing"",""สิงห์บุรี!J98"")"),0)</f>
        <v>0</v>
      </c>
      <c r="T71" s="173">
        <f t="shared" ca="1" si="10"/>
        <v>0</v>
      </c>
      <c r="U71" s="173">
        <f ca="1">IFERROR(__xludf.DUMMYFUNCTION("IMPORTRANGE(""https://docs.google.com/spreadsheets/d/149xufxukrnEciK3WPbNpHwUK8BKEJxp3UcBG3Al6dA4/edit?usp=sharing"",""สิงห์บุรี!I99"")"),0)</f>
        <v>0</v>
      </c>
      <c r="V71" s="173">
        <f ca="1">IFERROR(__xludf.DUMMYFUNCTION("IMPORTRANGE(""https://docs.google.com/spreadsheets/d/149xufxukrnEciK3WPbNpHwUK8BKEJxp3UcBG3Al6dA4/edit?usp=sharing"",""สิงห์บุรี!I100"")"),1)</f>
        <v>1</v>
      </c>
      <c r="W71" s="173">
        <f ca="1">IFERROR(__xludf.DUMMYFUNCTION("IMPORTRANGE(""https://docs.google.com/spreadsheets/d/149xufxukrnEciK3WPbNpHwUK8BKEJxp3UcBG3Al6dA4/edit?usp=sharing"",""สิงห์บุรี!J99"")"),0)</f>
        <v>0</v>
      </c>
      <c r="X71" s="177">
        <f t="shared" ca="1" si="12"/>
        <v>0</v>
      </c>
      <c r="Y71" s="178">
        <f ca="1">IFERROR(__xludf.DUMMYFUNCTION("IMPORTRANGE(""https://docs.google.com/spreadsheets/d/149xufxukrnEciK3WPbNpHwUK8BKEJxp3UcBG3Al6dA4/edit?usp=sharing"",""สิงห์บุรี!J100"")"),1)</f>
        <v>1</v>
      </c>
      <c r="Z71" s="177">
        <f t="shared" ca="1" si="13"/>
        <v>100</v>
      </c>
      <c r="AA71" s="172">
        <f ca="1">IFERROR(__xludf.DUMMYFUNCTION("IMPORTRANGE(""https://docs.google.com/spreadsheets/d/149xufxukrnEciK3WPbNpHwUK8BKEJxp3UcBG3Al6dA4/edit?usp=sharing"",""สิงห์บุรี!I102"")"),0)</f>
        <v>0</v>
      </c>
      <c r="AB71" s="172">
        <f ca="1">IFERROR(__xludf.DUMMYFUNCTION("IMPORTRANGE(""https://docs.google.com/spreadsheets/d/149xufxukrnEciK3WPbNpHwUK8BKEJxp3UcBG3Al6dA4/edit?usp=sharing"",""สิงห์บุรี!I103"")"),0)</f>
        <v>0</v>
      </c>
      <c r="AC71" s="173">
        <f ca="1">IFERROR(__xludf.DUMMYFUNCTION("IMPORTRANGE(""https://docs.google.com/spreadsheets/d/149xufxukrnEciK3WPbNpHwUK8BKEJxp3UcBG3Al6dA4/edit?usp=sharing"",""สิงห์บุรี!J102"")"),0)</f>
        <v>0</v>
      </c>
      <c r="AD71" s="173">
        <f ca="1">IFERROR(__xludf.DUMMYFUNCTION("IMPORTRANGE(""https://docs.google.com/spreadsheets/d/149xufxukrnEciK3WPbNpHwUK8BKEJxp3UcBG3Al6dA4/edit?usp=sharing"",""สิงห์บุรี!J103"")"),0)</f>
        <v>0</v>
      </c>
      <c r="AE71" s="173">
        <f ca="1">IFERROR(__xludf.DUMMYFUNCTION("IMPORTRANGE(""https://docs.google.com/spreadsheets/d/149xufxukrnEciK3WPbNpHwUK8BKEJxp3UcBG3Al6dA4/edit?usp=sharing"",""สิงห์บุรี!J104"")"),0)</f>
        <v>0</v>
      </c>
      <c r="AF71" s="172">
        <f ca="1">IFERROR(__xludf.DUMMYFUNCTION("IMPORTRANGE(""https://docs.google.com/spreadsheets/d/149xufxukrnEciK3WPbNpHwUK8BKEJxp3UcBG3Al6dA4/edit?usp=sharing"",""สิงห์บุรี!I106"")"),0)</f>
        <v>0</v>
      </c>
      <c r="AG71" s="173">
        <f ca="1">IFERROR(__xludf.DUMMYFUNCTION("IMPORTRANGE(""https://docs.google.com/spreadsheets/d/149xufxukrnEciK3WPbNpHwUK8BKEJxp3UcBG3Al6dA4/edit?usp=sharing"",""สิงห์บุรี!J106"")"),0)</f>
        <v>0</v>
      </c>
      <c r="AH71" s="173">
        <f ca="1">IFERROR(__xludf.DUMMYFUNCTION("IMPORTRANGE(""https://docs.google.com/spreadsheets/d/149xufxukrnEciK3WPbNpHwUK8BKEJxp3UcBG3Al6dA4/edit?usp=sharing"",""สิงห์บุรี!J107"")"),0)</f>
        <v>0</v>
      </c>
      <c r="AI71" s="172">
        <f ca="1">IFERROR(__xludf.DUMMYFUNCTION("IMPORTRANGE(""https://docs.google.com/spreadsheets/d/149xufxukrnEciK3WPbNpHwUK8BKEJxp3UcBG3Al6dA4/edit?usp=sharing"",""สิงห์บุรี!I109"")"),1)</f>
        <v>1</v>
      </c>
      <c r="AJ71" s="173">
        <f ca="1">IFERROR(__xludf.DUMMYFUNCTION("IMPORTRANGE(""https://docs.google.com/spreadsheets/d/149xufxukrnEciK3WPbNpHwUK8BKEJxp3UcBG3Al6dA4/edit?usp=sharing"",""สิงห์บุรี!J109"")"),1)</f>
        <v>1</v>
      </c>
      <c r="AK71" s="173">
        <f ca="1">IFERROR(__xludf.DUMMYFUNCTION("IMPORTRANGE(""https://docs.google.com/spreadsheets/d/149xufxukrnEciK3WPbNpHwUK8BKEJxp3UcBG3Al6dA4/edit?usp=sharing"",""สิงห์บุรี!J110"")"),1)</f>
        <v>1</v>
      </c>
      <c r="AL71" s="172">
        <f ca="1">IFERROR(__xludf.DUMMYFUNCTION("IMPORTRANGE(""https://docs.google.com/spreadsheets/d/149xufxukrnEciK3WPbNpHwUK8BKEJxp3UcBG3Al6dA4/edit?usp=sharing"",""สิงห์บุรี!I111"")"),0)</f>
        <v>0</v>
      </c>
      <c r="AM71" s="172">
        <f ca="1">IFERROR(__xludf.DUMMYFUNCTION("IMPORTRANGE(""https://docs.google.com/spreadsheets/d/149xufxukrnEciK3WPbNpHwUK8BKEJxp3UcBG3Al6dA4/edit?usp=sharing"",""สิงห์บุรี!I112"")"),1)</f>
        <v>1</v>
      </c>
      <c r="AN71" s="173">
        <f ca="1">IFERROR(__xludf.DUMMYFUNCTION("IMPORTRANGE(""https://docs.google.com/spreadsheets/d/149xufxukrnEciK3WPbNpHwUK8BKEJxp3UcBG3Al6dA4/edit?usp=sharing"",""สิงห์บุรี!J111"")"),0)</f>
        <v>0</v>
      </c>
      <c r="AO71" s="173">
        <f t="shared" ca="1" si="15"/>
        <v>0</v>
      </c>
      <c r="AP71" s="173">
        <f ca="1">IFERROR(__xludf.DUMMYFUNCTION("IMPORTRANGE(""https://docs.google.com/spreadsheets/d/149xufxukrnEciK3WPbNpHwUK8BKEJxp3UcBG3Al6dA4/edit?usp=sharing"",""สิงห์บุรี!J112"")"),1)</f>
        <v>1</v>
      </c>
      <c r="AQ71" s="175">
        <f t="shared" ca="1" si="16"/>
        <v>100</v>
      </c>
      <c r="AR71" s="172">
        <f ca="1">IFERROR(__xludf.DUMMYFUNCTION("IMPORTRANGE(""https://docs.google.com/spreadsheets/d/149xufxukrnEciK3WPbNpHwUK8BKEJxp3UcBG3Al6dA4/edit?usp=sharing"",""สิงห์บุรี!I113"")"),0)</f>
        <v>0</v>
      </c>
      <c r="AS71" s="172">
        <f ca="1">IFERROR(__xludf.DUMMYFUNCTION("IMPORTRANGE(""https://docs.google.com/spreadsheets/d/149xufxukrnEciK3WPbNpHwUK8BKEJxp3UcBG3Al6dA4/edit?usp=sharing"",""สิงห์บุรี!J113"")"),0)</f>
        <v>0</v>
      </c>
      <c r="AT71" s="172">
        <f ca="1">IFERROR(__xludf.DUMMYFUNCTION("IMPORTRANGE(""https://docs.google.com/spreadsheets/d/149xufxukrnEciK3WPbNpHwUK8BKEJxp3UcBG3Al6dA4/edit?usp=sharing"",""สิงห์บุรี!J114"")"),0)</f>
        <v>0</v>
      </c>
      <c r="AU71" s="172">
        <f ca="1">IFERROR(__xludf.DUMMYFUNCTION("IMPORTRANGE(""https://docs.google.com/spreadsheets/d/149xufxukrnEciK3WPbNpHwUK8BKEJxp3UcBG3Al6dA4/edit?usp=sharing"",""สิงห์บุรี!I115"")"),0)</f>
        <v>0</v>
      </c>
      <c r="AV71" s="173">
        <f ca="1">IFERROR(__xludf.DUMMYFUNCTION("IMPORTRANGE(""https://docs.google.com/spreadsheets/d/149xufxukrnEciK3WPbNpHwUK8BKEJxp3UcBG3Al6dA4/edit?usp=sharing"",""สิงห์บุรี!J115"")"),0)</f>
        <v>0</v>
      </c>
      <c r="AW71" s="175">
        <f t="shared" ca="1" si="18"/>
        <v>0</v>
      </c>
      <c r="AX71" s="172">
        <f ca="1">IFERROR(__xludf.DUMMYFUNCTION("IMPORTRANGE(""https://docs.google.com/spreadsheets/d/149xufxukrnEciK3WPbNpHwUK8BKEJxp3UcBG3Al6dA4/edit?usp=sharing"",""สิงห์บุรี!I116"")"),1)</f>
        <v>1</v>
      </c>
      <c r="AY71" s="173">
        <f ca="1">IFERROR(__xludf.DUMMYFUNCTION("IMPORTRANGE(""https://docs.google.com/spreadsheets/d/149xufxukrnEciK3WPbNpHwUK8BKEJxp3UcBG3Al6dA4/edit?usp=sharing"",""สิงห์บุรี!J116"")"),1)</f>
        <v>1</v>
      </c>
      <c r="AZ71" s="175">
        <f t="shared" ca="1" si="20"/>
        <v>100</v>
      </c>
    </row>
    <row r="72" spans="1:52" ht="21" customHeight="1" x14ac:dyDescent="0.3">
      <c r="A72" s="168">
        <v>20</v>
      </c>
      <c r="B72" s="169" t="s">
        <v>94</v>
      </c>
      <c r="C72" s="170">
        <f t="shared" ca="1" si="0"/>
        <v>116140</v>
      </c>
      <c r="D72" s="171">
        <f t="shared" ca="1" si="56"/>
        <v>116140</v>
      </c>
      <c r="E72" s="172">
        <f ca="1">IFERROR(__xludf.DUMMYFUNCTION("IMPORTRANGE(""https://docs.google.com/spreadsheets/d/1MeEWN-I1oV_STSDYn1IFDPWt_1FKiwhDph83XaGc0o0/edit?usp=sharing"",""งบพรบ!AR72"")"),0)</f>
        <v>0</v>
      </c>
      <c r="F72" s="172">
        <f ca="1">IFERROR(__xludf.DUMMYFUNCTION("IMPORTRANGE(""https://docs.google.com/spreadsheets/d/1MeEWN-I1oV_STSDYn1IFDPWt_1FKiwhDph83XaGc0o0/edit?usp=sharing"",""งบพรบ!AS72"")"),116140)</f>
        <v>116140</v>
      </c>
      <c r="G72" s="172">
        <f ca="1">IFERROR(__xludf.DUMMYFUNCTION("IMPORTRANGE(""https://docs.google.com/spreadsheets/d/1MeEWN-I1oV_STSDYn1IFDPWt_1FKiwhDph83XaGc0o0/edit?usp=sharing"",""งบพรบ!AT72"")"),0)</f>
        <v>0</v>
      </c>
      <c r="H72" s="172">
        <f ca="1">IFERROR(__xludf.DUMMYFUNCTION("IMPORTRANGE(""https://docs.google.com/spreadsheets/d/1MeEWN-I1oV_STSDYn1IFDPWt_1FKiwhDph83XaGc0o0/edit?usp=sharing"",""งบพรบ!AV72"")"),116140)</f>
        <v>116140</v>
      </c>
      <c r="I72" s="172">
        <f ca="1">IFERROR(__xludf.DUMMYFUNCTION("IMPORTRANGE(""https://docs.google.com/spreadsheets/d/1MeEWN-I1oV_STSDYn1IFDPWt_1FKiwhDph83XaGc0o0/edit?usp=sharing"",""งบพรบ!AW72"")"),0)</f>
        <v>0</v>
      </c>
      <c r="J72" s="172">
        <f t="shared" ca="1" si="3"/>
        <v>116140</v>
      </c>
      <c r="K72" s="179">
        <f t="shared" ca="1" si="4"/>
        <v>100</v>
      </c>
      <c r="L72" s="172">
        <f ca="1">IFERROR(__xludf.DUMMYFUNCTION("IMPORTRANGE(""https://docs.google.com/spreadsheets/d/1MeEWN-I1oV_STSDYn1IFDPWt_1FKiwhDph83XaGc0o0/edit?usp=sharing"",""งบพรบ!AX72"")"),116140)</f>
        <v>116140</v>
      </c>
      <c r="M72" s="175">
        <f t="shared" ca="1" si="5"/>
        <v>100</v>
      </c>
      <c r="N72" s="175">
        <f t="shared" ca="1" si="6"/>
        <v>100</v>
      </c>
      <c r="O72" s="176">
        <f ca="1">IFERROR(__xludf.DUMMYFUNCTION("IMPORTRANGE(""https://docs.google.com/spreadsheets/d/1MeEWN-I1oV_STSDYn1IFDPWt_1FKiwhDph83XaGc0o0/edit?usp=sharing"",""งบพรบ!AY72"")"),0)</f>
        <v>0</v>
      </c>
      <c r="P72" s="176">
        <f t="shared" ca="1" si="36"/>
        <v>0</v>
      </c>
      <c r="Q72" s="175">
        <f t="shared" ca="1" si="8"/>
        <v>0</v>
      </c>
      <c r="R72" s="173">
        <f ca="1">IFERROR(__xludf.DUMMYFUNCTION("IMPORTRANGE(""https://docs.google.com/spreadsheets/d/132g-zJpz2uMKimp17uOIx8A7o3w1Z25zwJyXnwsB56c/edit?usp=sharing"",""สุพรรณบุรี!I98"")"),30)</f>
        <v>30</v>
      </c>
      <c r="S72" s="173">
        <f ca="1">IFERROR(__xludf.DUMMYFUNCTION("IMPORTRANGE(""https://docs.google.com/spreadsheets/d/132g-zJpz2uMKimp17uOIx8A7o3w1Z25zwJyXnwsB56c/edit?usp=sharing"",""สุพรรณบุรี!J98"")"),30)</f>
        <v>30</v>
      </c>
      <c r="T72" s="173">
        <f t="shared" ca="1" si="10"/>
        <v>100</v>
      </c>
      <c r="U72" s="173">
        <f ca="1">IFERROR(__xludf.DUMMYFUNCTION("IMPORTRANGE(""https://docs.google.com/spreadsheets/d/132g-zJpz2uMKimp17uOIx8A7o3w1Z25zwJyXnwsB56c/edit?usp=sharing"",""สุพรรณบุรี!I99"")"),10)</f>
        <v>10</v>
      </c>
      <c r="V72" s="173">
        <f ca="1">IFERROR(__xludf.DUMMYFUNCTION("IMPORTRANGE(""https://docs.google.com/spreadsheets/d/132g-zJpz2uMKimp17uOIx8A7o3w1Z25zwJyXnwsB56c/edit?usp=sharing"",""สุพรรณบุรี!I100"")"),3)</f>
        <v>3</v>
      </c>
      <c r="W72" s="173">
        <f ca="1">IFERROR(__xludf.DUMMYFUNCTION("IMPORTRANGE(""https://docs.google.com/spreadsheets/d/132g-zJpz2uMKimp17uOIx8A7o3w1Z25zwJyXnwsB56c/edit?usp=sharing"",""สุพรรณบุรี!J99"")"),10)</f>
        <v>10</v>
      </c>
      <c r="X72" s="177">
        <f t="shared" ca="1" si="12"/>
        <v>100</v>
      </c>
      <c r="Y72" s="178">
        <f ca="1">IFERROR(__xludf.DUMMYFUNCTION("IMPORTRANGE(""https://docs.google.com/spreadsheets/d/132g-zJpz2uMKimp17uOIx8A7o3w1Z25zwJyXnwsB56c/edit?usp=sharing"",""สุพรรณบุรี!J100"")"),3)</f>
        <v>3</v>
      </c>
      <c r="Z72" s="177">
        <f t="shared" ca="1" si="13"/>
        <v>100</v>
      </c>
      <c r="AA72" s="172">
        <f ca="1">IFERROR(__xludf.DUMMYFUNCTION("IMPORTRANGE(""https://docs.google.com/spreadsheets/d/132g-zJpz2uMKimp17uOIx8A7o3w1Z25zwJyXnwsB56c/edit?usp=sharing"",""สุพรรณบุรี!I102"")"),30)</f>
        <v>30</v>
      </c>
      <c r="AB72" s="172">
        <f ca="1">IFERROR(__xludf.DUMMYFUNCTION("IMPORTRANGE(""https://docs.google.com/spreadsheets/d/132g-zJpz2uMKimp17uOIx8A7o3w1Z25zwJyXnwsB56c/edit?usp=sharing"",""สุพรรณบุรี!I103"")"),10)</f>
        <v>10</v>
      </c>
      <c r="AC72" s="173">
        <f ca="1">IFERROR(__xludf.DUMMYFUNCTION("IMPORTRANGE(""https://docs.google.com/spreadsheets/d/132g-zJpz2uMKimp17uOIx8A7o3w1Z25zwJyXnwsB56c/edit?usp=sharing"",""สุพรรณบุรี!J102"")"),30)</f>
        <v>30</v>
      </c>
      <c r="AD72" s="173">
        <f ca="1">IFERROR(__xludf.DUMMYFUNCTION("IMPORTRANGE(""https://docs.google.com/spreadsheets/d/132g-zJpz2uMKimp17uOIx8A7o3w1Z25zwJyXnwsB56c/edit?usp=sharing"",""สุพรรณบุรี!J103"")"),10)</f>
        <v>10</v>
      </c>
      <c r="AE72" s="173">
        <f ca="1">IFERROR(__xludf.DUMMYFUNCTION("IMPORTRANGE(""https://docs.google.com/spreadsheets/d/132g-zJpz2uMKimp17uOIx8A7o3w1Z25zwJyXnwsB56c/edit?usp=sharing"",""สุพรรณบุรี!J104"")"),10)</f>
        <v>10</v>
      </c>
      <c r="AF72" s="172">
        <f ca="1">IFERROR(__xludf.DUMMYFUNCTION("IMPORTRANGE(""https://docs.google.com/spreadsheets/d/132g-zJpz2uMKimp17uOIx8A7o3w1Z25zwJyXnwsB56c/edit?usp=sharing"",""สุพรรณบุรี!I106"")"),2)</f>
        <v>2</v>
      </c>
      <c r="AG72" s="173">
        <f ca="1">IFERROR(__xludf.DUMMYFUNCTION("IMPORTRANGE(""https://docs.google.com/spreadsheets/d/132g-zJpz2uMKimp17uOIx8A7o3w1Z25zwJyXnwsB56c/edit?usp=sharing"",""สุพรรณบุรี!J106"")"),2)</f>
        <v>2</v>
      </c>
      <c r="AH72" s="173">
        <f ca="1">IFERROR(__xludf.DUMMYFUNCTION("IMPORTRANGE(""https://docs.google.com/spreadsheets/d/132g-zJpz2uMKimp17uOIx8A7o3w1Z25zwJyXnwsB56c/edit?usp=sharing"",""สุพรรณบุรี!J107"")"),2)</f>
        <v>2</v>
      </c>
      <c r="AI72" s="172">
        <f ca="1">IFERROR(__xludf.DUMMYFUNCTION("IMPORTRANGE(""https://docs.google.com/spreadsheets/d/132g-zJpz2uMKimp17uOIx8A7o3w1Z25zwJyXnwsB56c/edit?usp=sharing"",""สุพรรณบุรี!I109"")"),1)</f>
        <v>1</v>
      </c>
      <c r="AJ72" s="173">
        <f ca="1">IFERROR(__xludf.DUMMYFUNCTION("IMPORTRANGE(""https://docs.google.com/spreadsheets/d/132g-zJpz2uMKimp17uOIx8A7o3w1Z25zwJyXnwsB56c/edit?usp=sharing"",""สุพรรณบุรี!J109"")"),1)</f>
        <v>1</v>
      </c>
      <c r="AK72" s="173">
        <f ca="1">IFERROR(__xludf.DUMMYFUNCTION("IMPORTRANGE(""https://docs.google.com/spreadsheets/d/132g-zJpz2uMKimp17uOIx8A7o3w1Z25zwJyXnwsB56c/edit?usp=sharing"",""สุพรรณบุรี!J110"")"),1)</f>
        <v>1</v>
      </c>
      <c r="AL72" s="172">
        <f ca="1">IFERROR(__xludf.DUMMYFUNCTION("IMPORTRANGE(""https://docs.google.com/spreadsheets/d/132g-zJpz2uMKimp17uOIx8A7o3w1Z25zwJyXnwsB56c/edit?usp=sharing"",""สุพรรณบุรี!I111"")"),10)</f>
        <v>10</v>
      </c>
      <c r="AM72" s="172">
        <f ca="1">IFERROR(__xludf.DUMMYFUNCTION("IMPORTRANGE(""https://docs.google.com/spreadsheets/d/132g-zJpz2uMKimp17uOIx8A7o3w1Z25zwJyXnwsB56c/edit?usp=sharing"",""สุพรรณบุรี!I112"")"),3)</f>
        <v>3</v>
      </c>
      <c r="AN72" s="173">
        <f ca="1">IFERROR(__xludf.DUMMYFUNCTION("IMPORTRANGE(""https://docs.google.com/spreadsheets/d/132g-zJpz2uMKimp17uOIx8A7o3w1Z25zwJyXnwsB56c/edit?usp=sharing"",""สุพรรณบุรี!J111"")"),10)</f>
        <v>10</v>
      </c>
      <c r="AO72" s="173">
        <f t="shared" ca="1" si="15"/>
        <v>100</v>
      </c>
      <c r="AP72" s="173">
        <f ca="1">IFERROR(__xludf.DUMMYFUNCTION("IMPORTRANGE(""https://docs.google.com/spreadsheets/d/132g-zJpz2uMKimp17uOIx8A7o3w1Z25zwJyXnwsB56c/edit?usp=sharing"",""สุพรรณบุรี!J112"")"),3)</f>
        <v>3</v>
      </c>
      <c r="AQ72" s="175">
        <f t="shared" ca="1" si="16"/>
        <v>100</v>
      </c>
      <c r="AR72" s="172">
        <f ca="1">IFERROR(__xludf.DUMMYFUNCTION("IMPORTRANGE(""https://docs.google.com/spreadsheets/d/132g-zJpz2uMKimp17uOIx8A7o3w1Z25zwJyXnwsB56c/edit?usp=sharing"",""สุพรรณบุรี!I113"")"),10)</f>
        <v>10</v>
      </c>
      <c r="AS72" s="172">
        <f ca="1">IFERROR(__xludf.DUMMYFUNCTION("IMPORTRANGE(""https://docs.google.com/spreadsheets/d/132g-zJpz2uMKimp17uOIx8A7o3w1Z25zwJyXnwsB56c/edit?usp=sharing"",""สุพรรณบุรี!J113"")"),10)</f>
        <v>10</v>
      </c>
      <c r="AT72" s="172">
        <f ca="1">IFERROR(__xludf.DUMMYFUNCTION("IMPORTRANGE(""https://docs.google.com/spreadsheets/d/132g-zJpz2uMKimp17uOIx8A7o3w1Z25zwJyXnwsB56c/edit?usp=sharing"",""สุพรรณบุรี!J114"")"),10)</f>
        <v>10</v>
      </c>
      <c r="AU72" s="172">
        <f ca="1">IFERROR(__xludf.DUMMYFUNCTION("IMPORTRANGE(""https://docs.google.com/spreadsheets/d/132g-zJpz2uMKimp17uOIx8A7o3w1Z25zwJyXnwsB56c/edit?usp=sharing"",""สุพรรณบุรี!I115"")"),2)</f>
        <v>2</v>
      </c>
      <c r="AV72" s="173">
        <f ca="1">IFERROR(__xludf.DUMMYFUNCTION("IMPORTRANGE(""https://docs.google.com/spreadsheets/d/132g-zJpz2uMKimp17uOIx8A7o3w1Z25zwJyXnwsB56c/edit?usp=sharing"",""สุพรรณบุรี!J115"")"),2)</f>
        <v>2</v>
      </c>
      <c r="AW72" s="175">
        <f t="shared" ca="1" si="18"/>
        <v>100</v>
      </c>
      <c r="AX72" s="172">
        <f ca="1">IFERROR(__xludf.DUMMYFUNCTION("IMPORTRANGE(""https://docs.google.com/spreadsheets/d/132g-zJpz2uMKimp17uOIx8A7o3w1Z25zwJyXnwsB56c/edit?usp=sharing"",""สุพรรณบุรี!I116"")"),1)</f>
        <v>1</v>
      </c>
      <c r="AY72" s="173">
        <f ca="1">IFERROR(__xludf.DUMMYFUNCTION("IMPORTRANGE(""https://docs.google.com/spreadsheets/d/132g-zJpz2uMKimp17uOIx8A7o3w1Z25zwJyXnwsB56c/edit?usp=sharing"",""สุพรรณบุรี!J116"")"),1)</f>
        <v>1</v>
      </c>
      <c r="AZ72" s="175">
        <f t="shared" ca="1" si="20"/>
        <v>100</v>
      </c>
    </row>
    <row r="73" spans="1:52" ht="21" customHeight="1" x14ac:dyDescent="0.3">
      <c r="A73" s="180">
        <v>21</v>
      </c>
      <c r="B73" s="181" t="s">
        <v>95</v>
      </c>
      <c r="C73" s="182">
        <f t="shared" ca="1" si="0"/>
        <v>174500</v>
      </c>
      <c r="D73" s="183">
        <f t="shared" ca="1" si="56"/>
        <v>174500</v>
      </c>
      <c r="E73" s="184">
        <f ca="1">IFERROR(__xludf.DUMMYFUNCTION("IMPORTRANGE(""https://docs.google.com/spreadsheets/d/1MeEWN-I1oV_STSDYn1IFDPWt_1FKiwhDph83XaGc0o0/edit?usp=sharing"",""งบพรบ!AR73"")"),143300)</f>
        <v>143300</v>
      </c>
      <c r="F73" s="184">
        <f ca="1">IFERROR(__xludf.DUMMYFUNCTION("IMPORTRANGE(""https://docs.google.com/spreadsheets/d/1MeEWN-I1oV_STSDYn1IFDPWt_1FKiwhDph83XaGc0o0/edit?usp=sharing"",""งบพรบ!AS73"")"),31200)</f>
        <v>31200</v>
      </c>
      <c r="G73" s="184">
        <f ca="1">IFERROR(__xludf.DUMMYFUNCTION("IMPORTRANGE(""https://docs.google.com/spreadsheets/d/1MeEWN-I1oV_STSDYn1IFDPWt_1FKiwhDph83XaGc0o0/edit?usp=sharing"",""งบพรบ!AT73"")"),0)</f>
        <v>0</v>
      </c>
      <c r="H73" s="184">
        <f ca="1">IFERROR(__xludf.DUMMYFUNCTION("IMPORTRANGE(""https://docs.google.com/spreadsheets/d/1MeEWN-I1oV_STSDYn1IFDPWt_1FKiwhDph83XaGc0o0/edit?usp=sharing"",""งบพรบ!AV73"")"),174500)</f>
        <v>174500</v>
      </c>
      <c r="I73" s="184">
        <f ca="1">IFERROR(__xludf.DUMMYFUNCTION("IMPORTRANGE(""https://docs.google.com/spreadsheets/d/1MeEWN-I1oV_STSDYn1IFDPWt_1FKiwhDph83XaGc0o0/edit?usp=sharing"",""งบพรบ!AW73"")"),0)</f>
        <v>0</v>
      </c>
      <c r="J73" s="184">
        <f t="shared" ca="1" si="3"/>
        <v>174500</v>
      </c>
      <c r="K73" s="185">
        <f t="shared" ca="1" si="4"/>
        <v>100</v>
      </c>
      <c r="L73" s="184">
        <f ca="1">IFERROR(__xludf.DUMMYFUNCTION("IMPORTRANGE(""https://docs.google.com/spreadsheets/d/1MeEWN-I1oV_STSDYn1IFDPWt_1FKiwhDph83XaGc0o0/edit?usp=sharing"",""งบพรบ!AX73"")"),174500)</f>
        <v>174500</v>
      </c>
      <c r="M73" s="186">
        <f t="shared" ca="1" si="5"/>
        <v>100</v>
      </c>
      <c r="N73" s="186">
        <f t="shared" ca="1" si="6"/>
        <v>100</v>
      </c>
      <c r="O73" s="187">
        <f ca="1">IFERROR(__xludf.DUMMYFUNCTION("IMPORTRANGE(""https://docs.google.com/spreadsheets/d/1MeEWN-I1oV_STSDYn1IFDPWt_1FKiwhDph83XaGc0o0/edit?usp=sharing"",""งบพรบ!AY73"")"),0)</f>
        <v>0</v>
      </c>
      <c r="P73" s="187">
        <f t="shared" ca="1" si="36"/>
        <v>0</v>
      </c>
      <c r="Q73" s="186">
        <f t="shared" ca="1" si="8"/>
        <v>0</v>
      </c>
      <c r="R73" s="188">
        <f ca="1">IFERROR(__xludf.DUMMYFUNCTION("IMPORTRANGE(""https://docs.google.com/spreadsheets/d/12Q_U0nVnFdxDFwa0pej9xvx8ZvLC9Dpi_vRro_aiG5g/edit?usp=sharing"",""อ่างทอง!I98"")"),0)</f>
        <v>0</v>
      </c>
      <c r="S73" s="188">
        <f ca="1">IFERROR(__xludf.DUMMYFUNCTION("IMPORTRANGE(""https://docs.google.com/spreadsheets/d/12Q_U0nVnFdxDFwa0pej9xvx8ZvLC9Dpi_vRro_aiG5g/edit?usp=sharing"",""อ่างทอง!J98"")"),0)</f>
        <v>0</v>
      </c>
      <c r="T73" s="188">
        <f t="shared" ca="1" si="10"/>
        <v>0</v>
      </c>
      <c r="U73" s="188">
        <f ca="1">IFERROR(__xludf.DUMMYFUNCTION("IMPORTRANGE(""https://docs.google.com/spreadsheets/d/12Q_U0nVnFdxDFwa0pej9xvx8ZvLC9Dpi_vRro_aiG5g/edit?usp=sharing"",""อ่างทอง!I99"")"),0)</f>
        <v>0</v>
      </c>
      <c r="V73" s="188">
        <f ca="1">IFERROR(__xludf.DUMMYFUNCTION("IMPORTRANGE(""https://docs.google.com/spreadsheets/d/12Q_U0nVnFdxDFwa0pej9xvx8ZvLC9Dpi_vRro_aiG5g/edit?usp=sharing"",""อ่างทอง!I100"")"),1)</f>
        <v>1</v>
      </c>
      <c r="W73" s="188">
        <f ca="1">IFERROR(__xludf.DUMMYFUNCTION("IMPORTRANGE(""https://docs.google.com/spreadsheets/d/12Q_U0nVnFdxDFwa0pej9xvx8ZvLC9Dpi_vRro_aiG5g/edit?usp=sharing"",""อ่างทอง!J99"")"),0)</f>
        <v>0</v>
      </c>
      <c r="X73" s="189">
        <f t="shared" ca="1" si="12"/>
        <v>0</v>
      </c>
      <c r="Y73" s="190">
        <f ca="1">IFERROR(__xludf.DUMMYFUNCTION("IMPORTRANGE(""https://docs.google.com/spreadsheets/d/12Q_U0nVnFdxDFwa0pej9xvx8ZvLC9Dpi_vRro_aiG5g/edit?usp=sharing"",""อ่างทอง!J100"")"),1)</f>
        <v>1</v>
      </c>
      <c r="Z73" s="189">
        <f t="shared" ca="1" si="13"/>
        <v>100</v>
      </c>
      <c r="AA73" s="184">
        <f ca="1">IFERROR(__xludf.DUMMYFUNCTION("IMPORTRANGE(""https://docs.google.com/spreadsheets/d/12Q_U0nVnFdxDFwa0pej9xvx8ZvLC9Dpi_vRro_aiG5g/edit?usp=sharing"",""อ่างทอง!I102"")"),0)</f>
        <v>0</v>
      </c>
      <c r="AB73" s="184">
        <f ca="1">IFERROR(__xludf.DUMMYFUNCTION("IMPORTRANGE(""https://docs.google.com/spreadsheets/d/12Q_U0nVnFdxDFwa0pej9xvx8ZvLC9Dpi_vRro_aiG5g/edit?usp=sharing"",""อ่างทอง!I103"")"),0)</f>
        <v>0</v>
      </c>
      <c r="AC73" s="188">
        <f ca="1">IFERROR(__xludf.DUMMYFUNCTION("IMPORTRANGE(""https://docs.google.com/spreadsheets/d/12Q_U0nVnFdxDFwa0pej9xvx8ZvLC9Dpi_vRro_aiG5g/edit?usp=sharing"",""อ่างทอง!J102"")"),0)</f>
        <v>0</v>
      </c>
      <c r="AD73" s="188">
        <f ca="1">IFERROR(__xludf.DUMMYFUNCTION("IMPORTRANGE(""https://docs.google.com/spreadsheets/d/12Q_U0nVnFdxDFwa0pej9xvx8ZvLC9Dpi_vRro_aiG5g/edit?usp=sharing"",""อ่างทอง!J103"")"),0)</f>
        <v>0</v>
      </c>
      <c r="AE73" s="188">
        <f ca="1">IFERROR(__xludf.DUMMYFUNCTION("IMPORTRANGE(""https://docs.google.com/spreadsheets/d/12Q_U0nVnFdxDFwa0pej9xvx8ZvLC9Dpi_vRro_aiG5g/edit?usp=sharing"",""อ่างทอง!J104"")"),0)</f>
        <v>0</v>
      </c>
      <c r="AF73" s="184">
        <f ca="1">IFERROR(__xludf.DUMMYFUNCTION("IMPORTRANGE(""https://docs.google.com/spreadsheets/d/12Q_U0nVnFdxDFwa0pej9xvx8ZvLC9Dpi_vRro_aiG5g/edit?usp=sharing"",""อ่างทอง!I106"")"),0)</f>
        <v>0</v>
      </c>
      <c r="AG73" s="188">
        <f ca="1">IFERROR(__xludf.DUMMYFUNCTION("IMPORTRANGE(""https://docs.google.com/spreadsheets/d/12Q_U0nVnFdxDFwa0pej9xvx8ZvLC9Dpi_vRro_aiG5g/edit?usp=sharing"",""อ่างทอง!J106"")"),0)</f>
        <v>0</v>
      </c>
      <c r="AH73" s="188">
        <f ca="1">IFERROR(__xludf.DUMMYFUNCTION("IMPORTRANGE(""https://docs.google.com/spreadsheets/d/12Q_U0nVnFdxDFwa0pej9xvx8ZvLC9Dpi_vRro_aiG5g/edit?usp=sharing"",""อ่างทอง!J107"")"),0)</f>
        <v>0</v>
      </c>
      <c r="AI73" s="184">
        <f ca="1">IFERROR(__xludf.DUMMYFUNCTION("IMPORTRANGE(""https://docs.google.com/spreadsheets/d/12Q_U0nVnFdxDFwa0pej9xvx8ZvLC9Dpi_vRro_aiG5g/edit?usp=sharing"",""อ่างทอง!I109"")"),1)</f>
        <v>1</v>
      </c>
      <c r="AJ73" s="188">
        <f ca="1">IFERROR(__xludf.DUMMYFUNCTION("IMPORTRANGE(""https://docs.google.com/spreadsheets/d/12Q_U0nVnFdxDFwa0pej9xvx8ZvLC9Dpi_vRro_aiG5g/edit?usp=sharing"",""อ่างทอง!J109"")"),1)</f>
        <v>1</v>
      </c>
      <c r="AK73" s="188">
        <f ca="1">IFERROR(__xludf.DUMMYFUNCTION("IMPORTRANGE(""https://docs.google.com/spreadsheets/d/12Q_U0nVnFdxDFwa0pej9xvx8ZvLC9Dpi_vRro_aiG5g/edit?usp=sharing"",""อ่างทอง!J110"")"),1)</f>
        <v>1</v>
      </c>
      <c r="AL73" s="184">
        <f ca="1">IFERROR(__xludf.DUMMYFUNCTION("IMPORTRANGE(""https://docs.google.com/spreadsheets/d/12Q_U0nVnFdxDFwa0pej9xvx8ZvLC9Dpi_vRro_aiG5g/edit?usp=sharing"",""อ่างทอง!I111"")"),0)</f>
        <v>0</v>
      </c>
      <c r="AM73" s="184">
        <f ca="1">IFERROR(__xludf.DUMMYFUNCTION("IMPORTRANGE(""https://docs.google.com/spreadsheets/d/12Q_U0nVnFdxDFwa0pej9xvx8ZvLC9Dpi_vRro_aiG5g/edit?usp=sharing"",""อ่างทอง!I112"")"),1)</f>
        <v>1</v>
      </c>
      <c r="AN73" s="188">
        <f ca="1">IFERROR(__xludf.DUMMYFUNCTION("IMPORTRANGE(""https://docs.google.com/spreadsheets/d/12Q_U0nVnFdxDFwa0pej9xvx8ZvLC9Dpi_vRro_aiG5g/edit?usp=sharing"",""อ่างทอง!J111"")"),0)</f>
        <v>0</v>
      </c>
      <c r="AO73" s="188">
        <f t="shared" ca="1" si="15"/>
        <v>0</v>
      </c>
      <c r="AP73" s="188">
        <f ca="1">IFERROR(__xludf.DUMMYFUNCTION("IMPORTRANGE(""https://docs.google.com/spreadsheets/d/12Q_U0nVnFdxDFwa0pej9xvx8ZvLC9Dpi_vRro_aiG5g/edit?usp=sharing"",""อ่างทอง!J112"")"),1)</f>
        <v>1</v>
      </c>
      <c r="AQ73" s="186">
        <f t="shared" ca="1" si="16"/>
        <v>100</v>
      </c>
      <c r="AR73" s="184">
        <f ca="1">IFERROR(__xludf.DUMMYFUNCTION("IMPORTRANGE(""https://docs.google.com/spreadsheets/d/12Q_U0nVnFdxDFwa0pej9xvx8ZvLC9Dpi_vRro_aiG5g/edit?usp=sharing"",""อ่างทอง!I113"")"),0)</f>
        <v>0</v>
      </c>
      <c r="AS73" s="184">
        <f ca="1">IFERROR(__xludf.DUMMYFUNCTION("IMPORTRANGE(""https://docs.google.com/spreadsheets/d/12Q_U0nVnFdxDFwa0pej9xvx8ZvLC9Dpi_vRro_aiG5g/edit?usp=sharing"",""อ่างทอง!J113"")"),0)</f>
        <v>0</v>
      </c>
      <c r="AT73" s="184">
        <f ca="1">IFERROR(__xludf.DUMMYFUNCTION("IMPORTRANGE(""https://docs.google.com/spreadsheets/d/12Q_U0nVnFdxDFwa0pej9xvx8ZvLC9Dpi_vRro_aiG5g/edit?usp=sharing"",""อ่างทอง!J114"")"),0)</f>
        <v>0</v>
      </c>
      <c r="AU73" s="184">
        <f ca="1">IFERROR(__xludf.DUMMYFUNCTION("IMPORTRANGE(""https://docs.google.com/spreadsheets/d/12Q_U0nVnFdxDFwa0pej9xvx8ZvLC9Dpi_vRro_aiG5g/edit?usp=sharing"",""อ่างทอง!I115"")"),0)</f>
        <v>0</v>
      </c>
      <c r="AV73" s="188">
        <f ca="1">IFERROR(__xludf.DUMMYFUNCTION("IMPORTRANGE(""https://docs.google.com/spreadsheets/d/12Q_U0nVnFdxDFwa0pej9xvx8ZvLC9Dpi_vRro_aiG5g/edit?usp=sharing"",""อ่างทอง!J115"")"),0)</f>
        <v>0</v>
      </c>
      <c r="AW73" s="186">
        <f t="shared" ca="1" si="18"/>
        <v>0</v>
      </c>
      <c r="AX73" s="184">
        <f ca="1">IFERROR(__xludf.DUMMYFUNCTION("IMPORTRANGE(""https://docs.google.com/spreadsheets/d/12Q_U0nVnFdxDFwa0pej9xvx8ZvLC9Dpi_vRro_aiG5g/edit?usp=sharing"",""อ่างทอง!I116"")"),1)</f>
        <v>1</v>
      </c>
      <c r="AY73" s="188">
        <f ca="1">IFERROR(__xludf.DUMMYFUNCTION("IMPORTRANGE(""https://docs.google.com/spreadsheets/d/12Q_U0nVnFdxDFwa0pej9xvx8ZvLC9Dpi_vRro_aiG5g/edit?usp=sharing"",""อ่างทอง!J116"")"),1)</f>
        <v>1</v>
      </c>
      <c r="AZ73" s="186">
        <f t="shared" ca="1" si="20"/>
        <v>100</v>
      </c>
    </row>
    <row r="74" spans="1:52" ht="21" customHeight="1" x14ac:dyDescent="0.3">
      <c r="A74" s="431" t="s">
        <v>96</v>
      </c>
      <c r="B74" s="414"/>
      <c r="C74" s="150">
        <f t="shared" ca="1" si="0"/>
        <v>2722980</v>
      </c>
      <c r="D74" s="150">
        <f t="shared" ref="D74:I74" ca="1" si="57">SUM(D75:D88)</f>
        <v>2722980</v>
      </c>
      <c r="E74" s="150">
        <f t="shared" ca="1" si="57"/>
        <v>1899800</v>
      </c>
      <c r="F74" s="150">
        <f t="shared" ca="1" si="57"/>
        <v>823180</v>
      </c>
      <c r="G74" s="150">
        <f t="shared" ca="1" si="57"/>
        <v>0</v>
      </c>
      <c r="H74" s="150">
        <f t="shared" ca="1" si="57"/>
        <v>2722980</v>
      </c>
      <c r="I74" s="150">
        <f t="shared" ca="1" si="57"/>
        <v>0</v>
      </c>
      <c r="J74" s="150">
        <f t="shared" ca="1" si="3"/>
        <v>2408252.4</v>
      </c>
      <c r="K74" s="151">
        <f t="shared" ca="1" si="4"/>
        <v>88.441795385937468</v>
      </c>
      <c r="L74" s="150">
        <f ca="1">SUM(L75:L88)</f>
        <v>2408252.4</v>
      </c>
      <c r="M74" s="152">
        <f t="shared" ca="1" si="5"/>
        <v>88.441795385937468</v>
      </c>
      <c r="N74" s="152">
        <f t="shared" ca="1" si="6"/>
        <v>88.441795385937468</v>
      </c>
      <c r="O74" s="153">
        <f ca="1">SUM(O75:O88)</f>
        <v>0</v>
      </c>
      <c r="P74" s="153">
        <f t="shared" ca="1" si="36"/>
        <v>0</v>
      </c>
      <c r="Q74" s="152">
        <f t="shared" ca="1" si="8"/>
        <v>0</v>
      </c>
      <c r="R74" s="150">
        <f t="shared" ref="R74:S74" ca="1" si="58">SUM(R75:R88)</f>
        <v>285</v>
      </c>
      <c r="S74" s="150">
        <f t="shared" ca="1" si="58"/>
        <v>285</v>
      </c>
      <c r="T74" s="150">
        <f t="shared" ca="1" si="10"/>
        <v>100</v>
      </c>
      <c r="U74" s="150">
        <f t="shared" ref="U74:W74" ca="1" si="59">SUM(U75:U88)</f>
        <v>95</v>
      </c>
      <c r="V74" s="150">
        <f t="shared" ca="1" si="59"/>
        <v>19</v>
      </c>
      <c r="W74" s="150">
        <f t="shared" ca="1" si="59"/>
        <v>96</v>
      </c>
      <c r="X74" s="152">
        <f t="shared" ca="1" si="12"/>
        <v>101.05263157894737</v>
      </c>
      <c r="Y74" s="153">
        <f ca="1">SUM(Y75:Y88)</f>
        <v>19</v>
      </c>
      <c r="Z74" s="152">
        <f t="shared" ca="1" si="13"/>
        <v>100</v>
      </c>
      <c r="AA74" s="150">
        <f t="shared" ref="AA74:AN74" ca="1" si="60">SUM(AA75:AA88)</f>
        <v>285</v>
      </c>
      <c r="AB74" s="150">
        <f t="shared" ca="1" si="60"/>
        <v>95</v>
      </c>
      <c r="AC74" s="150">
        <f t="shared" ca="1" si="60"/>
        <v>285</v>
      </c>
      <c r="AD74" s="150">
        <f t="shared" ca="1" si="60"/>
        <v>96</v>
      </c>
      <c r="AE74" s="150">
        <f t="shared" ca="1" si="60"/>
        <v>96</v>
      </c>
      <c r="AF74" s="150">
        <f t="shared" ca="1" si="60"/>
        <v>11</v>
      </c>
      <c r="AG74" s="150">
        <f t="shared" ca="1" si="60"/>
        <v>11</v>
      </c>
      <c r="AH74" s="150">
        <f t="shared" ca="1" si="60"/>
        <v>11</v>
      </c>
      <c r="AI74" s="150">
        <f t="shared" ca="1" si="60"/>
        <v>8</v>
      </c>
      <c r="AJ74" s="150">
        <f t="shared" ca="1" si="60"/>
        <v>8</v>
      </c>
      <c r="AK74" s="150">
        <f t="shared" ca="1" si="60"/>
        <v>8</v>
      </c>
      <c r="AL74" s="150">
        <f t="shared" ca="1" si="60"/>
        <v>95</v>
      </c>
      <c r="AM74" s="150">
        <f t="shared" ca="1" si="60"/>
        <v>19</v>
      </c>
      <c r="AN74" s="150">
        <f t="shared" ca="1" si="60"/>
        <v>86</v>
      </c>
      <c r="AO74" s="150">
        <f t="shared" ca="1" si="15"/>
        <v>90.526315789473685</v>
      </c>
      <c r="AP74" s="150">
        <f ca="1">SUM(AP75:AP88)</f>
        <v>11</v>
      </c>
      <c r="AQ74" s="152">
        <f t="shared" ca="1" si="16"/>
        <v>57.89473684210526</v>
      </c>
      <c r="AR74" s="150">
        <f t="shared" ref="AR74:AV74" ca="1" si="61">SUM(AR75:AR88)</f>
        <v>95</v>
      </c>
      <c r="AS74" s="150">
        <f t="shared" ca="1" si="61"/>
        <v>86</v>
      </c>
      <c r="AT74" s="150">
        <f t="shared" ca="1" si="61"/>
        <v>86</v>
      </c>
      <c r="AU74" s="150">
        <f t="shared" ca="1" si="61"/>
        <v>11</v>
      </c>
      <c r="AV74" s="150">
        <f t="shared" ca="1" si="61"/>
        <v>7</v>
      </c>
      <c r="AW74" s="152">
        <f t="shared" ca="1" si="18"/>
        <v>63.636363636363633</v>
      </c>
      <c r="AX74" s="150">
        <f t="shared" ref="AX74:AY74" ca="1" si="62">SUM(AX75:AX88)</f>
        <v>8</v>
      </c>
      <c r="AY74" s="150">
        <f t="shared" ca="1" si="62"/>
        <v>4</v>
      </c>
      <c r="AZ74" s="152">
        <f t="shared" ca="1" si="20"/>
        <v>50</v>
      </c>
    </row>
    <row r="75" spans="1:52" ht="21" customHeight="1" x14ac:dyDescent="0.3">
      <c r="A75" s="168">
        <v>1</v>
      </c>
      <c r="B75" s="169" t="s">
        <v>97</v>
      </c>
      <c r="C75" s="170">
        <f t="shared" ca="1" si="0"/>
        <v>85840</v>
      </c>
      <c r="D75" s="171">
        <f t="shared" ref="D75:D88" ca="1" si="63">+E75+F75</f>
        <v>85840</v>
      </c>
      <c r="E75" s="172">
        <f ca="1">IFERROR(__xludf.DUMMYFUNCTION("IMPORTRANGE(""https://docs.google.com/spreadsheets/d/1MeEWN-I1oV_STSDYn1IFDPWt_1FKiwhDph83XaGc0o0/edit?usp=sharing"",""งบพรบ!AR75"")"),0)</f>
        <v>0</v>
      </c>
      <c r="F75" s="172">
        <f ca="1">IFERROR(__xludf.DUMMYFUNCTION("IMPORTRANGE(""https://docs.google.com/spreadsheets/d/1MeEWN-I1oV_STSDYn1IFDPWt_1FKiwhDph83XaGc0o0/edit?usp=sharing"",""งบพรบ!AS75"")"),85840)</f>
        <v>85840</v>
      </c>
      <c r="G75" s="172">
        <f ca="1">IFERROR(__xludf.DUMMYFUNCTION("IMPORTRANGE(""https://docs.google.com/spreadsheets/d/1MeEWN-I1oV_STSDYn1IFDPWt_1FKiwhDph83XaGc0o0/edit?usp=sharing"",""งบพรบ!AT75"")"),0)</f>
        <v>0</v>
      </c>
      <c r="H75" s="172">
        <f ca="1">IFERROR(__xludf.DUMMYFUNCTION("IMPORTRANGE(""https://docs.google.com/spreadsheets/d/1MeEWN-I1oV_STSDYn1IFDPWt_1FKiwhDph83XaGc0o0/edit?usp=sharing"",""งบพรบ!AV75"")"),85840)</f>
        <v>85840</v>
      </c>
      <c r="I75" s="172">
        <f ca="1">IFERROR(__xludf.DUMMYFUNCTION("IMPORTRANGE(""https://docs.google.com/spreadsheets/d/1MeEWN-I1oV_STSDYn1IFDPWt_1FKiwhDph83XaGc0o0/edit?usp=sharing"",""งบพรบ!AW75"")"),0)</f>
        <v>0</v>
      </c>
      <c r="J75" s="172">
        <f t="shared" ca="1" si="3"/>
        <v>85840</v>
      </c>
      <c r="K75" s="179">
        <f t="shared" ca="1" si="4"/>
        <v>100</v>
      </c>
      <c r="L75" s="172">
        <f ca="1">IFERROR(__xludf.DUMMYFUNCTION("IMPORTRANGE(""https://docs.google.com/spreadsheets/d/1MeEWN-I1oV_STSDYn1IFDPWt_1FKiwhDph83XaGc0o0/edit?usp=sharing"",""งบพรบ!AX75"")"),85840)</f>
        <v>85840</v>
      </c>
      <c r="M75" s="175">
        <f t="shared" ca="1" si="5"/>
        <v>100</v>
      </c>
      <c r="N75" s="175">
        <f t="shared" ca="1" si="6"/>
        <v>100</v>
      </c>
      <c r="O75" s="176">
        <f ca="1">IFERROR(__xludf.DUMMYFUNCTION("IMPORTRANGE(""https://docs.google.com/spreadsheets/d/1MeEWN-I1oV_STSDYn1IFDPWt_1FKiwhDph83XaGc0o0/edit?usp=sharing"",""งบพรบ!AY75"")"),0)</f>
        <v>0</v>
      </c>
      <c r="P75" s="176">
        <f t="shared" ca="1" si="36"/>
        <v>0</v>
      </c>
      <c r="Q75" s="175">
        <f t="shared" ca="1" si="8"/>
        <v>0</v>
      </c>
      <c r="R75" s="173">
        <f ca="1">IFERROR(__xludf.DUMMYFUNCTION("IMPORTRANGE(""https://docs.google.com/spreadsheets/d/1kC41EOXpGBFOW658Fs3oD8beYlym0-zO54WY-2Qnp9I/edit?usp=sharing"",""กระบี่!I98"")"),30)</f>
        <v>30</v>
      </c>
      <c r="S75" s="173">
        <f ca="1">IFERROR(__xludf.DUMMYFUNCTION("IMPORTRANGE(""https://docs.google.com/spreadsheets/d/1kC41EOXpGBFOW658Fs3oD8beYlym0-zO54WY-2Qnp9I/edit?usp=sharing"",""กระบี่!J98"")"),30)</f>
        <v>30</v>
      </c>
      <c r="T75" s="173">
        <f t="shared" ca="1" si="10"/>
        <v>100</v>
      </c>
      <c r="U75" s="173">
        <f ca="1">IFERROR(__xludf.DUMMYFUNCTION("IMPORTRANGE(""https://docs.google.com/spreadsheets/d/1kC41EOXpGBFOW658Fs3oD8beYlym0-zO54WY-2Qnp9I/edit?usp=sharing"",""กระบี่!I99"")"),10)</f>
        <v>10</v>
      </c>
      <c r="V75" s="173">
        <f ca="1">IFERROR(__xludf.DUMMYFUNCTION("IMPORTRANGE(""https://docs.google.com/spreadsheets/d/1kC41EOXpGBFOW658Fs3oD8beYlym0-zO54WY-2Qnp9I/edit?usp=sharing"",""กระบี่!I100"")"),2)</f>
        <v>2</v>
      </c>
      <c r="W75" s="173">
        <f ca="1">IFERROR(__xludf.DUMMYFUNCTION("IMPORTRANGE(""https://docs.google.com/spreadsheets/d/1kC41EOXpGBFOW658Fs3oD8beYlym0-zO54WY-2Qnp9I/edit?usp=sharing"",""กระบี่!J99"")"),10)</f>
        <v>10</v>
      </c>
      <c r="X75" s="177">
        <f t="shared" ca="1" si="12"/>
        <v>100</v>
      </c>
      <c r="Y75" s="178">
        <f ca="1">IFERROR(__xludf.DUMMYFUNCTION("IMPORTRANGE(""https://docs.google.com/spreadsheets/d/1kC41EOXpGBFOW658Fs3oD8beYlym0-zO54WY-2Qnp9I/edit?usp=sharing"",""กระบี่!J100"")"),2)</f>
        <v>2</v>
      </c>
      <c r="Z75" s="177">
        <f t="shared" ca="1" si="13"/>
        <v>100</v>
      </c>
      <c r="AA75" s="172">
        <f ca="1">IFERROR(__xludf.DUMMYFUNCTION("IMPORTRANGE(""https://docs.google.com/spreadsheets/d/1kC41EOXpGBFOW658Fs3oD8beYlym0-zO54WY-2Qnp9I/edit?usp=sharing"",""กระบี่!I102"")"),30)</f>
        <v>30</v>
      </c>
      <c r="AB75" s="172">
        <f ca="1">IFERROR(__xludf.DUMMYFUNCTION("IMPORTRANGE(""https://docs.google.com/spreadsheets/d/1kC41EOXpGBFOW658Fs3oD8beYlym0-zO54WY-2Qnp9I/edit?usp=sharing"",""กระบี่!I103"")"),10)</f>
        <v>10</v>
      </c>
      <c r="AC75" s="173">
        <f ca="1">IFERROR(__xludf.DUMMYFUNCTION("IMPORTRANGE(""https://docs.google.com/spreadsheets/d/1kC41EOXpGBFOW658Fs3oD8beYlym0-zO54WY-2Qnp9I/edit?usp=sharing"",""กระบี่!J102"")"),30)</f>
        <v>30</v>
      </c>
      <c r="AD75" s="173">
        <f ca="1">IFERROR(__xludf.DUMMYFUNCTION("IMPORTRANGE(""https://docs.google.com/spreadsheets/d/1kC41EOXpGBFOW658Fs3oD8beYlym0-zO54WY-2Qnp9I/edit?usp=sharing"",""กระบี่!J103"")"),10)</f>
        <v>10</v>
      </c>
      <c r="AE75" s="173">
        <f ca="1">IFERROR(__xludf.DUMMYFUNCTION("IMPORTRANGE(""https://docs.google.com/spreadsheets/d/1kC41EOXpGBFOW658Fs3oD8beYlym0-zO54WY-2Qnp9I/edit?usp=sharing"",""กระบี่!J104"")"),10)</f>
        <v>10</v>
      </c>
      <c r="AF75" s="172">
        <f ca="1">IFERROR(__xludf.DUMMYFUNCTION("IMPORTRANGE(""https://docs.google.com/spreadsheets/d/1kC41EOXpGBFOW658Fs3oD8beYlym0-zO54WY-2Qnp9I/edit?usp=sharing"",""กระบี่!I106"")"),1)</f>
        <v>1</v>
      </c>
      <c r="AG75" s="173">
        <f ca="1">IFERROR(__xludf.DUMMYFUNCTION("IMPORTRANGE(""https://docs.google.com/spreadsheets/d/1kC41EOXpGBFOW658Fs3oD8beYlym0-zO54WY-2Qnp9I/edit?usp=sharing"",""กระบี่!J106"")"),1)</f>
        <v>1</v>
      </c>
      <c r="AH75" s="173">
        <f ca="1">IFERROR(__xludf.DUMMYFUNCTION("IMPORTRANGE(""https://docs.google.com/spreadsheets/d/1kC41EOXpGBFOW658Fs3oD8beYlym0-zO54WY-2Qnp9I/edit?usp=sharing"",""กระบี่!J107"")"),1)</f>
        <v>1</v>
      </c>
      <c r="AI75" s="172">
        <f ca="1">IFERROR(__xludf.DUMMYFUNCTION("IMPORTRANGE(""https://docs.google.com/spreadsheets/d/1kC41EOXpGBFOW658Fs3oD8beYlym0-zO54WY-2Qnp9I/edit?usp=sharing"",""กระบี่!I109"")"),1)</f>
        <v>1</v>
      </c>
      <c r="AJ75" s="173">
        <f ca="1">IFERROR(__xludf.DUMMYFUNCTION("IMPORTRANGE(""https://docs.google.com/spreadsheets/d/1kC41EOXpGBFOW658Fs3oD8beYlym0-zO54WY-2Qnp9I/edit?usp=sharing"",""กระบี่!J109"")"),1)</f>
        <v>1</v>
      </c>
      <c r="AK75" s="173">
        <f ca="1">IFERROR(__xludf.DUMMYFUNCTION("IMPORTRANGE(""https://docs.google.com/spreadsheets/d/1kC41EOXpGBFOW658Fs3oD8beYlym0-zO54WY-2Qnp9I/edit?usp=sharing"",""กระบี่!J110"")"),1)</f>
        <v>1</v>
      </c>
      <c r="AL75" s="172">
        <f ca="1">IFERROR(__xludf.DUMMYFUNCTION("IMPORTRANGE(""https://docs.google.com/spreadsheets/d/1kC41EOXpGBFOW658Fs3oD8beYlym0-zO54WY-2Qnp9I/edit?usp=sharing"",""กระบี่!I111"")"),10)</f>
        <v>10</v>
      </c>
      <c r="AM75" s="172">
        <f ca="1">IFERROR(__xludf.DUMMYFUNCTION("IMPORTRANGE(""https://docs.google.com/spreadsheets/d/1kC41EOXpGBFOW658Fs3oD8beYlym0-zO54WY-2Qnp9I/edit?usp=sharing"",""กระบี่!I112"")"),2)</f>
        <v>2</v>
      </c>
      <c r="AN75" s="173">
        <f ca="1">IFERROR(__xludf.DUMMYFUNCTION("IMPORTRANGE(""https://docs.google.com/spreadsheets/d/1kC41EOXpGBFOW658Fs3oD8beYlym0-zO54WY-2Qnp9I/edit?usp=sharing"",""กระบี่!J111"")"),10)</f>
        <v>10</v>
      </c>
      <c r="AO75" s="173">
        <f t="shared" ca="1" si="15"/>
        <v>100</v>
      </c>
      <c r="AP75" s="173">
        <f ca="1">IFERROR(__xludf.DUMMYFUNCTION("IMPORTRANGE(""https://docs.google.com/spreadsheets/d/1kC41EOXpGBFOW658Fs3oD8beYlym0-zO54WY-2Qnp9I/edit?usp=sharing"",""กระบี่!J112"")"),2)</f>
        <v>2</v>
      </c>
      <c r="AQ75" s="175">
        <f t="shared" ca="1" si="16"/>
        <v>100</v>
      </c>
      <c r="AR75" s="172">
        <f ca="1">IFERROR(__xludf.DUMMYFUNCTION("IMPORTRANGE(""https://docs.google.com/spreadsheets/d/1kC41EOXpGBFOW658Fs3oD8beYlym0-zO54WY-2Qnp9I/edit?usp=sharing"",""กระบี่!I113"")"),10)</f>
        <v>10</v>
      </c>
      <c r="AS75" s="172">
        <f ca="1">IFERROR(__xludf.DUMMYFUNCTION("IMPORTRANGE(""https://docs.google.com/spreadsheets/d/1kC41EOXpGBFOW658Fs3oD8beYlym0-zO54WY-2Qnp9I/edit?usp=sharing"",""กระบี่!J113"")"),10)</f>
        <v>10</v>
      </c>
      <c r="AT75" s="172">
        <f ca="1">IFERROR(__xludf.DUMMYFUNCTION("IMPORTRANGE(""https://docs.google.com/spreadsheets/d/1kC41EOXpGBFOW658Fs3oD8beYlym0-zO54WY-2Qnp9I/edit?usp=sharing"",""กระบี่!J114"")"),10)</f>
        <v>10</v>
      </c>
      <c r="AU75" s="172">
        <f ca="1">IFERROR(__xludf.DUMMYFUNCTION("IMPORTRANGE(""https://docs.google.com/spreadsheets/d/1kC41EOXpGBFOW658Fs3oD8beYlym0-zO54WY-2Qnp9I/edit?usp=sharing"",""กระบี่!I115"")"),1)</f>
        <v>1</v>
      </c>
      <c r="AV75" s="173">
        <f ca="1">IFERROR(__xludf.DUMMYFUNCTION("IMPORTRANGE(""https://docs.google.com/spreadsheets/d/1kC41EOXpGBFOW658Fs3oD8beYlym0-zO54WY-2Qnp9I/edit?usp=sharing"",""กระบี่!J115"")"),1)</f>
        <v>1</v>
      </c>
      <c r="AW75" s="175">
        <f t="shared" ca="1" si="18"/>
        <v>100</v>
      </c>
      <c r="AX75" s="172">
        <f ca="1">IFERROR(__xludf.DUMMYFUNCTION("IMPORTRANGE(""https://docs.google.com/spreadsheets/d/1kC41EOXpGBFOW658Fs3oD8beYlym0-zO54WY-2Qnp9I/edit?usp=sharing"",""กระบี่!I116"")"),1)</f>
        <v>1</v>
      </c>
      <c r="AY75" s="173">
        <f ca="1">IFERROR(__xludf.DUMMYFUNCTION("IMPORTRANGE(""https://docs.google.com/spreadsheets/d/1kC41EOXpGBFOW658Fs3oD8beYlym0-zO54WY-2Qnp9I/edit?usp=sharing"",""กระบี่!J116"")"),1)</f>
        <v>1</v>
      </c>
      <c r="AZ75" s="175">
        <f t="shared" ca="1" si="20"/>
        <v>100</v>
      </c>
    </row>
    <row r="76" spans="1:52" ht="21" customHeight="1" x14ac:dyDescent="0.3">
      <c r="A76" s="168">
        <v>2</v>
      </c>
      <c r="B76" s="169" t="s">
        <v>98</v>
      </c>
      <c r="C76" s="170">
        <f t="shared" ca="1" si="0"/>
        <v>31200</v>
      </c>
      <c r="D76" s="171">
        <f t="shared" ca="1" si="63"/>
        <v>31200</v>
      </c>
      <c r="E76" s="172">
        <f ca="1">IFERROR(__xludf.DUMMYFUNCTION("IMPORTRANGE(""https://docs.google.com/spreadsheets/d/1MeEWN-I1oV_STSDYn1IFDPWt_1FKiwhDph83XaGc0o0/edit?usp=sharing"",""งบพรบ!AR76"")"),0)</f>
        <v>0</v>
      </c>
      <c r="F76" s="172">
        <f ca="1">IFERROR(__xludf.DUMMYFUNCTION("IMPORTRANGE(""https://docs.google.com/spreadsheets/d/1MeEWN-I1oV_STSDYn1IFDPWt_1FKiwhDph83XaGc0o0/edit?usp=sharing"",""งบพรบ!AS76"")"),31200)</f>
        <v>31200</v>
      </c>
      <c r="G76" s="172">
        <f ca="1">IFERROR(__xludf.DUMMYFUNCTION("IMPORTRANGE(""https://docs.google.com/spreadsheets/d/1MeEWN-I1oV_STSDYn1IFDPWt_1FKiwhDph83XaGc0o0/edit?usp=sharing"",""งบพรบ!AT76"")"),0)</f>
        <v>0</v>
      </c>
      <c r="H76" s="172">
        <f ca="1">IFERROR(__xludf.DUMMYFUNCTION("IMPORTRANGE(""https://docs.google.com/spreadsheets/d/1MeEWN-I1oV_STSDYn1IFDPWt_1FKiwhDph83XaGc0o0/edit?usp=sharing"",""งบพรบ!AV76"")"),31200)</f>
        <v>31200</v>
      </c>
      <c r="I76" s="172">
        <f ca="1">IFERROR(__xludf.DUMMYFUNCTION("IMPORTRANGE(""https://docs.google.com/spreadsheets/d/1MeEWN-I1oV_STSDYn1IFDPWt_1FKiwhDph83XaGc0o0/edit?usp=sharing"",""งบพรบ!AW76"")"),0)</f>
        <v>0</v>
      </c>
      <c r="J76" s="172">
        <f t="shared" ca="1" si="3"/>
        <v>28135</v>
      </c>
      <c r="K76" s="179">
        <f t="shared" ca="1" si="4"/>
        <v>90.176282051282058</v>
      </c>
      <c r="L76" s="172">
        <f ca="1">IFERROR(__xludf.DUMMYFUNCTION("IMPORTRANGE(""https://docs.google.com/spreadsheets/d/1MeEWN-I1oV_STSDYn1IFDPWt_1FKiwhDph83XaGc0o0/edit?usp=sharing"",""งบพรบ!AX76"")"),28135)</f>
        <v>28135</v>
      </c>
      <c r="M76" s="175">
        <f t="shared" ca="1" si="5"/>
        <v>90.176282051282058</v>
      </c>
      <c r="N76" s="175">
        <f t="shared" ca="1" si="6"/>
        <v>90.176282051282058</v>
      </c>
      <c r="O76" s="176">
        <f ca="1">IFERROR(__xludf.DUMMYFUNCTION("IMPORTRANGE(""https://docs.google.com/spreadsheets/d/1MeEWN-I1oV_STSDYn1IFDPWt_1FKiwhDph83XaGc0o0/edit?usp=sharing"",""งบพรบ!AY76"")"),0)</f>
        <v>0</v>
      </c>
      <c r="P76" s="176">
        <f t="shared" ca="1" si="36"/>
        <v>0</v>
      </c>
      <c r="Q76" s="175">
        <f t="shared" ca="1" si="8"/>
        <v>0</v>
      </c>
      <c r="R76" s="173">
        <f ca="1">IFERROR(__xludf.DUMMYFUNCTION("IMPORTRANGE(""https://docs.google.com/spreadsheets/d/1FbzMZY_f3MDiEuK7RpCQKrilJ_kpX0Wm7QBZ1L7EjIU/edit?usp=sharing"",""ชุมพร!I98"")"),0)</f>
        <v>0</v>
      </c>
      <c r="S76" s="173">
        <f ca="1">IFERROR(__xludf.DUMMYFUNCTION("IMPORTRANGE(""https://docs.google.com/spreadsheets/d/1FbzMZY_f3MDiEuK7RpCQKrilJ_kpX0Wm7QBZ1L7EjIU/edit?usp=sharing"",""ชุมพร!J98"")"),0)</f>
        <v>0</v>
      </c>
      <c r="T76" s="173">
        <f t="shared" ca="1" si="10"/>
        <v>0</v>
      </c>
      <c r="U76" s="173">
        <f ca="1">IFERROR(__xludf.DUMMYFUNCTION("IMPORTRANGE(""https://docs.google.com/spreadsheets/d/1FbzMZY_f3MDiEuK7RpCQKrilJ_kpX0Wm7QBZ1L7EjIU/edit?usp=sharing"",""ชุมพร!I99"")"),0)</f>
        <v>0</v>
      </c>
      <c r="V76" s="173">
        <f ca="1">IFERROR(__xludf.DUMMYFUNCTION("IMPORTRANGE(""https://docs.google.com/spreadsheets/d/1FbzMZY_f3MDiEuK7RpCQKrilJ_kpX0Wm7QBZ1L7EjIU/edit?usp=sharing"",""ชุมพร!I100"")"),1)</f>
        <v>1</v>
      </c>
      <c r="W76" s="173">
        <f ca="1">IFERROR(__xludf.DUMMYFUNCTION("IMPORTRANGE(""https://docs.google.com/spreadsheets/d/1FbzMZY_f3MDiEuK7RpCQKrilJ_kpX0Wm7QBZ1L7EjIU/edit?usp=sharing"",""ชุมพร!J99"")"),0)</f>
        <v>0</v>
      </c>
      <c r="X76" s="177">
        <f t="shared" ca="1" si="12"/>
        <v>0</v>
      </c>
      <c r="Y76" s="178">
        <f ca="1">IFERROR(__xludf.DUMMYFUNCTION("IMPORTRANGE(""https://docs.google.com/spreadsheets/d/1FbzMZY_f3MDiEuK7RpCQKrilJ_kpX0Wm7QBZ1L7EjIU/edit?usp=sharing"",""ชุมพร!J100"")"),1)</f>
        <v>1</v>
      </c>
      <c r="Z76" s="177">
        <f t="shared" ca="1" si="13"/>
        <v>100</v>
      </c>
      <c r="AA76" s="172">
        <f ca="1">IFERROR(__xludf.DUMMYFUNCTION("IMPORTRANGE(""https://docs.google.com/spreadsheets/d/1FbzMZY_f3MDiEuK7RpCQKrilJ_kpX0Wm7QBZ1L7EjIU/edit?usp=sharing"",""ชุมพร!I102"")"),0)</f>
        <v>0</v>
      </c>
      <c r="AB76" s="172">
        <f ca="1">IFERROR(__xludf.DUMMYFUNCTION("IMPORTRANGE(""https://docs.google.com/spreadsheets/d/1FbzMZY_f3MDiEuK7RpCQKrilJ_kpX0Wm7QBZ1L7EjIU/edit?usp=sharing"",""ชุมพร!I103"")"),0)</f>
        <v>0</v>
      </c>
      <c r="AC76" s="173">
        <f ca="1">IFERROR(__xludf.DUMMYFUNCTION("IMPORTRANGE(""https://docs.google.com/spreadsheets/d/1FbzMZY_f3MDiEuK7RpCQKrilJ_kpX0Wm7QBZ1L7EjIU/edit?usp=sharing"",""ชุมพร!J102"")"),0)</f>
        <v>0</v>
      </c>
      <c r="AD76" s="173">
        <f ca="1">IFERROR(__xludf.DUMMYFUNCTION("IMPORTRANGE(""https://docs.google.com/spreadsheets/d/1FbzMZY_f3MDiEuK7RpCQKrilJ_kpX0Wm7QBZ1L7EjIU/edit?usp=sharing"",""ชุมพร!J103"")"),0)</f>
        <v>0</v>
      </c>
      <c r="AE76" s="173">
        <f ca="1">IFERROR(__xludf.DUMMYFUNCTION("IMPORTRANGE(""https://docs.google.com/spreadsheets/d/1FbzMZY_f3MDiEuK7RpCQKrilJ_kpX0Wm7QBZ1L7EjIU/edit?usp=sharing"",""ชุมพร!J104"")"),0)</f>
        <v>0</v>
      </c>
      <c r="AF76" s="172">
        <f ca="1">IFERROR(__xludf.DUMMYFUNCTION("IMPORTRANGE(""https://docs.google.com/spreadsheets/d/1FbzMZY_f3MDiEuK7RpCQKrilJ_kpX0Wm7QBZ1L7EjIU/edit?usp=sharing"",""ชุมพร!I106"")"),1)</f>
        <v>1</v>
      </c>
      <c r="AG76" s="173">
        <f ca="1">IFERROR(__xludf.DUMMYFUNCTION("IMPORTRANGE(""https://docs.google.com/spreadsheets/d/1FbzMZY_f3MDiEuK7RpCQKrilJ_kpX0Wm7QBZ1L7EjIU/edit?usp=sharing"",""ชุมพร!J106"")"),1)</f>
        <v>1</v>
      </c>
      <c r="AH76" s="173">
        <f ca="1">IFERROR(__xludf.DUMMYFUNCTION("IMPORTRANGE(""https://docs.google.com/spreadsheets/d/1FbzMZY_f3MDiEuK7RpCQKrilJ_kpX0Wm7QBZ1L7EjIU/edit?usp=sharing"",""ชุมพร!J107"")"),1)</f>
        <v>1</v>
      </c>
      <c r="AI76" s="172">
        <f ca="1">IFERROR(__xludf.DUMMYFUNCTION("IMPORTRANGE(""https://docs.google.com/spreadsheets/d/1FbzMZY_f3MDiEuK7RpCQKrilJ_kpX0Wm7QBZ1L7EjIU/edit?usp=sharing"",""ชุมพร!I109"")"),0)</f>
        <v>0</v>
      </c>
      <c r="AJ76" s="173">
        <f ca="1">IFERROR(__xludf.DUMMYFUNCTION("IMPORTRANGE(""https://docs.google.com/spreadsheets/d/1FbzMZY_f3MDiEuK7RpCQKrilJ_kpX0Wm7QBZ1L7EjIU/edit?usp=sharing"",""ชุมพร!J109"")"),0)</f>
        <v>0</v>
      </c>
      <c r="AK76" s="173">
        <f ca="1">IFERROR(__xludf.DUMMYFUNCTION("IMPORTRANGE(""https://docs.google.com/spreadsheets/d/1FbzMZY_f3MDiEuK7RpCQKrilJ_kpX0Wm7QBZ1L7EjIU/edit?usp=sharing"",""ชุมพร!J110"")"),0)</f>
        <v>0</v>
      </c>
      <c r="AL76" s="172">
        <f ca="1">IFERROR(__xludf.DUMMYFUNCTION("IMPORTRANGE(""https://docs.google.com/spreadsheets/d/1FbzMZY_f3MDiEuK7RpCQKrilJ_kpX0Wm7QBZ1L7EjIU/edit?usp=sharing"",""ชุมพร!I111"")"),0)</f>
        <v>0</v>
      </c>
      <c r="AM76" s="172">
        <f ca="1">IFERROR(__xludf.DUMMYFUNCTION("IMPORTRANGE(""https://docs.google.com/spreadsheets/d/1FbzMZY_f3MDiEuK7RpCQKrilJ_kpX0Wm7QBZ1L7EjIU/edit?usp=sharing"",""ชุมพร!I112"")"),1)</f>
        <v>1</v>
      </c>
      <c r="AN76" s="173">
        <f ca="1">IFERROR(__xludf.DUMMYFUNCTION("IMPORTRANGE(""https://docs.google.com/spreadsheets/d/1FbzMZY_f3MDiEuK7RpCQKrilJ_kpX0Wm7QBZ1L7EjIU/edit?usp=sharing"",""ชุมพร!J111"")"),0)</f>
        <v>0</v>
      </c>
      <c r="AO76" s="173">
        <f t="shared" ca="1" si="15"/>
        <v>0</v>
      </c>
      <c r="AP76" s="173">
        <f ca="1">IFERROR(__xludf.DUMMYFUNCTION("IMPORTRANGE(""https://docs.google.com/spreadsheets/d/1FbzMZY_f3MDiEuK7RpCQKrilJ_kpX0Wm7QBZ1L7EjIU/edit?usp=sharing"",""ชุมพร!J112"")"),1)</f>
        <v>1</v>
      </c>
      <c r="AQ76" s="175">
        <f t="shared" ca="1" si="16"/>
        <v>100</v>
      </c>
      <c r="AR76" s="172">
        <f ca="1">IFERROR(__xludf.DUMMYFUNCTION("IMPORTRANGE(""https://docs.google.com/spreadsheets/d/1FbzMZY_f3MDiEuK7RpCQKrilJ_kpX0Wm7QBZ1L7EjIU/edit?usp=sharing"",""ชุมพร!I113"")"),0)</f>
        <v>0</v>
      </c>
      <c r="AS76" s="172">
        <f ca="1">IFERROR(__xludf.DUMMYFUNCTION("IMPORTRANGE(""https://docs.google.com/spreadsheets/d/1FbzMZY_f3MDiEuK7RpCQKrilJ_kpX0Wm7QBZ1L7EjIU/edit?usp=sharing"",""ชุมพร!J113"")"),0)</f>
        <v>0</v>
      </c>
      <c r="AT76" s="172">
        <f ca="1">IFERROR(__xludf.DUMMYFUNCTION("IMPORTRANGE(""https://docs.google.com/spreadsheets/d/1FbzMZY_f3MDiEuK7RpCQKrilJ_kpX0Wm7QBZ1L7EjIU/edit?usp=sharing"",""ชุมพร!J114"")"),0)</f>
        <v>0</v>
      </c>
      <c r="AU76" s="172">
        <f ca="1">IFERROR(__xludf.DUMMYFUNCTION("IMPORTRANGE(""https://docs.google.com/spreadsheets/d/1FbzMZY_f3MDiEuK7RpCQKrilJ_kpX0Wm7QBZ1L7EjIU/edit?usp=sharing"",""ชุมพร!I115"")"),1)</f>
        <v>1</v>
      </c>
      <c r="AV76" s="173">
        <f ca="1">IFERROR(__xludf.DUMMYFUNCTION("IMPORTRANGE(""https://docs.google.com/spreadsheets/d/1FbzMZY_f3MDiEuK7RpCQKrilJ_kpX0Wm7QBZ1L7EjIU/edit?usp=sharing"",""ชุมพร!J115"")"),1)</f>
        <v>1</v>
      </c>
      <c r="AW76" s="175">
        <f t="shared" ca="1" si="18"/>
        <v>100</v>
      </c>
      <c r="AX76" s="172">
        <f ca="1">IFERROR(__xludf.DUMMYFUNCTION("IMPORTRANGE(""https://docs.google.com/spreadsheets/d/1FbzMZY_f3MDiEuK7RpCQKrilJ_kpX0Wm7QBZ1L7EjIU/edit?usp=sharing"",""ชุมพร!I116"")"),0)</f>
        <v>0</v>
      </c>
      <c r="AY76" s="173">
        <f ca="1">IFERROR(__xludf.DUMMYFUNCTION("IMPORTRANGE(""https://docs.google.com/spreadsheets/d/1FbzMZY_f3MDiEuK7RpCQKrilJ_kpX0Wm7QBZ1L7EjIU/edit?usp=sharing"",""ชุมพร!J116"")"),0)</f>
        <v>0</v>
      </c>
      <c r="AZ76" s="175">
        <f t="shared" ca="1" si="20"/>
        <v>0</v>
      </c>
    </row>
    <row r="77" spans="1:52" ht="21" customHeight="1" x14ac:dyDescent="0.3">
      <c r="A77" s="168">
        <v>3</v>
      </c>
      <c r="B77" s="169" t="s">
        <v>99</v>
      </c>
      <c r="C77" s="170">
        <f t="shared" ca="1" si="0"/>
        <v>203800</v>
      </c>
      <c r="D77" s="171">
        <f t="shared" ca="1" si="63"/>
        <v>203800</v>
      </c>
      <c r="E77" s="172">
        <f ca="1">IFERROR(__xludf.DUMMYFUNCTION("IMPORTRANGE(""https://docs.google.com/spreadsheets/d/1MeEWN-I1oV_STSDYn1IFDPWt_1FKiwhDph83XaGc0o0/edit?usp=sharing"",""งบพรบ!AR77"")"),143000)</f>
        <v>143000</v>
      </c>
      <c r="F77" s="172">
        <f ca="1">IFERROR(__xludf.DUMMYFUNCTION("IMPORTRANGE(""https://docs.google.com/spreadsheets/d/1MeEWN-I1oV_STSDYn1IFDPWt_1FKiwhDph83XaGc0o0/edit?usp=sharing"",""งบพรบ!AS77"")"),60800)</f>
        <v>60800</v>
      </c>
      <c r="G77" s="172">
        <f ca="1">IFERROR(__xludf.DUMMYFUNCTION("IMPORTRANGE(""https://docs.google.com/spreadsheets/d/1MeEWN-I1oV_STSDYn1IFDPWt_1FKiwhDph83XaGc0o0/edit?usp=sharing"",""งบพรบ!AT77"")"),0)</f>
        <v>0</v>
      </c>
      <c r="H77" s="172">
        <f ca="1">IFERROR(__xludf.DUMMYFUNCTION("IMPORTRANGE(""https://docs.google.com/spreadsheets/d/1MeEWN-I1oV_STSDYn1IFDPWt_1FKiwhDph83XaGc0o0/edit?usp=sharing"",""งบพรบ!AV77"")"),203800)</f>
        <v>203800</v>
      </c>
      <c r="I77" s="172">
        <f ca="1">IFERROR(__xludf.DUMMYFUNCTION("IMPORTRANGE(""https://docs.google.com/spreadsheets/d/1MeEWN-I1oV_STSDYn1IFDPWt_1FKiwhDph83XaGc0o0/edit?usp=sharing"",""งบพรบ!AW77"")"),0)</f>
        <v>0</v>
      </c>
      <c r="J77" s="172">
        <f t="shared" ca="1" si="3"/>
        <v>169431.04000000001</v>
      </c>
      <c r="K77" s="179">
        <f t="shared" ca="1" si="4"/>
        <v>83.135937193326797</v>
      </c>
      <c r="L77" s="172">
        <f ca="1">IFERROR(__xludf.DUMMYFUNCTION("IMPORTRANGE(""https://docs.google.com/spreadsheets/d/1MeEWN-I1oV_STSDYn1IFDPWt_1FKiwhDph83XaGc0o0/edit?usp=sharing"",""งบพรบ!AX77"")"),169431.04)</f>
        <v>169431.04000000001</v>
      </c>
      <c r="M77" s="175">
        <f t="shared" ca="1" si="5"/>
        <v>83.135937193326797</v>
      </c>
      <c r="N77" s="175">
        <f t="shared" ca="1" si="6"/>
        <v>83.135937193326797</v>
      </c>
      <c r="O77" s="176">
        <f ca="1">IFERROR(__xludf.DUMMYFUNCTION("IMPORTRANGE(""https://docs.google.com/spreadsheets/d/1MeEWN-I1oV_STSDYn1IFDPWt_1FKiwhDph83XaGc0o0/edit?usp=sharing"",""งบพรบ!AY77"")"),0)</f>
        <v>0</v>
      </c>
      <c r="P77" s="176">
        <f t="shared" ca="1" si="36"/>
        <v>0</v>
      </c>
      <c r="Q77" s="175">
        <f t="shared" ca="1" si="8"/>
        <v>0</v>
      </c>
      <c r="R77" s="173">
        <f ca="1">IFERROR(__xludf.DUMMYFUNCTION("IMPORTRANGE(""https://docs.google.com/spreadsheets/d/1v5sN-00LrXuhBxw4dkh2GrG_z4l5oAqOdJRBCsUyMaM/edit?usp=sharing"",""ตรัง!I98"")"),0)</f>
        <v>0</v>
      </c>
      <c r="S77" s="173">
        <f ca="1">IFERROR(__xludf.DUMMYFUNCTION("IMPORTRANGE(""https://docs.google.com/spreadsheets/d/1v5sN-00LrXuhBxw4dkh2GrG_z4l5oAqOdJRBCsUyMaM/edit?usp=sharing"",""ตรัง!J98"")"),0)</f>
        <v>0</v>
      </c>
      <c r="T77" s="173">
        <f t="shared" ca="1" si="10"/>
        <v>0</v>
      </c>
      <c r="U77" s="173">
        <f ca="1">IFERROR(__xludf.DUMMYFUNCTION("IMPORTRANGE(""https://docs.google.com/spreadsheets/d/1v5sN-00LrXuhBxw4dkh2GrG_z4l5oAqOdJRBCsUyMaM/edit?usp=sharing"",""ตรัง!I99"")"),0)</f>
        <v>0</v>
      </c>
      <c r="V77" s="173">
        <f ca="1">IFERROR(__xludf.DUMMYFUNCTION("IMPORTRANGE(""https://docs.google.com/spreadsheets/d/1v5sN-00LrXuhBxw4dkh2GrG_z4l5oAqOdJRBCsUyMaM/edit?usp=sharing"",""ตรัง!I100"")"),2)</f>
        <v>2</v>
      </c>
      <c r="W77" s="173">
        <f ca="1">IFERROR(__xludf.DUMMYFUNCTION("IMPORTRANGE(""https://docs.google.com/spreadsheets/d/1v5sN-00LrXuhBxw4dkh2GrG_z4l5oAqOdJRBCsUyMaM/edit?usp=sharing"",""ตรัง!J99"")"),0)</f>
        <v>0</v>
      </c>
      <c r="X77" s="177">
        <f t="shared" ca="1" si="12"/>
        <v>0</v>
      </c>
      <c r="Y77" s="178">
        <f ca="1">IFERROR(__xludf.DUMMYFUNCTION("IMPORTRANGE(""https://docs.google.com/spreadsheets/d/1v5sN-00LrXuhBxw4dkh2GrG_z4l5oAqOdJRBCsUyMaM/edit?usp=sharing"",""ตรัง!J100"")"),2)</f>
        <v>2</v>
      </c>
      <c r="Z77" s="177">
        <f t="shared" ca="1" si="13"/>
        <v>100</v>
      </c>
      <c r="AA77" s="172">
        <f ca="1">IFERROR(__xludf.DUMMYFUNCTION("IMPORTRANGE(""https://docs.google.com/spreadsheets/d/1v5sN-00LrXuhBxw4dkh2GrG_z4l5oAqOdJRBCsUyMaM/edit?usp=sharing"",""ตรัง!I102"")"),0)</f>
        <v>0</v>
      </c>
      <c r="AB77" s="172">
        <f ca="1">IFERROR(__xludf.DUMMYFUNCTION("IMPORTRANGE(""https://docs.google.com/spreadsheets/d/1v5sN-00LrXuhBxw4dkh2GrG_z4l5oAqOdJRBCsUyMaM/edit?usp=sharing"",""ตรัง!I103"")"),0)</f>
        <v>0</v>
      </c>
      <c r="AC77" s="173">
        <f ca="1">IFERROR(__xludf.DUMMYFUNCTION("IMPORTRANGE(""https://docs.google.com/spreadsheets/d/1v5sN-00LrXuhBxw4dkh2GrG_z4l5oAqOdJRBCsUyMaM/edit?usp=sharing"",""ตรัง!J102"")"),0)</f>
        <v>0</v>
      </c>
      <c r="AD77" s="173">
        <f ca="1">IFERROR(__xludf.DUMMYFUNCTION("IMPORTRANGE(""https://docs.google.com/spreadsheets/d/1v5sN-00LrXuhBxw4dkh2GrG_z4l5oAqOdJRBCsUyMaM/edit?usp=sharing"",""ตรัง!J103"")"),0)</f>
        <v>0</v>
      </c>
      <c r="AE77" s="173">
        <f ca="1">IFERROR(__xludf.DUMMYFUNCTION("IMPORTRANGE(""https://docs.google.com/spreadsheets/d/1v5sN-00LrXuhBxw4dkh2GrG_z4l5oAqOdJRBCsUyMaM/edit?usp=sharing"",""ตรัง!J104"")"),0)</f>
        <v>0</v>
      </c>
      <c r="AF77" s="172">
        <f ca="1">IFERROR(__xludf.DUMMYFUNCTION("IMPORTRANGE(""https://docs.google.com/spreadsheets/d/1v5sN-00LrXuhBxw4dkh2GrG_z4l5oAqOdJRBCsUyMaM/edit?usp=sharing"",""ตรัง!I106"")"),1)</f>
        <v>1</v>
      </c>
      <c r="AG77" s="173">
        <f ca="1">IFERROR(__xludf.DUMMYFUNCTION("IMPORTRANGE(""https://docs.google.com/spreadsheets/d/1v5sN-00LrXuhBxw4dkh2GrG_z4l5oAqOdJRBCsUyMaM/edit?usp=sharing"",""ตรัง!J106"")"),1)</f>
        <v>1</v>
      </c>
      <c r="AH77" s="173">
        <f ca="1">IFERROR(__xludf.DUMMYFUNCTION("IMPORTRANGE(""https://docs.google.com/spreadsheets/d/1v5sN-00LrXuhBxw4dkh2GrG_z4l5oAqOdJRBCsUyMaM/edit?usp=sharing"",""ตรัง!J107"")"),1)</f>
        <v>1</v>
      </c>
      <c r="AI77" s="172">
        <f ca="1">IFERROR(__xludf.DUMMYFUNCTION("IMPORTRANGE(""https://docs.google.com/spreadsheets/d/1v5sN-00LrXuhBxw4dkh2GrG_z4l5oAqOdJRBCsUyMaM/edit?usp=sharing"",""ตรัง!I109"")"),1)</f>
        <v>1</v>
      </c>
      <c r="AJ77" s="173">
        <f ca="1">IFERROR(__xludf.DUMMYFUNCTION("IMPORTRANGE(""https://docs.google.com/spreadsheets/d/1v5sN-00LrXuhBxw4dkh2GrG_z4l5oAqOdJRBCsUyMaM/edit?usp=sharing"",""ตรัง!J109"")"),1)</f>
        <v>1</v>
      </c>
      <c r="AK77" s="173">
        <f ca="1">IFERROR(__xludf.DUMMYFUNCTION("IMPORTRANGE(""https://docs.google.com/spreadsheets/d/1v5sN-00LrXuhBxw4dkh2GrG_z4l5oAqOdJRBCsUyMaM/edit?usp=sharing"",""ตรัง!J110"")"),1)</f>
        <v>1</v>
      </c>
      <c r="AL77" s="172">
        <f ca="1">IFERROR(__xludf.DUMMYFUNCTION("IMPORTRANGE(""https://docs.google.com/spreadsheets/d/1v5sN-00LrXuhBxw4dkh2GrG_z4l5oAqOdJRBCsUyMaM/edit?usp=sharing"",""ตรัง!I111"")"),0)</f>
        <v>0</v>
      </c>
      <c r="AM77" s="172">
        <f ca="1">IFERROR(__xludf.DUMMYFUNCTION("IMPORTRANGE(""https://docs.google.com/spreadsheets/d/1v5sN-00LrXuhBxw4dkh2GrG_z4l5oAqOdJRBCsUyMaM/edit?usp=sharing"",""ตรัง!I112"")"),2)</f>
        <v>2</v>
      </c>
      <c r="AN77" s="173">
        <f ca="1">IFERROR(__xludf.DUMMYFUNCTION("IMPORTRANGE(""https://docs.google.com/spreadsheets/d/1v5sN-00LrXuhBxw4dkh2GrG_z4l5oAqOdJRBCsUyMaM/edit?usp=sharing"",""ตรัง!J111"")"),0)</f>
        <v>0</v>
      </c>
      <c r="AO77" s="173">
        <f t="shared" ca="1" si="15"/>
        <v>0</v>
      </c>
      <c r="AP77" s="173">
        <f ca="1">IFERROR(__xludf.DUMMYFUNCTION("IMPORTRANGE(""https://docs.google.com/spreadsheets/d/1v5sN-00LrXuhBxw4dkh2GrG_z4l5oAqOdJRBCsUyMaM/edit?usp=sharing"",""ตรัง!J112"")"),0)</f>
        <v>0</v>
      </c>
      <c r="AQ77" s="175">
        <f t="shared" ca="1" si="16"/>
        <v>0</v>
      </c>
      <c r="AR77" s="172">
        <f ca="1">IFERROR(__xludf.DUMMYFUNCTION("IMPORTRANGE(""https://docs.google.com/spreadsheets/d/1v5sN-00LrXuhBxw4dkh2GrG_z4l5oAqOdJRBCsUyMaM/edit?usp=sharing"",""ตรัง!I113"")"),0)</f>
        <v>0</v>
      </c>
      <c r="AS77" s="172">
        <f ca="1">IFERROR(__xludf.DUMMYFUNCTION("IMPORTRANGE(""https://docs.google.com/spreadsheets/d/1v5sN-00LrXuhBxw4dkh2GrG_z4l5oAqOdJRBCsUyMaM/edit?usp=sharing"",""ตรัง!J113"")"),0)</f>
        <v>0</v>
      </c>
      <c r="AT77" s="172">
        <f ca="1">IFERROR(__xludf.DUMMYFUNCTION("IMPORTRANGE(""https://docs.google.com/spreadsheets/d/1v5sN-00LrXuhBxw4dkh2GrG_z4l5oAqOdJRBCsUyMaM/edit?usp=sharing"",""ตรัง!J114"")"),0)</f>
        <v>0</v>
      </c>
      <c r="AU77" s="172">
        <f ca="1">IFERROR(__xludf.DUMMYFUNCTION("IMPORTRANGE(""https://docs.google.com/spreadsheets/d/1v5sN-00LrXuhBxw4dkh2GrG_z4l5oAqOdJRBCsUyMaM/edit?usp=sharing"",""ตรัง!I115"")"),1)</f>
        <v>1</v>
      </c>
      <c r="AV77" s="173" t="str">
        <f ca="1">IFERROR(__xludf.DUMMYFUNCTION("IMPORTRANGE(""https://docs.google.com/spreadsheets/d/1v5sN-00LrXuhBxw4dkh2GrG_z4l5oAqOdJRBCsUyMaM/edit?usp=sharing"",""ตรัง!J115"")"),"")</f>
        <v/>
      </c>
      <c r="AW77" s="175" t="e">
        <f t="shared" ca="1" si="18"/>
        <v>#VALUE!</v>
      </c>
      <c r="AX77" s="172">
        <f ca="1">IFERROR(__xludf.DUMMYFUNCTION("IMPORTRANGE(""https://docs.google.com/spreadsheets/d/1v5sN-00LrXuhBxw4dkh2GrG_z4l5oAqOdJRBCsUyMaM/edit?usp=sharing"",""ตรัง!I116"")"),1)</f>
        <v>1</v>
      </c>
      <c r="AY77" s="173" t="str">
        <f ca="1">IFERROR(__xludf.DUMMYFUNCTION("IMPORTRANGE(""https://docs.google.com/spreadsheets/d/1v5sN-00LrXuhBxw4dkh2GrG_z4l5oAqOdJRBCsUyMaM/edit?usp=sharing"",""ตรัง!J116"")"),"")</f>
        <v/>
      </c>
      <c r="AZ77" s="175" t="e">
        <f t="shared" ca="1" si="20"/>
        <v>#VALUE!</v>
      </c>
    </row>
    <row r="78" spans="1:52" ht="21" customHeight="1" x14ac:dyDescent="0.3">
      <c r="A78" s="168">
        <v>4</v>
      </c>
      <c r="B78" s="169" t="s">
        <v>100</v>
      </c>
      <c r="C78" s="170">
        <f t="shared" ca="1" si="0"/>
        <v>26440</v>
      </c>
      <c r="D78" s="171">
        <f t="shared" ca="1" si="63"/>
        <v>26440</v>
      </c>
      <c r="E78" s="172">
        <f ca="1">IFERROR(__xludf.DUMMYFUNCTION("IMPORTRANGE(""https://docs.google.com/spreadsheets/d/1MeEWN-I1oV_STSDYn1IFDPWt_1FKiwhDph83XaGc0o0/edit?usp=sharing"",""งบพรบ!AR78"")"),0)</f>
        <v>0</v>
      </c>
      <c r="F78" s="172">
        <f ca="1">IFERROR(__xludf.DUMMYFUNCTION("IMPORTRANGE(""https://docs.google.com/spreadsheets/d/1MeEWN-I1oV_STSDYn1IFDPWt_1FKiwhDph83XaGc0o0/edit?usp=sharing"",""งบพรบ!AS78"")"),26440)</f>
        <v>26440</v>
      </c>
      <c r="G78" s="172">
        <f ca="1">IFERROR(__xludf.DUMMYFUNCTION("IMPORTRANGE(""https://docs.google.com/spreadsheets/d/1MeEWN-I1oV_STSDYn1IFDPWt_1FKiwhDph83XaGc0o0/edit?usp=sharing"",""งบพรบ!AT78"")"),0)</f>
        <v>0</v>
      </c>
      <c r="H78" s="172">
        <f ca="1">IFERROR(__xludf.DUMMYFUNCTION("IMPORTRANGE(""https://docs.google.com/spreadsheets/d/1MeEWN-I1oV_STSDYn1IFDPWt_1FKiwhDph83XaGc0o0/edit?usp=sharing"",""งบพรบ!AV78"")"),26440)</f>
        <v>26440</v>
      </c>
      <c r="I78" s="172">
        <f ca="1">IFERROR(__xludf.DUMMYFUNCTION("IMPORTRANGE(""https://docs.google.com/spreadsheets/d/1MeEWN-I1oV_STSDYn1IFDPWt_1FKiwhDph83XaGc0o0/edit?usp=sharing"",""งบพรบ!AW78"")"),0)</f>
        <v>0</v>
      </c>
      <c r="J78" s="172">
        <f t="shared" ca="1" si="3"/>
        <v>25183</v>
      </c>
      <c r="K78" s="179">
        <f t="shared" ca="1" si="4"/>
        <v>95.245839636913772</v>
      </c>
      <c r="L78" s="172">
        <f ca="1">IFERROR(__xludf.DUMMYFUNCTION("IMPORTRANGE(""https://docs.google.com/spreadsheets/d/1MeEWN-I1oV_STSDYn1IFDPWt_1FKiwhDph83XaGc0o0/edit?usp=sharing"",""งบพรบ!AX78"")"),25183)</f>
        <v>25183</v>
      </c>
      <c r="M78" s="175">
        <f t="shared" ca="1" si="5"/>
        <v>95.245839636913772</v>
      </c>
      <c r="N78" s="175">
        <f t="shared" ca="1" si="6"/>
        <v>95.245839636913772</v>
      </c>
      <c r="O78" s="176">
        <f ca="1">IFERROR(__xludf.DUMMYFUNCTION("IMPORTRANGE(""https://docs.google.com/spreadsheets/d/1MeEWN-I1oV_STSDYn1IFDPWt_1FKiwhDph83XaGc0o0/edit?usp=sharing"",""งบพรบ!AY78"")"),0)</f>
        <v>0</v>
      </c>
      <c r="P78" s="176">
        <f t="shared" ca="1" si="36"/>
        <v>0</v>
      </c>
      <c r="Q78" s="175">
        <f t="shared" ca="1" si="8"/>
        <v>0</v>
      </c>
      <c r="R78" s="173">
        <f ca="1">IFERROR(__xludf.DUMMYFUNCTION("IMPORTRANGE(""https://docs.google.com/spreadsheets/d/1T5rRTzFc79aSIvqnzkZNvwPstq829QYz_xALlO1Z0s8/edit?usp=sharing"",""นครศรีธรรมราช!I98"")"),30)</f>
        <v>30</v>
      </c>
      <c r="S78" s="173">
        <f ca="1">IFERROR(__xludf.DUMMYFUNCTION("IMPORTRANGE(""https://docs.google.com/spreadsheets/d/1T5rRTzFc79aSIvqnzkZNvwPstq829QYz_xALlO1Z0s8/edit?usp=sharing"",""นครศรีธรรมราช!J98"")"),30)</f>
        <v>30</v>
      </c>
      <c r="T78" s="173">
        <f t="shared" ca="1" si="10"/>
        <v>100</v>
      </c>
      <c r="U78" s="173">
        <f ca="1">IFERROR(__xludf.DUMMYFUNCTION("IMPORTRANGE(""https://docs.google.com/spreadsheets/d/1T5rRTzFc79aSIvqnzkZNvwPstq829QYz_xALlO1Z0s8/edit?usp=sharing"",""นครศรีธรรมราช!I99"")"),10)</f>
        <v>10</v>
      </c>
      <c r="V78" s="173">
        <f ca="1">IFERROR(__xludf.DUMMYFUNCTION("IMPORTRANGE(""https://docs.google.com/spreadsheets/d/1T5rRTzFc79aSIvqnzkZNvwPstq829QYz_xALlO1Z0s8/edit?usp=sharing"",""นครศรีธรรมราช!I100"")"),0)</f>
        <v>0</v>
      </c>
      <c r="W78" s="173">
        <f ca="1">IFERROR(__xludf.DUMMYFUNCTION("IMPORTRANGE(""https://docs.google.com/spreadsheets/d/1T5rRTzFc79aSIvqnzkZNvwPstq829QYz_xALlO1Z0s8/edit?usp=sharing"",""นครศรีธรรมราช!J99"")"),10)</f>
        <v>10</v>
      </c>
      <c r="X78" s="177">
        <f t="shared" ca="1" si="12"/>
        <v>100</v>
      </c>
      <c r="Y78" s="178">
        <f ca="1">IFERROR(__xludf.DUMMYFUNCTION("IMPORTRANGE(""https://docs.google.com/spreadsheets/d/1T5rRTzFc79aSIvqnzkZNvwPstq829QYz_xALlO1Z0s8/edit?usp=sharing"",""นครศรีธรรมราช!J100"")"),0)</f>
        <v>0</v>
      </c>
      <c r="Z78" s="177">
        <f t="shared" ca="1" si="13"/>
        <v>0</v>
      </c>
      <c r="AA78" s="172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72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73">
        <f ca="1">IFERROR(__xludf.DUMMYFUNCTION("IMPORTRANGE(""https://docs.google.com/spreadsheets/d/1T5rRTzFc79aSIvqnzkZNvwPstq829QYz_xALlO1Z0s8/edit?usp=sharing"",""นครศรีธรรมราช!J102"")"),30)</f>
        <v>30</v>
      </c>
      <c r="AD78" s="173">
        <f ca="1">IFERROR(__xludf.DUMMYFUNCTION("IMPORTRANGE(""https://docs.google.com/spreadsheets/d/1T5rRTzFc79aSIvqnzkZNvwPstq829QYz_xALlO1Z0s8/edit?usp=sharing"",""นครศรีธรรมราช!J103"")"),10)</f>
        <v>10</v>
      </c>
      <c r="AE78" s="173">
        <f ca="1">IFERROR(__xludf.DUMMYFUNCTION("IMPORTRANGE(""https://docs.google.com/spreadsheets/d/1T5rRTzFc79aSIvqnzkZNvwPstq829QYz_xALlO1Z0s8/edit?usp=sharing"",""นครศรีธรรมราช!J104"")"),10)</f>
        <v>10</v>
      </c>
      <c r="AF78" s="172">
        <f ca="1">IFERROR(__xludf.DUMMYFUNCTION("IMPORTRANGE(""https://docs.google.com/spreadsheets/d/1T5rRTzFc79aSIvqnzkZNvwPstq829QYz_xALlO1Z0s8/edit?usp=sharing"",""นครศรีธรรมราช!I106"")"),0)</f>
        <v>0</v>
      </c>
      <c r="AG78" s="173">
        <f ca="1">IFERROR(__xludf.DUMMYFUNCTION("IMPORTRANGE(""https://docs.google.com/spreadsheets/d/1T5rRTzFc79aSIvqnzkZNvwPstq829QYz_xALlO1Z0s8/edit?usp=sharing"",""นครศรีธรรมราช!J106"")"),0)</f>
        <v>0</v>
      </c>
      <c r="AH78" s="173">
        <f ca="1">IFERROR(__xludf.DUMMYFUNCTION("IMPORTRANGE(""https://docs.google.com/spreadsheets/d/1T5rRTzFc79aSIvqnzkZNvwPstq829QYz_xALlO1Z0s8/edit?usp=sharing"",""นครศรีธรรมราช!J107"")"),0)</f>
        <v>0</v>
      </c>
      <c r="AI78" s="172">
        <f ca="1">IFERROR(__xludf.DUMMYFUNCTION("IMPORTRANGE(""https://docs.google.com/spreadsheets/d/1T5rRTzFc79aSIvqnzkZNvwPstq829QYz_xALlO1Z0s8/edit?usp=sharing"",""นครศรีธรรมราช!I109"")"),0)</f>
        <v>0</v>
      </c>
      <c r="AJ78" s="173">
        <f ca="1">IFERROR(__xludf.DUMMYFUNCTION("IMPORTRANGE(""https://docs.google.com/spreadsheets/d/1T5rRTzFc79aSIvqnzkZNvwPstq829QYz_xALlO1Z0s8/edit?usp=sharing"",""นครศรีธรรมราช!J109"")"),0)</f>
        <v>0</v>
      </c>
      <c r="AK78" s="173">
        <f ca="1">IFERROR(__xludf.DUMMYFUNCTION("IMPORTRANGE(""https://docs.google.com/spreadsheets/d/1T5rRTzFc79aSIvqnzkZNvwPstq829QYz_xALlO1Z0s8/edit?usp=sharing"",""นครศรีธรรมราช!J110"")"),0)</f>
        <v>0</v>
      </c>
      <c r="AL78" s="172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72">
        <f ca="1">IFERROR(__xludf.DUMMYFUNCTION("IMPORTRANGE(""https://docs.google.com/spreadsheets/d/1T5rRTzFc79aSIvqnzkZNvwPstq829QYz_xALlO1Z0s8/edit?usp=sharing"",""นครศรีธรรมราช!I112"")"),0)</f>
        <v>0</v>
      </c>
      <c r="AN78" s="173">
        <f ca="1">IFERROR(__xludf.DUMMYFUNCTION("IMPORTRANGE(""https://docs.google.com/spreadsheets/d/1T5rRTzFc79aSIvqnzkZNvwPstq829QYz_xALlO1Z0s8/edit?usp=sharing"",""นครศรีธรรมราช!J111"")"),10)</f>
        <v>10</v>
      </c>
      <c r="AO78" s="173">
        <f t="shared" ca="1" si="15"/>
        <v>100</v>
      </c>
      <c r="AP78" s="173">
        <f ca="1">IFERROR(__xludf.DUMMYFUNCTION("IMPORTRANGE(""https://docs.google.com/spreadsheets/d/1T5rRTzFc79aSIvqnzkZNvwPstq829QYz_xALlO1Z0s8/edit?usp=sharing"",""นครศรีธรรมราช!J112"")"),0)</f>
        <v>0</v>
      </c>
      <c r="AQ78" s="175">
        <f t="shared" ca="1" si="16"/>
        <v>0</v>
      </c>
      <c r="AR78" s="172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72">
        <f ca="1">IFERROR(__xludf.DUMMYFUNCTION("IMPORTRANGE(""https://docs.google.com/spreadsheets/d/1T5rRTzFc79aSIvqnzkZNvwPstq829QYz_xALlO1Z0s8/edit?usp=sharing"",""นครศรีธรรมราช!J113"")"),10)</f>
        <v>10</v>
      </c>
      <c r="AT78" s="172">
        <f ca="1">IFERROR(__xludf.DUMMYFUNCTION("IMPORTRANGE(""https://docs.google.com/spreadsheets/d/1T5rRTzFc79aSIvqnzkZNvwPstq829QYz_xALlO1Z0s8/edit?usp=sharing"",""นครศรีธรรมราช!J114"")"),10)</f>
        <v>10</v>
      </c>
      <c r="AU78" s="172">
        <f ca="1">IFERROR(__xludf.DUMMYFUNCTION("IMPORTRANGE(""https://docs.google.com/spreadsheets/d/1T5rRTzFc79aSIvqnzkZNvwPstq829QYz_xALlO1Z0s8/edit?usp=sharing"",""นครศรีธรรมราช!I115"")"),0)</f>
        <v>0</v>
      </c>
      <c r="AV78" s="173">
        <f ca="1">IFERROR(__xludf.DUMMYFUNCTION("IMPORTRANGE(""https://docs.google.com/spreadsheets/d/1T5rRTzFc79aSIvqnzkZNvwPstq829QYz_xALlO1Z0s8/edit?usp=sharing"",""นครศรีธรรมราช!J115"")"),0)</f>
        <v>0</v>
      </c>
      <c r="AW78" s="175">
        <f t="shared" ca="1" si="18"/>
        <v>0</v>
      </c>
      <c r="AX78" s="172">
        <f ca="1">IFERROR(__xludf.DUMMYFUNCTION("IMPORTRANGE(""https://docs.google.com/spreadsheets/d/1T5rRTzFc79aSIvqnzkZNvwPstq829QYz_xALlO1Z0s8/edit?usp=sharing"",""นครศรีธรรมราช!I116"")"),0)</f>
        <v>0</v>
      </c>
      <c r="AY78" s="173">
        <f ca="1">IFERROR(__xludf.DUMMYFUNCTION("IMPORTRANGE(""https://docs.google.com/spreadsheets/d/1T5rRTzFc79aSIvqnzkZNvwPstq829QYz_xALlO1Z0s8/edit?usp=sharing"",""นครศรีธรรมราช!J116"")"),0)</f>
        <v>0</v>
      </c>
      <c r="AZ78" s="175">
        <f t="shared" ca="1" si="20"/>
        <v>0</v>
      </c>
    </row>
    <row r="79" spans="1:52" ht="21" customHeight="1" x14ac:dyDescent="0.3">
      <c r="A79" s="168">
        <v>5</v>
      </c>
      <c r="B79" s="169" t="s">
        <v>101</v>
      </c>
      <c r="C79" s="170">
        <f t="shared" ca="1" si="0"/>
        <v>237000</v>
      </c>
      <c r="D79" s="171">
        <f t="shared" ca="1" si="63"/>
        <v>237000</v>
      </c>
      <c r="E79" s="172">
        <f ca="1">IFERROR(__xludf.DUMMYFUNCTION("IMPORTRANGE(""https://docs.google.com/spreadsheets/d/1MeEWN-I1oV_STSDYn1IFDPWt_1FKiwhDph83XaGc0o0/edit?usp=sharing"",""งบพรบ!AR79"")"),143000)</f>
        <v>143000</v>
      </c>
      <c r="F79" s="172">
        <f ca="1">IFERROR(__xludf.DUMMYFUNCTION("IMPORTRANGE(""https://docs.google.com/spreadsheets/d/1MeEWN-I1oV_STSDYn1IFDPWt_1FKiwhDph83XaGc0o0/edit?usp=sharing"",""งบพรบ!AS79"")"),94000)</f>
        <v>94000</v>
      </c>
      <c r="G79" s="172">
        <f ca="1">IFERROR(__xludf.DUMMYFUNCTION("IMPORTRANGE(""https://docs.google.com/spreadsheets/d/1MeEWN-I1oV_STSDYn1IFDPWt_1FKiwhDph83XaGc0o0/edit?usp=sharing"",""งบพรบ!AT79"")"),0)</f>
        <v>0</v>
      </c>
      <c r="H79" s="172">
        <f ca="1">IFERROR(__xludf.DUMMYFUNCTION("IMPORTRANGE(""https://docs.google.com/spreadsheets/d/1MeEWN-I1oV_STSDYn1IFDPWt_1FKiwhDph83XaGc0o0/edit?usp=sharing"",""งบพรบ!AV79"")"),237000)</f>
        <v>237000</v>
      </c>
      <c r="I79" s="172">
        <f ca="1">IFERROR(__xludf.DUMMYFUNCTION("IMPORTRANGE(""https://docs.google.com/spreadsheets/d/1MeEWN-I1oV_STSDYn1IFDPWt_1FKiwhDph83XaGc0o0/edit?usp=sharing"",""งบพรบ!AW79"")"),0)</f>
        <v>0</v>
      </c>
      <c r="J79" s="172">
        <f t="shared" ca="1" si="3"/>
        <v>219000</v>
      </c>
      <c r="K79" s="179">
        <f t="shared" ca="1" si="4"/>
        <v>92.405063291139243</v>
      </c>
      <c r="L79" s="172">
        <f ca="1">IFERROR(__xludf.DUMMYFUNCTION("IMPORTRANGE(""https://docs.google.com/spreadsheets/d/1MeEWN-I1oV_STSDYn1IFDPWt_1FKiwhDph83XaGc0o0/edit?usp=sharing"",""งบพรบ!AX79"")"),219000)</f>
        <v>219000</v>
      </c>
      <c r="M79" s="175">
        <f t="shared" ca="1" si="5"/>
        <v>92.405063291139243</v>
      </c>
      <c r="N79" s="175">
        <f t="shared" ca="1" si="6"/>
        <v>92.405063291139243</v>
      </c>
      <c r="O79" s="176">
        <f ca="1">IFERROR(__xludf.DUMMYFUNCTION("IMPORTRANGE(""https://docs.google.com/spreadsheets/d/1MeEWN-I1oV_STSDYn1IFDPWt_1FKiwhDph83XaGc0o0/edit?usp=sharing"",""งบพรบ!AY79"")"),0)</f>
        <v>0</v>
      </c>
      <c r="P79" s="176">
        <f t="shared" ca="1" si="36"/>
        <v>0</v>
      </c>
      <c r="Q79" s="175">
        <f t="shared" ca="1" si="8"/>
        <v>0</v>
      </c>
      <c r="R79" s="173">
        <f ca="1">IFERROR(__xludf.DUMMYFUNCTION("IMPORTRANGE(""https://docs.google.com/spreadsheets/d/1BeghqumK0IvCmRd2QOy6_afsZq7ZtAGrSnVJy2u7WmY/edit?usp=sharing"",""นราธิวาส!I98"")"),75)</f>
        <v>75</v>
      </c>
      <c r="S79" s="173">
        <f ca="1">IFERROR(__xludf.DUMMYFUNCTION("IMPORTRANGE(""https://docs.google.com/spreadsheets/d/1BeghqumK0IvCmRd2QOy6_afsZq7ZtAGrSnVJy2u7WmY/edit?usp=sharing"",""นราธิวาส!J98"")"),75)</f>
        <v>75</v>
      </c>
      <c r="T79" s="173">
        <f t="shared" ca="1" si="10"/>
        <v>100</v>
      </c>
      <c r="U79" s="173">
        <f ca="1">IFERROR(__xludf.DUMMYFUNCTION("IMPORTRANGE(""https://docs.google.com/spreadsheets/d/1BeghqumK0IvCmRd2QOy6_afsZq7ZtAGrSnVJy2u7WmY/edit?usp=sharing"",""นราธิวาส!I99"")"),25)</f>
        <v>25</v>
      </c>
      <c r="V79" s="173">
        <f ca="1">IFERROR(__xludf.DUMMYFUNCTION("IMPORTRANGE(""https://docs.google.com/spreadsheets/d/1BeghqumK0IvCmRd2QOy6_afsZq7ZtAGrSnVJy2u7WmY/edit?usp=sharing"",""นราธิวาส!I100"")"),1)</f>
        <v>1</v>
      </c>
      <c r="W79" s="173">
        <f ca="1">IFERROR(__xludf.DUMMYFUNCTION("IMPORTRANGE(""https://docs.google.com/spreadsheets/d/1BeghqumK0IvCmRd2QOy6_afsZq7ZtAGrSnVJy2u7WmY/edit?usp=sharing"",""นราธิวาส!J99"")"),25)</f>
        <v>25</v>
      </c>
      <c r="X79" s="177">
        <f t="shared" ca="1" si="12"/>
        <v>100</v>
      </c>
      <c r="Y79" s="178">
        <f ca="1">IFERROR(__xludf.DUMMYFUNCTION("IMPORTRANGE(""https://docs.google.com/spreadsheets/d/1BeghqumK0IvCmRd2QOy6_afsZq7ZtAGrSnVJy2u7WmY/edit?usp=sharing"",""นราธิวาส!J100"")"),1)</f>
        <v>1</v>
      </c>
      <c r="Z79" s="177">
        <f t="shared" ca="1" si="13"/>
        <v>100</v>
      </c>
      <c r="AA79" s="172">
        <f ca="1">IFERROR(__xludf.DUMMYFUNCTION("IMPORTRANGE(""https://docs.google.com/spreadsheets/d/1BeghqumK0IvCmRd2QOy6_afsZq7ZtAGrSnVJy2u7WmY/edit?usp=sharing"",""นราธิวาส!I102"")"),75)</f>
        <v>75</v>
      </c>
      <c r="AB79" s="172">
        <f ca="1">IFERROR(__xludf.DUMMYFUNCTION("IMPORTRANGE(""https://docs.google.com/spreadsheets/d/1BeghqumK0IvCmRd2QOy6_afsZq7ZtAGrSnVJy2u7WmY/edit?usp=sharing"",""นราธิวาส!I103"")"),25)</f>
        <v>25</v>
      </c>
      <c r="AC79" s="173">
        <f ca="1">IFERROR(__xludf.DUMMYFUNCTION("IMPORTRANGE(""https://docs.google.com/spreadsheets/d/1BeghqumK0IvCmRd2QOy6_afsZq7ZtAGrSnVJy2u7WmY/edit?usp=sharing"",""นราธิวาส!J102"")"),75)</f>
        <v>75</v>
      </c>
      <c r="AD79" s="173">
        <f ca="1">IFERROR(__xludf.DUMMYFUNCTION("IMPORTRANGE(""https://docs.google.com/spreadsheets/d/1BeghqumK0IvCmRd2QOy6_afsZq7ZtAGrSnVJy2u7WmY/edit?usp=sharing"",""นราธิวาส!J103"")"),25)</f>
        <v>25</v>
      </c>
      <c r="AE79" s="173">
        <f ca="1">IFERROR(__xludf.DUMMYFUNCTION("IMPORTRANGE(""https://docs.google.com/spreadsheets/d/1BeghqumK0IvCmRd2QOy6_afsZq7ZtAGrSnVJy2u7WmY/edit?usp=sharing"",""นราธิวาส!J104"")"),25)</f>
        <v>25</v>
      </c>
      <c r="AF79" s="172">
        <f ca="1">IFERROR(__xludf.DUMMYFUNCTION("IMPORTRANGE(""https://docs.google.com/spreadsheets/d/1BeghqumK0IvCmRd2QOy6_afsZq7ZtAGrSnVJy2u7WmY/edit?usp=sharing"",""นราธิวาส!I106"")"),1)</f>
        <v>1</v>
      </c>
      <c r="AG79" s="173">
        <f ca="1">IFERROR(__xludf.DUMMYFUNCTION("IMPORTRANGE(""https://docs.google.com/spreadsheets/d/1BeghqumK0IvCmRd2QOy6_afsZq7ZtAGrSnVJy2u7WmY/edit?usp=sharing"",""นราธิวาส!J106"")"),1)</f>
        <v>1</v>
      </c>
      <c r="AH79" s="173">
        <f ca="1">IFERROR(__xludf.DUMMYFUNCTION("IMPORTRANGE(""https://docs.google.com/spreadsheets/d/1BeghqumK0IvCmRd2QOy6_afsZq7ZtAGrSnVJy2u7WmY/edit?usp=sharing"",""นราธิวาส!J107"")"),1)</f>
        <v>1</v>
      </c>
      <c r="AI79" s="172">
        <f ca="1">IFERROR(__xludf.DUMMYFUNCTION("IMPORTRANGE(""https://docs.google.com/spreadsheets/d/1BeghqumK0IvCmRd2QOy6_afsZq7ZtAGrSnVJy2u7WmY/edit?usp=sharing"",""นราธิวาส!I109"")"),0)</f>
        <v>0</v>
      </c>
      <c r="AJ79" s="173">
        <f ca="1">IFERROR(__xludf.DUMMYFUNCTION("IMPORTRANGE(""https://docs.google.com/spreadsheets/d/1BeghqumK0IvCmRd2QOy6_afsZq7ZtAGrSnVJy2u7WmY/edit?usp=sharing"",""นราธิวาส!J109"")"),0)</f>
        <v>0</v>
      </c>
      <c r="AK79" s="173">
        <f ca="1">IFERROR(__xludf.DUMMYFUNCTION("IMPORTRANGE(""https://docs.google.com/spreadsheets/d/1BeghqumK0IvCmRd2QOy6_afsZq7ZtAGrSnVJy2u7WmY/edit?usp=sharing"",""นราธิวาส!J110"")"),0)</f>
        <v>0</v>
      </c>
      <c r="AL79" s="172">
        <f ca="1">IFERROR(__xludf.DUMMYFUNCTION("IMPORTRANGE(""https://docs.google.com/spreadsheets/d/1BeghqumK0IvCmRd2QOy6_afsZq7ZtAGrSnVJy2u7WmY/edit?usp=sharing"",""นราธิวาส!I111"")"),25)</f>
        <v>25</v>
      </c>
      <c r="AM79" s="172">
        <f ca="1">IFERROR(__xludf.DUMMYFUNCTION("IMPORTRANGE(""https://docs.google.com/spreadsheets/d/1BeghqumK0IvCmRd2QOy6_afsZq7ZtAGrSnVJy2u7WmY/edit?usp=sharing"",""นราธิวาส!I112"")"),1)</f>
        <v>1</v>
      </c>
      <c r="AN79" s="173">
        <f ca="1">IFERROR(__xludf.DUMMYFUNCTION("IMPORTRANGE(""https://docs.google.com/spreadsheets/d/1BeghqumK0IvCmRd2QOy6_afsZq7ZtAGrSnVJy2u7WmY/edit?usp=sharing"",""นราธิวาส!J111"")"),25)</f>
        <v>25</v>
      </c>
      <c r="AO79" s="173">
        <f t="shared" ca="1" si="15"/>
        <v>100</v>
      </c>
      <c r="AP79" s="173">
        <f ca="1">IFERROR(__xludf.DUMMYFUNCTION("IMPORTRANGE(""https://docs.google.com/spreadsheets/d/1BeghqumK0IvCmRd2QOy6_afsZq7ZtAGrSnVJy2u7WmY/edit?usp=sharing"",""นราธิวาส!J112"")"),1)</f>
        <v>1</v>
      </c>
      <c r="AQ79" s="175">
        <f t="shared" ca="1" si="16"/>
        <v>100</v>
      </c>
      <c r="AR79" s="172">
        <f ca="1">IFERROR(__xludf.DUMMYFUNCTION("IMPORTRANGE(""https://docs.google.com/spreadsheets/d/1BeghqumK0IvCmRd2QOy6_afsZq7ZtAGrSnVJy2u7WmY/edit?usp=sharing"",""นราธิวาส!I113"")"),25)</f>
        <v>25</v>
      </c>
      <c r="AS79" s="172">
        <f ca="1">IFERROR(__xludf.DUMMYFUNCTION("IMPORTRANGE(""https://docs.google.com/spreadsheets/d/1BeghqumK0IvCmRd2QOy6_afsZq7ZtAGrSnVJy2u7WmY/edit?usp=sharing"",""นราธิวาส!J113"")"),25)</f>
        <v>25</v>
      </c>
      <c r="AT79" s="172">
        <f ca="1">IFERROR(__xludf.DUMMYFUNCTION("IMPORTRANGE(""https://docs.google.com/spreadsheets/d/1BeghqumK0IvCmRd2QOy6_afsZq7ZtAGrSnVJy2u7WmY/edit?usp=sharing"",""นราธิวาส!J114"")"),25)</f>
        <v>25</v>
      </c>
      <c r="AU79" s="172">
        <f ca="1">IFERROR(__xludf.DUMMYFUNCTION("IMPORTRANGE(""https://docs.google.com/spreadsheets/d/1BeghqumK0IvCmRd2QOy6_afsZq7ZtAGrSnVJy2u7WmY/edit?usp=sharing"",""นราธิวาส!I115"")"),1)</f>
        <v>1</v>
      </c>
      <c r="AV79" s="173">
        <f ca="1">IFERROR(__xludf.DUMMYFUNCTION("IMPORTRANGE(""https://docs.google.com/spreadsheets/d/1BeghqumK0IvCmRd2QOy6_afsZq7ZtAGrSnVJy2u7WmY/edit?usp=sharing"",""นราธิวาส!J115"")"),1)</f>
        <v>1</v>
      </c>
      <c r="AW79" s="175">
        <f t="shared" ca="1" si="18"/>
        <v>100</v>
      </c>
      <c r="AX79" s="172">
        <f ca="1">IFERROR(__xludf.DUMMYFUNCTION("IMPORTRANGE(""https://docs.google.com/spreadsheets/d/1BeghqumK0IvCmRd2QOy6_afsZq7ZtAGrSnVJy2u7WmY/edit?usp=sharing"",""นราธิวาส!I116"")"),0)</f>
        <v>0</v>
      </c>
      <c r="AY79" s="173">
        <f ca="1">IFERROR(__xludf.DUMMYFUNCTION("IMPORTRANGE(""https://docs.google.com/spreadsheets/d/1BeghqumK0IvCmRd2QOy6_afsZq7ZtAGrSnVJy2u7WmY/edit?usp=sharing"",""นราธิวาส!J116"")"),0)</f>
        <v>0</v>
      </c>
      <c r="AZ79" s="175">
        <f t="shared" ca="1" si="20"/>
        <v>0</v>
      </c>
    </row>
    <row r="80" spans="1:52" ht="21" customHeight="1" x14ac:dyDescent="0.3">
      <c r="A80" s="168">
        <v>6</v>
      </c>
      <c r="B80" s="169" t="s">
        <v>102</v>
      </c>
      <c r="C80" s="170">
        <f t="shared" ca="1" si="0"/>
        <v>228840</v>
      </c>
      <c r="D80" s="171">
        <f t="shared" ca="1" si="63"/>
        <v>228840</v>
      </c>
      <c r="E80" s="172">
        <f ca="1">IFERROR(__xludf.DUMMYFUNCTION("IMPORTRANGE(""https://docs.google.com/spreadsheets/d/1MeEWN-I1oV_STSDYn1IFDPWt_1FKiwhDph83XaGc0o0/edit?usp=sharing"",""งบพรบ!AR80"")"),143000)</f>
        <v>143000</v>
      </c>
      <c r="F80" s="172">
        <f ca="1">IFERROR(__xludf.DUMMYFUNCTION("IMPORTRANGE(""https://docs.google.com/spreadsheets/d/1MeEWN-I1oV_STSDYn1IFDPWt_1FKiwhDph83XaGc0o0/edit?usp=sharing"",""งบพรบ!AS80"")"),85840)</f>
        <v>85840</v>
      </c>
      <c r="G80" s="172">
        <f ca="1">IFERROR(__xludf.DUMMYFUNCTION("IMPORTRANGE(""https://docs.google.com/spreadsheets/d/1MeEWN-I1oV_STSDYn1IFDPWt_1FKiwhDph83XaGc0o0/edit?usp=sharing"",""งบพรบ!AT80"")"),0)</f>
        <v>0</v>
      </c>
      <c r="H80" s="172">
        <f ca="1">IFERROR(__xludf.DUMMYFUNCTION("IMPORTRANGE(""https://docs.google.com/spreadsheets/d/1MeEWN-I1oV_STSDYn1IFDPWt_1FKiwhDph83XaGc0o0/edit?usp=sharing"",""งบพรบ!AV80"")"),228840)</f>
        <v>228840</v>
      </c>
      <c r="I80" s="172">
        <f ca="1">IFERROR(__xludf.DUMMYFUNCTION("IMPORTRANGE(""https://docs.google.com/spreadsheets/d/1MeEWN-I1oV_STSDYn1IFDPWt_1FKiwhDph83XaGc0o0/edit?usp=sharing"",""งบพรบ!AW80"")"),0)</f>
        <v>0</v>
      </c>
      <c r="J80" s="172">
        <f t="shared" ca="1" si="3"/>
        <v>206440</v>
      </c>
      <c r="K80" s="179">
        <f t="shared" ca="1" si="4"/>
        <v>90.211501485754241</v>
      </c>
      <c r="L80" s="172">
        <f ca="1">IFERROR(__xludf.DUMMYFUNCTION("IMPORTRANGE(""https://docs.google.com/spreadsheets/d/1MeEWN-I1oV_STSDYn1IFDPWt_1FKiwhDph83XaGc0o0/edit?usp=sharing"",""งบพรบ!AX80"")"),206440)</f>
        <v>206440</v>
      </c>
      <c r="M80" s="175">
        <f t="shared" ca="1" si="5"/>
        <v>90.211501485754241</v>
      </c>
      <c r="N80" s="175">
        <f t="shared" ca="1" si="6"/>
        <v>90.211501485754241</v>
      </c>
      <c r="O80" s="176">
        <f ca="1">IFERROR(__xludf.DUMMYFUNCTION("IMPORTRANGE(""https://docs.google.com/spreadsheets/d/1MeEWN-I1oV_STSDYn1IFDPWt_1FKiwhDph83XaGc0o0/edit?usp=sharing"",""งบพรบ!AY80"")"),0)</f>
        <v>0</v>
      </c>
      <c r="P80" s="176">
        <f t="shared" ca="1" si="36"/>
        <v>0</v>
      </c>
      <c r="Q80" s="175">
        <f t="shared" ca="1" si="8"/>
        <v>0</v>
      </c>
      <c r="R80" s="173">
        <f ca="1">IFERROR(__xludf.DUMMYFUNCTION("IMPORTRANGE(""https://docs.google.com/spreadsheets/d/1IwnW3-jjRf74MCLW-6PiFwMUffRQXZwZA7YM609NmRc/edit?usp=sharing"",""ปัตตานี!I98"")"),30)</f>
        <v>30</v>
      </c>
      <c r="S80" s="173">
        <f ca="1">IFERROR(__xludf.DUMMYFUNCTION("IMPORTRANGE(""https://docs.google.com/spreadsheets/d/1IwnW3-jjRf74MCLW-6PiFwMUffRQXZwZA7YM609NmRc/edit?usp=sharing"",""ปัตตานี!J98"")"),30)</f>
        <v>30</v>
      </c>
      <c r="T80" s="173">
        <f t="shared" ca="1" si="10"/>
        <v>100</v>
      </c>
      <c r="U80" s="173">
        <f ca="1">IFERROR(__xludf.DUMMYFUNCTION("IMPORTRANGE(""https://docs.google.com/spreadsheets/d/1IwnW3-jjRf74MCLW-6PiFwMUffRQXZwZA7YM609NmRc/edit?usp=sharing"",""ปัตตานี!I99"")"),10)</f>
        <v>10</v>
      </c>
      <c r="V80" s="173">
        <f ca="1">IFERROR(__xludf.DUMMYFUNCTION("IMPORTRANGE(""https://docs.google.com/spreadsheets/d/1IwnW3-jjRf74MCLW-6PiFwMUffRQXZwZA7YM609NmRc/edit?usp=sharing"",""ปัตตานี!I100"")"),2)</f>
        <v>2</v>
      </c>
      <c r="W80" s="173">
        <f ca="1">IFERROR(__xludf.DUMMYFUNCTION("IMPORTRANGE(""https://docs.google.com/spreadsheets/d/1IwnW3-jjRf74MCLW-6PiFwMUffRQXZwZA7YM609NmRc/edit?usp=sharing"",""ปัตตานี!J99"")"),10)</f>
        <v>10</v>
      </c>
      <c r="X80" s="177">
        <f t="shared" ca="1" si="12"/>
        <v>100</v>
      </c>
      <c r="Y80" s="178">
        <f ca="1">IFERROR(__xludf.DUMMYFUNCTION("IMPORTRANGE(""https://docs.google.com/spreadsheets/d/1IwnW3-jjRf74MCLW-6PiFwMUffRQXZwZA7YM609NmRc/edit?usp=sharing"",""ปัตตานี!J100"")"),2)</f>
        <v>2</v>
      </c>
      <c r="Z80" s="177">
        <f t="shared" ca="1" si="13"/>
        <v>100</v>
      </c>
      <c r="AA80" s="172">
        <f ca="1">IFERROR(__xludf.DUMMYFUNCTION("IMPORTRANGE(""https://docs.google.com/spreadsheets/d/1IwnW3-jjRf74MCLW-6PiFwMUffRQXZwZA7YM609NmRc/edit?usp=sharing"",""ปัตตานี!I102"")"),30)</f>
        <v>30</v>
      </c>
      <c r="AB80" s="172">
        <f ca="1">IFERROR(__xludf.DUMMYFUNCTION("IMPORTRANGE(""https://docs.google.com/spreadsheets/d/1IwnW3-jjRf74MCLW-6PiFwMUffRQXZwZA7YM609NmRc/edit?usp=sharing"",""ปัตตานี!I103"")"),10)</f>
        <v>10</v>
      </c>
      <c r="AC80" s="173">
        <f ca="1">IFERROR(__xludf.DUMMYFUNCTION("IMPORTRANGE(""https://docs.google.com/spreadsheets/d/1IwnW3-jjRf74MCLW-6PiFwMUffRQXZwZA7YM609NmRc/edit?usp=sharing"",""ปัตตานี!J102"")"),30)</f>
        <v>30</v>
      </c>
      <c r="AD80" s="173">
        <f ca="1">IFERROR(__xludf.DUMMYFUNCTION("IMPORTRANGE(""https://docs.google.com/spreadsheets/d/1IwnW3-jjRf74MCLW-6PiFwMUffRQXZwZA7YM609NmRc/edit?usp=sharing"",""ปัตตานี!J103"")"),10)</f>
        <v>10</v>
      </c>
      <c r="AE80" s="173">
        <f ca="1">IFERROR(__xludf.DUMMYFUNCTION("IMPORTRANGE(""https://docs.google.com/spreadsheets/d/1IwnW3-jjRf74MCLW-6PiFwMUffRQXZwZA7YM609NmRc/edit?usp=sharing"",""ปัตตานี!J104"")"),10)</f>
        <v>10</v>
      </c>
      <c r="AF80" s="172">
        <f ca="1">IFERROR(__xludf.DUMMYFUNCTION("IMPORTRANGE(""https://docs.google.com/spreadsheets/d/1IwnW3-jjRf74MCLW-6PiFwMUffRQXZwZA7YM609NmRc/edit?usp=sharing"",""ปัตตานี!I106"")"),1)</f>
        <v>1</v>
      </c>
      <c r="AG80" s="173">
        <f ca="1">IFERROR(__xludf.DUMMYFUNCTION("IMPORTRANGE(""https://docs.google.com/spreadsheets/d/1IwnW3-jjRf74MCLW-6PiFwMUffRQXZwZA7YM609NmRc/edit?usp=sharing"",""ปัตตานี!J106"")"),1)</f>
        <v>1</v>
      </c>
      <c r="AH80" s="173">
        <f ca="1">IFERROR(__xludf.DUMMYFUNCTION("IMPORTRANGE(""https://docs.google.com/spreadsheets/d/1IwnW3-jjRf74MCLW-6PiFwMUffRQXZwZA7YM609NmRc/edit?usp=sharing"",""ปัตตานี!J107"")"),1)</f>
        <v>1</v>
      </c>
      <c r="AI80" s="172">
        <f ca="1">IFERROR(__xludf.DUMMYFUNCTION("IMPORTRANGE(""https://docs.google.com/spreadsheets/d/1IwnW3-jjRf74MCLW-6PiFwMUffRQXZwZA7YM609NmRc/edit?usp=sharing"",""ปัตตานี!I109"")"),1)</f>
        <v>1</v>
      </c>
      <c r="AJ80" s="173">
        <f ca="1">IFERROR(__xludf.DUMMYFUNCTION("IMPORTRANGE(""https://docs.google.com/spreadsheets/d/1IwnW3-jjRf74MCLW-6PiFwMUffRQXZwZA7YM609NmRc/edit?usp=sharing"",""ปัตตานี!J109"")"),1)</f>
        <v>1</v>
      </c>
      <c r="AK80" s="173">
        <f ca="1">IFERROR(__xludf.DUMMYFUNCTION("IMPORTRANGE(""https://docs.google.com/spreadsheets/d/1IwnW3-jjRf74MCLW-6PiFwMUffRQXZwZA7YM609NmRc/edit?usp=sharing"",""ปัตตานี!J110"")"),1)</f>
        <v>1</v>
      </c>
      <c r="AL80" s="172">
        <f ca="1">IFERROR(__xludf.DUMMYFUNCTION("IMPORTRANGE(""https://docs.google.com/spreadsheets/d/1IwnW3-jjRf74MCLW-6PiFwMUffRQXZwZA7YM609NmRc/edit?usp=sharing"",""ปัตตานี!I111"")"),10)</f>
        <v>10</v>
      </c>
      <c r="AM80" s="172">
        <f ca="1">IFERROR(__xludf.DUMMYFUNCTION("IMPORTRANGE(""https://docs.google.com/spreadsheets/d/1IwnW3-jjRf74MCLW-6PiFwMUffRQXZwZA7YM609NmRc/edit?usp=sharing"",""ปัตตานี!I112"")"),2)</f>
        <v>2</v>
      </c>
      <c r="AN80" s="173">
        <f ca="1">IFERROR(__xludf.DUMMYFUNCTION("IMPORTRANGE(""https://docs.google.com/spreadsheets/d/1IwnW3-jjRf74MCLW-6PiFwMUffRQXZwZA7YM609NmRc/edit?usp=sharing"",""ปัตตานี!J111"")"),10)</f>
        <v>10</v>
      </c>
      <c r="AO80" s="173">
        <f t="shared" ca="1" si="15"/>
        <v>100</v>
      </c>
      <c r="AP80" s="173">
        <f ca="1">IFERROR(__xludf.DUMMYFUNCTION("IMPORTRANGE(""https://docs.google.com/spreadsheets/d/1IwnW3-jjRf74MCLW-6PiFwMUffRQXZwZA7YM609NmRc/edit?usp=sharing"",""ปัตตานี!J112"")"),2)</f>
        <v>2</v>
      </c>
      <c r="AQ80" s="175">
        <f t="shared" ca="1" si="16"/>
        <v>100</v>
      </c>
      <c r="AR80" s="172">
        <f ca="1">IFERROR(__xludf.DUMMYFUNCTION("IMPORTRANGE(""https://docs.google.com/spreadsheets/d/1IwnW3-jjRf74MCLW-6PiFwMUffRQXZwZA7YM609NmRc/edit?usp=sharing"",""ปัตตานี!I113"")"),10)</f>
        <v>10</v>
      </c>
      <c r="AS80" s="172">
        <f ca="1">IFERROR(__xludf.DUMMYFUNCTION("IMPORTRANGE(""https://docs.google.com/spreadsheets/d/1IwnW3-jjRf74MCLW-6PiFwMUffRQXZwZA7YM609NmRc/edit?usp=sharing"",""ปัตตานี!J113"")"),10)</f>
        <v>10</v>
      </c>
      <c r="AT80" s="172">
        <f ca="1">IFERROR(__xludf.DUMMYFUNCTION("IMPORTRANGE(""https://docs.google.com/spreadsheets/d/1IwnW3-jjRf74MCLW-6PiFwMUffRQXZwZA7YM609NmRc/edit?usp=sharing"",""ปัตตานี!J114"")"),10)</f>
        <v>10</v>
      </c>
      <c r="AU80" s="172">
        <f ca="1">IFERROR(__xludf.DUMMYFUNCTION("IMPORTRANGE(""https://docs.google.com/spreadsheets/d/1IwnW3-jjRf74MCLW-6PiFwMUffRQXZwZA7YM609NmRc/edit?usp=sharing"",""ปัตตานี!I115"")"),1)</f>
        <v>1</v>
      </c>
      <c r="AV80" s="173">
        <f ca="1">IFERROR(__xludf.DUMMYFUNCTION("IMPORTRANGE(""https://docs.google.com/spreadsheets/d/1IwnW3-jjRf74MCLW-6PiFwMUffRQXZwZA7YM609NmRc/edit?usp=sharing"",""ปัตตานี!J115"")"),1)</f>
        <v>1</v>
      </c>
      <c r="AW80" s="175">
        <f t="shared" ca="1" si="18"/>
        <v>100</v>
      </c>
      <c r="AX80" s="172">
        <f ca="1">IFERROR(__xludf.DUMMYFUNCTION("IMPORTRANGE(""https://docs.google.com/spreadsheets/d/1IwnW3-jjRf74MCLW-6PiFwMUffRQXZwZA7YM609NmRc/edit?usp=sharing"",""ปัตตานี!I116"")"),1)</f>
        <v>1</v>
      </c>
      <c r="AY80" s="173">
        <f ca="1">IFERROR(__xludf.DUMMYFUNCTION("IMPORTRANGE(""https://docs.google.com/spreadsheets/d/1IwnW3-jjRf74MCLW-6PiFwMUffRQXZwZA7YM609NmRc/edit?usp=sharing"",""ปัตตานี!J116"")"),1)</f>
        <v>1</v>
      </c>
      <c r="AZ80" s="175">
        <f t="shared" ca="1" si="20"/>
        <v>100</v>
      </c>
    </row>
    <row r="81" spans="1:52" ht="21" customHeight="1" x14ac:dyDescent="0.3">
      <c r="A81" s="168">
        <v>7</v>
      </c>
      <c r="B81" s="169" t="s">
        <v>103</v>
      </c>
      <c r="C81" s="170">
        <f t="shared" ca="1" si="0"/>
        <v>333500</v>
      </c>
      <c r="D81" s="171">
        <f t="shared" ca="1" si="63"/>
        <v>333500</v>
      </c>
      <c r="E81" s="172">
        <f ca="1">IFERROR(__xludf.DUMMYFUNCTION("IMPORTRANGE(""https://docs.google.com/spreadsheets/d/1MeEWN-I1oV_STSDYn1IFDPWt_1FKiwhDph83XaGc0o0/edit?usp=sharing"",""งบพรบ!AR81"")"),302300)</f>
        <v>302300</v>
      </c>
      <c r="F81" s="172">
        <f ca="1">IFERROR(__xludf.DUMMYFUNCTION("IMPORTRANGE(""https://docs.google.com/spreadsheets/d/1MeEWN-I1oV_STSDYn1IFDPWt_1FKiwhDph83XaGc0o0/edit?usp=sharing"",""งบพรบ!AS81"")"),31200)</f>
        <v>31200</v>
      </c>
      <c r="G81" s="172">
        <f ca="1">IFERROR(__xludf.DUMMYFUNCTION("IMPORTRANGE(""https://docs.google.com/spreadsheets/d/1MeEWN-I1oV_STSDYn1IFDPWt_1FKiwhDph83XaGc0o0/edit?usp=sharing"",""งบพรบ!AT81"")"),0)</f>
        <v>0</v>
      </c>
      <c r="H81" s="172">
        <f ca="1">IFERROR(__xludf.DUMMYFUNCTION("IMPORTRANGE(""https://docs.google.com/spreadsheets/d/1MeEWN-I1oV_STSDYn1IFDPWt_1FKiwhDph83XaGc0o0/edit?usp=sharing"",""งบพรบ!AV81"")"),333500)</f>
        <v>333500</v>
      </c>
      <c r="I81" s="172">
        <f ca="1">IFERROR(__xludf.DUMMYFUNCTION("IMPORTRANGE(""https://docs.google.com/spreadsheets/d/1MeEWN-I1oV_STSDYn1IFDPWt_1FKiwhDph83XaGc0o0/edit?usp=sharing"",""งบพรบ!AW81"")"),0)</f>
        <v>0</v>
      </c>
      <c r="J81" s="172">
        <f t="shared" ca="1" si="3"/>
        <v>244940.78</v>
      </c>
      <c r="K81" s="179">
        <f t="shared" ca="1" si="4"/>
        <v>73.445511244377812</v>
      </c>
      <c r="L81" s="172">
        <f ca="1">IFERROR(__xludf.DUMMYFUNCTION("IMPORTRANGE(""https://docs.google.com/spreadsheets/d/1MeEWN-I1oV_STSDYn1IFDPWt_1FKiwhDph83XaGc0o0/edit?usp=sharing"",""งบพรบ!AX81"")"),244940.78)</f>
        <v>244940.78</v>
      </c>
      <c r="M81" s="175">
        <f t="shared" ca="1" si="5"/>
        <v>73.445511244377812</v>
      </c>
      <c r="N81" s="175">
        <f t="shared" ca="1" si="6"/>
        <v>73.445511244377812</v>
      </c>
      <c r="O81" s="176">
        <f ca="1">IFERROR(__xludf.DUMMYFUNCTION("IMPORTRANGE(""https://docs.google.com/spreadsheets/d/1MeEWN-I1oV_STSDYn1IFDPWt_1FKiwhDph83XaGc0o0/edit?usp=sharing"",""งบพรบ!AY81"")"),0)</f>
        <v>0</v>
      </c>
      <c r="P81" s="176">
        <f t="shared" ca="1" si="36"/>
        <v>0</v>
      </c>
      <c r="Q81" s="175">
        <f t="shared" ca="1" si="8"/>
        <v>0</v>
      </c>
      <c r="R81" s="173">
        <f ca="1">IFERROR(__xludf.DUMMYFUNCTION("IMPORTRANGE(""https://docs.google.com/spreadsheets/d/1vl4QWbWdFruual5o_wdo6ZSqXZ_it806oja4CctTLKs/edit?usp=sharing"",""พังงา!I98"")"),0)</f>
        <v>0</v>
      </c>
      <c r="S81" s="173">
        <f ca="1">IFERROR(__xludf.DUMMYFUNCTION("IMPORTRANGE(""https://docs.google.com/spreadsheets/d/1vl4QWbWdFruual5o_wdo6ZSqXZ_it806oja4CctTLKs/edit?usp=sharing"",""พังงา!J98"")"),0)</f>
        <v>0</v>
      </c>
      <c r="T81" s="173">
        <f t="shared" ca="1" si="10"/>
        <v>0</v>
      </c>
      <c r="U81" s="173">
        <f ca="1">IFERROR(__xludf.DUMMYFUNCTION("IMPORTRANGE(""https://docs.google.com/spreadsheets/d/1vl4QWbWdFruual5o_wdo6ZSqXZ_it806oja4CctTLKs/edit?usp=sharing"",""พังงา!I99"")"),0)</f>
        <v>0</v>
      </c>
      <c r="V81" s="173">
        <f ca="1">IFERROR(__xludf.DUMMYFUNCTION("IMPORTRANGE(""https://docs.google.com/spreadsheets/d/1vl4QWbWdFruual5o_wdo6ZSqXZ_it806oja4CctTLKs/edit?usp=sharing"",""พังงา!I100"")"),1)</f>
        <v>1</v>
      </c>
      <c r="W81" s="173">
        <f ca="1">IFERROR(__xludf.DUMMYFUNCTION("IMPORTRANGE(""https://docs.google.com/spreadsheets/d/1vl4QWbWdFruual5o_wdo6ZSqXZ_it806oja4CctTLKs/edit?usp=sharing"",""พังงา!J99"")"),0)</f>
        <v>0</v>
      </c>
      <c r="X81" s="177">
        <f t="shared" ca="1" si="12"/>
        <v>0</v>
      </c>
      <c r="Y81" s="178">
        <f ca="1">IFERROR(__xludf.DUMMYFUNCTION("IMPORTRANGE(""https://docs.google.com/spreadsheets/d/1vl4QWbWdFruual5o_wdo6ZSqXZ_it806oja4CctTLKs/edit?usp=sharing"",""พังงา!J100"")"),1)</f>
        <v>1</v>
      </c>
      <c r="Z81" s="177">
        <f t="shared" ca="1" si="13"/>
        <v>100</v>
      </c>
      <c r="AA81" s="172">
        <f ca="1">IFERROR(__xludf.DUMMYFUNCTION("IMPORTRANGE(""https://docs.google.com/spreadsheets/d/1vl4QWbWdFruual5o_wdo6ZSqXZ_it806oja4CctTLKs/edit?usp=sharing"",""พังงา!I102"")"),0)</f>
        <v>0</v>
      </c>
      <c r="AB81" s="172">
        <f ca="1">IFERROR(__xludf.DUMMYFUNCTION("IMPORTRANGE(""https://docs.google.com/spreadsheets/d/1vl4QWbWdFruual5o_wdo6ZSqXZ_it806oja4CctTLKs/edit?usp=sharing"",""พังงา!I103"")"),0)</f>
        <v>0</v>
      </c>
      <c r="AC81" s="173">
        <f ca="1">IFERROR(__xludf.DUMMYFUNCTION("IMPORTRANGE(""https://docs.google.com/spreadsheets/d/1vl4QWbWdFruual5o_wdo6ZSqXZ_it806oja4CctTLKs/edit?usp=sharing"",""พังงา!J102"")"),0)</f>
        <v>0</v>
      </c>
      <c r="AD81" s="173">
        <f ca="1">IFERROR(__xludf.DUMMYFUNCTION("IMPORTRANGE(""https://docs.google.com/spreadsheets/d/1vl4QWbWdFruual5o_wdo6ZSqXZ_it806oja4CctTLKs/edit?usp=sharing"",""พังงา!J103"")"),0)</f>
        <v>0</v>
      </c>
      <c r="AE81" s="173">
        <f ca="1">IFERROR(__xludf.DUMMYFUNCTION("IMPORTRANGE(""https://docs.google.com/spreadsheets/d/1vl4QWbWdFruual5o_wdo6ZSqXZ_it806oja4CctTLKs/edit?usp=sharing"",""พังงา!J104"")"),0)</f>
        <v>0</v>
      </c>
      <c r="AF81" s="172">
        <f ca="1">IFERROR(__xludf.DUMMYFUNCTION("IMPORTRANGE(""https://docs.google.com/spreadsheets/d/1vl4QWbWdFruual5o_wdo6ZSqXZ_it806oja4CctTLKs/edit?usp=sharing"",""พังงา!I106"")"),1)</f>
        <v>1</v>
      </c>
      <c r="AG81" s="173">
        <f ca="1">IFERROR(__xludf.DUMMYFUNCTION("IMPORTRANGE(""https://docs.google.com/spreadsheets/d/1vl4QWbWdFruual5o_wdo6ZSqXZ_it806oja4CctTLKs/edit?usp=sharing"",""พังงา!J106"")"),1)</f>
        <v>1</v>
      </c>
      <c r="AH81" s="173">
        <f ca="1">IFERROR(__xludf.DUMMYFUNCTION("IMPORTRANGE(""https://docs.google.com/spreadsheets/d/1vl4QWbWdFruual5o_wdo6ZSqXZ_it806oja4CctTLKs/edit?usp=sharing"",""พังงา!J107"")"),1)</f>
        <v>1</v>
      </c>
      <c r="AI81" s="172">
        <f ca="1">IFERROR(__xludf.DUMMYFUNCTION("IMPORTRANGE(""https://docs.google.com/spreadsheets/d/1vl4QWbWdFruual5o_wdo6ZSqXZ_it806oja4CctTLKs/edit?usp=sharing"",""พังงา!I109"")"),0)</f>
        <v>0</v>
      </c>
      <c r="AJ81" s="173">
        <f ca="1">IFERROR(__xludf.DUMMYFUNCTION("IMPORTRANGE(""https://docs.google.com/spreadsheets/d/1vl4QWbWdFruual5o_wdo6ZSqXZ_it806oja4CctTLKs/edit?usp=sharing"",""พังงา!J109"")"),0)</f>
        <v>0</v>
      </c>
      <c r="AK81" s="173">
        <f ca="1">IFERROR(__xludf.DUMMYFUNCTION("IMPORTRANGE(""https://docs.google.com/spreadsheets/d/1vl4QWbWdFruual5o_wdo6ZSqXZ_it806oja4CctTLKs/edit?usp=sharing"",""พังงา!J110"")"),0)</f>
        <v>0</v>
      </c>
      <c r="AL81" s="172">
        <f ca="1">IFERROR(__xludf.DUMMYFUNCTION("IMPORTRANGE(""https://docs.google.com/spreadsheets/d/1vl4QWbWdFruual5o_wdo6ZSqXZ_it806oja4CctTLKs/edit?usp=sharing"",""พังงา!I111"")"),0)</f>
        <v>0</v>
      </c>
      <c r="AM81" s="172">
        <f ca="1">IFERROR(__xludf.DUMMYFUNCTION("IMPORTRANGE(""https://docs.google.com/spreadsheets/d/1vl4QWbWdFruual5o_wdo6ZSqXZ_it806oja4CctTLKs/edit?usp=sharing"",""พังงา!I112"")"),1)</f>
        <v>1</v>
      </c>
      <c r="AN81" s="173">
        <f ca="1">IFERROR(__xludf.DUMMYFUNCTION("IMPORTRANGE(""https://docs.google.com/spreadsheets/d/1vl4QWbWdFruual5o_wdo6ZSqXZ_it806oja4CctTLKs/edit?usp=sharing"",""พังงา!J111"")"),0)</f>
        <v>0</v>
      </c>
      <c r="AO81" s="173">
        <f t="shared" ca="1" si="15"/>
        <v>0</v>
      </c>
      <c r="AP81" s="173">
        <f ca="1">IFERROR(__xludf.DUMMYFUNCTION("IMPORTRANGE(""https://docs.google.com/spreadsheets/d/1vl4QWbWdFruual5o_wdo6ZSqXZ_it806oja4CctTLKs/edit?usp=sharing"",""พังงา!J112"")"),0)</f>
        <v>0</v>
      </c>
      <c r="AQ81" s="175">
        <f t="shared" ca="1" si="16"/>
        <v>0</v>
      </c>
      <c r="AR81" s="172">
        <f ca="1">IFERROR(__xludf.DUMMYFUNCTION("IMPORTRANGE(""https://docs.google.com/spreadsheets/d/1vl4QWbWdFruual5o_wdo6ZSqXZ_it806oja4CctTLKs/edit?usp=sharing"",""พังงา!I113"")"),0)</f>
        <v>0</v>
      </c>
      <c r="AS81" s="172">
        <f ca="1">IFERROR(__xludf.DUMMYFUNCTION("IMPORTRANGE(""https://docs.google.com/spreadsheets/d/1vl4QWbWdFruual5o_wdo6ZSqXZ_it806oja4CctTLKs/edit?usp=sharing"",""พังงา!J113"")"),0)</f>
        <v>0</v>
      </c>
      <c r="AT81" s="172">
        <f ca="1">IFERROR(__xludf.DUMMYFUNCTION("IMPORTRANGE(""https://docs.google.com/spreadsheets/d/1vl4QWbWdFruual5o_wdo6ZSqXZ_it806oja4CctTLKs/edit?usp=sharing"",""พังงา!J114"")"),0)</f>
        <v>0</v>
      </c>
      <c r="AU81" s="172">
        <f ca="1">IFERROR(__xludf.DUMMYFUNCTION("IMPORTRANGE(""https://docs.google.com/spreadsheets/d/1vl4QWbWdFruual5o_wdo6ZSqXZ_it806oja4CctTLKs/edit?usp=sharing"",""พังงา!I115"")"),1)</f>
        <v>1</v>
      </c>
      <c r="AV81" s="173">
        <f ca="1">IFERROR(__xludf.DUMMYFUNCTION("IMPORTRANGE(""https://docs.google.com/spreadsheets/d/1vl4QWbWdFruual5o_wdo6ZSqXZ_it806oja4CctTLKs/edit?usp=sharing"",""พังงา!J115"")"),0)</f>
        <v>0</v>
      </c>
      <c r="AW81" s="175">
        <f t="shared" ca="1" si="18"/>
        <v>0</v>
      </c>
      <c r="AX81" s="172">
        <f ca="1">IFERROR(__xludf.DUMMYFUNCTION("IMPORTRANGE(""https://docs.google.com/spreadsheets/d/1vl4QWbWdFruual5o_wdo6ZSqXZ_it806oja4CctTLKs/edit?usp=sharing"",""พังงา!I116"")"),0)</f>
        <v>0</v>
      </c>
      <c r="AY81" s="173">
        <f ca="1">IFERROR(__xludf.DUMMYFUNCTION("IMPORTRANGE(""https://docs.google.com/spreadsheets/d/1vl4QWbWdFruual5o_wdo6ZSqXZ_it806oja4CctTLKs/edit?usp=sharing"",""พังงา!J116"")"),0)</f>
        <v>0</v>
      </c>
      <c r="AZ81" s="175">
        <f t="shared" ca="1" si="20"/>
        <v>0</v>
      </c>
    </row>
    <row r="82" spans="1:52" ht="21" customHeight="1" x14ac:dyDescent="0.3">
      <c r="A82" s="168">
        <v>8</v>
      </c>
      <c r="B82" s="169" t="s">
        <v>104</v>
      </c>
      <c r="C82" s="170">
        <f t="shared" ca="1" si="0"/>
        <v>86340</v>
      </c>
      <c r="D82" s="171">
        <f t="shared" ca="1" si="63"/>
        <v>86340</v>
      </c>
      <c r="E82" s="172">
        <f ca="1">IFERROR(__xludf.DUMMYFUNCTION("IMPORTRANGE(""https://docs.google.com/spreadsheets/d/1MeEWN-I1oV_STSDYn1IFDPWt_1FKiwhDph83XaGc0o0/edit?usp=sharing"",""งบพรบ!AR82"")"),0)</f>
        <v>0</v>
      </c>
      <c r="F82" s="172">
        <f ca="1">IFERROR(__xludf.DUMMYFUNCTION("IMPORTRANGE(""https://docs.google.com/spreadsheets/d/1MeEWN-I1oV_STSDYn1IFDPWt_1FKiwhDph83XaGc0o0/edit?usp=sharing"",""งบพรบ!AS82"")"),86340)</f>
        <v>86340</v>
      </c>
      <c r="G82" s="172">
        <f ca="1">IFERROR(__xludf.DUMMYFUNCTION("IMPORTRANGE(""https://docs.google.com/spreadsheets/d/1MeEWN-I1oV_STSDYn1IFDPWt_1FKiwhDph83XaGc0o0/edit?usp=sharing"",""งบพรบ!AT82"")"),0)</f>
        <v>0</v>
      </c>
      <c r="H82" s="172">
        <f ca="1">IFERROR(__xludf.DUMMYFUNCTION("IMPORTRANGE(""https://docs.google.com/spreadsheets/d/1MeEWN-I1oV_STSDYn1IFDPWt_1FKiwhDph83XaGc0o0/edit?usp=sharing"",""งบพรบ!AV82"")"),86340)</f>
        <v>86340</v>
      </c>
      <c r="I82" s="172">
        <f ca="1">IFERROR(__xludf.DUMMYFUNCTION("IMPORTRANGE(""https://docs.google.com/spreadsheets/d/1MeEWN-I1oV_STSDYn1IFDPWt_1FKiwhDph83XaGc0o0/edit?usp=sharing"",""งบพรบ!AW82"")"),0)</f>
        <v>0</v>
      </c>
      <c r="J82" s="172">
        <f t="shared" ca="1" si="3"/>
        <v>86340</v>
      </c>
      <c r="K82" s="179">
        <f t="shared" ca="1" si="4"/>
        <v>100</v>
      </c>
      <c r="L82" s="172">
        <f ca="1">IFERROR(__xludf.DUMMYFUNCTION("IMPORTRANGE(""https://docs.google.com/spreadsheets/d/1MeEWN-I1oV_STSDYn1IFDPWt_1FKiwhDph83XaGc0o0/edit?usp=sharing"",""งบพรบ!AX82"")"),86340)</f>
        <v>86340</v>
      </c>
      <c r="M82" s="175">
        <f t="shared" ca="1" si="5"/>
        <v>100</v>
      </c>
      <c r="N82" s="175">
        <f t="shared" ca="1" si="6"/>
        <v>100</v>
      </c>
      <c r="O82" s="176">
        <f ca="1">IFERROR(__xludf.DUMMYFUNCTION("IMPORTRANGE(""https://docs.google.com/spreadsheets/d/1MeEWN-I1oV_STSDYn1IFDPWt_1FKiwhDph83XaGc0o0/edit?usp=sharing"",""งบพรบ!AY82"")"),0)</f>
        <v>0</v>
      </c>
      <c r="P82" s="176">
        <f t="shared" ca="1" si="36"/>
        <v>0</v>
      </c>
      <c r="Q82" s="175">
        <f t="shared" ca="1" si="8"/>
        <v>0</v>
      </c>
      <c r="R82" s="173">
        <f ca="1">IFERROR(__xludf.DUMMYFUNCTION("IMPORTRANGE(""https://docs.google.com/spreadsheets/d/1b6QssHQp2FoAPSMKHOy273KNzAomaIKhtdlvuZ_zDNE/edit?usp=sharing"",""พัทลุง!I98"")"),30)</f>
        <v>30</v>
      </c>
      <c r="S82" s="173">
        <f ca="1">IFERROR(__xludf.DUMMYFUNCTION("IMPORTRANGE(""https://docs.google.com/spreadsheets/d/1b6QssHQp2FoAPSMKHOy273KNzAomaIKhtdlvuZ_zDNE/edit?usp=sharing"",""พัทลุง!J98"")"),30)</f>
        <v>30</v>
      </c>
      <c r="T82" s="173">
        <f t="shared" ca="1" si="10"/>
        <v>100</v>
      </c>
      <c r="U82" s="173">
        <f ca="1">IFERROR(__xludf.DUMMYFUNCTION("IMPORTRANGE(""https://docs.google.com/spreadsheets/d/1b6QssHQp2FoAPSMKHOy273KNzAomaIKhtdlvuZ_zDNE/edit?usp=sharing"",""พัทลุง!I99"")"),10)</f>
        <v>10</v>
      </c>
      <c r="V82" s="173">
        <f ca="1">IFERROR(__xludf.DUMMYFUNCTION("IMPORTRANGE(""https://docs.google.com/spreadsheets/d/1b6QssHQp2FoAPSMKHOy273KNzAomaIKhtdlvuZ_zDNE/edit?usp=sharing"",""พัทลุง!I100"")"),2)</f>
        <v>2</v>
      </c>
      <c r="W82" s="173">
        <f ca="1">IFERROR(__xludf.DUMMYFUNCTION("IMPORTRANGE(""https://docs.google.com/spreadsheets/d/1b6QssHQp2FoAPSMKHOy273KNzAomaIKhtdlvuZ_zDNE/edit?usp=sharing"",""พัทลุง!J99"")"),10)</f>
        <v>10</v>
      </c>
      <c r="X82" s="177">
        <f t="shared" ca="1" si="12"/>
        <v>100</v>
      </c>
      <c r="Y82" s="178">
        <f ca="1">IFERROR(__xludf.DUMMYFUNCTION("IMPORTRANGE(""https://docs.google.com/spreadsheets/d/1b6QssHQp2FoAPSMKHOy273KNzAomaIKhtdlvuZ_zDNE/edit?usp=sharing"",""พัทลุง!J100"")"),2)</f>
        <v>2</v>
      </c>
      <c r="Z82" s="177">
        <f t="shared" ca="1" si="13"/>
        <v>100</v>
      </c>
      <c r="AA82" s="172">
        <f ca="1">IFERROR(__xludf.DUMMYFUNCTION("IMPORTRANGE(""https://docs.google.com/spreadsheets/d/1b6QssHQp2FoAPSMKHOy273KNzAomaIKhtdlvuZ_zDNE/edit?usp=sharing"",""พัทลุง!I102"")"),30)</f>
        <v>30</v>
      </c>
      <c r="AB82" s="172">
        <f ca="1">IFERROR(__xludf.DUMMYFUNCTION("IMPORTRANGE(""https://docs.google.com/spreadsheets/d/1b6QssHQp2FoAPSMKHOy273KNzAomaIKhtdlvuZ_zDNE/edit?usp=sharing"",""พัทลุง!I103"")"),10)</f>
        <v>10</v>
      </c>
      <c r="AC82" s="173">
        <f ca="1">IFERROR(__xludf.DUMMYFUNCTION("IMPORTRANGE(""https://docs.google.com/spreadsheets/d/1b6QssHQp2FoAPSMKHOy273KNzAomaIKhtdlvuZ_zDNE/edit?usp=sharing"",""พัทลุง!J102"")"),30)</f>
        <v>30</v>
      </c>
      <c r="AD82" s="173">
        <f ca="1">IFERROR(__xludf.DUMMYFUNCTION("IMPORTRANGE(""https://docs.google.com/spreadsheets/d/1b6QssHQp2FoAPSMKHOy273KNzAomaIKhtdlvuZ_zDNE/edit?usp=sharing"",""พัทลุง!J103"")"),10)</f>
        <v>10</v>
      </c>
      <c r="AE82" s="173">
        <f ca="1">IFERROR(__xludf.DUMMYFUNCTION("IMPORTRANGE(""https://docs.google.com/spreadsheets/d/1b6QssHQp2FoAPSMKHOy273KNzAomaIKhtdlvuZ_zDNE/edit?usp=sharing"",""พัทลุง!J104"")"),10)</f>
        <v>10</v>
      </c>
      <c r="AF82" s="172">
        <f ca="1">IFERROR(__xludf.DUMMYFUNCTION("IMPORTRANGE(""https://docs.google.com/spreadsheets/d/1b6QssHQp2FoAPSMKHOy273KNzAomaIKhtdlvuZ_zDNE/edit?usp=sharing"",""พัทลุง!I106"")"),1)</f>
        <v>1</v>
      </c>
      <c r="AG82" s="173">
        <f ca="1">IFERROR(__xludf.DUMMYFUNCTION("IMPORTRANGE(""https://docs.google.com/spreadsheets/d/1b6QssHQp2FoAPSMKHOy273KNzAomaIKhtdlvuZ_zDNE/edit?usp=sharing"",""พัทลุง!J106"")"),1)</f>
        <v>1</v>
      </c>
      <c r="AH82" s="173">
        <f ca="1">IFERROR(__xludf.DUMMYFUNCTION("IMPORTRANGE(""https://docs.google.com/spreadsheets/d/1b6QssHQp2FoAPSMKHOy273KNzAomaIKhtdlvuZ_zDNE/edit?usp=sharing"",""พัทลุง!J107"")"),1)</f>
        <v>1</v>
      </c>
      <c r="AI82" s="172">
        <f ca="1">IFERROR(__xludf.DUMMYFUNCTION("IMPORTRANGE(""https://docs.google.com/spreadsheets/d/1b6QssHQp2FoAPSMKHOy273KNzAomaIKhtdlvuZ_zDNE/edit?usp=sharing"",""พัทลุง!I109"")"),1)</f>
        <v>1</v>
      </c>
      <c r="AJ82" s="173">
        <f ca="1">IFERROR(__xludf.DUMMYFUNCTION("IMPORTRANGE(""https://docs.google.com/spreadsheets/d/1b6QssHQp2FoAPSMKHOy273KNzAomaIKhtdlvuZ_zDNE/edit?usp=sharing"",""พัทลุง!J109"")"),1)</f>
        <v>1</v>
      </c>
      <c r="AK82" s="173">
        <f ca="1">IFERROR(__xludf.DUMMYFUNCTION("IMPORTRANGE(""https://docs.google.com/spreadsheets/d/1b6QssHQp2FoAPSMKHOy273KNzAomaIKhtdlvuZ_zDNE/edit?usp=sharing"",""พัทลุง!J110"")"),1)</f>
        <v>1</v>
      </c>
      <c r="AL82" s="172">
        <f ca="1">IFERROR(__xludf.DUMMYFUNCTION("IMPORTRANGE(""https://docs.google.com/spreadsheets/d/1b6QssHQp2FoAPSMKHOy273KNzAomaIKhtdlvuZ_zDNE/edit?usp=sharing"",""พัทลุง!I111"")"),10)</f>
        <v>10</v>
      </c>
      <c r="AM82" s="172">
        <f ca="1">IFERROR(__xludf.DUMMYFUNCTION("IMPORTRANGE(""https://docs.google.com/spreadsheets/d/1b6QssHQp2FoAPSMKHOy273KNzAomaIKhtdlvuZ_zDNE/edit?usp=sharing"",""พัทลุง!I112"")"),2)</f>
        <v>2</v>
      </c>
      <c r="AN82" s="173">
        <f ca="1">IFERROR(__xludf.DUMMYFUNCTION("IMPORTRANGE(""https://docs.google.com/spreadsheets/d/1b6QssHQp2FoAPSMKHOy273KNzAomaIKhtdlvuZ_zDNE/edit?usp=sharing"",""พัทลุง!J111"")"),0)</f>
        <v>0</v>
      </c>
      <c r="AO82" s="173">
        <f t="shared" ca="1" si="15"/>
        <v>0</v>
      </c>
      <c r="AP82" s="173">
        <f ca="1">IFERROR(__xludf.DUMMYFUNCTION("IMPORTRANGE(""https://docs.google.com/spreadsheets/d/1b6QssHQp2FoAPSMKHOy273KNzAomaIKhtdlvuZ_zDNE/edit?usp=sharing"",""พัทลุง!J112"")"),0)</f>
        <v>0</v>
      </c>
      <c r="AQ82" s="175">
        <f t="shared" ca="1" si="16"/>
        <v>0</v>
      </c>
      <c r="AR82" s="172">
        <f ca="1">IFERROR(__xludf.DUMMYFUNCTION("IMPORTRANGE(""https://docs.google.com/spreadsheets/d/1b6QssHQp2FoAPSMKHOy273KNzAomaIKhtdlvuZ_zDNE/edit?usp=sharing"",""พัทลุง!I113"")"),10)</f>
        <v>10</v>
      </c>
      <c r="AS82" s="172">
        <f ca="1">IFERROR(__xludf.DUMMYFUNCTION("IMPORTRANGE(""https://docs.google.com/spreadsheets/d/1b6QssHQp2FoAPSMKHOy273KNzAomaIKhtdlvuZ_zDNE/edit?usp=sharing"",""พัทลุง!J113"")"),0)</f>
        <v>0</v>
      </c>
      <c r="AT82" s="172">
        <f ca="1">IFERROR(__xludf.DUMMYFUNCTION("IMPORTRANGE(""https://docs.google.com/spreadsheets/d/1b6QssHQp2FoAPSMKHOy273KNzAomaIKhtdlvuZ_zDNE/edit?usp=sharing"",""พัทลุง!J114"")"),0)</f>
        <v>0</v>
      </c>
      <c r="AU82" s="172">
        <f ca="1">IFERROR(__xludf.DUMMYFUNCTION("IMPORTRANGE(""https://docs.google.com/spreadsheets/d/1b6QssHQp2FoAPSMKHOy273KNzAomaIKhtdlvuZ_zDNE/edit?usp=sharing"",""พัทลุง!I115"")"),1)</f>
        <v>1</v>
      </c>
      <c r="AV82" s="173">
        <f ca="1">IFERROR(__xludf.DUMMYFUNCTION("IMPORTRANGE(""https://docs.google.com/spreadsheets/d/1b6QssHQp2FoAPSMKHOy273KNzAomaIKhtdlvuZ_zDNE/edit?usp=sharing"",""พัทลุง!J115"")"),0)</f>
        <v>0</v>
      </c>
      <c r="AW82" s="175">
        <f t="shared" ca="1" si="18"/>
        <v>0</v>
      </c>
      <c r="AX82" s="172">
        <f ca="1">IFERROR(__xludf.DUMMYFUNCTION("IMPORTRANGE(""https://docs.google.com/spreadsheets/d/1b6QssHQp2FoAPSMKHOy273KNzAomaIKhtdlvuZ_zDNE/edit?usp=sharing"",""พัทลุง!I116"")"),1)</f>
        <v>1</v>
      </c>
      <c r="AY82" s="173">
        <f ca="1">IFERROR(__xludf.DUMMYFUNCTION("IMPORTRANGE(""https://docs.google.com/spreadsheets/d/1b6QssHQp2FoAPSMKHOy273KNzAomaIKhtdlvuZ_zDNE/edit?usp=sharing"",""พัทลุง!J116"")"),0)</f>
        <v>0</v>
      </c>
      <c r="AZ82" s="175">
        <f t="shared" ca="1" si="20"/>
        <v>0</v>
      </c>
    </row>
    <row r="83" spans="1:52" ht="21" customHeight="1" x14ac:dyDescent="0.3">
      <c r="A83" s="168">
        <v>9</v>
      </c>
      <c r="B83" s="169" t="s">
        <v>105</v>
      </c>
      <c r="C83" s="170">
        <f t="shared" ca="1" si="0"/>
        <v>319000</v>
      </c>
      <c r="D83" s="171">
        <f t="shared" ca="1" si="63"/>
        <v>319000</v>
      </c>
      <c r="E83" s="172">
        <f ca="1">IFERROR(__xludf.DUMMYFUNCTION("IMPORTRANGE(""https://docs.google.com/spreadsheets/d/1MeEWN-I1oV_STSDYn1IFDPWt_1FKiwhDph83XaGc0o0/edit?usp=sharing"",""งบพรบ!AR83"")"),287800)</f>
        <v>287800</v>
      </c>
      <c r="F83" s="172">
        <f ca="1">IFERROR(__xludf.DUMMYFUNCTION("IMPORTRANGE(""https://docs.google.com/spreadsheets/d/1MeEWN-I1oV_STSDYn1IFDPWt_1FKiwhDph83XaGc0o0/edit?usp=sharing"",""งบพรบ!AS83"")"),31200)</f>
        <v>31200</v>
      </c>
      <c r="G83" s="172">
        <f ca="1">IFERROR(__xludf.DUMMYFUNCTION("IMPORTRANGE(""https://docs.google.com/spreadsheets/d/1MeEWN-I1oV_STSDYn1IFDPWt_1FKiwhDph83XaGc0o0/edit?usp=sharing"",""งบพรบ!AT83"")"),0)</f>
        <v>0</v>
      </c>
      <c r="H83" s="172">
        <f ca="1">IFERROR(__xludf.DUMMYFUNCTION("IMPORTRANGE(""https://docs.google.com/spreadsheets/d/1MeEWN-I1oV_STSDYn1IFDPWt_1FKiwhDph83XaGc0o0/edit?usp=sharing"",""งบพรบ!AV83"")"),319000)</f>
        <v>319000</v>
      </c>
      <c r="I83" s="172">
        <f ca="1">IFERROR(__xludf.DUMMYFUNCTION("IMPORTRANGE(""https://docs.google.com/spreadsheets/d/1MeEWN-I1oV_STSDYn1IFDPWt_1FKiwhDph83XaGc0o0/edit?usp=sharing"",""งบพรบ!AW83"")"),0)</f>
        <v>0</v>
      </c>
      <c r="J83" s="172">
        <f t="shared" ca="1" si="3"/>
        <v>285357.15999999997</v>
      </c>
      <c r="K83" s="179">
        <f t="shared" ca="1" si="4"/>
        <v>89.453655172413775</v>
      </c>
      <c r="L83" s="172">
        <f ca="1">IFERROR(__xludf.DUMMYFUNCTION("IMPORTRANGE(""https://docs.google.com/spreadsheets/d/1MeEWN-I1oV_STSDYn1IFDPWt_1FKiwhDph83XaGc0o0/edit?usp=sharing"",""งบพรบ!AX83"")"),285357.16)</f>
        <v>285357.15999999997</v>
      </c>
      <c r="M83" s="175">
        <f t="shared" ca="1" si="5"/>
        <v>89.453655172413775</v>
      </c>
      <c r="N83" s="175">
        <f t="shared" ca="1" si="6"/>
        <v>89.453655172413775</v>
      </c>
      <c r="O83" s="176">
        <f ca="1">IFERROR(__xludf.DUMMYFUNCTION("IMPORTRANGE(""https://docs.google.com/spreadsheets/d/1MeEWN-I1oV_STSDYn1IFDPWt_1FKiwhDph83XaGc0o0/edit?usp=sharing"",""งบพรบ!AY83"")"),0)</f>
        <v>0</v>
      </c>
      <c r="P83" s="176">
        <f t="shared" ca="1" si="36"/>
        <v>0</v>
      </c>
      <c r="Q83" s="175">
        <f t="shared" ca="1" si="8"/>
        <v>0</v>
      </c>
      <c r="R83" s="173">
        <f ca="1">IFERROR(__xludf.DUMMYFUNCTION("IMPORTRANGE(""https://docs.google.com/spreadsheets/d/1o7UZe4_OqlqtLDHrj01Z2YFRSZDf1DMy1n3XViHaxRc/edit?usp=sharing"",""ภูเก็ต!I98"")"),0)</f>
        <v>0</v>
      </c>
      <c r="S83" s="173">
        <f ca="1">IFERROR(__xludf.DUMMYFUNCTION("IMPORTRANGE(""https://docs.google.com/spreadsheets/d/1o7UZe4_OqlqtLDHrj01Z2YFRSZDf1DMy1n3XViHaxRc/edit?usp=sharing"",""ภูเก็ต!J98"")"),0)</f>
        <v>0</v>
      </c>
      <c r="T83" s="173">
        <f t="shared" ca="1" si="10"/>
        <v>0</v>
      </c>
      <c r="U83" s="173">
        <f ca="1">IFERROR(__xludf.DUMMYFUNCTION("IMPORTRANGE(""https://docs.google.com/spreadsheets/d/1o7UZe4_OqlqtLDHrj01Z2YFRSZDf1DMy1n3XViHaxRc/edit?usp=sharing"",""ภูเก็ต!I99"")"),0)</f>
        <v>0</v>
      </c>
      <c r="V83" s="173">
        <f ca="1">IFERROR(__xludf.DUMMYFUNCTION("IMPORTRANGE(""https://docs.google.com/spreadsheets/d/1o7UZe4_OqlqtLDHrj01Z2YFRSZDf1DMy1n3XViHaxRc/edit?usp=sharing"",""ภูเก็ต!I100"")"),1)</f>
        <v>1</v>
      </c>
      <c r="W83" s="173">
        <f ca="1">IFERROR(__xludf.DUMMYFUNCTION("IMPORTRANGE(""https://docs.google.com/spreadsheets/d/1o7UZe4_OqlqtLDHrj01Z2YFRSZDf1DMy1n3XViHaxRc/edit?usp=sharing"",""ภูเก็ต!J99"")"),0)</f>
        <v>0</v>
      </c>
      <c r="X83" s="177">
        <f t="shared" ca="1" si="12"/>
        <v>0</v>
      </c>
      <c r="Y83" s="178">
        <f ca="1">IFERROR(__xludf.DUMMYFUNCTION("IMPORTRANGE(""https://docs.google.com/spreadsheets/d/1o7UZe4_OqlqtLDHrj01Z2YFRSZDf1DMy1n3XViHaxRc/edit?usp=sharing"",""ภูเก็ต!J100"")"),1)</f>
        <v>1</v>
      </c>
      <c r="Z83" s="177">
        <f t="shared" ca="1" si="13"/>
        <v>100</v>
      </c>
      <c r="AA83" s="172">
        <f ca="1">IFERROR(__xludf.DUMMYFUNCTION("IMPORTRANGE(""https://docs.google.com/spreadsheets/d/1o7UZe4_OqlqtLDHrj01Z2YFRSZDf1DMy1n3XViHaxRc/edit?usp=sharing"",""ภูเก็ต!I102"")"),0)</f>
        <v>0</v>
      </c>
      <c r="AB83" s="172">
        <f ca="1">IFERROR(__xludf.DUMMYFUNCTION("IMPORTRANGE(""https://docs.google.com/spreadsheets/d/1o7UZe4_OqlqtLDHrj01Z2YFRSZDf1DMy1n3XViHaxRc/edit?usp=sharing"",""ภูเก็ต!I103"")"),0)</f>
        <v>0</v>
      </c>
      <c r="AC83" s="173">
        <f ca="1">IFERROR(__xludf.DUMMYFUNCTION("IMPORTRANGE(""https://docs.google.com/spreadsheets/d/1o7UZe4_OqlqtLDHrj01Z2YFRSZDf1DMy1n3XViHaxRc/edit?usp=sharing"",""ภูเก็ต!J102"")"),0)</f>
        <v>0</v>
      </c>
      <c r="AD83" s="173">
        <f ca="1">IFERROR(__xludf.DUMMYFUNCTION("IMPORTRANGE(""https://docs.google.com/spreadsheets/d/1o7UZe4_OqlqtLDHrj01Z2YFRSZDf1DMy1n3XViHaxRc/edit?usp=sharing"",""ภูเก็ต!J103"")"),0)</f>
        <v>0</v>
      </c>
      <c r="AE83" s="173">
        <f ca="1">IFERROR(__xludf.DUMMYFUNCTION("IMPORTRANGE(""https://docs.google.com/spreadsheets/d/1o7UZe4_OqlqtLDHrj01Z2YFRSZDf1DMy1n3XViHaxRc/edit?usp=sharing"",""ภูเก็ต!J104"")"),0)</f>
        <v>0</v>
      </c>
      <c r="AF83" s="172">
        <f ca="1">IFERROR(__xludf.DUMMYFUNCTION("IMPORTRANGE(""https://docs.google.com/spreadsheets/d/1o7UZe4_OqlqtLDHrj01Z2YFRSZDf1DMy1n3XViHaxRc/edit?usp=sharing"",""ภูเก็ต!I106"")"),0)</f>
        <v>0</v>
      </c>
      <c r="AG83" s="173">
        <f ca="1">IFERROR(__xludf.DUMMYFUNCTION("IMPORTRANGE(""https://docs.google.com/spreadsheets/d/1o7UZe4_OqlqtLDHrj01Z2YFRSZDf1DMy1n3XViHaxRc/edit?usp=sharing"",""ภูเก็ต!J106"")"),0)</f>
        <v>0</v>
      </c>
      <c r="AH83" s="173">
        <f ca="1">IFERROR(__xludf.DUMMYFUNCTION("IMPORTRANGE(""https://docs.google.com/spreadsheets/d/1o7UZe4_OqlqtLDHrj01Z2YFRSZDf1DMy1n3XViHaxRc/edit?usp=sharing"",""ภูเก็ต!J107"")"),0)</f>
        <v>0</v>
      </c>
      <c r="AI83" s="172">
        <f ca="1">IFERROR(__xludf.DUMMYFUNCTION("IMPORTRANGE(""https://docs.google.com/spreadsheets/d/1o7UZe4_OqlqtLDHrj01Z2YFRSZDf1DMy1n3XViHaxRc/edit?usp=sharing"",""ภูเก็ต!I109"")"),1)</f>
        <v>1</v>
      </c>
      <c r="AJ83" s="173">
        <f ca="1">IFERROR(__xludf.DUMMYFUNCTION("IMPORTRANGE(""https://docs.google.com/spreadsheets/d/1o7UZe4_OqlqtLDHrj01Z2YFRSZDf1DMy1n3XViHaxRc/edit?usp=sharing"",""ภูเก็ต!J109"")"),1)</f>
        <v>1</v>
      </c>
      <c r="AK83" s="173">
        <f ca="1">IFERROR(__xludf.DUMMYFUNCTION("IMPORTRANGE(""https://docs.google.com/spreadsheets/d/1o7UZe4_OqlqtLDHrj01Z2YFRSZDf1DMy1n3XViHaxRc/edit?usp=sharing"",""ภูเก็ต!J110"")"),1)</f>
        <v>1</v>
      </c>
      <c r="AL83" s="172">
        <f ca="1">IFERROR(__xludf.DUMMYFUNCTION("IMPORTRANGE(""https://docs.google.com/spreadsheets/d/1o7UZe4_OqlqtLDHrj01Z2YFRSZDf1DMy1n3XViHaxRc/edit?usp=sharing"",""ภูเก็ต!I111"")"),0)</f>
        <v>0</v>
      </c>
      <c r="AM83" s="172">
        <f ca="1">IFERROR(__xludf.DUMMYFUNCTION("IMPORTRANGE(""https://docs.google.com/spreadsheets/d/1o7UZe4_OqlqtLDHrj01Z2YFRSZDf1DMy1n3XViHaxRc/edit?usp=sharing"",""ภูเก็ต!I112"")"),1)</f>
        <v>1</v>
      </c>
      <c r="AN83" s="173">
        <f ca="1">IFERROR(__xludf.DUMMYFUNCTION("IMPORTRANGE(""https://docs.google.com/spreadsheets/d/1o7UZe4_OqlqtLDHrj01Z2YFRSZDf1DMy1n3XViHaxRc/edit?usp=sharing"",""ภูเก็ต!J111"")"),0)</f>
        <v>0</v>
      </c>
      <c r="AO83" s="173">
        <f t="shared" ca="1" si="15"/>
        <v>0</v>
      </c>
      <c r="AP83" s="173">
        <f ca="1">IFERROR(__xludf.DUMMYFUNCTION("IMPORTRANGE(""https://docs.google.com/spreadsheets/d/1o7UZe4_OqlqtLDHrj01Z2YFRSZDf1DMy1n3XViHaxRc/edit?usp=sharing"",""ภูเก็ต!J112"")"),1)</f>
        <v>1</v>
      </c>
      <c r="AQ83" s="175">
        <f t="shared" ca="1" si="16"/>
        <v>100</v>
      </c>
      <c r="AR83" s="172">
        <f ca="1">IFERROR(__xludf.DUMMYFUNCTION("IMPORTRANGE(""https://docs.google.com/spreadsheets/d/1o7UZe4_OqlqtLDHrj01Z2YFRSZDf1DMy1n3XViHaxRc/edit?usp=sharing"",""ภูเก็ต!I113"")"),0)</f>
        <v>0</v>
      </c>
      <c r="AS83" s="172">
        <f ca="1">IFERROR(__xludf.DUMMYFUNCTION("IMPORTRANGE(""https://docs.google.com/spreadsheets/d/1o7UZe4_OqlqtLDHrj01Z2YFRSZDf1DMy1n3XViHaxRc/edit?usp=sharing"",""ภูเก็ต!J113"")"),0)</f>
        <v>0</v>
      </c>
      <c r="AT83" s="172">
        <f ca="1">IFERROR(__xludf.DUMMYFUNCTION("IMPORTRANGE(""https://docs.google.com/spreadsheets/d/1o7UZe4_OqlqtLDHrj01Z2YFRSZDf1DMy1n3XViHaxRc/edit?usp=sharing"",""ภูเก็ต!J114"")"),0)</f>
        <v>0</v>
      </c>
      <c r="AU83" s="172">
        <f ca="1">IFERROR(__xludf.DUMMYFUNCTION("IMPORTRANGE(""https://docs.google.com/spreadsheets/d/1o7UZe4_OqlqtLDHrj01Z2YFRSZDf1DMy1n3XViHaxRc/edit?usp=sharing"",""ภูเก็ต!I115"")"),0)</f>
        <v>0</v>
      </c>
      <c r="AV83" s="173">
        <f ca="1">IFERROR(__xludf.DUMMYFUNCTION("IMPORTRANGE(""https://docs.google.com/spreadsheets/d/1o7UZe4_OqlqtLDHrj01Z2YFRSZDf1DMy1n3XViHaxRc/edit?usp=sharing"",""ภูเก็ต!J115"")"),0)</f>
        <v>0</v>
      </c>
      <c r="AW83" s="175">
        <f t="shared" ca="1" si="18"/>
        <v>0</v>
      </c>
      <c r="AX83" s="172">
        <f ca="1">IFERROR(__xludf.DUMMYFUNCTION("IMPORTRANGE(""https://docs.google.com/spreadsheets/d/1o7UZe4_OqlqtLDHrj01Z2YFRSZDf1DMy1n3XViHaxRc/edit?usp=sharing"",""ภูเก็ต!I116"")"),1)</f>
        <v>1</v>
      </c>
      <c r="AY83" s="173">
        <f ca="1">IFERROR(__xludf.DUMMYFUNCTION("IMPORTRANGE(""https://docs.google.com/spreadsheets/d/1o7UZe4_OqlqtLDHrj01Z2YFRSZDf1DMy1n3XViHaxRc/edit?usp=sharing"",""ภูเก็ต!J116"")"),1)</f>
        <v>1</v>
      </c>
      <c r="AZ83" s="175">
        <f t="shared" ca="1" si="20"/>
        <v>100</v>
      </c>
    </row>
    <row r="84" spans="1:52" ht="21" customHeight="1" x14ac:dyDescent="0.3">
      <c r="A84" s="168">
        <v>10</v>
      </c>
      <c r="B84" s="169" t="s">
        <v>106</v>
      </c>
      <c r="C84" s="170">
        <f t="shared" ca="1" si="0"/>
        <v>245340</v>
      </c>
      <c r="D84" s="171">
        <f t="shared" ca="1" si="63"/>
        <v>245340</v>
      </c>
      <c r="E84" s="172">
        <f ca="1">IFERROR(__xludf.DUMMYFUNCTION("IMPORTRANGE(""https://docs.google.com/spreadsheets/d/1MeEWN-I1oV_STSDYn1IFDPWt_1FKiwhDph83XaGc0o0/edit?usp=sharing"",""งบพรบ!AR84"")"),159300)</f>
        <v>159300</v>
      </c>
      <c r="F84" s="172">
        <f ca="1">IFERROR(__xludf.DUMMYFUNCTION("IMPORTRANGE(""https://docs.google.com/spreadsheets/d/1MeEWN-I1oV_STSDYn1IFDPWt_1FKiwhDph83XaGc0o0/edit?usp=sharing"",""งบพรบ!AS84"")"),86040)</f>
        <v>86040</v>
      </c>
      <c r="G84" s="172">
        <f ca="1">IFERROR(__xludf.DUMMYFUNCTION("IMPORTRANGE(""https://docs.google.com/spreadsheets/d/1MeEWN-I1oV_STSDYn1IFDPWt_1FKiwhDph83XaGc0o0/edit?usp=sharing"",""งบพรบ!AT84"")"),0)</f>
        <v>0</v>
      </c>
      <c r="H84" s="172">
        <f ca="1">IFERROR(__xludf.DUMMYFUNCTION("IMPORTRANGE(""https://docs.google.com/spreadsheets/d/1MeEWN-I1oV_STSDYn1IFDPWt_1FKiwhDph83XaGc0o0/edit?usp=sharing"",""งบพรบ!AV84"")"),245340)</f>
        <v>245340</v>
      </c>
      <c r="I84" s="172">
        <f ca="1">IFERROR(__xludf.DUMMYFUNCTION("IMPORTRANGE(""https://docs.google.com/spreadsheets/d/1MeEWN-I1oV_STSDYn1IFDPWt_1FKiwhDph83XaGc0o0/edit?usp=sharing"",""งบพรบ!AW84"")"),0)</f>
        <v>0</v>
      </c>
      <c r="J84" s="172">
        <f t="shared" ca="1" si="3"/>
        <v>227005.54</v>
      </c>
      <c r="K84" s="179">
        <f t="shared" ca="1" si="4"/>
        <v>92.526917746800365</v>
      </c>
      <c r="L84" s="172">
        <f ca="1">IFERROR(__xludf.DUMMYFUNCTION("IMPORTRANGE(""https://docs.google.com/spreadsheets/d/1MeEWN-I1oV_STSDYn1IFDPWt_1FKiwhDph83XaGc0o0/edit?usp=sharing"",""งบพรบ!AX84"")"),227005.54)</f>
        <v>227005.54</v>
      </c>
      <c r="M84" s="175">
        <f t="shared" ca="1" si="5"/>
        <v>92.526917746800365</v>
      </c>
      <c r="N84" s="175">
        <f t="shared" ca="1" si="6"/>
        <v>92.526917746800365</v>
      </c>
      <c r="O84" s="176">
        <f ca="1">IFERROR(__xludf.DUMMYFUNCTION("IMPORTRANGE(""https://docs.google.com/spreadsheets/d/1MeEWN-I1oV_STSDYn1IFDPWt_1FKiwhDph83XaGc0o0/edit?usp=sharing"",""งบพรบ!AY84"")"),0)</f>
        <v>0</v>
      </c>
      <c r="P84" s="176">
        <f t="shared" ca="1" si="36"/>
        <v>0</v>
      </c>
      <c r="Q84" s="175">
        <f t="shared" ca="1" si="8"/>
        <v>0</v>
      </c>
      <c r="R84" s="173">
        <f ca="1">IFERROR(__xludf.DUMMYFUNCTION("IMPORTRANGE(""https://docs.google.com/spreadsheets/d/1ctPm1vUzcUCPuOj9-eoHUD85PqINFqUB0TjdSWmR5-c/edit?usp=sharing"",""ยะลา!I98"")"),30)</f>
        <v>30</v>
      </c>
      <c r="S84" s="173">
        <f ca="1">IFERROR(__xludf.DUMMYFUNCTION("IMPORTRANGE(""https://docs.google.com/spreadsheets/d/1ctPm1vUzcUCPuOj9-eoHUD85PqINFqUB0TjdSWmR5-c/edit?usp=sharing"",""ยะลา!J98"")"),30)</f>
        <v>30</v>
      </c>
      <c r="T84" s="173">
        <f t="shared" ca="1" si="10"/>
        <v>100</v>
      </c>
      <c r="U84" s="173">
        <f ca="1">IFERROR(__xludf.DUMMYFUNCTION("IMPORTRANGE(""https://docs.google.com/spreadsheets/d/1ctPm1vUzcUCPuOj9-eoHUD85PqINFqUB0TjdSWmR5-c/edit?usp=sharing"",""ยะลา!I99"")"),10)</f>
        <v>10</v>
      </c>
      <c r="V84" s="173">
        <f ca="1">IFERROR(__xludf.DUMMYFUNCTION("IMPORTRANGE(""https://docs.google.com/spreadsheets/d/1ctPm1vUzcUCPuOj9-eoHUD85PqINFqUB0TjdSWmR5-c/edit?usp=sharing"",""ยะลา!I100"")"),2)</f>
        <v>2</v>
      </c>
      <c r="W84" s="173">
        <f ca="1">IFERROR(__xludf.DUMMYFUNCTION("IMPORTRANGE(""https://docs.google.com/spreadsheets/d/1ctPm1vUzcUCPuOj9-eoHUD85PqINFqUB0TjdSWmR5-c/edit?usp=sharing"",""ยะลา!J99"")"),10)</f>
        <v>10</v>
      </c>
      <c r="X84" s="177">
        <f t="shared" ca="1" si="12"/>
        <v>100</v>
      </c>
      <c r="Y84" s="178">
        <f ca="1">IFERROR(__xludf.DUMMYFUNCTION("IMPORTRANGE(""https://docs.google.com/spreadsheets/d/1ctPm1vUzcUCPuOj9-eoHUD85PqINFqUB0TjdSWmR5-c/edit?usp=sharing"",""ยะลา!J100"")"),2)</f>
        <v>2</v>
      </c>
      <c r="Z84" s="177">
        <f t="shared" ca="1" si="13"/>
        <v>100</v>
      </c>
      <c r="AA84" s="172">
        <f ca="1">IFERROR(__xludf.DUMMYFUNCTION("IMPORTRANGE(""https://docs.google.com/spreadsheets/d/1ctPm1vUzcUCPuOj9-eoHUD85PqINFqUB0TjdSWmR5-c/edit?usp=sharing"",""ยะลา!I102"")"),30)</f>
        <v>30</v>
      </c>
      <c r="AB84" s="172">
        <f ca="1">IFERROR(__xludf.DUMMYFUNCTION("IMPORTRANGE(""https://docs.google.com/spreadsheets/d/1ctPm1vUzcUCPuOj9-eoHUD85PqINFqUB0TjdSWmR5-c/edit?usp=sharing"",""ยะลา!I103"")"),10)</f>
        <v>10</v>
      </c>
      <c r="AC84" s="173">
        <f ca="1">IFERROR(__xludf.DUMMYFUNCTION("IMPORTRANGE(""https://docs.google.com/spreadsheets/d/1ctPm1vUzcUCPuOj9-eoHUD85PqINFqUB0TjdSWmR5-c/edit?usp=sharing"",""ยะลา!J102"")"),30)</f>
        <v>30</v>
      </c>
      <c r="AD84" s="173">
        <f ca="1">IFERROR(__xludf.DUMMYFUNCTION("IMPORTRANGE(""https://docs.google.com/spreadsheets/d/1ctPm1vUzcUCPuOj9-eoHUD85PqINFqUB0TjdSWmR5-c/edit?usp=sharing"",""ยะลา!J103"")"),10)</f>
        <v>10</v>
      </c>
      <c r="AE84" s="173">
        <f ca="1">IFERROR(__xludf.DUMMYFUNCTION("IMPORTRANGE(""https://docs.google.com/spreadsheets/d/1ctPm1vUzcUCPuOj9-eoHUD85PqINFqUB0TjdSWmR5-c/edit?usp=sharing"",""ยะลา!J104"")"),10)</f>
        <v>10</v>
      </c>
      <c r="AF84" s="172">
        <f ca="1">IFERROR(__xludf.DUMMYFUNCTION("IMPORTRANGE(""https://docs.google.com/spreadsheets/d/1ctPm1vUzcUCPuOj9-eoHUD85PqINFqUB0TjdSWmR5-c/edit?usp=sharing"",""ยะลา!I106"")"),1)</f>
        <v>1</v>
      </c>
      <c r="AG84" s="173">
        <f ca="1">IFERROR(__xludf.DUMMYFUNCTION("IMPORTRANGE(""https://docs.google.com/spreadsheets/d/1ctPm1vUzcUCPuOj9-eoHUD85PqINFqUB0TjdSWmR5-c/edit?usp=sharing"",""ยะลา!J106"")"),1)</f>
        <v>1</v>
      </c>
      <c r="AH84" s="173">
        <f ca="1">IFERROR(__xludf.DUMMYFUNCTION("IMPORTRANGE(""https://docs.google.com/spreadsheets/d/1ctPm1vUzcUCPuOj9-eoHUD85PqINFqUB0TjdSWmR5-c/edit?usp=sharing"",""ยะลา!J107"")"),1)</f>
        <v>1</v>
      </c>
      <c r="AI84" s="172">
        <f ca="1">IFERROR(__xludf.DUMMYFUNCTION("IMPORTRANGE(""https://docs.google.com/spreadsheets/d/1ctPm1vUzcUCPuOj9-eoHUD85PqINFqUB0TjdSWmR5-c/edit?usp=sharing"",""ยะลา!I109"")"),1)</f>
        <v>1</v>
      </c>
      <c r="AJ84" s="173">
        <f ca="1">IFERROR(__xludf.DUMMYFUNCTION("IMPORTRANGE(""https://docs.google.com/spreadsheets/d/1ctPm1vUzcUCPuOj9-eoHUD85PqINFqUB0TjdSWmR5-c/edit?usp=sharing"",""ยะลา!J109"")"),1)</f>
        <v>1</v>
      </c>
      <c r="AK84" s="173">
        <f ca="1">IFERROR(__xludf.DUMMYFUNCTION("IMPORTRANGE(""https://docs.google.com/spreadsheets/d/1ctPm1vUzcUCPuOj9-eoHUD85PqINFqUB0TjdSWmR5-c/edit?usp=sharing"",""ยะลา!J110"")"),1)</f>
        <v>1</v>
      </c>
      <c r="AL84" s="172">
        <f ca="1">IFERROR(__xludf.DUMMYFUNCTION("IMPORTRANGE(""https://docs.google.com/spreadsheets/d/1ctPm1vUzcUCPuOj9-eoHUD85PqINFqUB0TjdSWmR5-c/edit?usp=sharing"",""ยะลา!I111"")"),10)</f>
        <v>10</v>
      </c>
      <c r="AM84" s="172">
        <f ca="1">IFERROR(__xludf.DUMMYFUNCTION("IMPORTRANGE(""https://docs.google.com/spreadsheets/d/1ctPm1vUzcUCPuOj9-eoHUD85PqINFqUB0TjdSWmR5-c/edit?usp=sharing"",""ยะลา!I112"")"),2)</f>
        <v>2</v>
      </c>
      <c r="AN84" s="173">
        <f ca="1">IFERROR(__xludf.DUMMYFUNCTION("IMPORTRANGE(""https://docs.google.com/spreadsheets/d/1ctPm1vUzcUCPuOj9-eoHUD85PqINFqUB0TjdSWmR5-c/edit?usp=sharing"",""ยะลา!J111"")"),10)</f>
        <v>10</v>
      </c>
      <c r="AO84" s="173">
        <f t="shared" ca="1" si="15"/>
        <v>100</v>
      </c>
      <c r="AP84" s="173">
        <f ca="1">IFERROR(__xludf.DUMMYFUNCTION("IMPORTRANGE(""https://docs.google.com/spreadsheets/d/1ctPm1vUzcUCPuOj9-eoHUD85PqINFqUB0TjdSWmR5-c/edit?usp=sharing"",""ยะลา!J112"")"),0)</f>
        <v>0</v>
      </c>
      <c r="AQ84" s="175">
        <f t="shared" ca="1" si="16"/>
        <v>0</v>
      </c>
      <c r="AR84" s="172">
        <f ca="1">IFERROR(__xludf.DUMMYFUNCTION("IMPORTRANGE(""https://docs.google.com/spreadsheets/d/1ctPm1vUzcUCPuOj9-eoHUD85PqINFqUB0TjdSWmR5-c/edit?usp=sharing"",""ยะลา!I113"")"),10)</f>
        <v>10</v>
      </c>
      <c r="AS84" s="172">
        <f ca="1">IFERROR(__xludf.DUMMYFUNCTION("IMPORTRANGE(""https://docs.google.com/spreadsheets/d/1ctPm1vUzcUCPuOj9-eoHUD85PqINFqUB0TjdSWmR5-c/edit?usp=sharing"",""ยะลา!J113"")"),10)</f>
        <v>10</v>
      </c>
      <c r="AT84" s="172">
        <f ca="1">IFERROR(__xludf.DUMMYFUNCTION("IMPORTRANGE(""https://docs.google.com/spreadsheets/d/1ctPm1vUzcUCPuOj9-eoHUD85PqINFqUB0TjdSWmR5-c/edit?usp=sharing"",""ยะลา!J114"")"),10)</f>
        <v>10</v>
      </c>
      <c r="AU84" s="172">
        <f ca="1">IFERROR(__xludf.DUMMYFUNCTION("IMPORTRANGE(""https://docs.google.com/spreadsheets/d/1ctPm1vUzcUCPuOj9-eoHUD85PqINFqUB0TjdSWmR5-c/edit?usp=sharing"",""ยะลา!I115"")"),1)</f>
        <v>1</v>
      </c>
      <c r="AV84" s="173">
        <f ca="1">IFERROR(__xludf.DUMMYFUNCTION("IMPORTRANGE(""https://docs.google.com/spreadsheets/d/1ctPm1vUzcUCPuOj9-eoHUD85PqINFqUB0TjdSWmR5-c/edit?usp=sharing"",""ยะลา!J115"")"),0)</f>
        <v>0</v>
      </c>
      <c r="AW84" s="175">
        <f t="shared" ca="1" si="18"/>
        <v>0</v>
      </c>
      <c r="AX84" s="172">
        <f ca="1">IFERROR(__xludf.DUMMYFUNCTION("IMPORTRANGE(""https://docs.google.com/spreadsheets/d/1ctPm1vUzcUCPuOj9-eoHUD85PqINFqUB0TjdSWmR5-c/edit?usp=sharing"",""ยะลา!I116"")"),1)</f>
        <v>1</v>
      </c>
      <c r="AY84" s="173">
        <f ca="1">IFERROR(__xludf.DUMMYFUNCTION("IMPORTRANGE(""https://docs.google.com/spreadsheets/d/1ctPm1vUzcUCPuOj9-eoHUD85PqINFqUB0TjdSWmR5-c/edit?usp=sharing"",""ยะลา!J116"")"),0)</f>
        <v>0</v>
      </c>
      <c r="AZ84" s="175">
        <f t="shared" ca="1" si="20"/>
        <v>0</v>
      </c>
    </row>
    <row r="85" spans="1:52" ht="21" customHeight="1" x14ac:dyDescent="0.3">
      <c r="A85" s="168">
        <v>11</v>
      </c>
      <c r="B85" s="169" t="s">
        <v>107</v>
      </c>
      <c r="C85" s="170">
        <f t="shared" ca="1" si="0"/>
        <v>376140</v>
      </c>
      <c r="D85" s="171">
        <f t="shared" ca="1" si="63"/>
        <v>376140</v>
      </c>
      <c r="E85" s="172">
        <f ca="1">IFERROR(__xludf.DUMMYFUNCTION("IMPORTRANGE(""https://docs.google.com/spreadsheets/d/1MeEWN-I1oV_STSDYn1IFDPWt_1FKiwhDph83XaGc0o0/edit?usp=sharing"",""งบพรบ!AR85"")"),290300)</f>
        <v>290300</v>
      </c>
      <c r="F85" s="172">
        <f ca="1">IFERROR(__xludf.DUMMYFUNCTION("IMPORTRANGE(""https://docs.google.com/spreadsheets/d/1MeEWN-I1oV_STSDYn1IFDPWt_1FKiwhDph83XaGc0o0/edit?usp=sharing"",""งบพรบ!AS85"")"),85840)</f>
        <v>85840</v>
      </c>
      <c r="G85" s="172">
        <f ca="1">IFERROR(__xludf.DUMMYFUNCTION("IMPORTRANGE(""https://docs.google.com/spreadsheets/d/1MeEWN-I1oV_STSDYn1IFDPWt_1FKiwhDph83XaGc0o0/edit?usp=sharing"",""งบพรบ!AT85"")"),0)</f>
        <v>0</v>
      </c>
      <c r="H85" s="172">
        <f ca="1">IFERROR(__xludf.DUMMYFUNCTION("IMPORTRANGE(""https://docs.google.com/spreadsheets/d/1MeEWN-I1oV_STSDYn1IFDPWt_1FKiwhDph83XaGc0o0/edit?usp=sharing"",""งบพรบ!AV85"")"),376140)</f>
        <v>376140</v>
      </c>
      <c r="I85" s="172">
        <f ca="1">IFERROR(__xludf.DUMMYFUNCTION("IMPORTRANGE(""https://docs.google.com/spreadsheets/d/1MeEWN-I1oV_STSDYn1IFDPWt_1FKiwhDph83XaGc0o0/edit?usp=sharing"",""งบพรบ!AW85"")"),0)</f>
        <v>0</v>
      </c>
      <c r="J85" s="172">
        <f t="shared" ca="1" si="3"/>
        <v>357694.38</v>
      </c>
      <c r="K85" s="179">
        <f t="shared" ca="1" si="4"/>
        <v>95.096075929175313</v>
      </c>
      <c r="L85" s="172">
        <f ca="1">IFERROR(__xludf.DUMMYFUNCTION("IMPORTRANGE(""https://docs.google.com/spreadsheets/d/1MeEWN-I1oV_STSDYn1IFDPWt_1FKiwhDph83XaGc0o0/edit?usp=sharing"",""งบพรบ!AX85"")"),357694.38)</f>
        <v>357694.38</v>
      </c>
      <c r="M85" s="175">
        <f t="shared" ca="1" si="5"/>
        <v>95.096075929175313</v>
      </c>
      <c r="N85" s="175">
        <f t="shared" ca="1" si="6"/>
        <v>95.096075929175313</v>
      </c>
      <c r="O85" s="176">
        <f ca="1">IFERROR(__xludf.DUMMYFUNCTION("IMPORTRANGE(""https://docs.google.com/spreadsheets/d/1MeEWN-I1oV_STSDYn1IFDPWt_1FKiwhDph83XaGc0o0/edit?usp=sharing"",""งบพรบ!AY85"")"),0)</f>
        <v>0</v>
      </c>
      <c r="P85" s="176">
        <f t="shared" ca="1" si="36"/>
        <v>0</v>
      </c>
      <c r="Q85" s="175">
        <f t="shared" ca="1" si="8"/>
        <v>0</v>
      </c>
      <c r="R85" s="173">
        <f ca="1">IFERROR(__xludf.DUMMYFUNCTION("IMPORTRANGE(""https://docs.google.com/spreadsheets/d/1YiDIE7Klmt8osgdapRqYWNr7iPGFSsiJqq46S7PYRE0/edit?usp=sharing"",""ระนอง!I98"")"),30)</f>
        <v>30</v>
      </c>
      <c r="S85" s="173">
        <f ca="1">IFERROR(__xludf.DUMMYFUNCTION("IMPORTRANGE(""https://docs.google.com/spreadsheets/d/1YiDIE7Klmt8osgdapRqYWNr7iPGFSsiJqq46S7PYRE0/edit?usp=sharing"",""ระนอง!J98"")"),30)</f>
        <v>30</v>
      </c>
      <c r="T85" s="173">
        <f t="shared" ca="1" si="10"/>
        <v>100</v>
      </c>
      <c r="U85" s="173">
        <f ca="1">IFERROR(__xludf.DUMMYFUNCTION("IMPORTRANGE(""https://docs.google.com/spreadsheets/d/1YiDIE7Klmt8osgdapRqYWNr7iPGFSsiJqq46S7PYRE0/edit?usp=sharing"",""ระนอง!I99"")"),10)</f>
        <v>10</v>
      </c>
      <c r="V85" s="173">
        <f ca="1">IFERROR(__xludf.DUMMYFUNCTION("IMPORTRANGE(""https://docs.google.com/spreadsheets/d/1YiDIE7Klmt8osgdapRqYWNr7iPGFSsiJqq46S7PYRE0/edit?usp=sharing"",""ระนอง!I100"")"),2)</f>
        <v>2</v>
      </c>
      <c r="W85" s="173">
        <f ca="1">IFERROR(__xludf.DUMMYFUNCTION("IMPORTRANGE(""https://docs.google.com/spreadsheets/d/1YiDIE7Klmt8osgdapRqYWNr7iPGFSsiJqq46S7PYRE0/edit?usp=sharing"",""ระนอง!J99"")"),10)</f>
        <v>10</v>
      </c>
      <c r="X85" s="177">
        <f t="shared" ca="1" si="12"/>
        <v>100</v>
      </c>
      <c r="Y85" s="178">
        <f ca="1">IFERROR(__xludf.DUMMYFUNCTION("IMPORTRANGE(""https://docs.google.com/spreadsheets/d/1YiDIE7Klmt8osgdapRqYWNr7iPGFSsiJqq46S7PYRE0/edit?usp=sharing"",""ระนอง!J100"")"),2)</f>
        <v>2</v>
      </c>
      <c r="Z85" s="177">
        <f t="shared" ca="1" si="13"/>
        <v>100</v>
      </c>
      <c r="AA85" s="172">
        <f ca="1">IFERROR(__xludf.DUMMYFUNCTION("IMPORTRANGE(""https://docs.google.com/spreadsheets/d/1YiDIE7Klmt8osgdapRqYWNr7iPGFSsiJqq46S7PYRE0/edit?usp=sharing"",""ระนอง!I102"")"),30)</f>
        <v>30</v>
      </c>
      <c r="AB85" s="172">
        <f ca="1">IFERROR(__xludf.DUMMYFUNCTION("IMPORTRANGE(""https://docs.google.com/spreadsheets/d/1YiDIE7Klmt8osgdapRqYWNr7iPGFSsiJqq46S7PYRE0/edit?usp=sharing"",""ระนอง!I103"")"),10)</f>
        <v>10</v>
      </c>
      <c r="AC85" s="173">
        <f ca="1">IFERROR(__xludf.DUMMYFUNCTION("IMPORTRANGE(""https://docs.google.com/spreadsheets/d/1YiDIE7Klmt8osgdapRqYWNr7iPGFSsiJqq46S7PYRE0/edit?usp=sharing"",""ระนอง!J102"")"),30)</f>
        <v>30</v>
      </c>
      <c r="AD85" s="173">
        <f ca="1">IFERROR(__xludf.DUMMYFUNCTION("IMPORTRANGE(""https://docs.google.com/spreadsheets/d/1YiDIE7Klmt8osgdapRqYWNr7iPGFSsiJqq46S7PYRE0/edit?usp=sharing"",""ระนอง!J103"")"),10)</f>
        <v>10</v>
      </c>
      <c r="AE85" s="173">
        <f ca="1">IFERROR(__xludf.DUMMYFUNCTION("IMPORTRANGE(""https://docs.google.com/spreadsheets/d/1YiDIE7Klmt8osgdapRqYWNr7iPGFSsiJqq46S7PYRE0/edit?usp=sharing"",""ระนอง!J104"")"),10)</f>
        <v>10</v>
      </c>
      <c r="AF85" s="172">
        <f ca="1">IFERROR(__xludf.DUMMYFUNCTION("IMPORTRANGE(""https://docs.google.com/spreadsheets/d/1YiDIE7Klmt8osgdapRqYWNr7iPGFSsiJqq46S7PYRE0/edit?usp=sharing"",""ระนอง!I106"")"),1)</f>
        <v>1</v>
      </c>
      <c r="AG85" s="173">
        <f ca="1">IFERROR(__xludf.DUMMYFUNCTION("IMPORTRANGE(""https://docs.google.com/spreadsheets/d/1YiDIE7Klmt8osgdapRqYWNr7iPGFSsiJqq46S7PYRE0/edit?usp=sharing"",""ระนอง!J106"")"),1)</f>
        <v>1</v>
      </c>
      <c r="AH85" s="173">
        <f ca="1">IFERROR(__xludf.DUMMYFUNCTION("IMPORTRANGE(""https://docs.google.com/spreadsheets/d/1YiDIE7Klmt8osgdapRqYWNr7iPGFSsiJqq46S7PYRE0/edit?usp=sharing"",""ระนอง!J107"")"),1)</f>
        <v>1</v>
      </c>
      <c r="AI85" s="172">
        <f ca="1">IFERROR(__xludf.DUMMYFUNCTION("IMPORTRANGE(""https://docs.google.com/spreadsheets/d/1YiDIE7Klmt8osgdapRqYWNr7iPGFSsiJqq46S7PYRE0/edit?usp=sharing"",""ระนอง!I109"")"),1)</f>
        <v>1</v>
      </c>
      <c r="AJ85" s="173">
        <f ca="1">IFERROR(__xludf.DUMMYFUNCTION("IMPORTRANGE(""https://docs.google.com/spreadsheets/d/1YiDIE7Klmt8osgdapRqYWNr7iPGFSsiJqq46S7PYRE0/edit?usp=sharing"",""ระนอง!J109"")"),1)</f>
        <v>1</v>
      </c>
      <c r="AK85" s="173">
        <f ca="1">IFERROR(__xludf.DUMMYFUNCTION("IMPORTRANGE(""https://docs.google.com/spreadsheets/d/1YiDIE7Klmt8osgdapRqYWNr7iPGFSsiJqq46S7PYRE0/edit?usp=sharing"",""ระนอง!J110"")"),1)</f>
        <v>1</v>
      </c>
      <c r="AL85" s="172">
        <f ca="1">IFERROR(__xludf.DUMMYFUNCTION("IMPORTRANGE(""https://docs.google.com/spreadsheets/d/1YiDIE7Klmt8osgdapRqYWNr7iPGFSsiJqq46S7PYRE0/edit?usp=sharing"",""ระนอง!I111"")"),10)</f>
        <v>10</v>
      </c>
      <c r="AM85" s="172">
        <f ca="1">IFERROR(__xludf.DUMMYFUNCTION("IMPORTRANGE(""https://docs.google.com/spreadsheets/d/1YiDIE7Klmt8osgdapRqYWNr7iPGFSsiJqq46S7PYRE0/edit?usp=sharing"",""ระนอง!I112"")"),2)</f>
        <v>2</v>
      </c>
      <c r="AN85" s="173">
        <f ca="1">IFERROR(__xludf.DUMMYFUNCTION("IMPORTRANGE(""https://docs.google.com/spreadsheets/d/1YiDIE7Klmt8osgdapRqYWNr7iPGFSsiJqq46S7PYRE0/edit?usp=sharing"",""ระนอง!J111"")"),10)</f>
        <v>10</v>
      </c>
      <c r="AO85" s="173">
        <f t="shared" ca="1" si="15"/>
        <v>100</v>
      </c>
      <c r="AP85" s="173">
        <f ca="1">IFERROR(__xludf.DUMMYFUNCTION("IMPORTRANGE(""https://docs.google.com/spreadsheets/d/1YiDIE7Klmt8osgdapRqYWNr7iPGFSsiJqq46S7PYRE0/edit?usp=sharing"",""ระนอง!J112"")"),2)</f>
        <v>2</v>
      </c>
      <c r="AQ85" s="175">
        <f t="shared" ca="1" si="16"/>
        <v>100</v>
      </c>
      <c r="AR85" s="172">
        <f ca="1">IFERROR(__xludf.DUMMYFUNCTION("IMPORTRANGE(""https://docs.google.com/spreadsheets/d/1YiDIE7Klmt8osgdapRqYWNr7iPGFSsiJqq46S7PYRE0/edit?usp=sharing"",""ระนอง!I113"")"),10)</f>
        <v>10</v>
      </c>
      <c r="AS85" s="172">
        <f ca="1">IFERROR(__xludf.DUMMYFUNCTION("IMPORTRANGE(""https://docs.google.com/spreadsheets/d/1YiDIE7Klmt8osgdapRqYWNr7iPGFSsiJqq46S7PYRE0/edit?usp=sharing"",""ระนอง!J113"")"),10)</f>
        <v>10</v>
      </c>
      <c r="AT85" s="172">
        <f ca="1">IFERROR(__xludf.DUMMYFUNCTION("IMPORTRANGE(""https://docs.google.com/spreadsheets/d/1YiDIE7Klmt8osgdapRqYWNr7iPGFSsiJqq46S7PYRE0/edit?usp=sharing"",""ระนอง!J114"")"),10)</f>
        <v>10</v>
      </c>
      <c r="AU85" s="172">
        <f ca="1">IFERROR(__xludf.DUMMYFUNCTION("IMPORTRANGE(""https://docs.google.com/spreadsheets/d/1YiDIE7Klmt8osgdapRqYWNr7iPGFSsiJqq46S7PYRE0/edit?usp=sharing"",""ระนอง!I115"")"),1)</f>
        <v>1</v>
      </c>
      <c r="AV85" s="173">
        <f ca="1">IFERROR(__xludf.DUMMYFUNCTION("IMPORTRANGE(""https://docs.google.com/spreadsheets/d/1YiDIE7Klmt8osgdapRqYWNr7iPGFSsiJqq46S7PYRE0/edit?usp=sharing"",""ระนอง!J115"")"),1)</f>
        <v>1</v>
      </c>
      <c r="AW85" s="175">
        <f t="shared" ca="1" si="18"/>
        <v>100</v>
      </c>
      <c r="AX85" s="172">
        <f ca="1">IFERROR(__xludf.DUMMYFUNCTION("IMPORTRANGE(""https://docs.google.com/spreadsheets/d/1YiDIE7Klmt8osgdapRqYWNr7iPGFSsiJqq46S7PYRE0/edit?usp=sharing"",""ระนอง!I116"")"),1)</f>
        <v>1</v>
      </c>
      <c r="AY85" s="173">
        <f ca="1">IFERROR(__xludf.DUMMYFUNCTION("IMPORTRANGE(""https://docs.google.com/spreadsheets/d/1YiDIE7Klmt8osgdapRqYWNr7iPGFSsiJqq46S7PYRE0/edit?usp=sharing"",""ระนอง!J116"")"),1)</f>
        <v>1</v>
      </c>
      <c r="AZ85" s="175">
        <f t="shared" ca="1" si="20"/>
        <v>100</v>
      </c>
    </row>
    <row r="86" spans="1:52" ht="24" customHeight="1" x14ac:dyDescent="0.3">
      <c r="A86" s="168">
        <v>12</v>
      </c>
      <c r="B86" s="169" t="s">
        <v>108</v>
      </c>
      <c r="C86" s="170">
        <f t="shared" ca="1" si="0"/>
        <v>31200</v>
      </c>
      <c r="D86" s="171">
        <f t="shared" ca="1" si="63"/>
        <v>31200</v>
      </c>
      <c r="E86" s="172">
        <f ca="1">IFERROR(__xludf.DUMMYFUNCTION("IMPORTRANGE(""https://docs.google.com/spreadsheets/d/1MeEWN-I1oV_STSDYn1IFDPWt_1FKiwhDph83XaGc0o0/edit?usp=sharing"",""งบพรบ!AR86"")"),0)</f>
        <v>0</v>
      </c>
      <c r="F86" s="172">
        <f ca="1">IFERROR(__xludf.DUMMYFUNCTION("IMPORTRANGE(""https://docs.google.com/spreadsheets/d/1MeEWN-I1oV_STSDYn1IFDPWt_1FKiwhDph83XaGc0o0/edit?usp=sharing"",""งบพรบ!AS86"")"),31200)</f>
        <v>31200</v>
      </c>
      <c r="G86" s="172">
        <f ca="1">IFERROR(__xludf.DUMMYFUNCTION("IMPORTRANGE(""https://docs.google.com/spreadsheets/d/1MeEWN-I1oV_STSDYn1IFDPWt_1FKiwhDph83XaGc0o0/edit?usp=sharing"",""งบพรบ!AT86"")"),0)</f>
        <v>0</v>
      </c>
      <c r="H86" s="172">
        <f ca="1">IFERROR(__xludf.DUMMYFUNCTION("IMPORTRANGE(""https://docs.google.com/spreadsheets/d/1MeEWN-I1oV_STSDYn1IFDPWt_1FKiwhDph83XaGc0o0/edit?usp=sharing"",""งบพรบ!AV86"")"),31200)</f>
        <v>31200</v>
      </c>
      <c r="I86" s="172">
        <f ca="1">IFERROR(__xludf.DUMMYFUNCTION("IMPORTRANGE(""https://docs.google.com/spreadsheets/d/1MeEWN-I1oV_STSDYn1IFDPWt_1FKiwhDph83XaGc0o0/edit?usp=sharing"",""งบพรบ!AW86"")"),0)</f>
        <v>0</v>
      </c>
      <c r="J86" s="172">
        <f t="shared" ca="1" si="3"/>
        <v>31200</v>
      </c>
      <c r="K86" s="179">
        <f t="shared" ca="1" si="4"/>
        <v>100</v>
      </c>
      <c r="L86" s="172">
        <f ca="1">IFERROR(__xludf.DUMMYFUNCTION("IMPORTRANGE(""https://docs.google.com/spreadsheets/d/1MeEWN-I1oV_STSDYn1IFDPWt_1FKiwhDph83XaGc0o0/edit?usp=sharing"",""งบพรบ!AX86"")"),31200)</f>
        <v>31200</v>
      </c>
      <c r="M86" s="175">
        <f t="shared" ca="1" si="5"/>
        <v>100</v>
      </c>
      <c r="N86" s="175">
        <f t="shared" ca="1" si="6"/>
        <v>100</v>
      </c>
      <c r="O86" s="176">
        <f ca="1">IFERROR(__xludf.DUMMYFUNCTION("IMPORTRANGE(""https://docs.google.com/spreadsheets/d/1MeEWN-I1oV_STSDYn1IFDPWt_1FKiwhDph83XaGc0o0/edit?usp=sharing"",""งบพรบ!AY86"")"),0)</f>
        <v>0</v>
      </c>
      <c r="P86" s="176">
        <f t="shared" ca="1" si="36"/>
        <v>0</v>
      </c>
      <c r="Q86" s="175">
        <f t="shared" ca="1" si="8"/>
        <v>0</v>
      </c>
      <c r="R86" s="173">
        <f ca="1">IFERROR(__xludf.DUMMYFUNCTION("IMPORTRANGE(""https://docs.google.com/spreadsheets/d/16o_4B-V7AWw_6E93bSpXj_XxVv1oVQctk-B6z1dNEWU/edit?usp=sharing"",""สงขลา!I98"")"),0)</f>
        <v>0</v>
      </c>
      <c r="S86" s="173">
        <f ca="1">IFERROR(__xludf.DUMMYFUNCTION("IMPORTRANGE(""https://docs.google.com/spreadsheets/d/16o_4B-V7AWw_6E93bSpXj_XxVv1oVQctk-B6z1dNEWU/edit?usp=sharing"",""สงขลา!J98"")"),0)</f>
        <v>0</v>
      </c>
      <c r="T86" s="173">
        <f t="shared" ca="1" si="10"/>
        <v>0</v>
      </c>
      <c r="U86" s="173">
        <f ca="1">IFERROR(__xludf.DUMMYFUNCTION("IMPORTRANGE(""https://docs.google.com/spreadsheets/d/16o_4B-V7AWw_6E93bSpXj_XxVv1oVQctk-B6z1dNEWU/edit?usp=sharing"",""สงขลา!I99"")"),0)</f>
        <v>0</v>
      </c>
      <c r="V86" s="173">
        <f ca="1">IFERROR(__xludf.DUMMYFUNCTION("IMPORTRANGE(""https://docs.google.com/spreadsheets/d/16o_4B-V7AWw_6E93bSpXj_XxVv1oVQctk-B6z1dNEWU/edit?usp=sharing"",""สงขลา!I100"")"),1)</f>
        <v>1</v>
      </c>
      <c r="W86" s="173">
        <f ca="1">IFERROR(__xludf.DUMMYFUNCTION("IMPORTRANGE(""https://docs.google.com/spreadsheets/d/16o_4B-V7AWw_6E93bSpXj_XxVv1oVQctk-B6z1dNEWU/edit?usp=sharing"",""สงขลา!J99"")"),0)</f>
        <v>0</v>
      </c>
      <c r="X86" s="177">
        <f t="shared" ca="1" si="12"/>
        <v>0</v>
      </c>
      <c r="Y86" s="178">
        <f ca="1">IFERROR(__xludf.DUMMYFUNCTION("IMPORTRANGE(""https://docs.google.com/spreadsheets/d/16o_4B-V7AWw_6E93bSpXj_XxVv1oVQctk-B6z1dNEWU/edit?usp=sharing"",""สงขลา!J100"")"),1)</f>
        <v>1</v>
      </c>
      <c r="Z86" s="177">
        <f t="shared" ca="1" si="13"/>
        <v>100</v>
      </c>
      <c r="AA86" s="172">
        <f ca="1">IFERROR(__xludf.DUMMYFUNCTION("IMPORTRANGE(""https://docs.google.com/spreadsheets/d/16o_4B-V7AWw_6E93bSpXj_XxVv1oVQctk-B6z1dNEWU/edit?usp=sharing"",""สงขลา!I102"")"),0)</f>
        <v>0</v>
      </c>
      <c r="AB86" s="172">
        <f ca="1">IFERROR(__xludf.DUMMYFUNCTION("IMPORTRANGE(""https://docs.google.com/spreadsheets/d/16o_4B-V7AWw_6E93bSpXj_XxVv1oVQctk-B6z1dNEWU/edit?usp=sharing"",""สงขลา!I103"")"),0)</f>
        <v>0</v>
      </c>
      <c r="AC86" s="173">
        <f ca="1">IFERROR(__xludf.DUMMYFUNCTION("IMPORTRANGE(""https://docs.google.com/spreadsheets/d/16o_4B-V7AWw_6E93bSpXj_XxVv1oVQctk-B6z1dNEWU/edit?usp=sharing"",""สงขลา!J102"")"),0)</f>
        <v>0</v>
      </c>
      <c r="AD86" s="173">
        <f ca="1">IFERROR(__xludf.DUMMYFUNCTION("IMPORTRANGE(""https://docs.google.com/spreadsheets/d/16o_4B-V7AWw_6E93bSpXj_XxVv1oVQctk-B6z1dNEWU/edit?usp=sharing"",""สงขลา!J103"")"),0)</f>
        <v>0</v>
      </c>
      <c r="AE86" s="173">
        <f ca="1">IFERROR(__xludf.DUMMYFUNCTION("IMPORTRANGE(""https://docs.google.com/spreadsheets/d/16o_4B-V7AWw_6E93bSpXj_XxVv1oVQctk-B6z1dNEWU/edit?usp=sharing"",""สงขลา!J104"")"),0)</f>
        <v>0</v>
      </c>
      <c r="AF86" s="172">
        <f ca="1">IFERROR(__xludf.DUMMYFUNCTION("IMPORTRANGE(""https://docs.google.com/spreadsheets/d/16o_4B-V7AWw_6E93bSpXj_XxVv1oVQctk-B6z1dNEWU/edit?usp=sharing"",""สงขลา!I106"")"),0)</f>
        <v>0</v>
      </c>
      <c r="AG86" s="173">
        <f ca="1">IFERROR(__xludf.DUMMYFUNCTION("IMPORTRANGE(""https://docs.google.com/spreadsheets/d/16o_4B-V7AWw_6E93bSpXj_XxVv1oVQctk-B6z1dNEWU/edit?usp=sharing"",""สงขลา!J106"")"),0)</f>
        <v>0</v>
      </c>
      <c r="AH86" s="173">
        <f ca="1">IFERROR(__xludf.DUMMYFUNCTION("IMPORTRANGE(""https://docs.google.com/spreadsheets/d/16o_4B-V7AWw_6E93bSpXj_XxVv1oVQctk-B6z1dNEWU/edit?usp=sharing"",""สงขลา!J107"")"),0)</f>
        <v>0</v>
      </c>
      <c r="AI86" s="172">
        <f ca="1">IFERROR(__xludf.DUMMYFUNCTION("IMPORTRANGE(""https://docs.google.com/spreadsheets/d/16o_4B-V7AWw_6E93bSpXj_XxVv1oVQctk-B6z1dNEWU/edit?usp=sharing"",""สงขลา!I109"")"),1)</f>
        <v>1</v>
      </c>
      <c r="AJ86" s="173">
        <f ca="1">IFERROR(__xludf.DUMMYFUNCTION("IMPORTRANGE(""https://docs.google.com/spreadsheets/d/16o_4B-V7AWw_6E93bSpXj_XxVv1oVQctk-B6z1dNEWU/edit?usp=sharing"",""สงขลา!J109"")"),1)</f>
        <v>1</v>
      </c>
      <c r="AK86" s="173">
        <f ca="1">IFERROR(__xludf.DUMMYFUNCTION("IMPORTRANGE(""https://docs.google.com/spreadsheets/d/16o_4B-V7AWw_6E93bSpXj_XxVv1oVQctk-B6z1dNEWU/edit?usp=sharing"",""สงขลา!J110"")"),1)</f>
        <v>1</v>
      </c>
      <c r="AL86" s="172">
        <f ca="1">IFERROR(__xludf.DUMMYFUNCTION("IMPORTRANGE(""https://docs.google.com/spreadsheets/d/16o_4B-V7AWw_6E93bSpXj_XxVv1oVQctk-B6z1dNEWU/edit?usp=sharing"",""สงขลา!I111"")"),0)</f>
        <v>0</v>
      </c>
      <c r="AM86" s="172">
        <f ca="1">IFERROR(__xludf.DUMMYFUNCTION("IMPORTRANGE(""https://docs.google.com/spreadsheets/d/16o_4B-V7AWw_6E93bSpXj_XxVv1oVQctk-B6z1dNEWU/edit?usp=sharing"",""สงขลา!I112"")"),1)</f>
        <v>1</v>
      </c>
      <c r="AN86" s="173">
        <f ca="1">IFERROR(__xludf.DUMMYFUNCTION("IMPORTRANGE(""https://docs.google.com/spreadsheets/d/16o_4B-V7AWw_6E93bSpXj_XxVv1oVQctk-B6z1dNEWU/edit?usp=sharing"",""สงขลา!J111"")"),0)</f>
        <v>0</v>
      </c>
      <c r="AO86" s="173">
        <f t="shared" ca="1" si="15"/>
        <v>0</v>
      </c>
      <c r="AP86" s="173">
        <f ca="1">IFERROR(__xludf.DUMMYFUNCTION("IMPORTRANGE(""https://docs.google.com/spreadsheets/d/16o_4B-V7AWw_6E93bSpXj_XxVv1oVQctk-B6z1dNEWU/edit?usp=sharing"",""สงขลา!J112"")"),0)</f>
        <v>0</v>
      </c>
      <c r="AQ86" s="175">
        <f t="shared" ca="1" si="16"/>
        <v>0</v>
      </c>
      <c r="AR86" s="172">
        <f ca="1">IFERROR(__xludf.DUMMYFUNCTION("IMPORTRANGE(""https://docs.google.com/spreadsheets/d/16o_4B-V7AWw_6E93bSpXj_XxVv1oVQctk-B6z1dNEWU/edit?usp=sharing"",""สงขลา!I113"")"),0)</f>
        <v>0</v>
      </c>
      <c r="AS86" s="172">
        <f ca="1">IFERROR(__xludf.DUMMYFUNCTION("IMPORTRANGE(""https://docs.google.com/spreadsheets/d/16o_4B-V7AWw_6E93bSpXj_XxVv1oVQctk-B6z1dNEWU/edit?usp=sharing"",""สงขลา!J113"")"),0)</f>
        <v>0</v>
      </c>
      <c r="AT86" s="172">
        <f ca="1">IFERROR(__xludf.DUMMYFUNCTION("IMPORTRANGE(""https://docs.google.com/spreadsheets/d/16o_4B-V7AWw_6E93bSpXj_XxVv1oVQctk-B6z1dNEWU/edit?usp=sharing"",""สงขลา!J114"")"),0)</f>
        <v>0</v>
      </c>
      <c r="AU86" s="172">
        <f ca="1">IFERROR(__xludf.DUMMYFUNCTION("IMPORTRANGE(""https://docs.google.com/spreadsheets/d/16o_4B-V7AWw_6E93bSpXj_XxVv1oVQctk-B6z1dNEWU/edit?usp=sharing"",""สงขลา!I115"")"),0)</f>
        <v>0</v>
      </c>
      <c r="AV86" s="173">
        <f ca="1">IFERROR(__xludf.DUMMYFUNCTION("IMPORTRANGE(""https://docs.google.com/spreadsheets/d/16o_4B-V7AWw_6E93bSpXj_XxVv1oVQctk-B6z1dNEWU/edit?usp=sharing"",""สงขลา!J115"")"),0)</f>
        <v>0</v>
      </c>
      <c r="AW86" s="175">
        <f t="shared" ca="1" si="18"/>
        <v>0</v>
      </c>
      <c r="AX86" s="172">
        <f ca="1">IFERROR(__xludf.DUMMYFUNCTION("IMPORTRANGE(""https://docs.google.com/spreadsheets/d/16o_4B-V7AWw_6E93bSpXj_XxVv1oVQctk-B6z1dNEWU/edit?usp=sharing"",""สงขลา!I116"")"),1)</f>
        <v>1</v>
      </c>
      <c r="AY86" s="173">
        <f ca="1">IFERROR(__xludf.DUMMYFUNCTION("IMPORTRANGE(""https://docs.google.com/spreadsheets/d/16o_4B-V7AWw_6E93bSpXj_XxVv1oVQctk-B6z1dNEWU/edit?usp=sharing"",""สงขลา!J116"")"),0)</f>
        <v>0</v>
      </c>
      <c r="AZ86" s="175">
        <f t="shared" ca="1" si="20"/>
        <v>0</v>
      </c>
    </row>
    <row r="87" spans="1:52" ht="24" customHeight="1" x14ac:dyDescent="0.3">
      <c r="A87" s="168">
        <v>13</v>
      </c>
      <c r="B87" s="169" t="s">
        <v>109</v>
      </c>
      <c r="C87" s="170">
        <f t="shared" ca="1" si="0"/>
        <v>462300</v>
      </c>
      <c r="D87" s="171">
        <f t="shared" ca="1" si="63"/>
        <v>462300</v>
      </c>
      <c r="E87" s="172">
        <f ca="1">IFERROR(__xludf.DUMMYFUNCTION("IMPORTRANGE(""https://docs.google.com/spreadsheets/d/1MeEWN-I1oV_STSDYn1IFDPWt_1FKiwhDph83XaGc0o0/edit?usp=sharing"",""งบพรบ!AR87"")"),431100)</f>
        <v>431100</v>
      </c>
      <c r="F87" s="172">
        <f ca="1">IFERROR(__xludf.DUMMYFUNCTION("IMPORTRANGE(""https://docs.google.com/spreadsheets/d/1MeEWN-I1oV_STSDYn1IFDPWt_1FKiwhDph83XaGc0o0/edit?usp=sharing"",""งบพรบ!AS87"")"),31200)</f>
        <v>31200</v>
      </c>
      <c r="G87" s="172">
        <f ca="1">IFERROR(__xludf.DUMMYFUNCTION("IMPORTRANGE(""https://docs.google.com/spreadsheets/d/1MeEWN-I1oV_STSDYn1IFDPWt_1FKiwhDph83XaGc0o0/edit?usp=sharing"",""งบพรบ!AT87"")"),0)</f>
        <v>0</v>
      </c>
      <c r="H87" s="172">
        <f ca="1">IFERROR(__xludf.DUMMYFUNCTION("IMPORTRANGE(""https://docs.google.com/spreadsheets/d/1MeEWN-I1oV_STSDYn1IFDPWt_1FKiwhDph83XaGc0o0/edit?usp=sharing"",""งบพรบ!AV87"")"),462300)</f>
        <v>462300</v>
      </c>
      <c r="I87" s="172">
        <f ca="1">IFERROR(__xludf.DUMMYFUNCTION("IMPORTRANGE(""https://docs.google.com/spreadsheets/d/1MeEWN-I1oV_STSDYn1IFDPWt_1FKiwhDph83XaGc0o0/edit?usp=sharing"",""งบพรบ!AW87"")"),0)</f>
        <v>0</v>
      </c>
      <c r="J87" s="172">
        <f t="shared" ca="1" si="3"/>
        <v>385645.5</v>
      </c>
      <c r="K87" s="179">
        <f t="shared" ca="1" si="4"/>
        <v>83.418883841661255</v>
      </c>
      <c r="L87" s="172">
        <f ca="1">IFERROR(__xludf.DUMMYFUNCTION("IMPORTRANGE(""https://docs.google.com/spreadsheets/d/1MeEWN-I1oV_STSDYn1IFDPWt_1FKiwhDph83XaGc0o0/edit?usp=sharing"",""งบพรบ!AX87"")"),385645.5)</f>
        <v>385645.5</v>
      </c>
      <c r="M87" s="175">
        <f t="shared" ca="1" si="5"/>
        <v>83.418883841661255</v>
      </c>
      <c r="N87" s="175">
        <f t="shared" ca="1" si="6"/>
        <v>83.418883841661255</v>
      </c>
      <c r="O87" s="176">
        <f ca="1">IFERROR(__xludf.DUMMYFUNCTION("IMPORTRANGE(""https://docs.google.com/spreadsheets/d/1MeEWN-I1oV_STSDYn1IFDPWt_1FKiwhDph83XaGc0o0/edit?usp=sharing"",""งบพรบ!AY87"")"),0)</f>
        <v>0</v>
      </c>
      <c r="P87" s="176">
        <f t="shared" ca="1" si="36"/>
        <v>0</v>
      </c>
      <c r="Q87" s="175">
        <f t="shared" ca="1" si="8"/>
        <v>0</v>
      </c>
      <c r="R87" s="173">
        <f ca="1">IFERROR(__xludf.DUMMYFUNCTION("IMPORTRANGE(""https://docs.google.com/spreadsheets/d/16cywr71Fj4fA5OGRHsZh30ZG2gwJhMAQv69oVBzYHv0/edit?usp=sharing"",""สตูล!I98"")"),0)</f>
        <v>0</v>
      </c>
      <c r="S87" s="173">
        <f ca="1">IFERROR(__xludf.DUMMYFUNCTION("IMPORTRANGE(""https://docs.google.com/spreadsheets/d/16cywr71Fj4fA5OGRHsZh30ZG2gwJhMAQv69oVBzYHv0/edit?usp=sharing"",""สตูล!J98"")"),0)</f>
        <v>0</v>
      </c>
      <c r="T87" s="173">
        <f t="shared" ca="1" si="10"/>
        <v>0</v>
      </c>
      <c r="U87" s="173">
        <f ca="1">IFERROR(__xludf.DUMMYFUNCTION("IMPORTRANGE(""https://docs.google.com/spreadsheets/d/16cywr71Fj4fA5OGRHsZh30ZG2gwJhMAQv69oVBzYHv0/edit?usp=sharing"",""สตูล!I99"")"),0)</f>
        <v>0</v>
      </c>
      <c r="V87" s="173">
        <f ca="1">IFERROR(__xludf.DUMMYFUNCTION("IMPORTRANGE(""https://docs.google.com/spreadsheets/d/16cywr71Fj4fA5OGRHsZh30ZG2gwJhMAQv69oVBzYHv0/edit?usp=sharing"",""สตูล!I100"")"),1)</f>
        <v>1</v>
      </c>
      <c r="W87" s="173">
        <f ca="1">IFERROR(__xludf.DUMMYFUNCTION("IMPORTRANGE(""https://docs.google.com/spreadsheets/d/16cywr71Fj4fA5OGRHsZh30ZG2gwJhMAQv69oVBzYHv0/edit?usp=sharing"",""สตูล!J99"")"),0)</f>
        <v>0</v>
      </c>
      <c r="X87" s="177">
        <f t="shared" ca="1" si="12"/>
        <v>0</v>
      </c>
      <c r="Y87" s="178">
        <f ca="1">IFERROR(__xludf.DUMMYFUNCTION("IMPORTRANGE(""https://docs.google.com/spreadsheets/d/16cywr71Fj4fA5OGRHsZh30ZG2gwJhMAQv69oVBzYHv0/edit?usp=sharing"",""สตูล!J100"")"),1)</f>
        <v>1</v>
      </c>
      <c r="Z87" s="177">
        <f t="shared" ca="1" si="13"/>
        <v>100</v>
      </c>
      <c r="AA87" s="172">
        <f ca="1">IFERROR(__xludf.DUMMYFUNCTION("IMPORTRANGE(""https://docs.google.com/spreadsheets/d/16cywr71Fj4fA5OGRHsZh30ZG2gwJhMAQv69oVBzYHv0/edit?usp=sharing"",""สตูล!I102"")"),0)</f>
        <v>0</v>
      </c>
      <c r="AB87" s="172">
        <f ca="1">IFERROR(__xludf.DUMMYFUNCTION("IMPORTRANGE(""https://docs.google.com/spreadsheets/d/16cywr71Fj4fA5OGRHsZh30ZG2gwJhMAQv69oVBzYHv0/edit?usp=sharing"",""สตูล!I103"")"),0)</f>
        <v>0</v>
      </c>
      <c r="AC87" s="173">
        <f ca="1">IFERROR(__xludf.DUMMYFUNCTION("IMPORTRANGE(""https://docs.google.com/spreadsheets/d/16cywr71Fj4fA5OGRHsZh30ZG2gwJhMAQv69oVBzYHv0/edit?usp=sharing"",""สตูล!J102"")"),0)</f>
        <v>0</v>
      </c>
      <c r="AD87" s="173">
        <f ca="1">IFERROR(__xludf.DUMMYFUNCTION("IMPORTRANGE(""https://docs.google.com/spreadsheets/d/16cywr71Fj4fA5OGRHsZh30ZG2gwJhMAQv69oVBzYHv0/edit?usp=sharing"",""สตูล!J103"")"),0)</f>
        <v>0</v>
      </c>
      <c r="AE87" s="173">
        <f ca="1">IFERROR(__xludf.DUMMYFUNCTION("IMPORTRANGE(""https://docs.google.com/spreadsheets/d/16cywr71Fj4fA5OGRHsZh30ZG2gwJhMAQv69oVBzYHv0/edit?usp=sharing"",""สตูล!J104"")"),0)</f>
        <v>0</v>
      </c>
      <c r="AF87" s="172">
        <f ca="1">IFERROR(__xludf.DUMMYFUNCTION("IMPORTRANGE(""https://docs.google.com/spreadsheets/d/16cywr71Fj4fA5OGRHsZh30ZG2gwJhMAQv69oVBzYHv0/edit?usp=sharing"",""สตูล!I106"")"),1)</f>
        <v>1</v>
      </c>
      <c r="AG87" s="173">
        <f ca="1">IFERROR(__xludf.DUMMYFUNCTION("IMPORTRANGE(""https://docs.google.com/spreadsheets/d/16cywr71Fj4fA5OGRHsZh30ZG2gwJhMAQv69oVBzYHv0/edit?usp=sharing"",""สตูล!J106"")"),1)</f>
        <v>1</v>
      </c>
      <c r="AH87" s="173">
        <f ca="1">IFERROR(__xludf.DUMMYFUNCTION("IMPORTRANGE(""https://docs.google.com/spreadsheets/d/16cywr71Fj4fA5OGRHsZh30ZG2gwJhMAQv69oVBzYHv0/edit?usp=sharing"",""สตูล!J107"")"),1)</f>
        <v>1</v>
      </c>
      <c r="AI87" s="172">
        <f ca="1">IFERROR(__xludf.DUMMYFUNCTION("IMPORTRANGE(""https://docs.google.com/spreadsheets/d/16cywr71Fj4fA5OGRHsZh30ZG2gwJhMAQv69oVBzYHv0/edit?usp=sharing"",""สตูล!I109"")"),0)</f>
        <v>0</v>
      </c>
      <c r="AJ87" s="173">
        <f ca="1">IFERROR(__xludf.DUMMYFUNCTION("IMPORTRANGE(""https://docs.google.com/spreadsheets/d/16cywr71Fj4fA5OGRHsZh30ZG2gwJhMAQv69oVBzYHv0/edit?usp=sharing"",""สตูล!J109"")"),0)</f>
        <v>0</v>
      </c>
      <c r="AK87" s="173">
        <f ca="1">IFERROR(__xludf.DUMMYFUNCTION("IMPORTRANGE(""https://docs.google.com/spreadsheets/d/16cywr71Fj4fA5OGRHsZh30ZG2gwJhMAQv69oVBzYHv0/edit?usp=sharing"",""สตูล!J110"")"),0)</f>
        <v>0</v>
      </c>
      <c r="AL87" s="172">
        <f ca="1">IFERROR(__xludf.DUMMYFUNCTION("IMPORTRANGE(""https://docs.google.com/spreadsheets/d/16cywr71Fj4fA5OGRHsZh30ZG2gwJhMAQv69oVBzYHv0/edit?usp=sharing"",""สตูล!I111"")"),0)</f>
        <v>0</v>
      </c>
      <c r="AM87" s="172">
        <f ca="1">IFERROR(__xludf.DUMMYFUNCTION("IMPORTRANGE(""https://docs.google.com/spreadsheets/d/16cywr71Fj4fA5OGRHsZh30ZG2gwJhMAQv69oVBzYHv0/edit?usp=sharing"",""สตูล!I112"")"),1)</f>
        <v>1</v>
      </c>
      <c r="AN87" s="173">
        <f ca="1">IFERROR(__xludf.DUMMYFUNCTION("IMPORTRANGE(""https://docs.google.com/spreadsheets/d/16cywr71Fj4fA5OGRHsZh30ZG2gwJhMAQv69oVBzYHv0/edit?usp=sharing"",""สตูล!J111"")"),0)</f>
        <v>0</v>
      </c>
      <c r="AO87" s="173">
        <f t="shared" ca="1" si="15"/>
        <v>0</v>
      </c>
      <c r="AP87" s="173">
        <f ca="1">IFERROR(__xludf.DUMMYFUNCTION("IMPORTRANGE(""https://docs.google.com/spreadsheets/d/16cywr71Fj4fA5OGRHsZh30ZG2gwJhMAQv69oVBzYHv0/edit?usp=sharing"",""สตูล!J112"")"),1)</f>
        <v>1</v>
      </c>
      <c r="AQ87" s="175">
        <f t="shared" ca="1" si="16"/>
        <v>100</v>
      </c>
      <c r="AR87" s="172">
        <f ca="1">IFERROR(__xludf.DUMMYFUNCTION("IMPORTRANGE(""https://docs.google.com/spreadsheets/d/16cywr71Fj4fA5OGRHsZh30ZG2gwJhMAQv69oVBzYHv0/edit?usp=sharing"",""สตูล!I113"")"),0)</f>
        <v>0</v>
      </c>
      <c r="AS87" s="172">
        <f ca="1">IFERROR(__xludf.DUMMYFUNCTION("IMPORTRANGE(""https://docs.google.com/spreadsheets/d/16cywr71Fj4fA5OGRHsZh30ZG2gwJhMAQv69oVBzYHv0/edit?usp=sharing"",""สตูล!J113"")"),0)</f>
        <v>0</v>
      </c>
      <c r="AT87" s="172">
        <f ca="1">IFERROR(__xludf.DUMMYFUNCTION("IMPORTRANGE(""https://docs.google.com/spreadsheets/d/16cywr71Fj4fA5OGRHsZh30ZG2gwJhMAQv69oVBzYHv0/edit?usp=sharing"",""สตูล!J114"")"),0)</f>
        <v>0</v>
      </c>
      <c r="AU87" s="172">
        <f ca="1">IFERROR(__xludf.DUMMYFUNCTION("IMPORTRANGE(""https://docs.google.com/spreadsheets/d/16cywr71Fj4fA5OGRHsZh30ZG2gwJhMAQv69oVBzYHv0/edit?usp=sharing"",""สตูล!I115"")"),1)</f>
        <v>1</v>
      </c>
      <c r="AV87" s="173">
        <f ca="1">IFERROR(__xludf.DUMMYFUNCTION("IMPORTRANGE(""https://docs.google.com/spreadsheets/d/16cywr71Fj4fA5OGRHsZh30ZG2gwJhMAQv69oVBzYHv0/edit?usp=sharing"",""สตูล!J115"")"),1)</f>
        <v>1</v>
      </c>
      <c r="AW87" s="175">
        <f t="shared" ca="1" si="18"/>
        <v>100</v>
      </c>
      <c r="AX87" s="172">
        <f ca="1">IFERROR(__xludf.DUMMYFUNCTION("IMPORTRANGE(""https://docs.google.com/spreadsheets/d/16cywr71Fj4fA5OGRHsZh30ZG2gwJhMAQv69oVBzYHv0/edit?usp=sharing"",""สตูล!I116"")"),0)</f>
        <v>0</v>
      </c>
      <c r="AY87" s="173">
        <f ca="1">IFERROR(__xludf.DUMMYFUNCTION("IMPORTRANGE(""https://docs.google.com/spreadsheets/d/16cywr71Fj4fA5OGRHsZh30ZG2gwJhMAQv69oVBzYHv0/edit?usp=sharing"",""สตูล!J116"")"),0)</f>
        <v>0</v>
      </c>
      <c r="AZ87" s="175">
        <f t="shared" ca="1" si="20"/>
        <v>0</v>
      </c>
    </row>
    <row r="88" spans="1:52" ht="24" customHeight="1" x14ac:dyDescent="0.3">
      <c r="A88" s="180">
        <v>14</v>
      </c>
      <c r="B88" s="181" t="s">
        <v>110</v>
      </c>
      <c r="C88" s="182">
        <f t="shared" ca="1" si="0"/>
        <v>56040</v>
      </c>
      <c r="D88" s="183">
        <f t="shared" ca="1" si="63"/>
        <v>56040</v>
      </c>
      <c r="E88" s="184">
        <f ca="1">IFERROR(__xludf.DUMMYFUNCTION("IMPORTRANGE(""https://docs.google.com/spreadsheets/d/1MeEWN-I1oV_STSDYn1IFDPWt_1FKiwhDph83XaGc0o0/edit?usp=sharing"",""งบพรบ!AR88"")"),0)</f>
        <v>0</v>
      </c>
      <c r="F88" s="184">
        <f ca="1">IFERROR(__xludf.DUMMYFUNCTION("IMPORTRANGE(""https://docs.google.com/spreadsheets/d/1MeEWN-I1oV_STSDYn1IFDPWt_1FKiwhDph83XaGc0o0/edit?usp=sharing"",""งบพรบ!AS88"")"),56040)</f>
        <v>56040</v>
      </c>
      <c r="G88" s="184">
        <f ca="1">IFERROR(__xludf.DUMMYFUNCTION("IMPORTRANGE(""https://docs.google.com/spreadsheets/d/1MeEWN-I1oV_STSDYn1IFDPWt_1FKiwhDph83XaGc0o0/edit?usp=sharing"",""งบพรบ!AT88"")"),0)</f>
        <v>0</v>
      </c>
      <c r="H88" s="184">
        <f ca="1">IFERROR(__xludf.DUMMYFUNCTION("IMPORTRANGE(""https://docs.google.com/spreadsheets/d/1MeEWN-I1oV_STSDYn1IFDPWt_1FKiwhDph83XaGc0o0/edit?usp=sharing"",""งบพรบ!AV88"")"),56040)</f>
        <v>56040</v>
      </c>
      <c r="I88" s="184">
        <f ca="1">IFERROR(__xludf.DUMMYFUNCTION("IMPORTRANGE(""https://docs.google.com/spreadsheets/d/1MeEWN-I1oV_STSDYn1IFDPWt_1FKiwhDph83XaGc0o0/edit?usp=sharing"",""งบพรบ!AW88"")"),0)</f>
        <v>0</v>
      </c>
      <c r="J88" s="184">
        <f t="shared" ca="1" si="3"/>
        <v>56040</v>
      </c>
      <c r="K88" s="185">
        <f t="shared" ca="1" si="4"/>
        <v>100</v>
      </c>
      <c r="L88" s="184">
        <f ca="1">IFERROR(__xludf.DUMMYFUNCTION("IMPORTRANGE(""https://docs.google.com/spreadsheets/d/1MeEWN-I1oV_STSDYn1IFDPWt_1FKiwhDph83XaGc0o0/edit?usp=sharing"",""งบพรบ!AX88"")"),56040)</f>
        <v>56040</v>
      </c>
      <c r="M88" s="186">
        <f t="shared" ca="1" si="5"/>
        <v>100</v>
      </c>
      <c r="N88" s="186">
        <f t="shared" ca="1" si="6"/>
        <v>100</v>
      </c>
      <c r="O88" s="187">
        <f ca="1">IFERROR(__xludf.DUMMYFUNCTION("IMPORTRANGE(""https://docs.google.com/spreadsheets/d/1MeEWN-I1oV_STSDYn1IFDPWt_1FKiwhDph83XaGc0o0/edit?usp=sharing"",""งบพรบ!AY88"")"),0)</f>
        <v>0</v>
      </c>
      <c r="P88" s="187">
        <f t="shared" ca="1" si="36"/>
        <v>0</v>
      </c>
      <c r="Q88" s="186">
        <f t="shared" ca="1" si="8"/>
        <v>0</v>
      </c>
      <c r="R88" s="188">
        <f ca="1">IFERROR(__xludf.DUMMYFUNCTION("IMPORTRANGE(""https://docs.google.com/spreadsheets/d/1vO9Sws6kMtrVtyvrAJptINXjK8TFBoX9xLYOVK_C8bQ/edit?usp=sharing"",""สุราษฎร์ธานี!I98"")"),30)</f>
        <v>30</v>
      </c>
      <c r="S88" s="188">
        <f ca="1">IFERROR(__xludf.DUMMYFUNCTION("IMPORTRANGE(""https://docs.google.com/spreadsheets/d/1vO9Sws6kMtrVtyvrAJptINXjK8TFBoX9xLYOVK_C8bQ/edit?usp=sharing"",""สุราษฎร์ธานี!J98"")"),30)</f>
        <v>30</v>
      </c>
      <c r="T88" s="188">
        <f t="shared" ca="1" si="10"/>
        <v>100</v>
      </c>
      <c r="U88" s="188">
        <f ca="1">IFERROR(__xludf.DUMMYFUNCTION("IMPORTRANGE(""https://docs.google.com/spreadsheets/d/1vO9Sws6kMtrVtyvrAJptINXjK8TFBoX9xLYOVK_C8bQ/edit?usp=sharing"",""สุราษฎร์ธานี!I99"")"),10)</f>
        <v>10</v>
      </c>
      <c r="V88" s="188">
        <f ca="1">IFERROR(__xludf.DUMMYFUNCTION("IMPORTRANGE(""https://docs.google.com/spreadsheets/d/1vO9Sws6kMtrVtyvrAJptINXjK8TFBoX9xLYOVK_C8bQ/edit?usp=sharing"",""สุราษฎร์ธานี!I100"")"),1)</f>
        <v>1</v>
      </c>
      <c r="W88" s="188">
        <f ca="1">IFERROR(__xludf.DUMMYFUNCTION("IMPORTRANGE(""https://docs.google.com/spreadsheets/d/1vO9Sws6kMtrVtyvrAJptINXjK8TFBoX9xLYOVK_C8bQ/edit?usp=sharing"",""สุราษฎร์ธานี!J99"")"),11)</f>
        <v>11</v>
      </c>
      <c r="X88" s="189">
        <f t="shared" ca="1" si="12"/>
        <v>110</v>
      </c>
      <c r="Y88" s="190">
        <f ca="1">IFERROR(__xludf.DUMMYFUNCTION("IMPORTRANGE(""https://docs.google.com/spreadsheets/d/1vO9Sws6kMtrVtyvrAJptINXjK8TFBoX9xLYOVK_C8bQ/edit?usp=sharing"",""สุราษฎร์ธานี!J100"")"),1)</f>
        <v>1</v>
      </c>
      <c r="Z88" s="189">
        <f t="shared" ca="1" si="13"/>
        <v>100</v>
      </c>
      <c r="AA88" s="184">
        <f ca="1">IFERROR(__xludf.DUMMYFUNCTION("IMPORTRANGE(""https://docs.google.com/spreadsheets/d/1vO9Sws6kMtrVtyvrAJptINXjK8TFBoX9xLYOVK_C8bQ/edit?usp=sharing"",""สุราษฎร์ธานี!I102"")"),30)</f>
        <v>30</v>
      </c>
      <c r="AB88" s="184">
        <f ca="1">IFERROR(__xludf.DUMMYFUNCTION("IMPORTRANGE(""https://docs.google.com/spreadsheets/d/1vO9Sws6kMtrVtyvrAJptINXjK8TFBoX9xLYOVK_C8bQ/edit?usp=sharing"",""สุราษฎร์ธานี!I103"")"),10)</f>
        <v>10</v>
      </c>
      <c r="AC88" s="188">
        <f ca="1">IFERROR(__xludf.DUMMYFUNCTION("IMPORTRANGE(""https://docs.google.com/spreadsheets/d/1vO9Sws6kMtrVtyvrAJptINXjK8TFBoX9xLYOVK_C8bQ/edit?usp=sharing"",""สุราษฎร์ธานี!J102"")"),30)</f>
        <v>30</v>
      </c>
      <c r="AD88" s="188">
        <f ca="1">IFERROR(__xludf.DUMMYFUNCTION("IMPORTRANGE(""https://docs.google.com/spreadsheets/d/1vO9Sws6kMtrVtyvrAJptINXjK8TFBoX9xLYOVK_C8bQ/edit?usp=sharing"",""สุราษฎร์ธานี!J103"")"),11)</f>
        <v>11</v>
      </c>
      <c r="AE88" s="188">
        <f ca="1">IFERROR(__xludf.DUMMYFUNCTION("IMPORTRANGE(""https://docs.google.com/spreadsheets/d/1vO9Sws6kMtrVtyvrAJptINXjK8TFBoX9xLYOVK_C8bQ/edit?usp=sharing"",""สุราษฎร์ธานี!J104"")"),11)</f>
        <v>11</v>
      </c>
      <c r="AF88" s="184">
        <f ca="1">IFERROR(__xludf.DUMMYFUNCTION("IMPORTRANGE(""https://docs.google.com/spreadsheets/d/1vO9Sws6kMtrVtyvrAJptINXjK8TFBoX9xLYOVK_C8bQ/edit?usp=sharing"",""สุราษฎร์ธานี!I106"")"),1)</f>
        <v>1</v>
      </c>
      <c r="AG88" s="188">
        <f ca="1">IFERROR(__xludf.DUMMYFUNCTION("IMPORTRANGE(""https://docs.google.com/spreadsheets/d/1vO9Sws6kMtrVtyvrAJptINXjK8TFBoX9xLYOVK_C8bQ/edit?usp=sharing"",""สุราษฎร์ธานี!J106"")"),1)</f>
        <v>1</v>
      </c>
      <c r="AH88" s="188">
        <f ca="1">IFERROR(__xludf.DUMMYFUNCTION("IMPORTRANGE(""https://docs.google.com/spreadsheets/d/1vO9Sws6kMtrVtyvrAJptINXjK8TFBoX9xLYOVK_C8bQ/edit?usp=sharing"",""สุราษฎร์ธานี!J107"")"),1)</f>
        <v>1</v>
      </c>
      <c r="AI88" s="184">
        <f ca="1">IFERROR(__xludf.DUMMYFUNCTION("IMPORTRANGE(""https://docs.google.com/spreadsheets/d/1vO9Sws6kMtrVtyvrAJptINXjK8TFBoX9xLYOVK_C8bQ/edit?usp=sharing"",""สุราษฎร์ธานี!I109"")"),0)</f>
        <v>0</v>
      </c>
      <c r="AJ88" s="188">
        <f ca="1">IFERROR(__xludf.DUMMYFUNCTION("IMPORTRANGE(""https://docs.google.com/spreadsheets/d/1vO9Sws6kMtrVtyvrAJptINXjK8TFBoX9xLYOVK_C8bQ/edit?usp=sharing"",""สุราษฎร์ธานี!J109"")"),0)</f>
        <v>0</v>
      </c>
      <c r="AK88" s="188">
        <f ca="1">IFERROR(__xludf.DUMMYFUNCTION("IMPORTRANGE(""https://docs.google.com/spreadsheets/d/1vO9Sws6kMtrVtyvrAJptINXjK8TFBoX9xLYOVK_C8bQ/edit?usp=sharing"",""สุราษฎร์ธานี!J110"")"),0)</f>
        <v>0</v>
      </c>
      <c r="AL88" s="184">
        <f ca="1">IFERROR(__xludf.DUMMYFUNCTION("IMPORTRANGE(""https://docs.google.com/spreadsheets/d/1vO9Sws6kMtrVtyvrAJptINXjK8TFBoX9xLYOVK_C8bQ/edit?usp=sharing"",""สุราษฎร์ธานี!I111"")"),10)</f>
        <v>10</v>
      </c>
      <c r="AM88" s="184">
        <f ca="1">IFERROR(__xludf.DUMMYFUNCTION("IMPORTRANGE(""https://docs.google.com/spreadsheets/d/1vO9Sws6kMtrVtyvrAJptINXjK8TFBoX9xLYOVK_C8bQ/edit?usp=sharing"",""สุราษฎร์ธานี!I112"")"),1)</f>
        <v>1</v>
      </c>
      <c r="AN88" s="188">
        <f ca="1">IFERROR(__xludf.DUMMYFUNCTION("IMPORTRANGE(""https://docs.google.com/spreadsheets/d/1vO9Sws6kMtrVtyvrAJptINXjK8TFBoX9xLYOVK_C8bQ/edit?usp=sharing"",""สุราษฎร์ธานี!J111"")"),11)</f>
        <v>11</v>
      </c>
      <c r="AO88" s="188">
        <f t="shared" ca="1" si="15"/>
        <v>110</v>
      </c>
      <c r="AP88" s="188">
        <f ca="1">IFERROR(__xludf.DUMMYFUNCTION("IMPORTRANGE(""https://docs.google.com/spreadsheets/d/1vO9Sws6kMtrVtyvrAJptINXjK8TFBoX9xLYOVK_C8bQ/edit?usp=sharing"",""สุราษฎร์ธานี!J112"")"),1)</f>
        <v>1</v>
      </c>
      <c r="AQ88" s="186">
        <f t="shared" ca="1" si="16"/>
        <v>100</v>
      </c>
      <c r="AR88" s="184">
        <f ca="1">IFERROR(__xludf.DUMMYFUNCTION("IMPORTRANGE(""https://docs.google.com/spreadsheets/d/1vO9Sws6kMtrVtyvrAJptINXjK8TFBoX9xLYOVK_C8bQ/edit?usp=sharing"",""สุราษฎร์ธานี!I113"")"),10)</f>
        <v>10</v>
      </c>
      <c r="AS88" s="184">
        <f ca="1">IFERROR(__xludf.DUMMYFUNCTION("IMPORTRANGE(""https://docs.google.com/spreadsheets/d/1vO9Sws6kMtrVtyvrAJptINXjK8TFBoX9xLYOVK_C8bQ/edit?usp=sharing"",""สุราษฎร์ธานี!J113"")"),11)</f>
        <v>11</v>
      </c>
      <c r="AT88" s="184">
        <f ca="1">IFERROR(__xludf.DUMMYFUNCTION("IMPORTRANGE(""https://docs.google.com/spreadsheets/d/1vO9Sws6kMtrVtyvrAJptINXjK8TFBoX9xLYOVK_C8bQ/edit?usp=sharing"",""สุราษฎร์ธานี!J114"")"),11)</f>
        <v>11</v>
      </c>
      <c r="AU88" s="184">
        <f ca="1">IFERROR(__xludf.DUMMYFUNCTION("IMPORTRANGE(""https://docs.google.com/spreadsheets/d/1vO9Sws6kMtrVtyvrAJptINXjK8TFBoX9xLYOVK_C8bQ/edit?usp=sharing"",""สุราษฎร์ธานี!I115"")"),1)</f>
        <v>1</v>
      </c>
      <c r="AV88" s="188">
        <f ca="1">IFERROR(__xludf.DUMMYFUNCTION("IMPORTRANGE(""https://docs.google.com/spreadsheets/d/1vO9Sws6kMtrVtyvrAJptINXjK8TFBoX9xLYOVK_C8bQ/edit?usp=sharing"",""สุราษฎร์ธานี!J115"")"),1)</f>
        <v>1</v>
      </c>
      <c r="AW88" s="186">
        <f t="shared" ca="1" si="18"/>
        <v>100</v>
      </c>
      <c r="AX88" s="184">
        <f ca="1">IFERROR(__xludf.DUMMYFUNCTION("IMPORTRANGE(""https://docs.google.com/spreadsheets/d/1vO9Sws6kMtrVtyvrAJptINXjK8TFBoX9xLYOVK_C8bQ/edit?usp=sharing"",""สุราษฎร์ธานี!I116"")"),0)</f>
        <v>0</v>
      </c>
      <c r="AY88" s="188">
        <f ca="1">IFERROR(__xludf.DUMMYFUNCTION("IMPORTRANGE(""https://docs.google.com/spreadsheets/d/1vO9Sws6kMtrVtyvrAJptINXjK8TFBoX9xLYOVK_C8bQ/edit?usp=sharing"",""สุราษฎร์ธานี!J116"")"),0)</f>
        <v>0</v>
      </c>
      <c r="AZ88" s="186">
        <f t="shared" ca="1" si="20"/>
        <v>0</v>
      </c>
    </row>
    <row r="89" spans="1:52" ht="21" hidden="1" customHeight="1" x14ac:dyDescent="0.3">
      <c r="A89" s="413" t="s">
        <v>111</v>
      </c>
      <c r="B89" s="414"/>
      <c r="C89" s="156">
        <f t="shared" ca="1" si="0"/>
        <v>1648800</v>
      </c>
      <c r="D89" s="156">
        <f t="shared" ref="D89:I89" ca="1" si="64">+D90+D91+D92+D93+D94+D95+D96+D97+D98+D99+D100+D101+D102+D103</f>
        <v>1648800</v>
      </c>
      <c r="E89" s="156">
        <f t="shared" ca="1" si="64"/>
        <v>561000</v>
      </c>
      <c r="F89" s="156">
        <f t="shared" ca="1" si="64"/>
        <v>1087800</v>
      </c>
      <c r="G89" s="156">
        <f t="shared" ca="1" si="64"/>
        <v>0</v>
      </c>
      <c r="H89" s="156">
        <f t="shared" ca="1" si="64"/>
        <v>1412495</v>
      </c>
      <c r="I89" s="156">
        <f t="shared" ca="1" si="64"/>
        <v>0</v>
      </c>
      <c r="J89" s="156">
        <f t="shared" ca="1" si="3"/>
        <v>1265887.33</v>
      </c>
      <c r="K89" s="157">
        <f t="shared" ca="1" si="4"/>
        <v>76.776281538088313</v>
      </c>
      <c r="L89" s="156">
        <f ca="1">+L90+L91+L92+L93+L94+L95+L96+L97+L98+L99+L100+L101+L102+L103</f>
        <v>1265887.33</v>
      </c>
      <c r="M89" s="158">
        <f t="shared" ca="1" si="5"/>
        <v>76.776281538088313</v>
      </c>
      <c r="N89" s="158">
        <f t="shared" ca="1" si="6"/>
        <v>89.620659188174116</v>
      </c>
      <c r="O89" s="159">
        <f ca="1">+O90+O91+O92+O93+O94+O95+O96+O97+O98+O99+O100+O101+O102+O103</f>
        <v>0</v>
      </c>
      <c r="P89" s="159">
        <f t="shared" ca="1" si="36"/>
        <v>0</v>
      </c>
      <c r="Q89" s="158">
        <f t="shared" ca="1" si="8"/>
        <v>0</v>
      </c>
      <c r="R89" s="191"/>
      <c r="S89" s="191"/>
      <c r="T89" s="191"/>
      <c r="U89" s="191"/>
      <c r="V89" s="191"/>
      <c r="W89" s="191"/>
      <c r="X89" s="158"/>
      <c r="Y89" s="158"/>
      <c r="Z89" s="158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58"/>
      <c r="AR89" s="191"/>
      <c r="AS89" s="191"/>
      <c r="AT89" s="191"/>
      <c r="AU89" s="191"/>
      <c r="AV89" s="191"/>
      <c r="AW89" s="158"/>
      <c r="AX89" s="191"/>
      <c r="AY89" s="191"/>
      <c r="AZ89" s="158"/>
    </row>
    <row r="90" spans="1:52" ht="24" hidden="1" customHeight="1" x14ac:dyDescent="0.3">
      <c r="A90" s="168">
        <v>1</v>
      </c>
      <c r="B90" s="169" t="s">
        <v>112</v>
      </c>
      <c r="C90" s="170">
        <f t="shared" ca="1" si="0"/>
        <v>0</v>
      </c>
      <c r="D90" s="171">
        <f t="shared" ref="D90:D103" ca="1" si="65">+E90+F90</f>
        <v>0</v>
      </c>
      <c r="E90" s="172">
        <f ca="1">IFERROR(__xludf.DUMMYFUNCTION("IMPORTRANGE(""https://docs.google.com/spreadsheets/d/1MeEWN-I1oV_STSDYn1IFDPWt_1FKiwhDph83XaGc0o0/edit?usp=sharing"",""งบพรบ!AR90"")"),0)</f>
        <v>0</v>
      </c>
      <c r="F90" s="172">
        <f ca="1">IFERROR(__xludf.DUMMYFUNCTION("IMPORTRANGE(""https://docs.google.com/spreadsheets/d/1MeEWN-I1oV_STSDYn1IFDPWt_1FKiwhDph83XaGc0o0/edit?usp=sharing"",""งบพรบ!AS90"")"),0)</f>
        <v>0</v>
      </c>
      <c r="G90" s="172">
        <f ca="1">IFERROR(__xludf.DUMMYFUNCTION("IMPORTRANGE(""https://docs.google.com/spreadsheets/d/1MeEWN-I1oV_STSDYn1IFDPWt_1FKiwhDph83XaGc0o0/edit?usp=sharing"",""งบพรบ!AT90"")"),0)</f>
        <v>0</v>
      </c>
      <c r="H90" s="172">
        <f ca="1">IFERROR(__xludf.DUMMYFUNCTION("IMPORTRANGE(""https://docs.google.com/spreadsheets/d/1MeEWN-I1oV_STSDYn1IFDPWt_1FKiwhDph83XaGc0o0/edit?usp=sharing"",""งบพรบ!AV90"")"),0)</f>
        <v>0</v>
      </c>
      <c r="I90" s="172">
        <f ca="1">IFERROR(__xludf.DUMMYFUNCTION("IMPORTRANGE(""https://docs.google.com/spreadsheets/d/1MeEWN-I1oV_STSDYn1IFDPWt_1FKiwhDph83XaGc0o0/edit?usp=sharing"",""งบพรบ!AW90"")"),0)</f>
        <v>0</v>
      </c>
      <c r="J90" s="172">
        <f t="shared" ca="1" si="3"/>
        <v>0</v>
      </c>
      <c r="K90" s="179">
        <f t="shared" ca="1" si="4"/>
        <v>0</v>
      </c>
      <c r="L90" s="172">
        <f ca="1">IFERROR(__xludf.DUMMYFUNCTION("IMPORTRANGE(""https://docs.google.com/spreadsheets/d/1MeEWN-I1oV_STSDYn1IFDPWt_1FKiwhDph83XaGc0o0/edit?usp=sharing"",""งบพรบ!AX90"")"),0)</f>
        <v>0</v>
      </c>
      <c r="M90" s="175">
        <f t="shared" ca="1" si="5"/>
        <v>0</v>
      </c>
      <c r="N90" s="175">
        <f t="shared" ca="1" si="6"/>
        <v>0</v>
      </c>
      <c r="O90" s="176">
        <f ca="1">IFERROR(__xludf.DUMMYFUNCTION("IMPORTRANGE(""https://docs.google.com/spreadsheets/d/1MeEWN-I1oV_STSDYn1IFDPWt_1FKiwhDph83XaGc0o0/edit?usp=sharing"",""งบพรบ!AY90"")"),0)</f>
        <v>0</v>
      </c>
      <c r="P90" s="176">
        <f t="shared" ca="1" si="36"/>
        <v>0</v>
      </c>
      <c r="Q90" s="175">
        <f t="shared" ca="1" si="8"/>
        <v>0</v>
      </c>
      <c r="R90" s="192"/>
      <c r="S90" s="192"/>
      <c r="T90" s="192"/>
      <c r="U90" s="192"/>
      <c r="V90" s="192"/>
      <c r="W90" s="192"/>
      <c r="X90" s="175"/>
      <c r="Y90" s="175"/>
      <c r="Z90" s="175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75"/>
      <c r="AR90" s="192"/>
      <c r="AS90" s="192"/>
      <c r="AT90" s="192"/>
      <c r="AU90" s="192"/>
      <c r="AV90" s="192"/>
      <c r="AW90" s="175"/>
      <c r="AX90" s="192"/>
      <c r="AY90" s="192"/>
      <c r="AZ90" s="175"/>
    </row>
    <row r="91" spans="1:52" ht="24" hidden="1" customHeight="1" x14ac:dyDescent="0.3">
      <c r="A91" s="168">
        <v>2</v>
      </c>
      <c r="B91" s="169" t="s">
        <v>113</v>
      </c>
      <c r="C91" s="170">
        <f t="shared" ca="1" si="0"/>
        <v>0</v>
      </c>
      <c r="D91" s="171">
        <f t="shared" ca="1" si="65"/>
        <v>0</v>
      </c>
      <c r="E91" s="172">
        <f ca="1">IFERROR(__xludf.DUMMYFUNCTION("IMPORTRANGE(""https://docs.google.com/spreadsheets/d/1MeEWN-I1oV_STSDYn1IFDPWt_1FKiwhDph83XaGc0o0/edit?usp=sharing"",""งบพรบ!AR91"")"),0)</f>
        <v>0</v>
      </c>
      <c r="F91" s="172">
        <f ca="1">IFERROR(__xludf.DUMMYFUNCTION("IMPORTRANGE(""https://docs.google.com/spreadsheets/d/1MeEWN-I1oV_STSDYn1IFDPWt_1FKiwhDph83XaGc0o0/edit?usp=sharing"",""งบพรบ!AS91"")"),0)</f>
        <v>0</v>
      </c>
      <c r="G91" s="172">
        <f ca="1">IFERROR(__xludf.DUMMYFUNCTION("IMPORTRANGE(""https://docs.google.com/spreadsheets/d/1MeEWN-I1oV_STSDYn1IFDPWt_1FKiwhDph83XaGc0o0/edit?usp=sharing"",""งบพรบ!AT91"")"),0)</f>
        <v>0</v>
      </c>
      <c r="H91" s="172">
        <f ca="1">IFERROR(__xludf.DUMMYFUNCTION("IMPORTRANGE(""https://docs.google.com/spreadsheets/d/1MeEWN-I1oV_STSDYn1IFDPWt_1FKiwhDph83XaGc0o0/edit?usp=sharing"",""งบพรบ!AV91"")"),0)</f>
        <v>0</v>
      </c>
      <c r="I91" s="172">
        <f ca="1">IFERROR(__xludf.DUMMYFUNCTION("IMPORTRANGE(""https://docs.google.com/spreadsheets/d/1MeEWN-I1oV_STSDYn1IFDPWt_1FKiwhDph83XaGc0o0/edit?usp=sharing"",""งบพรบ!AW91"")"),0)</f>
        <v>0</v>
      </c>
      <c r="J91" s="172">
        <f t="shared" ca="1" si="3"/>
        <v>0</v>
      </c>
      <c r="K91" s="179">
        <f t="shared" ca="1" si="4"/>
        <v>0</v>
      </c>
      <c r="L91" s="172">
        <f ca="1">IFERROR(__xludf.DUMMYFUNCTION("IMPORTRANGE(""https://docs.google.com/spreadsheets/d/1MeEWN-I1oV_STSDYn1IFDPWt_1FKiwhDph83XaGc0o0/edit?usp=sharing"",""งบพรบ!AX91"")"),0)</f>
        <v>0</v>
      </c>
      <c r="M91" s="175">
        <f t="shared" ca="1" si="5"/>
        <v>0</v>
      </c>
      <c r="N91" s="175">
        <f t="shared" ca="1" si="6"/>
        <v>0</v>
      </c>
      <c r="O91" s="176">
        <f ca="1">IFERROR(__xludf.DUMMYFUNCTION("IMPORTRANGE(""https://docs.google.com/spreadsheets/d/1MeEWN-I1oV_STSDYn1IFDPWt_1FKiwhDph83XaGc0o0/edit?usp=sharing"",""งบพรบ!AY91"")"),0)</f>
        <v>0</v>
      </c>
      <c r="P91" s="176">
        <f t="shared" ca="1" si="36"/>
        <v>0</v>
      </c>
      <c r="Q91" s="175">
        <f t="shared" ca="1" si="8"/>
        <v>0</v>
      </c>
      <c r="R91" s="192"/>
      <c r="S91" s="192"/>
      <c r="T91" s="192"/>
      <c r="U91" s="192"/>
      <c r="V91" s="192"/>
      <c r="W91" s="192"/>
      <c r="X91" s="175"/>
      <c r="Y91" s="175"/>
      <c r="Z91" s="175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75"/>
      <c r="AR91" s="192"/>
      <c r="AS91" s="192"/>
      <c r="AT91" s="192"/>
      <c r="AU91" s="192"/>
      <c r="AV91" s="192"/>
      <c r="AW91" s="175"/>
      <c r="AX91" s="192"/>
      <c r="AY91" s="192"/>
      <c r="AZ91" s="175"/>
    </row>
    <row r="92" spans="1:52" ht="24" hidden="1" customHeight="1" x14ac:dyDescent="0.3">
      <c r="A92" s="168">
        <v>3</v>
      </c>
      <c r="B92" s="169" t="s">
        <v>114</v>
      </c>
      <c r="C92" s="170">
        <f t="shared" ca="1" si="0"/>
        <v>300000</v>
      </c>
      <c r="D92" s="171">
        <f t="shared" ca="1" si="65"/>
        <v>300000</v>
      </c>
      <c r="E92" s="172">
        <f ca="1">IFERROR(__xludf.DUMMYFUNCTION("IMPORTRANGE(""https://docs.google.com/spreadsheets/d/1MeEWN-I1oV_STSDYn1IFDPWt_1FKiwhDph83XaGc0o0/edit?usp=sharing"",""งบพรบ!AR92"")"),300000)</f>
        <v>300000</v>
      </c>
      <c r="F92" s="172">
        <f ca="1">IFERROR(__xludf.DUMMYFUNCTION("IMPORTRANGE(""https://docs.google.com/spreadsheets/d/1MeEWN-I1oV_STSDYn1IFDPWt_1FKiwhDph83XaGc0o0/edit?usp=sharing"",""งบพรบ!AS92"")"),0)</f>
        <v>0</v>
      </c>
      <c r="G92" s="172">
        <f ca="1">IFERROR(__xludf.DUMMYFUNCTION("IMPORTRANGE(""https://docs.google.com/spreadsheets/d/1MeEWN-I1oV_STSDYn1IFDPWt_1FKiwhDph83XaGc0o0/edit?usp=sharing"",""งบพรบ!AT92"")"),0)</f>
        <v>0</v>
      </c>
      <c r="H92" s="172">
        <f ca="1">IFERROR(__xludf.DUMMYFUNCTION("IMPORTRANGE(""https://docs.google.com/spreadsheets/d/1MeEWN-I1oV_STSDYn1IFDPWt_1FKiwhDph83XaGc0o0/edit?usp=sharing"",""งบพรบ!AV92"")"),300000)</f>
        <v>300000</v>
      </c>
      <c r="I92" s="172">
        <f ca="1">IFERROR(__xludf.DUMMYFUNCTION("IMPORTRANGE(""https://docs.google.com/spreadsheets/d/1MeEWN-I1oV_STSDYn1IFDPWt_1FKiwhDph83XaGc0o0/edit?usp=sharing"",""งบพรบ!AW92"")"),0)</f>
        <v>0</v>
      </c>
      <c r="J92" s="172">
        <f t="shared" ca="1" si="3"/>
        <v>289318.5</v>
      </c>
      <c r="K92" s="179">
        <f t="shared" ca="1" si="4"/>
        <v>96.439499999999995</v>
      </c>
      <c r="L92" s="172">
        <f ca="1">IFERROR(__xludf.DUMMYFUNCTION("IMPORTRANGE(""https://docs.google.com/spreadsheets/d/1MeEWN-I1oV_STSDYn1IFDPWt_1FKiwhDph83XaGc0o0/edit?usp=sharing"",""งบพรบ!AX92"")"),289318.5)</f>
        <v>289318.5</v>
      </c>
      <c r="M92" s="175">
        <f t="shared" ca="1" si="5"/>
        <v>96.439499999999995</v>
      </c>
      <c r="N92" s="175">
        <f t="shared" ca="1" si="6"/>
        <v>96.439499999999995</v>
      </c>
      <c r="O92" s="176">
        <f ca="1">IFERROR(__xludf.DUMMYFUNCTION("IMPORTRANGE(""https://docs.google.com/spreadsheets/d/1MeEWN-I1oV_STSDYn1IFDPWt_1FKiwhDph83XaGc0o0/edit?usp=sharing"",""งบพรบ!AY92"")"),0)</f>
        <v>0</v>
      </c>
      <c r="P92" s="176">
        <f t="shared" ca="1" si="36"/>
        <v>0</v>
      </c>
      <c r="Q92" s="175">
        <f t="shared" ca="1" si="8"/>
        <v>0</v>
      </c>
      <c r="R92" s="192"/>
      <c r="S92" s="192"/>
      <c r="T92" s="192"/>
      <c r="U92" s="192"/>
      <c r="V92" s="192"/>
      <c r="W92" s="192"/>
      <c r="X92" s="175"/>
      <c r="Y92" s="175"/>
      <c r="Z92" s="175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75"/>
      <c r="AR92" s="192"/>
      <c r="AS92" s="192"/>
      <c r="AT92" s="192"/>
      <c r="AU92" s="192"/>
      <c r="AV92" s="192"/>
      <c r="AW92" s="175"/>
      <c r="AX92" s="192"/>
      <c r="AY92" s="192"/>
      <c r="AZ92" s="175"/>
    </row>
    <row r="93" spans="1:52" ht="24" hidden="1" customHeight="1" x14ac:dyDescent="0.3">
      <c r="A93" s="168">
        <f t="shared" ref="A93:A103" si="66">+A92+1</f>
        <v>4</v>
      </c>
      <c r="B93" s="169" t="s">
        <v>115</v>
      </c>
      <c r="C93" s="170">
        <f t="shared" ca="1" si="0"/>
        <v>72000</v>
      </c>
      <c r="D93" s="171">
        <f t="shared" ca="1" si="65"/>
        <v>72000</v>
      </c>
      <c r="E93" s="172">
        <f ca="1">IFERROR(__xludf.DUMMYFUNCTION("IMPORTRANGE(""https://docs.google.com/spreadsheets/d/1MeEWN-I1oV_STSDYn1IFDPWt_1FKiwhDph83XaGc0o0/edit?usp=sharing"",""งบพรบ!AR93"")"),72000)</f>
        <v>72000</v>
      </c>
      <c r="F93" s="172">
        <f ca="1">IFERROR(__xludf.DUMMYFUNCTION("IMPORTRANGE(""https://docs.google.com/spreadsheets/d/1MeEWN-I1oV_STSDYn1IFDPWt_1FKiwhDph83XaGc0o0/edit?usp=sharing"",""งบพรบ!AS93"")"),0)</f>
        <v>0</v>
      </c>
      <c r="G93" s="172">
        <f ca="1">IFERROR(__xludf.DUMMYFUNCTION("IMPORTRANGE(""https://docs.google.com/spreadsheets/d/1MeEWN-I1oV_STSDYn1IFDPWt_1FKiwhDph83XaGc0o0/edit?usp=sharing"",""งบพรบ!AT93"")"),0)</f>
        <v>0</v>
      </c>
      <c r="H93" s="172">
        <f ca="1">IFERROR(__xludf.DUMMYFUNCTION("IMPORTRANGE(""https://docs.google.com/spreadsheets/d/1MeEWN-I1oV_STSDYn1IFDPWt_1FKiwhDph83XaGc0o0/edit?usp=sharing"",""งบพรบ!AV93"")"),72000)</f>
        <v>72000</v>
      </c>
      <c r="I93" s="172">
        <f ca="1">IFERROR(__xludf.DUMMYFUNCTION("IMPORTRANGE(""https://docs.google.com/spreadsheets/d/1MeEWN-I1oV_STSDYn1IFDPWt_1FKiwhDph83XaGc0o0/edit?usp=sharing"",""งบพรบ!AW93"")"),0)</f>
        <v>0</v>
      </c>
      <c r="J93" s="172">
        <f t="shared" ca="1" si="3"/>
        <v>72000</v>
      </c>
      <c r="K93" s="179">
        <f t="shared" ca="1" si="4"/>
        <v>100</v>
      </c>
      <c r="L93" s="172">
        <f ca="1">IFERROR(__xludf.DUMMYFUNCTION("IMPORTRANGE(""https://docs.google.com/spreadsheets/d/1MeEWN-I1oV_STSDYn1IFDPWt_1FKiwhDph83XaGc0o0/edit?usp=sharing"",""งบพรบ!AX93"")"),72000)</f>
        <v>72000</v>
      </c>
      <c r="M93" s="175">
        <f t="shared" ca="1" si="5"/>
        <v>100</v>
      </c>
      <c r="N93" s="175">
        <f t="shared" ca="1" si="6"/>
        <v>100</v>
      </c>
      <c r="O93" s="176">
        <f ca="1">IFERROR(__xludf.DUMMYFUNCTION("IMPORTRANGE(""https://docs.google.com/spreadsheets/d/1MeEWN-I1oV_STSDYn1IFDPWt_1FKiwhDph83XaGc0o0/edit?usp=sharing"",""งบพรบ!AY93"")"),0)</f>
        <v>0</v>
      </c>
      <c r="P93" s="176">
        <f t="shared" ca="1" si="36"/>
        <v>0</v>
      </c>
      <c r="Q93" s="175">
        <f t="shared" ca="1" si="8"/>
        <v>0</v>
      </c>
      <c r="R93" s="192"/>
      <c r="S93" s="192"/>
      <c r="T93" s="192"/>
      <c r="U93" s="192"/>
      <c r="V93" s="192"/>
      <c r="W93" s="192"/>
      <c r="X93" s="175"/>
      <c r="Y93" s="175"/>
      <c r="Z93" s="175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75"/>
      <c r="AR93" s="192"/>
      <c r="AS93" s="192"/>
      <c r="AT93" s="192"/>
      <c r="AU93" s="192"/>
      <c r="AV93" s="192"/>
      <c r="AW93" s="175"/>
      <c r="AX93" s="192"/>
      <c r="AY93" s="192"/>
      <c r="AZ93" s="175"/>
    </row>
    <row r="94" spans="1:52" ht="24" hidden="1" customHeight="1" x14ac:dyDescent="0.3">
      <c r="A94" s="168">
        <f t="shared" si="66"/>
        <v>5</v>
      </c>
      <c r="B94" s="169" t="s">
        <v>116</v>
      </c>
      <c r="C94" s="170">
        <f t="shared" ca="1" si="0"/>
        <v>0</v>
      </c>
      <c r="D94" s="171">
        <f t="shared" ca="1" si="65"/>
        <v>0</v>
      </c>
      <c r="E94" s="172">
        <f ca="1">IFERROR(__xludf.DUMMYFUNCTION("IMPORTRANGE(""https://docs.google.com/spreadsheets/d/1MeEWN-I1oV_STSDYn1IFDPWt_1FKiwhDph83XaGc0o0/edit?usp=sharing"",""งบพรบ!AR94"")"),0)</f>
        <v>0</v>
      </c>
      <c r="F94" s="172">
        <f ca="1">IFERROR(__xludf.DUMMYFUNCTION("IMPORTRANGE(""https://docs.google.com/spreadsheets/d/1MeEWN-I1oV_STSDYn1IFDPWt_1FKiwhDph83XaGc0o0/edit?usp=sharing"",""งบพรบ!AS94"")"),0)</f>
        <v>0</v>
      </c>
      <c r="G94" s="172">
        <f ca="1">IFERROR(__xludf.DUMMYFUNCTION("IMPORTRANGE(""https://docs.google.com/spreadsheets/d/1MeEWN-I1oV_STSDYn1IFDPWt_1FKiwhDph83XaGc0o0/edit?usp=sharing"",""งบพรบ!AT94"")"),0)</f>
        <v>0</v>
      </c>
      <c r="H94" s="172">
        <f ca="1">IFERROR(__xludf.DUMMYFUNCTION("IMPORTRANGE(""https://docs.google.com/spreadsheets/d/1MeEWN-I1oV_STSDYn1IFDPWt_1FKiwhDph83XaGc0o0/edit?usp=sharing"",""งบพรบ!AV94"")"),0)</f>
        <v>0</v>
      </c>
      <c r="I94" s="172">
        <f ca="1">IFERROR(__xludf.DUMMYFUNCTION("IMPORTRANGE(""https://docs.google.com/spreadsheets/d/1MeEWN-I1oV_STSDYn1IFDPWt_1FKiwhDph83XaGc0o0/edit?usp=sharing"",""งบพรบ!AW94"")"),0)</f>
        <v>0</v>
      </c>
      <c r="J94" s="172">
        <f t="shared" ca="1" si="3"/>
        <v>0</v>
      </c>
      <c r="K94" s="179">
        <f t="shared" ca="1" si="4"/>
        <v>0</v>
      </c>
      <c r="L94" s="172">
        <f ca="1">IFERROR(__xludf.DUMMYFUNCTION("IMPORTRANGE(""https://docs.google.com/spreadsheets/d/1MeEWN-I1oV_STSDYn1IFDPWt_1FKiwhDph83XaGc0o0/edit?usp=sharing"",""งบพรบ!AX94"")"),0)</f>
        <v>0</v>
      </c>
      <c r="M94" s="175">
        <f t="shared" ca="1" si="5"/>
        <v>0</v>
      </c>
      <c r="N94" s="175">
        <f t="shared" ca="1" si="6"/>
        <v>0</v>
      </c>
      <c r="O94" s="176">
        <f ca="1">IFERROR(__xludf.DUMMYFUNCTION("IMPORTRANGE(""https://docs.google.com/spreadsheets/d/1MeEWN-I1oV_STSDYn1IFDPWt_1FKiwhDph83XaGc0o0/edit?usp=sharing"",""งบพรบ!AY94"")"),0)</f>
        <v>0</v>
      </c>
      <c r="P94" s="176">
        <f t="shared" ca="1" si="36"/>
        <v>0</v>
      </c>
      <c r="Q94" s="175">
        <f t="shared" ca="1" si="8"/>
        <v>0</v>
      </c>
      <c r="R94" s="192"/>
      <c r="S94" s="192"/>
      <c r="T94" s="192"/>
      <c r="U94" s="192"/>
      <c r="V94" s="192"/>
      <c r="W94" s="192"/>
      <c r="X94" s="175"/>
      <c r="Y94" s="175"/>
      <c r="Z94" s="175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75"/>
      <c r="AR94" s="192"/>
      <c r="AS94" s="192"/>
      <c r="AT94" s="192"/>
      <c r="AU94" s="192"/>
      <c r="AV94" s="192"/>
      <c r="AW94" s="175"/>
      <c r="AX94" s="192"/>
      <c r="AY94" s="192"/>
      <c r="AZ94" s="175"/>
    </row>
    <row r="95" spans="1:52" ht="24" hidden="1" customHeight="1" x14ac:dyDescent="0.3">
      <c r="A95" s="168">
        <f t="shared" si="66"/>
        <v>6</v>
      </c>
      <c r="B95" s="169" t="s">
        <v>117</v>
      </c>
      <c r="C95" s="170">
        <f t="shared" ca="1" si="0"/>
        <v>0</v>
      </c>
      <c r="D95" s="171">
        <f t="shared" ca="1" si="65"/>
        <v>0</v>
      </c>
      <c r="E95" s="172">
        <f ca="1">IFERROR(__xludf.DUMMYFUNCTION("IMPORTRANGE(""https://docs.google.com/spreadsheets/d/1MeEWN-I1oV_STSDYn1IFDPWt_1FKiwhDph83XaGc0o0/edit?usp=sharing"",""งบพรบ!AR95"")"),0)</f>
        <v>0</v>
      </c>
      <c r="F95" s="172">
        <f ca="1">IFERROR(__xludf.DUMMYFUNCTION("IMPORTRANGE(""https://docs.google.com/spreadsheets/d/1MeEWN-I1oV_STSDYn1IFDPWt_1FKiwhDph83XaGc0o0/edit?usp=sharing"",""งบพรบ!AS95"")"),0)</f>
        <v>0</v>
      </c>
      <c r="G95" s="172">
        <f ca="1">IFERROR(__xludf.DUMMYFUNCTION("IMPORTRANGE(""https://docs.google.com/spreadsheets/d/1MeEWN-I1oV_STSDYn1IFDPWt_1FKiwhDph83XaGc0o0/edit?usp=sharing"",""งบพรบ!AT95"")"),0)</f>
        <v>0</v>
      </c>
      <c r="H95" s="172">
        <f ca="1">IFERROR(__xludf.DUMMYFUNCTION("IMPORTRANGE(""https://docs.google.com/spreadsheets/d/1MeEWN-I1oV_STSDYn1IFDPWt_1FKiwhDph83XaGc0o0/edit?usp=sharing"",""งบพรบ!AV95"")"),0)</f>
        <v>0</v>
      </c>
      <c r="I95" s="172">
        <f ca="1">IFERROR(__xludf.DUMMYFUNCTION("IMPORTRANGE(""https://docs.google.com/spreadsheets/d/1MeEWN-I1oV_STSDYn1IFDPWt_1FKiwhDph83XaGc0o0/edit?usp=sharing"",""งบพรบ!AW95"")"),0)</f>
        <v>0</v>
      </c>
      <c r="J95" s="172">
        <f t="shared" ca="1" si="3"/>
        <v>0</v>
      </c>
      <c r="K95" s="179">
        <f t="shared" ca="1" si="4"/>
        <v>0</v>
      </c>
      <c r="L95" s="172">
        <f ca="1">IFERROR(__xludf.DUMMYFUNCTION("IMPORTRANGE(""https://docs.google.com/spreadsheets/d/1MeEWN-I1oV_STSDYn1IFDPWt_1FKiwhDph83XaGc0o0/edit?usp=sharing"",""งบพรบ!AX95"")"),0)</f>
        <v>0</v>
      </c>
      <c r="M95" s="175">
        <f t="shared" ca="1" si="5"/>
        <v>0</v>
      </c>
      <c r="N95" s="175">
        <f t="shared" ca="1" si="6"/>
        <v>0</v>
      </c>
      <c r="O95" s="176">
        <f ca="1">IFERROR(__xludf.DUMMYFUNCTION("IMPORTRANGE(""https://docs.google.com/spreadsheets/d/1MeEWN-I1oV_STSDYn1IFDPWt_1FKiwhDph83XaGc0o0/edit?usp=sharing"",""งบพรบ!AY95"")"),0)</f>
        <v>0</v>
      </c>
      <c r="P95" s="176">
        <f t="shared" ca="1" si="36"/>
        <v>0</v>
      </c>
      <c r="Q95" s="175">
        <f t="shared" ca="1" si="8"/>
        <v>0</v>
      </c>
      <c r="R95" s="192"/>
      <c r="S95" s="192"/>
      <c r="T95" s="192"/>
      <c r="U95" s="192"/>
      <c r="V95" s="192"/>
      <c r="W95" s="192"/>
      <c r="X95" s="175"/>
      <c r="Y95" s="175"/>
      <c r="Z95" s="175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75"/>
      <c r="AR95" s="192"/>
      <c r="AS95" s="192"/>
      <c r="AT95" s="192"/>
      <c r="AU95" s="192"/>
      <c r="AV95" s="192"/>
      <c r="AW95" s="175"/>
      <c r="AX95" s="192"/>
      <c r="AY95" s="192"/>
      <c r="AZ95" s="175"/>
    </row>
    <row r="96" spans="1:52" ht="24" hidden="1" customHeight="1" x14ac:dyDescent="0.3">
      <c r="A96" s="168">
        <f t="shared" si="66"/>
        <v>7</v>
      </c>
      <c r="B96" s="169" t="s">
        <v>118</v>
      </c>
      <c r="C96" s="170">
        <f t="shared" ca="1" si="0"/>
        <v>1276800</v>
      </c>
      <c r="D96" s="171">
        <f t="shared" ca="1" si="65"/>
        <v>1276800</v>
      </c>
      <c r="E96" s="172">
        <f ca="1">IFERROR(__xludf.DUMMYFUNCTION("IMPORTRANGE(""https://docs.google.com/spreadsheets/d/1MeEWN-I1oV_STSDYn1IFDPWt_1FKiwhDph83XaGc0o0/edit?usp=sharing"",""งบพรบ!AR96"")"),189000)</f>
        <v>189000</v>
      </c>
      <c r="F96" s="172">
        <f ca="1">IFERROR(__xludf.DUMMYFUNCTION("IMPORTRANGE(""https://docs.google.com/spreadsheets/d/1MeEWN-I1oV_STSDYn1IFDPWt_1FKiwhDph83XaGc0o0/edit?usp=sharing"",""งบพรบ!AS96"")"),1087800)</f>
        <v>1087800</v>
      </c>
      <c r="G96" s="172">
        <f ca="1">IFERROR(__xludf.DUMMYFUNCTION("IMPORTRANGE(""https://docs.google.com/spreadsheets/d/1MeEWN-I1oV_STSDYn1IFDPWt_1FKiwhDph83XaGc0o0/edit?usp=sharing"",""งบพรบ!AT96"")"),0)</f>
        <v>0</v>
      </c>
      <c r="H96" s="172">
        <f ca="1">IFERROR(__xludf.DUMMYFUNCTION("IMPORTRANGE(""https://docs.google.com/spreadsheets/d/1MeEWN-I1oV_STSDYn1IFDPWt_1FKiwhDph83XaGc0o0/edit?usp=sharing"",""งบพรบ!AV96"")"),1040495)</f>
        <v>1040495</v>
      </c>
      <c r="I96" s="172">
        <f ca="1">IFERROR(__xludf.DUMMYFUNCTION("IMPORTRANGE(""https://docs.google.com/spreadsheets/d/1MeEWN-I1oV_STSDYn1IFDPWt_1FKiwhDph83XaGc0o0/edit?usp=sharing"",""งบพรบ!AW96"")"),0)</f>
        <v>0</v>
      </c>
      <c r="J96" s="172">
        <f t="shared" ca="1" si="3"/>
        <v>904568.83</v>
      </c>
      <c r="K96" s="179">
        <f t="shared" ca="1" si="4"/>
        <v>70.846556234335836</v>
      </c>
      <c r="L96" s="172">
        <f ca="1">IFERROR(__xludf.DUMMYFUNCTION("IMPORTRANGE(""https://docs.google.com/spreadsheets/d/1MeEWN-I1oV_STSDYn1IFDPWt_1FKiwhDph83XaGc0o0/edit?usp=sharing"",""งบพรบ!AX96"")"),904568.83)</f>
        <v>904568.83</v>
      </c>
      <c r="M96" s="175">
        <f t="shared" ca="1" si="5"/>
        <v>70.846556234335836</v>
      </c>
      <c r="N96" s="175">
        <f t="shared" ca="1" si="6"/>
        <v>86.936393735673889</v>
      </c>
      <c r="O96" s="176">
        <f ca="1">IFERROR(__xludf.DUMMYFUNCTION("IMPORTRANGE(""https://docs.google.com/spreadsheets/d/1MeEWN-I1oV_STSDYn1IFDPWt_1FKiwhDph83XaGc0o0/edit?usp=sharing"",""งบพรบ!AY96"")"),0)</f>
        <v>0</v>
      </c>
      <c r="P96" s="176">
        <f t="shared" ca="1" si="36"/>
        <v>0</v>
      </c>
      <c r="Q96" s="175">
        <f t="shared" ca="1" si="8"/>
        <v>0</v>
      </c>
      <c r="R96" s="192"/>
      <c r="S96" s="192"/>
      <c r="T96" s="192"/>
      <c r="U96" s="192"/>
      <c r="V96" s="192"/>
      <c r="W96" s="192"/>
      <c r="X96" s="175"/>
      <c r="Y96" s="175"/>
      <c r="Z96" s="175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75"/>
      <c r="AR96" s="192"/>
      <c r="AS96" s="192"/>
      <c r="AT96" s="192"/>
      <c r="AU96" s="192"/>
      <c r="AV96" s="192"/>
      <c r="AW96" s="175"/>
      <c r="AX96" s="192"/>
      <c r="AY96" s="192"/>
      <c r="AZ96" s="175"/>
    </row>
    <row r="97" spans="1:52" ht="24" hidden="1" customHeight="1" x14ac:dyDescent="0.3">
      <c r="A97" s="168">
        <f t="shared" si="66"/>
        <v>8</v>
      </c>
      <c r="B97" s="169" t="s">
        <v>119</v>
      </c>
      <c r="C97" s="170">
        <f t="shared" ca="1" si="0"/>
        <v>0</v>
      </c>
      <c r="D97" s="171">
        <f t="shared" ca="1" si="65"/>
        <v>0</v>
      </c>
      <c r="E97" s="172">
        <f ca="1">IFERROR(__xludf.DUMMYFUNCTION("IMPORTRANGE(""https://docs.google.com/spreadsheets/d/1MeEWN-I1oV_STSDYn1IFDPWt_1FKiwhDph83XaGc0o0/edit?usp=sharing"",""งบพรบ!AR97"")"),0)</f>
        <v>0</v>
      </c>
      <c r="F97" s="172">
        <f ca="1">IFERROR(__xludf.DUMMYFUNCTION("IMPORTRANGE(""https://docs.google.com/spreadsheets/d/1MeEWN-I1oV_STSDYn1IFDPWt_1FKiwhDph83XaGc0o0/edit?usp=sharing"",""งบพรบ!AS97"")"),0)</f>
        <v>0</v>
      </c>
      <c r="G97" s="172">
        <f ca="1">IFERROR(__xludf.DUMMYFUNCTION("IMPORTRANGE(""https://docs.google.com/spreadsheets/d/1MeEWN-I1oV_STSDYn1IFDPWt_1FKiwhDph83XaGc0o0/edit?usp=sharing"",""งบพรบ!AT97"")"),0)</f>
        <v>0</v>
      </c>
      <c r="H97" s="172">
        <f ca="1">IFERROR(__xludf.DUMMYFUNCTION("IMPORTRANGE(""https://docs.google.com/spreadsheets/d/1MeEWN-I1oV_STSDYn1IFDPWt_1FKiwhDph83XaGc0o0/edit?usp=sharing"",""งบพรบ!AV97"")"),0)</f>
        <v>0</v>
      </c>
      <c r="I97" s="172">
        <f ca="1">IFERROR(__xludf.DUMMYFUNCTION("IMPORTRANGE(""https://docs.google.com/spreadsheets/d/1MeEWN-I1oV_STSDYn1IFDPWt_1FKiwhDph83XaGc0o0/edit?usp=sharing"",""งบพรบ!AW97"")"),0)</f>
        <v>0</v>
      </c>
      <c r="J97" s="172">
        <f t="shared" ca="1" si="3"/>
        <v>0</v>
      </c>
      <c r="K97" s="179">
        <f t="shared" ca="1" si="4"/>
        <v>0</v>
      </c>
      <c r="L97" s="172">
        <f ca="1">IFERROR(__xludf.DUMMYFUNCTION("IMPORTRANGE(""https://docs.google.com/spreadsheets/d/1MeEWN-I1oV_STSDYn1IFDPWt_1FKiwhDph83XaGc0o0/edit?usp=sharing"",""งบพรบ!AX97"")"),0)</f>
        <v>0</v>
      </c>
      <c r="M97" s="175">
        <f t="shared" ca="1" si="5"/>
        <v>0</v>
      </c>
      <c r="N97" s="175">
        <f t="shared" ca="1" si="6"/>
        <v>0</v>
      </c>
      <c r="O97" s="176">
        <f ca="1">IFERROR(__xludf.DUMMYFUNCTION("IMPORTRANGE(""https://docs.google.com/spreadsheets/d/1MeEWN-I1oV_STSDYn1IFDPWt_1FKiwhDph83XaGc0o0/edit?usp=sharing"",""งบพรบ!AY97"")"),0)</f>
        <v>0</v>
      </c>
      <c r="P97" s="176">
        <f t="shared" ca="1" si="36"/>
        <v>0</v>
      </c>
      <c r="Q97" s="175">
        <f t="shared" ca="1" si="8"/>
        <v>0</v>
      </c>
      <c r="R97" s="192"/>
      <c r="S97" s="192"/>
      <c r="T97" s="192"/>
      <c r="U97" s="192"/>
      <c r="V97" s="192"/>
      <c r="W97" s="192"/>
      <c r="X97" s="175"/>
      <c r="Y97" s="175"/>
      <c r="Z97" s="175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75"/>
      <c r="AR97" s="192"/>
      <c r="AS97" s="192"/>
      <c r="AT97" s="192"/>
      <c r="AU97" s="192"/>
      <c r="AV97" s="192"/>
      <c r="AW97" s="175"/>
      <c r="AX97" s="192"/>
      <c r="AY97" s="192"/>
      <c r="AZ97" s="175"/>
    </row>
    <row r="98" spans="1:52" ht="24" hidden="1" customHeight="1" x14ac:dyDescent="0.3">
      <c r="A98" s="168">
        <f t="shared" si="66"/>
        <v>9</v>
      </c>
      <c r="B98" s="169" t="s">
        <v>120</v>
      </c>
      <c r="C98" s="170">
        <f t="shared" ca="1" si="0"/>
        <v>0</v>
      </c>
      <c r="D98" s="171">
        <f t="shared" ca="1" si="65"/>
        <v>0</v>
      </c>
      <c r="E98" s="172">
        <f ca="1">IFERROR(__xludf.DUMMYFUNCTION("IMPORTRANGE(""https://docs.google.com/spreadsheets/d/1MeEWN-I1oV_STSDYn1IFDPWt_1FKiwhDph83XaGc0o0/edit?usp=sharing"",""งบพรบ!AR98"")"),0)</f>
        <v>0</v>
      </c>
      <c r="F98" s="172">
        <f ca="1">IFERROR(__xludf.DUMMYFUNCTION("IMPORTRANGE(""https://docs.google.com/spreadsheets/d/1MeEWN-I1oV_STSDYn1IFDPWt_1FKiwhDph83XaGc0o0/edit?usp=sharing"",""งบพรบ!AS98"")"),0)</f>
        <v>0</v>
      </c>
      <c r="G98" s="172">
        <f ca="1">IFERROR(__xludf.DUMMYFUNCTION("IMPORTRANGE(""https://docs.google.com/spreadsheets/d/1MeEWN-I1oV_STSDYn1IFDPWt_1FKiwhDph83XaGc0o0/edit?usp=sharing"",""งบพรบ!AT98"")"),0)</f>
        <v>0</v>
      </c>
      <c r="H98" s="172">
        <f ca="1">IFERROR(__xludf.DUMMYFUNCTION("IMPORTRANGE(""https://docs.google.com/spreadsheets/d/1MeEWN-I1oV_STSDYn1IFDPWt_1FKiwhDph83XaGc0o0/edit?usp=sharing"",""งบพรบ!AV98"")"),0)</f>
        <v>0</v>
      </c>
      <c r="I98" s="172">
        <f ca="1">IFERROR(__xludf.DUMMYFUNCTION("IMPORTRANGE(""https://docs.google.com/spreadsheets/d/1MeEWN-I1oV_STSDYn1IFDPWt_1FKiwhDph83XaGc0o0/edit?usp=sharing"",""งบพรบ!AW98"")"),0)</f>
        <v>0</v>
      </c>
      <c r="J98" s="172">
        <f t="shared" ca="1" si="3"/>
        <v>0</v>
      </c>
      <c r="K98" s="179">
        <f t="shared" ca="1" si="4"/>
        <v>0</v>
      </c>
      <c r="L98" s="172">
        <f ca="1">IFERROR(__xludf.DUMMYFUNCTION("IMPORTRANGE(""https://docs.google.com/spreadsheets/d/1MeEWN-I1oV_STSDYn1IFDPWt_1FKiwhDph83XaGc0o0/edit?usp=sharing"",""งบพรบ!AX98"")"),0)</f>
        <v>0</v>
      </c>
      <c r="M98" s="175">
        <f t="shared" ca="1" si="5"/>
        <v>0</v>
      </c>
      <c r="N98" s="175">
        <f t="shared" ca="1" si="6"/>
        <v>0</v>
      </c>
      <c r="O98" s="176">
        <f ca="1">IFERROR(__xludf.DUMMYFUNCTION("IMPORTRANGE(""https://docs.google.com/spreadsheets/d/1MeEWN-I1oV_STSDYn1IFDPWt_1FKiwhDph83XaGc0o0/edit?usp=sharing"",""งบพรบ!AY98"")"),0)</f>
        <v>0</v>
      </c>
      <c r="P98" s="176">
        <f t="shared" ca="1" si="36"/>
        <v>0</v>
      </c>
      <c r="Q98" s="175">
        <f t="shared" ca="1" si="8"/>
        <v>0</v>
      </c>
      <c r="R98" s="192"/>
      <c r="S98" s="192"/>
      <c r="T98" s="192"/>
      <c r="U98" s="192"/>
      <c r="V98" s="192"/>
      <c r="W98" s="192"/>
      <c r="X98" s="175"/>
      <c r="Y98" s="175"/>
      <c r="Z98" s="175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75"/>
      <c r="AR98" s="192"/>
      <c r="AS98" s="192"/>
      <c r="AT98" s="192"/>
      <c r="AU98" s="192"/>
      <c r="AV98" s="192"/>
      <c r="AW98" s="175"/>
      <c r="AX98" s="192"/>
      <c r="AY98" s="192"/>
      <c r="AZ98" s="175"/>
    </row>
    <row r="99" spans="1:52" ht="24" hidden="1" customHeight="1" x14ac:dyDescent="0.3">
      <c r="A99" s="168">
        <f t="shared" si="66"/>
        <v>10</v>
      </c>
      <c r="B99" s="169" t="s">
        <v>121</v>
      </c>
      <c r="C99" s="170">
        <f t="shared" ca="1" si="0"/>
        <v>0</v>
      </c>
      <c r="D99" s="171">
        <f t="shared" ca="1" si="65"/>
        <v>0</v>
      </c>
      <c r="E99" s="172">
        <f ca="1">IFERROR(__xludf.DUMMYFUNCTION("IMPORTRANGE(""https://docs.google.com/spreadsheets/d/1MeEWN-I1oV_STSDYn1IFDPWt_1FKiwhDph83XaGc0o0/edit?usp=sharing"",""งบพรบ!AR99"")"),0)</f>
        <v>0</v>
      </c>
      <c r="F99" s="172">
        <f ca="1">IFERROR(__xludf.DUMMYFUNCTION("IMPORTRANGE(""https://docs.google.com/spreadsheets/d/1MeEWN-I1oV_STSDYn1IFDPWt_1FKiwhDph83XaGc0o0/edit?usp=sharing"",""งบพรบ!AS99"")"),0)</f>
        <v>0</v>
      </c>
      <c r="G99" s="172">
        <f ca="1">IFERROR(__xludf.DUMMYFUNCTION("IMPORTRANGE(""https://docs.google.com/spreadsheets/d/1MeEWN-I1oV_STSDYn1IFDPWt_1FKiwhDph83XaGc0o0/edit?usp=sharing"",""งบพรบ!AT99"")"),0)</f>
        <v>0</v>
      </c>
      <c r="H99" s="172">
        <f ca="1">IFERROR(__xludf.DUMMYFUNCTION("IMPORTRANGE(""https://docs.google.com/spreadsheets/d/1MeEWN-I1oV_STSDYn1IFDPWt_1FKiwhDph83XaGc0o0/edit?usp=sharing"",""งบพรบ!AV99"")"),0)</f>
        <v>0</v>
      </c>
      <c r="I99" s="172">
        <f ca="1">IFERROR(__xludf.DUMMYFUNCTION("IMPORTRANGE(""https://docs.google.com/spreadsheets/d/1MeEWN-I1oV_STSDYn1IFDPWt_1FKiwhDph83XaGc0o0/edit?usp=sharing"",""งบพรบ!AW99"")"),0)</f>
        <v>0</v>
      </c>
      <c r="J99" s="172">
        <f t="shared" ca="1" si="3"/>
        <v>0</v>
      </c>
      <c r="K99" s="179">
        <f t="shared" ca="1" si="4"/>
        <v>0</v>
      </c>
      <c r="L99" s="172">
        <f ca="1">IFERROR(__xludf.DUMMYFUNCTION("IMPORTRANGE(""https://docs.google.com/spreadsheets/d/1MeEWN-I1oV_STSDYn1IFDPWt_1FKiwhDph83XaGc0o0/edit?usp=sharing"",""งบพรบ!AX99"")"),0)</f>
        <v>0</v>
      </c>
      <c r="M99" s="175">
        <f t="shared" ca="1" si="5"/>
        <v>0</v>
      </c>
      <c r="N99" s="175">
        <f t="shared" ca="1" si="6"/>
        <v>0</v>
      </c>
      <c r="O99" s="176">
        <f ca="1">IFERROR(__xludf.DUMMYFUNCTION("IMPORTRANGE(""https://docs.google.com/spreadsheets/d/1MeEWN-I1oV_STSDYn1IFDPWt_1FKiwhDph83XaGc0o0/edit?usp=sharing"",""งบพรบ!AY99"")"),0)</f>
        <v>0</v>
      </c>
      <c r="P99" s="176">
        <f t="shared" ca="1" si="36"/>
        <v>0</v>
      </c>
      <c r="Q99" s="175">
        <f t="shared" ca="1" si="8"/>
        <v>0</v>
      </c>
      <c r="R99" s="192"/>
      <c r="S99" s="192"/>
      <c r="T99" s="192"/>
      <c r="U99" s="192"/>
      <c r="V99" s="192"/>
      <c r="W99" s="192"/>
      <c r="X99" s="175"/>
      <c r="Y99" s="175"/>
      <c r="Z99" s="175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75"/>
      <c r="AR99" s="192"/>
      <c r="AS99" s="192"/>
      <c r="AT99" s="192"/>
      <c r="AU99" s="192"/>
      <c r="AV99" s="192"/>
      <c r="AW99" s="175"/>
      <c r="AX99" s="192"/>
      <c r="AY99" s="192"/>
      <c r="AZ99" s="175"/>
    </row>
    <row r="100" spans="1:52" ht="24" hidden="1" customHeight="1" x14ac:dyDescent="0.3">
      <c r="A100" s="168">
        <f t="shared" si="66"/>
        <v>11</v>
      </c>
      <c r="B100" s="169" t="s">
        <v>122</v>
      </c>
      <c r="C100" s="170">
        <f t="shared" ca="1" si="0"/>
        <v>0</v>
      </c>
      <c r="D100" s="171">
        <f t="shared" ca="1" si="65"/>
        <v>0</v>
      </c>
      <c r="E100" s="172">
        <f ca="1">IFERROR(__xludf.DUMMYFUNCTION("IMPORTRANGE(""https://docs.google.com/spreadsheets/d/1MeEWN-I1oV_STSDYn1IFDPWt_1FKiwhDph83XaGc0o0/edit?usp=sharing"",""งบพรบ!AR100"")"),0)</f>
        <v>0</v>
      </c>
      <c r="F100" s="172">
        <f ca="1">IFERROR(__xludf.DUMMYFUNCTION("IMPORTRANGE(""https://docs.google.com/spreadsheets/d/1MeEWN-I1oV_STSDYn1IFDPWt_1FKiwhDph83XaGc0o0/edit?usp=sharing"",""งบพรบ!AS100"")"),0)</f>
        <v>0</v>
      </c>
      <c r="G100" s="172">
        <f ca="1">IFERROR(__xludf.DUMMYFUNCTION("IMPORTRANGE(""https://docs.google.com/spreadsheets/d/1MeEWN-I1oV_STSDYn1IFDPWt_1FKiwhDph83XaGc0o0/edit?usp=sharing"",""งบพรบ!AT100"")"),0)</f>
        <v>0</v>
      </c>
      <c r="H100" s="172">
        <f ca="1">IFERROR(__xludf.DUMMYFUNCTION("IMPORTRANGE(""https://docs.google.com/spreadsheets/d/1MeEWN-I1oV_STSDYn1IFDPWt_1FKiwhDph83XaGc0o0/edit?usp=sharing"",""งบพรบ!AV100"")"),0)</f>
        <v>0</v>
      </c>
      <c r="I100" s="172">
        <f ca="1">IFERROR(__xludf.DUMMYFUNCTION("IMPORTRANGE(""https://docs.google.com/spreadsheets/d/1MeEWN-I1oV_STSDYn1IFDPWt_1FKiwhDph83XaGc0o0/edit?usp=sharing"",""งบพรบ!AW100"")"),0)</f>
        <v>0</v>
      </c>
      <c r="J100" s="172">
        <f t="shared" ca="1" si="3"/>
        <v>0</v>
      </c>
      <c r="K100" s="179">
        <f t="shared" ca="1" si="4"/>
        <v>0</v>
      </c>
      <c r="L100" s="172">
        <f ca="1">IFERROR(__xludf.DUMMYFUNCTION("IMPORTRANGE(""https://docs.google.com/spreadsheets/d/1MeEWN-I1oV_STSDYn1IFDPWt_1FKiwhDph83XaGc0o0/edit?usp=sharing"",""งบพรบ!AX100"")"),0)</f>
        <v>0</v>
      </c>
      <c r="M100" s="175">
        <f t="shared" ca="1" si="5"/>
        <v>0</v>
      </c>
      <c r="N100" s="175">
        <f t="shared" ca="1" si="6"/>
        <v>0</v>
      </c>
      <c r="O100" s="176">
        <f ca="1">IFERROR(__xludf.DUMMYFUNCTION("IMPORTRANGE(""https://docs.google.com/spreadsheets/d/1MeEWN-I1oV_STSDYn1IFDPWt_1FKiwhDph83XaGc0o0/edit?usp=sharing"",""งบพรบ!AY100"")"),0)</f>
        <v>0</v>
      </c>
      <c r="P100" s="176">
        <f t="shared" ca="1" si="36"/>
        <v>0</v>
      </c>
      <c r="Q100" s="175">
        <f t="shared" ca="1" si="8"/>
        <v>0</v>
      </c>
      <c r="R100" s="192"/>
      <c r="S100" s="192"/>
      <c r="T100" s="192"/>
      <c r="U100" s="192"/>
      <c r="V100" s="192"/>
      <c r="W100" s="192"/>
      <c r="X100" s="175"/>
      <c r="Y100" s="175"/>
      <c r="Z100" s="175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75"/>
      <c r="AR100" s="192"/>
      <c r="AS100" s="192"/>
      <c r="AT100" s="192"/>
      <c r="AU100" s="192"/>
      <c r="AV100" s="192"/>
      <c r="AW100" s="175"/>
      <c r="AX100" s="192"/>
      <c r="AY100" s="192"/>
      <c r="AZ100" s="175"/>
    </row>
    <row r="101" spans="1:52" ht="24" hidden="1" customHeight="1" x14ac:dyDescent="0.3">
      <c r="A101" s="168">
        <f t="shared" si="66"/>
        <v>12</v>
      </c>
      <c r="B101" s="169" t="s">
        <v>123</v>
      </c>
      <c r="C101" s="170">
        <f t="shared" ca="1" si="0"/>
        <v>0</v>
      </c>
      <c r="D101" s="171">
        <f t="shared" ca="1" si="65"/>
        <v>0</v>
      </c>
      <c r="E101" s="172">
        <f ca="1">IFERROR(__xludf.DUMMYFUNCTION("IMPORTRANGE(""https://docs.google.com/spreadsheets/d/1MeEWN-I1oV_STSDYn1IFDPWt_1FKiwhDph83XaGc0o0/edit?usp=sharing"",""งบพรบ!AR101"")"),0)</f>
        <v>0</v>
      </c>
      <c r="F101" s="172">
        <f ca="1">IFERROR(__xludf.DUMMYFUNCTION("IMPORTRANGE(""https://docs.google.com/spreadsheets/d/1MeEWN-I1oV_STSDYn1IFDPWt_1FKiwhDph83XaGc0o0/edit?usp=sharing"",""งบพรบ!AS101"")"),0)</f>
        <v>0</v>
      </c>
      <c r="G101" s="172">
        <f ca="1">IFERROR(__xludf.DUMMYFUNCTION("IMPORTRANGE(""https://docs.google.com/spreadsheets/d/1MeEWN-I1oV_STSDYn1IFDPWt_1FKiwhDph83XaGc0o0/edit?usp=sharing"",""งบพรบ!AT101"")"),0)</f>
        <v>0</v>
      </c>
      <c r="H101" s="172">
        <f ca="1">IFERROR(__xludf.DUMMYFUNCTION("IMPORTRANGE(""https://docs.google.com/spreadsheets/d/1MeEWN-I1oV_STSDYn1IFDPWt_1FKiwhDph83XaGc0o0/edit?usp=sharing"",""งบพรบ!AV101"")"),0)</f>
        <v>0</v>
      </c>
      <c r="I101" s="172">
        <f ca="1">IFERROR(__xludf.DUMMYFUNCTION("IMPORTRANGE(""https://docs.google.com/spreadsheets/d/1MeEWN-I1oV_STSDYn1IFDPWt_1FKiwhDph83XaGc0o0/edit?usp=sharing"",""งบพรบ!AW101"")"),0)</f>
        <v>0</v>
      </c>
      <c r="J101" s="172">
        <f t="shared" ca="1" si="3"/>
        <v>0</v>
      </c>
      <c r="K101" s="179">
        <f t="shared" ca="1" si="4"/>
        <v>0</v>
      </c>
      <c r="L101" s="172">
        <f ca="1">IFERROR(__xludf.DUMMYFUNCTION("IMPORTRANGE(""https://docs.google.com/spreadsheets/d/1MeEWN-I1oV_STSDYn1IFDPWt_1FKiwhDph83XaGc0o0/edit?usp=sharing"",""งบพรบ!AX101"")"),0)</f>
        <v>0</v>
      </c>
      <c r="M101" s="175">
        <f t="shared" ca="1" si="5"/>
        <v>0</v>
      </c>
      <c r="N101" s="175">
        <f t="shared" ca="1" si="6"/>
        <v>0</v>
      </c>
      <c r="O101" s="176">
        <f ca="1">IFERROR(__xludf.DUMMYFUNCTION("IMPORTRANGE(""https://docs.google.com/spreadsheets/d/1MeEWN-I1oV_STSDYn1IFDPWt_1FKiwhDph83XaGc0o0/edit?usp=sharing"",""งบพรบ!AY101"")"),0)</f>
        <v>0</v>
      </c>
      <c r="P101" s="176">
        <f t="shared" ca="1" si="36"/>
        <v>0</v>
      </c>
      <c r="Q101" s="175">
        <f t="shared" ca="1" si="8"/>
        <v>0</v>
      </c>
      <c r="R101" s="192"/>
      <c r="S101" s="192"/>
      <c r="T101" s="192"/>
      <c r="U101" s="192"/>
      <c r="V101" s="192"/>
      <c r="W101" s="192"/>
      <c r="X101" s="175"/>
      <c r="Y101" s="175"/>
      <c r="Z101" s="175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75"/>
      <c r="AR101" s="192"/>
      <c r="AS101" s="192"/>
      <c r="AT101" s="192"/>
      <c r="AU101" s="192"/>
      <c r="AV101" s="192"/>
      <c r="AW101" s="175"/>
      <c r="AX101" s="192"/>
      <c r="AY101" s="192"/>
      <c r="AZ101" s="175"/>
    </row>
    <row r="102" spans="1:52" ht="24" hidden="1" customHeight="1" x14ac:dyDescent="0.3">
      <c r="A102" s="168">
        <f t="shared" si="66"/>
        <v>13</v>
      </c>
      <c r="B102" s="169" t="s">
        <v>124</v>
      </c>
      <c r="C102" s="170">
        <f t="shared" ca="1" si="0"/>
        <v>0</v>
      </c>
      <c r="D102" s="171">
        <f t="shared" ca="1" si="65"/>
        <v>0</v>
      </c>
      <c r="E102" s="172">
        <f ca="1">IFERROR(__xludf.DUMMYFUNCTION("IMPORTRANGE(""https://docs.google.com/spreadsheets/d/1MeEWN-I1oV_STSDYn1IFDPWt_1FKiwhDph83XaGc0o0/edit?usp=sharing"",""งบพรบ!AR102"")"),0)</f>
        <v>0</v>
      </c>
      <c r="F102" s="172">
        <f ca="1">IFERROR(__xludf.DUMMYFUNCTION("IMPORTRANGE(""https://docs.google.com/spreadsheets/d/1MeEWN-I1oV_STSDYn1IFDPWt_1FKiwhDph83XaGc0o0/edit?usp=sharing"",""งบพรบ!AS102"")"),0)</f>
        <v>0</v>
      </c>
      <c r="G102" s="172">
        <f ca="1">IFERROR(__xludf.DUMMYFUNCTION("IMPORTRANGE(""https://docs.google.com/spreadsheets/d/1MeEWN-I1oV_STSDYn1IFDPWt_1FKiwhDph83XaGc0o0/edit?usp=sharing"",""งบพรบ!AT102"")"),0)</f>
        <v>0</v>
      </c>
      <c r="H102" s="172">
        <f ca="1">IFERROR(__xludf.DUMMYFUNCTION("IMPORTRANGE(""https://docs.google.com/spreadsheets/d/1MeEWN-I1oV_STSDYn1IFDPWt_1FKiwhDph83XaGc0o0/edit?usp=sharing"",""งบพรบ!AV102"")"),0)</f>
        <v>0</v>
      </c>
      <c r="I102" s="172">
        <f ca="1">IFERROR(__xludf.DUMMYFUNCTION("IMPORTRANGE(""https://docs.google.com/spreadsheets/d/1MeEWN-I1oV_STSDYn1IFDPWt_1FKiwhDph83XaGc0o0/edit?usp=sharing"",""งบพรบ!AW102"")"),0)</f>
        <v>0</v>
      </c>
      <c r="J102" s="172">
        <f t="shared" ca="1" si="3"/>
        <v>0</v>
      </c>
      <c r="K102" s="179">
        <f t="shared" ca="1" si="4"/>
        <v>0</v>
      </c>
      <c r="L102" s="172">
        <f ca="1">IFERROR(__xludf.DUMMYFUNCTION("IMPORTRANGE(""https://docs.google.com/spreadsheets/d/1MeEWN-I1oV_STSDYn1IFDPWt_1FKiwhDph83XaGc0o0/edit?usp=sharing"",""งบพรบ!AX102"")"),0)</f>
        <v>0</v>
      </c>
      <c r="M102" s="175">
        <f t="shared" ca="1" si="5"/>
        <v>0</v>
      </c>
      <c r="N102" s="175">
        <f t="shared" ca="1" si="6"/>
        <v>0</v>
      </c>
      <c r="O102" s="176">
        <f ca="1">IFERROR(__xludf.DUMMYFUNCTION("IMPORTRANGE(""https://docs.google.com/spreadsheets/d/1MeEWN-I1oV_STSDYn1IFDPWt_1FKiwhDph83XaGc0o0/edit?usp=sharing"",""งบพรบ!AY102"")"),0)</f>
        <v>0</v>
      </c>
      <c r="P102" s="176">
        <f t="shared" ca="1" si="36"/>
        <v>0</v>
      </c>
      <c r="Q102" s="175">
        <f t="shared" ca="1" si="8"/>
        <v>0</v>
      </c>
      <c r="R102" s="192"/>
      <c r="S102" s="192"/>
      <c r="T102" s="192"/>
      <c r="U102" s="192"/>
      <c r="V102" s="192"/>
      <c r="W102" s="192"/>
      <c r="X102" s="175"/>
      <c r="Y102" s="175"/>
      <c r="Z102" s="175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75"/>
      <c r="AR102" s="192"/>
      <c r="AS102" s="192"/>
      <c r="AT102" s="192"/>
      <c r="AU102" s="192"/>
      <c r="AV102" s="192"/>
      <c r="AW102" s="175"/>
      <c r="AX102" s="192"/>
      <c r="AY102" s="192"/>
      <c r="AZ102" s="175"/>
    </row>
    <row r="103" spans="1:52" ht="24" hidden="1" customHeight="1" x14ac:dyDescent="0.3">
      <c r="A103" s="180">
        <f t="shared" si="66"/>
        <v>14</v>
      </c>
      <c r="B103" s="181" t="s">
        <v>125</v>
      </c>
      <c r="C103" s="182">
        <f t="shared" ca="1" si="0"/>
        <v>0</v>
      </c>
      <c r="D103" s="183">
        <f t="shared" ca="1" si="65"/>
        <v>0</v>
      </c>
      <c r="E103" s="184">
        <f ca="1">IFERROR(__xludf.DUMMYFUNCTION("IMPORTRANGE(""https://docs.google.com/spreadsheets/d/1MeEWN-I1oV_STSDYn1IFDPWt_1FKiwhDph83XaGc0o0/edit?usp=sharing"",""งบพรบ!AR103"")"),0)</f>
        <v>0</v>
      </c>
      <c r="F103" s="184">
        <f ca="1">IFERROR(__xludf.DUMMYFUNCTION("IMPORTRANGE(""https://docs.google.com/spreadsheets/d/1MeEWN-I1oV_STSDYn1IFDPWt_1FKiwhDph83XaGc0o0/edit?usp=sharing"",""งบพรบ!AS103"")"),0)</f>
        <v>0</v>
      </c>
      <c r="G103" s="184">
        <f ca="1">IFERROR(__xludf.DUMMYFUNCTION("IMPORTRANGE(""https://docs.google.com/spreadsheets/d/1MeEWN-I1oV_STSDYn1IFDPWt_1FKiwhDph83XaGc0o0/edit?usp=sharing"",""งบพรบ!AT103"")"),0)</f>
        <v>0</v>
      </c>
      <c r="H103" s="184">
        <f ca="1">IFERROR(__xludf.DUMMYFUNCTION("IMPORTRANGE(""https://docs.google.com/spreadsheets/d/1MeEWN-I1oV_STSDYn1IFDPWt_1FKiwhDph83XaGc0o0/edit?usp=sharing"",""งบพรบ!AV103"")"),0)</f>
        <v>0</v>
      </c>
      <c r="I103" s="184">
        <f ca="1">IFERROR(__xludf.DUMMYFUNCTION("IMPORTRANGE(""https://docs.google.com/spreadsheets/d/1MeEWN-I1oV_STSDYn1IFDPWt_1FKiwhDph83XaGc0o0/edit?usp=sharing"",""งบพรบ!AW103"")"),0)</f>
        <v>0</v>
      </c>
      <c r="J103" s="184">
        <f t="shared" ca="1" si="3"/>
        <v>0</v>
      </c>
      <c r="K103" s="185">
        <f t="shared" ca="1" si="4"/>
        <v>0</v>
      </c>
      <c r="L103" s="184">
        <f ca="1">IFERROR(__xludf.DUMMYFUNCTION("IMPORTRANGE(""https://docs.google.com/spreadsheets/d/1MeEWN-I1oV_STSDYn1IFDPWt_1FKiwhDph83XaGc0o0/edit?usp=sharing"",""งบพรบ!AX103"")"),0)</f>
        <v>0</v>
      </c>
      <c r="M103" s="186">
        <f t="shared" ca="1" si="5"/>
        <v>0</v>
      </c>
      <c r="N103" s="186">
        <f t="shared" ca="1" si="6"/>
        <v>0</v>
      </c>
      <c r="O103" s="187">
        <f ca="1">IFERROR(__xludf.DUMMYFUNCTION("IMPORTRANGE(""https://docs.google.com/spreadsheets/d/1MeEWN-I1oV_STSDYn1IFDPWt_1FKiwhDph83XaGc0o0/edit?usp=sharing"",""งบพรบ!AY103"")"),0)</f>
        <v>0</v>
      </c>
      <c r="P103" s="187">
        <f t="shared" ca="1" si="36"/>
        <v>0</v>
      </c>
      <c r="Q103" s="186">
        <f t="shared" ca="1" si="8"/>
        <v>0</v>
      </c>
      <c r="R103" s="193"/>
      <c r="S103" s="193"/>
      <c r="T103" s="193"/>
      <c r="U103" s="193"/>
      <c r="V103" s="193"/>
      <c r="W103" s="193"/>
      <c r="X103" s="186"/>
      <c r="Y103" s="186"/>
      <c r="Z103" s="186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86"/>
      <c r="AR103" s="193"/>
      <c r="AS103" s="193"/>
      <c r="AT103" s="193"/>
      <c r="AU103" s="193"/>
      <c r="AV103" s="193"/>
      <c r="AW103" s="186"/>
      <c r="AX103" s="193"/>
      <c r="AY103" s="193"/>
      <c r="AZ103" s="186"/>
    </row>
    <row r="104" spans="1:52" ht="21" hidden="1" customHeight="1" x14ac:dyDescent="0.3">
      <c r="A104" s="413" t="s">
        <v>126</v>
      </c>
      <c r="B104" s="414"/>
      <c r="C104" s="156">
        <f t="shared" ca="1" si="0"/>
        <v>49100</v>
      </c>
      <c r="D104" s="156">
        <f ca="1">SUM(D105:D116)</f>
        <v>49100</v>
      </c>
      <c r="E104" s="156">
        <f ca="1">IFERROR(__xludf.DUMMYFUNCTION("IMPORTRANGE(""https://docs.google.com/spreadsheets/d/1MeEWN-I1oV_STSDYn1IFDPWt_1FKiwhDph83XaGc0o0/edit?usp=sharing"",""งบพรบ!AR104"")"),49100)</f>
        <v>49100</v>
      </c>
      <c r="F104" s="156">
        <f ca="1">IFERROR(__xludf.DUMMYFUNCTION("IMPORTRANGE(""https://docs.google.com/spreadsheets/d/1MeEWN-I1oV_STSDYn1IFDPWt_1FKiwhDph83XaGc0o0/edit?usp=sharing"",""งบพรบ!AS104"")"),0)</f>
        <v>0</v>
      </c>
      <c r="G104" s="156">
        <f ca="1">IFERROR(__xludf.DUMMYFUNCTION("IMPORTRANGE(""https://docs.google.com/spreadsheets/d/1MeEWN-I1oV_STSDYn1IFDPWt_1FKiwhDph83XaGc0o0/edit?usp=sharing"",""งบพรบ!AT104"")"),0)</f>
        <v>0</v>
      </c>
      <c r="H104" s="156">
        <f ca="1">IFERROR(__xludf.DUMMYFUNCTION("IMPORTRANGE(""https://docs.google.com/spreadsheets/d/1MeEWN-I1oV_STSDYn1IFDPWt_1FKiwhDph83XaGc0o0/edit?usp=sharing"",""งบพรบ!AV104"")"),49100)</f>
        <v>49100</v>
      </c>
      <c r="I104" s="156">
        <f ca="1">IFERROR(__xludf.DUMMYFUNCTION("IMPORTRANGE(""https://docs.google.com/spreadsheets/d/1MeEWN-I1oV_STSDYn1IFDPWt_1FKiwhDph83XaGc0o0/edit?usp=sharing"",""งบพรบ!AW104"")"),0)</f>
        <v>0</v>
      </c>
      <c r="J104" s="156">
        <f t="shared" ca="1" si="3"/>
        <v>0</v>
      </c>
      <c r="K104" s="157">
        <f t="shared" ca="1" si="4"/>
        <v>0</v>
      </c>
      <c r="L104" s="156">
        <f ca="1">IFERROR(__xludf.DUMMYFUNCTION("IMPORTRANGE(""https://docs.google.com/spreadsheets/d/1MeEWN-I1oV_STSDYn1IFDPWt_1FKiwhDph83XaGc0o0/edit?usp=sharing"",""งบพรบ!AX104"")"),0)</f>
        <v>0</v>
      </c>
      <c r="M104" s="157">
        <f t="shared" ca="1" si="5"/>
        <v>0</v>
      </c>
      <c r="N104" s="157">
        <f t="shared" ca="1" si="6"/>
        <v>0</v>
      </c>
      <c r="O104" s="156">
        <f ca="1">IFERROR(__xludf.DUMMYFUNCTION("IMPORTRANGE(""https://docs.google.com/spreadsheets/d/1MeEWN-I1oV_STSDYn1IFDPWt_1FKiwhDph83XaGc0o0/edit?usp=sharing"",""งบพรบ!AY104"")"),0)</f>
        <v>0</v>
      </c>
      <c r="P104" s="156">
        <f t="shared" ca="1" si="36"/>
        <v>0</v>
      </c>
      <c r="Q104" s="156">
        <f t="shared" ca="1" si="8"/>
        <v>0</v>
      </c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</row>
    <row r="105" spans="1:52" ht="24" hidden="1" customHeight="1" x14ac:dyDescent="0.3">
      <c r="A105" s="168">
        <v>1</v>
      </c>
      <c r="B105" s="194" t="s">
        <v>127</v>
      </c>
      <c r="C105" s="170">
        <f t="shared" ca="1" si="0"/>
        <v>49100</v>
      </c>
      <c r="D105" s="171">
        <f t="shared" ref="D105:D116" ca="1" si="67">+E105+F105</f>
        <v>49100</v>
      </c>
      <c r="E105" s="172">
        <f ca="1">IFERROR(__xludf.DUMMYFUNCTION("IMPORTRANGE(""https://docs.google.com/spreadsheets/d/1MeEWN-I1oV_STSDYn1IFDPWt_1FKiwhDph83XaGc0o0/edit?usp=sharing"",""งบพรบ!AR105"")"),49100)</f>
        <v>49100</v>
      </c>
      <c r="F105" s="172">
        <f ca="1">IFERROR(__xludf.DUMMYFUNCTION("IMPORTRANGE(""https://docs.google.com/spreadsheets/d/1MeEWN-I1oV_STSDYn1IFDPWt_1FKiwhDph83XaGc0o0/edit?usp=sharing"",""งบพรบ!AS105"")"),0)</f>
        <v>0</v>
      </c>
      <c r="G105" s="172">
        <f ca="1">IFERROR(__xludf.DUMMYFUNCTION("IMPORTRANGE(""https://docs.google.com/spreadsheets/d/1MeEWN-I1oV_STSDYn1IFDPWt_1FKiwhDph83XaGc0o0/edit?usp=sharing"",""งบพรบ!AT105"")"),0)</f>
        <v>0</v>
      </c>
      <c r="H105" s="172">
        <f ca="1">IFERROR(__xludf.DUMMYFUNCTION("IMPORTRANGE(""https://docs.google.com/spreadsheets/d/1MeEWN-I1oV_STSDYn1IFDPWt_1FKiwhDph83XaGc0o0/edit?usp=sharing"",""งบพรบ!AV105"")"),49100)</f>
        <v>49100</v>
      </c>
      <c r="I105" s="172">
        <f ca="1">IFERROR(__xludf.DUMMYFUNCTION("IMPORTRANGE(""https://docs.google.com/spreadsheets/d/1MeEWN-I1oV_STSDYn1IFDPWt_1FKiwhDph83XaGc0o0/edit?usp=sharing"",""งบพรบ!AW105"")"),0)</f>
        <v>0</v>
      </c>
      <c r="J105" s="172">
        <f t="shared" ca="1" si="3"/>
        <v>0</v>
      </c>
      <c r="K105" s="179">
        <f t="shared" ca="1" si="4"/>
        <v>0</v>
      </c>
      <c r="L105" s="172">
        <f ca="1">IFERROR(__xludf.DUMMYFUNCTION("IMPORTRANGE(""https://docs.google.com/spreadsheets/d/1MeEWN-I1oV_STSDYn1IFDPWt_1FKiwhDph83XaGc0o0/edit?usp=sharing"",""งบพรบ!AX105"")"),0)</f>
        <v>0</v>
      </c>
      <c r="M105" s="175">
        <f t="shared" ca="1" si="5"/>
        <v>0</v>
      </c>
      <c r="N105" s="175">
        <f t="shared" ca="1" si="6"/>
        <v>0</v>
      </c>
      <c r="O105" s="176">
        <f ca="1">IFERROR(__xludf.DUMMYFUNCTION("IMPORTRANGE(""https://docs.google.com/spreadsheets/d/1MeEWN-I1oV_STSDYn1IFDPWt_1FKiwhDph83XaGc0o0/edit?usp=sharing"",""งบพรบ!AY105"")"),0)</f>
        <v>0</v>
      </c>
      <c r="P105" s="176">
        <f t="shared" ca="1" si="36"/>
        <v>0</v>
      </c>
      <c r="Q105" s="175">
        <f t="shared" ca="1" si="8"/>
        <v>0</v>
      </c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</row>
    <row r="106" spans="1:52" ht="24" hidden="1" customHeight="1" x14ac:dyDescent="0.3">
      <c r="A106" s="168">
        <v>2</v>
      </c>
      <c r="B106" s="194" t="s">
        <v>128</v>
      </c>
      <c r="C106" s="170">
        <f t="shared" ca="1" si="0"/>
        <v>0</v>
      </c>
      <c r="D106" s="171">
        <f t="shared" ca="1" si="67"/>
        <v>0</v>
      </c>
      <c r="E106" s="172">
        <f ca="1">IFERROR(__xludf.DUMMYFUNCTION("IMPORTRANGE(""https://docs.google.com/spreadsheets/d/1MeEWN-I1oV_STSDYn1IFDPWt_1FKiwhDph83XaGc0o0/edit?usp=sharing"",""งบพรบ!AR106"")"),0)</f>
        <v>0</v>
      </c>
      <c r="F106" s="172">
        <f ca="1">IFERROR(__xludf.DUMMYFUNCTION("IMPORTRANGE(""https://docs.google.com/spreadsheets/d/1MeEWN-I1oV_STSDYn1IFDPWt_1FKiwhDph83XaGc0o0/edit?usp=sharing"",""งบพรบ!AS106"")"),0)</f>
        <v>0</v>
      </c>
      <c r="G106" s="172">
        <f ca="1">IFERROR(__xludf.DUMMYFUNCTION("IMPORTRANGE(""https://docs.google.com/spreadsheets/d/1MeEWN-I1oV_STSDYn1IFDPWt_1FKiwhDph83XaGc0o0/edit?usp=sharing"",""งบพรบ!AT106"")"),0)</f>
        <v>0</v>
      </c>
      <c r="H106" s="172">
        <f ca="1">IFERROR(__xludf.DUMMYFUNCTION("IMPORTRANGE(""https://docs.google.com/spreadsheets/d/1MeEWN-I1oV_STSDYn1IFDPWt_1FKiwhDph83XaGc0o0/edit?usp=sharing"",""งบพรบ!AV106"")"),0)</f>
        <v>0</v>
      </c>
      <c r="I106" s="172">
        <f ca="1">IFERROR(__xludf.DUMMYFUNCTION("IMPORTRANGE(""https://docs.google.com/spreadsheets/d/1MeEWN-I1oV_STSDYn1IFDPWt_1FKiwhDph83XaGc0o0/edit?usp=sharing"",""งบพรบ!AW106"")"),0)</f>
        <v>0</v>
      </c>
      <c r="J106" s="172">
        <f t="shared" ca="1" si="3"/>
        <v>0</v>
      </c>
      <c r="K106" s="179">
        <f t="shared" ca="1" si="4"/>
        <v>0</v>
      </c>
      <c r="L106" s="172">
        <f ca="1">IFERROR(__xludf.DUMMYFUNCTION("IMPORTRANGE(""https://docs.google.com/spreadsheets/d/1MeEWN-I1oV_STSDYn1IFDPWt_1FKiwhDph83XaGc0o0/edit?usp=sharing"",""งบพรบ!AX106"")"),0)</f>
        <v>0</v>
      </c>
      <c r="M106" s="175">
        <f t="shared" ca="1" si="5"/>
        <v>0</v>
      </c>
      <c r="N106" s="175">
        <f t="shared" ca="1" si="6"/>
        <v>0</v>
      </c>
      <c r="O106" s="176">
        <f ca="1">IFERROR(__xludf.DUMMYFUNCTION("IMPORTRANGE(""https://docs.google.com/spreadsheets/d/1MeEWN-I1oV_STSDYn1IFDPWt_1FKiwhDph83XaGc0o0/edit?usp=sharing"",""งบพรบ!AY106"")"),0)</f>
        <v>0</v>
      </c>
      <c r="P106" s="176">
        <f t="shared" ca="1" si="36"/>
        <v>0</v>
      </c>
      <c r="Q106" s="175">
        <f t="shared" ca="1" si="8"/>
        <v>0</v>
      </c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</row>
    <row r="107" spans="1:52" ht="24" hidden="1" customHeight="1" x14ac:dyDescent="0.3">
      <c r="A107" s="168">
        <v>3</v>
      </c>
      <c r="B107" s="194" t="s">
        <v>129</v>
      </c>
      <c r="C107" s="170">
        <f t="shared" ca="1" si="0"/>
        <v>0</v>
      </c>
      <c r="D107" s="171">
        <f t="shared" ca="1" si="67"/>
        <v>0</v>
      </c>
      <c r="E107" s="172">
        <f ca="1">IFERROR(__xludf.DUMMYFUNCTION("IMPORTRANGE(""https://docs.google.com/spreadsheets/d/1MeEWN-I1oV_STSDYn1IFDPWt_1FKiwhDph83XaGc0o0/edit?usp=sharing"",""งบพรบ!AR107"")"),0)</f>
        <v>0</v>
      </c>
      <c r="F107" s="172">
        <f ca="1">IFERROR(__xludf.DUMMYFUNCTION("IMPORTRANGE(""https://docs.google.com/spreadsheets/d/1MeEWN-I1oV_STSDYn1IFDPWt_1FKiwhDph83XaGc0o0/edit?usp=sharing"",""งบพรบ!AS107"")"),0)</f>
        <v>0</v>
      </c>
      <c r="G107" s="172">
        <f ca="1">IFERROR(__xludf.DUMMYFUNCTION("IMPORTRANGE(""https://docs.google.com/spreadsheets/d/1MeEWN-I1oV_STSDYn1IFDPWt_1FKiwhDph83XaGc0o0/edit?usp=sharing"",""งบพรบ!AT107"")"),0)</f>
        <v>0</v>
      </c>
      <c r="H107" s="172">
        <f ca="1">IFERROR(__xludf.DUMMYFUNCTION("IMPORTRANGE(""https://docs.google.com/spreadsheets/d/1MeEWN-I1oV_STSDYn1IFDPWt_1FKiwhDph83XaGc0o0/edit?usp=sharing"",""งบพรบ!AV107"")"),0)</f>
        <v>0</v>
      </c>
      <c r="I107" s="172">
        <f ca="1">IFERROR(__xludf.DUMMYFUNCTION("IMPORTRANGE(""https://docs.google.com/spreadsheets/d/1MeEWN-I1oV_STSDYn1IFDPWt_1FKiwhDph83XaGc0o0/edit?usp=sharing"",""งบพรบ!AW107"")"),0)</f>
        <v>0</v>
      </c>
      <c r="J107" s="172">
        <f t="shared" ca="1" si="3"/>
        <v>0</v>
      </c>
      <c r="K107" s="179">
        <f t="shared" ca="1" si="4"/>
        <v>0</v>
      </c>
      <c r="L107" s="172">
        <f ca="1">IFERROR(__xludf.DUMMYFUNCTION("IMPORTRANGE(""https://docs.google.com/spreadsheets/d/1MeEWN-I1oV_STSDYn1IFDPWt_1FKiwhDph83XaGc0o0/edit?usp=sharing"",""งบพรบ!AX107"")"),0)</f>
        <v>0</v>
      </c>
      <c r="M107" s="175">
        <f t="shared" ca="1" si="5"/>
        <v>0</v>
      </c>
      <c r="N107" s="175">
        <f t="shared" ca="1" si="6"/>
        <v>0</v>
      </c>
      <c r="O107" s="176">
        <f ca="1">IFERROR(__xludf.DUMMYFUNCTION("IMPORTRANGE(""https://docs.google.com/spreadsheets/d/1MeEWN-I1oV_STSDYn1IFDPWt_1FKiwhDph83XaGc0o0/edit?usp=sharing"",""งบพรบ!AY107"")"),0)</f>
        <v>0</v>
      </c>
      <c r="P107" s="176">
        <f t="shared" ca="1" si="36"/>
        <v>0</v>
      </c>
      <c r="Q107" s="175">
        <f t="shared" ca="1" si="8"/>
        <v>0</v>
      </c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</row>
    <row r="108" spans="1:52" ht="24" hidden="1" customHeight="1" x14ac:dyDescent="0.3">
      <c r="A108" s="195">
        <v>4</v>
      </c>
      <c r="B108" s="194" t="s">
        <v>130</v>
      </c>
      <c r="C108" s="170">
        <f t="shared" ca="1" si="0"/>
        <v>0</v>
      </c>
      <c r="D108" s="171">
        <f t="shared" ca="1" si="67"/>
        <v>0</v>
      </c>
      <c r="E108" s="172">
        <f ca="1">IFERROR(__xludf.DUMMYFUNCTION("IMPORTRANGE(""https://docs.google.com/spreadsheets/d/1MeEWN-I1oV_STSDYn1IFDPWt_1FKiwhDph83XaGc0o0/edit?usp=sharing"",""งบพรบ!AR108"")"),0)</f>
        <v>0</v>
      </c>
      <c r="F108" s="172">
        <f ca="1">IFERROR(__xludf.DUMMYFUNCTION("IMPORTRANGE(""https://docs.google.com/spreadsheets/d/1MeEWN-I1oV_STSDYn1IFDPWt_1FKiwhDph83XaGc0o0/edit?usp=sharing"",""งบพรบ!AS108"")"),0)</f>
        <v>0</v>
      </c>
      <c r="G108" s="172">
        <f ca="1">IFERROR(__xludf.DUMMYFUNCTION("IMPORTRANGE(""https://docs.google.com/spreadsheets/d/1MeEWN-I1oV_STSDYn1IFDPWt_1FKiwhDph83XaGc0o0/edit?usp=sharing"",""งบพรบ!AT108"")"),0)</f>
        <v>0</v>
      </c>
      <c r="H108" s="172">
        <f ca="1">IFERROR(__xludf.DUMMYFUNCTION("IMPORTRANGE(""https://docs.google.com/spreadsheets/d/1MeEWN-I1oV_STSDYn1IFDPWt_1FKiwhDph83XaGc0o0/edit?usp=sharing"",""งบพรบ!AV108"")"),0)</f>
        <v>0</v>
      </c>
      <c r="I108" s="172">
        <f ca="1">IFERROR(__xludf.DUMMYFUNCTION("IMPORTRANGE(""https://docs.google.com/spreadsheets/d/1MeEWN-I1oV_STSDYn1IFDPWt_1FKiwhDph83XaGc0o0/edit?usp=sharing"",""งบพรบ!AW108"")"),0)</f>
        <v>0</v>
      </c>
      <c r="J108" s="172">
        <f t="shared" ca="1" si="3"/>
        <v>0</v>
      </c>
      <c r="K108" s="179">
        <f t="shared" ca="1" si="4"/>
        <v>0</v>
      </c>
      <c r="L108" s="172">
        <f ca="1">IFERROR(__xludf.DUMMYFUNCTION("IMPORTRANGE(""https://docs.google.com/spreadsheets/d/1MeEWN-I1oV_STSDYn1IFDPWt_1FKiwhDph83XaGc0o0/edit?usp=sharing"",""งบพรบ!AX108"")"),0)</f>
        <v>0</v>
      </c>
      <c r="M108" s="175">
        <f t="shared" ca="1" si="5"/>
        <v>0</v>
      </c>
      <c r="N108" s="175">
        <f t="shared" ca="1" si="6"/>
        <v>0</v>
      </c>
      <c r="O108" s="176">
        <f ca="1">IFERROR(__xludf.DUMMYFUNCTION("IMPORTRANGE(""https://docs.google.com/spreadsheets/d/1MeEWN-I1oV_STSDYn1IFDPWt_1FKiwhDph83XaGc0o0/edit?usp=sharing"",""งบพรบ!AY108"")"),0)</f>
        <v>0</v>
      </c>
      <c r="P108" s="176">
        <f t="shared" ca="1" si="36"/>
        <v>0</v>
      </c>
      <c r="Q108" s="175">
        <f t="shared" ca="1" si="8"/>
        <v>0</v>
      </c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</row>
    <row r="109" spans="1:52" ht="24" hidden="1" customHeight="1" x14ac:dyDescent="0.3">
      <c r="A109" s="195">
        <v>5</v>
      </c>
      <c r="B109" s="194" t="s">
        <v>131</v>
      </c>
      <c r="C109" s="170">
        <f t="shared" ca="1" si="0"/>
        <v>0</v>
      </c>
      <c r="D109" s="171">
        <f t="shared" ca="1" si="67"/>
        <v>0</v>
      </c>
      <c r="E109" s="172">
        <f ca="1">IFERROR(__xludf.DUMMYFUNCTION("IMPORTRANGE(""https://docs.google.com/spreadsheets/d/1MeEWN-I1oV_STSDYn1IFDPWt_1FKiwhDph83XaGc0o0/edit?usp=sharing"",""งบพรบ!AR109"")"),0)</f>
        <v>0</v>
      </c>
      <c r="F109" s="172">
        <f ca="1">IFERROR(__xludf.DUMMYFUNCTION("IMPORTRANGE(""https://docs.google.com/spreadsheets/d/1MeEWN-I1oV_STSDYn1IFDPWt_1FKiwhDph83XaGc0o0/edit?usp=sharing"",""งบพรบ!AS109"")"),0)</f>
        <v>0</v>
      </c>
      <c r="G109" s="172">
        <f ca="1">IFERROR(__xludf.DUMMYFUNCTION("IMPORTRANGE(""https://docs.google.com/spreadsheets/d/1MeEWN-I1oV_STSDYn1IFDPWt_1FKiwhDph83XaGc0o0/edit?usp=sharing"",""งบพรบ!AT109"")"),0)</f>
        <v>0</v>
      </c>
      <c r="H109" s="172">
        <f ca="1">IFERROR(__xludf.DUMMYFUNCTION("IMPORTRANGE(""https://docs.google.com/spreadsheets/d/1MeEWN-I1oV_STSDYn1IFDPWt_1FKiwhDph83XaGc0o0/edit?usp=sharing"",""งบพรบ!AV109"")"),0)</f>
        <v>0</v>
      </c>
      <c r="I109" s="172">
        <f ca="1">IFERROR(__xludf.DUMMYFUNCTION("IMPORTRANGE(""https://docs.google.com/spreadsheets/d/1MeEWN-I1oV_STSDYn1IFDPWt_1FKiwhDph83XaGc0o0/edit?usp=sharing"",""งบพรบ!AW109"")"),0)</f>
        <v>0</v>
      </c>
      <c r="J109" s="172">
        <f t="shared" ca="1" si="3"/>
        <v>0</v>
      </c>
      <c r="K109" s="179">
        <f t="shared" ca="1" si="4"/>
        <v>0</v>
      </c>
      <c r="L109" s="172">
        <f ca="1">IFERROR(__xludf.DUMMYFUNCTION("IMPORTRANGE(""https://docs.google.com/spreadsheets/d/1MeEWN-I1oV_STSDYn1IFDPWt_1FKiwhDph83XaGc0o0/edit?usp=sharing"",""งบพรบ!AX109"")"),0)</f>
        <v>0</v>
      </c>
      <c r="M109" s="175">
        <f t="shared" ca="1" si="5"/>
        <v>0</v>
      </c>
      <c r="N109" s="175">
        <f t="shared" ca="1" si="6"/>
        <v>0</v>
      </c>
      <c r="O109" s="176">
        <f ca="1">IFERROR(__xludf.DUMMYFUNCTION("IMPORTRANGE(""https://docs.google.com/spreadsheets/d/1MeEWN-I1oV_STSDYn1IFDPWt_1FKiwhDph83XaGc0o0/edit?usp=sharing"",""งบพรบ!AY109"")"),0)</f>
        <v>0</v>
      </c>
      <c r="P109" s="176">
        <f t="shared" ca="1" si="36"/>
        <v>0</v>
      </c>
      <c r="Q109" s="175">
        <f t="shared" ca="1" si="8"/>
        <v>0</v>
      </c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</row>
    <row r="110" spans="1:52" ht="24" hidden="1" customHeight="1" x14ac:dyDescent="0.3">
      <c r="A110" s="195">
        <v>6</v>
      </c>
      <c r="B110" s="194" t="s">
        <v>132</v>
      </c>
      <c r="C110" s="170">
        <f t="shared" ca="1" si="0"/>
        <v>0</v>
      </c>
      <c r="D110" s="171">
        <f t="shared" ca="1" si="67"/>
        <v>0</v>
      </c>
      <c r="E110" s="172">
        <f ca="1">IFERROR(__xludf.DUMMYFUNCTION("IMPORTRANGE(""https://docs.google.com/spreadsheets/d/1MeEWN-I1oV_STSDYn1IFDPWt_1FKiwhDph83XaGc0o0/edit?usp=sharing"",""งบพรบ!AR110"")"),0)</f>
        <v>0</v>
      </c>
      <c r="F110" s="172">
        <f ca="1">IFERROR(__xludf.DUMMYFUNCTION("IMPORTRANGE(""https://docs.google.com/spreadsheets/d/1MeEWN-I1oV_STSDYn1IFDPWt_1FKiwhDph83XaGc0o0/edit?usp=sharing"",""งบพรบ!AS110"")"),0)</f>
        <v>0</v>
      </c>
      <c r="G110" s="172">
        <f ca="1">IFERROR(__xludf.DUMMYFUNCTION("IMPORTRANGE(""https://docs.google.com/spreadsheets/d/1MeEWN-I1oV_STSDYn1IFDPWt_1FKiwhDph83XaGc0o0/edit?usp=sharing"",""งบพรบ!AT110"")"),0)</f>
        <v>0</v>
      </c>
      <c r="H110" s="172">
        <f ca="1">IFERROR(__xludf.DUMMYFUNCTION("IMPORTRANGE(""https://docs.google.com/spreadsheets/d/1MeEWN-I1oV_STSDYn1IFDPWt_1FKiwhDph83XaGc0o0/edit?usp=sharing"",""งบพรบ!AV110"")"),0)</f>
        <v>0</v>
      </c>
      <c r="I110" s="172">
        <f ca="1">IFERROR(__xludf.DUMMYFUNCTION("IMPORTRANGE(""https://docs.google.com/spreadsheets/d/1MeEWN-I1oV_STSDYn1IFDPWt_1FKiwhDph83XaGc0o0/edit?usp=sharing"",""งบพรบ!AW110"")"),0)</f>
        <v>0</v>
      </c>
      <c r="J110" s="172">
        <f t="shared" ca="1" si="3"/>
        <v>0</v>
      </c>
      <c r="K110" s="179">
        <f t="shared" ca="1" si="4"/>
        <v>0</v>
      </c>
      <c r="L110" s="172">
        <f ca="1">IFERROR(__xludf.DUMMYFUNCTION("IMPORTRANGE(""https://docs.google.com/spreadsheets/d/1MeEWN-I1oV_STSDYn1IFDPWt_1FKiwhDph83XaGc0o0/edit?usp=sharing"",""งบพรบ!AX110"")"),0)</f>
        <v>0</v>
      </c>
      <c r="M110" s="175">
        <f t="shared" ca="1" si="5"/>
        <v>0</v>
      </c>
      <c r="N110" s="175">
        <f t="shared" ca="1" si="6"/>
        <v>0</v>
      </c>
      <c r="O110" s="176">
        <f ca="1">IFERROR(__xludf.DUMMYFUNCTION("IMPORTRANGE(""https://docs.google.com/spreadsheets/d/1MeEWN-I1oV_STSDYn1IFDPWt_1FKiwhDph83XaGc0o0/edit?usp=sharing"",""งบพรบ!AY110"")"),0)</f>
        <v>0</v>
      </c>
      <c r="P110" s="176">
        <f t="shared" ca="1" si="36"/>
        <v>0</v>
      </c>
      <c r="Q110" s="175">
        <f t="shared" ca="1" si="8"/>
        <v>0</v>
      </c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</row>
    <row r="111" spans="1:52" ht="24" hidden="1" customHeight="1" x14ac:dyDescent="0.3">
      <c r="A111" s="195">
        <v>7</v>
      </c>
      <c r="B111" s="194" t="s">
        <v>133</v>
      </c>
      <c r="C111" s="170">
        <f t="shared" ca="1" si="0"/>
        <v>0</v>
      </c>
      <c r="D111" s="171">
        <f t="shared" ca="1" si="67"/>
        <v>0</v>
      </c>
      <c r="E111" s="172">
        <f ca="1">IFERROR(__xludf.DUMMYFUNCTION("IMPORTRANGE(""https://docs.google.com/spreadsheets/d/1MeEWN-I1oV_STSDYn1IFDPWt_1FKiwhDph83XaGc0o0/edit?usp=sharing"",""งบพรบ!AR111"")"),0)</f>
        <v>0</v>
      </c>
      <c r="F111" s="172">
        <f ca="1">IFERROR(__xludf.DUMMYFUNCTION("IMPORTRANGE(""https://docs.google.com/spreadsheets/d/1MeEWN-I1oV_STSDYn1IFDPWt_1FKiwhDph83XaGc0o0/edit?usp=sharing"",""งบพรบ!AS111"")"),0)</f>
        <v>0</v>
      </c>
      <c r="G111" s="172">
        <f ca="1">IFERROR(__xludf.DUMMYFUNCTION("IMPORTRANGE(""https://docs.google.com/spreadsheets/d/1MeEWN-I1oV_STSDYn1IFDPWt_1FKiwhDph83XaGc0o0/edit?usp=sharing"",""งบพรบ!AT111"")"),0)</f>
        <v>0</v>
      </c>
      <c r="H111" s="172">
        <f ca="1">IFERROR(__xludf.DUMMYFUNCTION("IMPORTRANGE(""https://docs.google.com/spreadsheets/d/1MeEWN-I1oV_STSDYn1IFDPWt_1FKiwhDph83XaGc0o0/edit?usp=sharing"",""งบพรบ!AV111"")"),0)</f>
        <v>0</v>
      </c>
      <c r="I111" s="172">
        <f ca="1">IFERROR(__xludf.DUMMYFUNCTION("IMPORTRANGE(""https://docs.google.com/spreadsheets/d/1MeEWN-I1oV_STSDYn1IFDPWt_1FKiwhDph83XaGc0o0/edit?usp=sharing"",""งบพรบ!AW111"")"),0)</f>
        <v>0</v>
      </c>
      <c r="J111" s="172">
        <f t="shared" ca="1" si="3"/>
        <v>0</v>
      </c>
      <c r="K111" s="179">
        <f t="shared" ca="1" si="4"/>
        <v>0</v>
      </c>
      <c r="L111" s="172">
        <f ca="1">IFERROR(__xludf.DUMMYFUNCTION("IMPORTRANGE(""https://docs.google.com/spreadsheets/d/1MeEWN-I1oV_STSDYn1IFDPWt_1FKiwhDph83XaGc0o0/edit?usp=sharing"",""งบพรบ!AX111"")"),0)</f>
        <v>0</v>
      </c>
      <c r="M111" s="175">
        <f t="shared" ca="1" si="5"/>
        <v>0</v>
      </c>
      <c r="N111" s="175">
        <f t="shared" ca="1" si="6"/>
        <v>0</v>
      </c>
      <c r="O111" s="176">
        <f ca="1">IFERROR(__xludf.DUMMYFUNCTION("IMPORTRANGE(""https://docs.google.com/spreadsheets/d/1MeEWN-I1oV_STSDYn1IFDPWt_1FKiwhDph83XaGc0o0/edit?usp=sharing"",""งบพรบ!AY111"")"),0)</f>
        <v>0</v>
      </c>
      <c r="P111" s="176">
        <f t="shared" ca="1" si="36"/>
        <v>0</v>
      </c>
      <c r="Q111" s="175">
        <f t="shared" ca="1" si="8"/>
        <v>0</v>
      </c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</row>
    <row r="112" spans="1:52" ht="24" hidden="1" customHeight="1" x14ac:dyDescent="0.3">
      <c r="A112" s="195">
        <v>8</v>
      </c>
      <c r="B112" s="194" t="s">
        <v>134</v>
      </c>
      <c r="C112" s="170">
        <f t="shared" ca="1" si="0"/>
        <v>0</v>
      </c>
      <c r="D112" s="171">
        <f t="shared" ca="1" si="67"/>
        <v>0</v>
      </c>
      <c r="E112" s="172">
        <f ca="1">IFERROR(__xludf.DUMMYFUNCTION("IMPORTRANGE(""https://docs.google.com/spreadsheets/d/1MeEWN-I1oV_STSDYn1IFDPWt_1FKiwhDph83XaGc0o0/edit?usp=sharing"",""งบพรบ!AR112"")"),0)</f>
        <v>0</v>
      </c>
      <c r="F112" s="172">
        <f ca="1">IFERROR(__xludf.DUMMYFUNCTION("IMPORTRANGE(""https://docs.google.com/spreadsheets/d/1MeEWN-I1oV_STSDYn1IFDPWt_1FKiwhDph83XaGc0o0/edit?usp=sharing"",""งบพรบ!AS112"")"),0)</f>
        <v>0</v>
      </c>
      <c r="G112" s="172">
        <f ca="1">IFERROR(__xludf.DUMMYFUNCTION("IMPORTRANGE(""https://docs.google.com/spreadsheets/d/1MeEWN-I1oV_STSDYn1IFDPWt_1FKiwhDph83XaGc0o0/edit?usp=sharing"",""งบพรบ!AT112"")"),0)</f>
        <v>0</v>
      </c>
      <c r="H112" s="172">
        <f ca="1">IFERROR(__xludf.DUMMYFUNCTION("IMPORTRANGE(""https://docs.google.com/spreadsheets/d/1MeEWN-I1oV_STSDYn1IFDPWt_1FKiwhDph83XaGc0o0/edit?usp=sharing"",""งบพรบ!AV112"")"),0)</f>
        <v>0</v>
      </c>
      <c r="I112" s="172">
        <f ca="1">IFERROR(__xludf.DUMMYFUNCTION("IMPORTRANGE(""https://docs.google.com/spreadsheets/d/1MeEWN-I1oV_STSDYn1IFDPWt_1FKiwhDph83XaGc0o0/edit?usp=sharing"",""งบพรบ!AW112"")"),0)</f>
        <v>0</v>
      </c>
      <c r="J112" s="172">
        <f t="shared" ca="1" si="3"/>
        <v>0</v>
      </c>
      <c r="K112" s="179">
        <f t="shared" ca="1" si="4"/>
        <v>0</v>
      </c>
      <c r="L112" s="172">
        <f ca="1">IFERROR(__xludf.DUMMYFUNCTION("IMPORTRANGE(""https://docs.google.com/spreadsheets/d/1MeEWN-I1oV_STSDYn1IFDPWt_1FKiwhDph83XaGc0o0/edit?usp=sharing"",""งบพรบ!AX112"")"),0)</f>
        <v>0</v>
      </c>
      <c r="M112" s="175">
        <f t="shared" ca="1" si="5"/>
        <v>0</v>
      </c>
      <c r="N112" s="175">
        <f t="shared" ca="1" si="6"/>
        <v>0</v>
      </c>
      <c r="O112" s="176">
        <f ca="1">IFERROR(__xludf.DUMMYFUNCTION("IMPORTRANGE(""https://docs.google.com/spreadsheets/d/1MeEWN-I1oV_STSDYn1IFDPWt_1FKiwhDph83XaGc0o0/edit?usp=sharing"",""งบพรบ!AY112"")"),0)</f>
        <v>0</v>
      </c>
      <c r="P112" s="176">
        <f t="shared" ca="1" si="36"/>
        <v>0</v>
      </c>
      <c r="Q112" s="175">
        <f t="shared" ca="1" si="8"/>
        <v>0</v>
      </c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</row>
    <row r="113" spans="1:52" ht="24" hidden="1" customHeight="1" x14ac:dyDescent="0.3">
      <c r="A113" s="195">
        <v>9</v>
      </c>
      <c r="B113" s="194" t="s">
        <v>135</v>
      </c>
      <c r="C113" s="170">
        <f t="shared" ca="1" si="0"/>
        <v>0</v>
      </c>
      <c r="D113" s="171">
        <f t="shared" ca="1" si="67"/>
        <v>0</v>
      </c>
      <c r="E113" s="172">
        <f ca="1">IFERROR(__xludf.DUMMYFUNCTION("IMPORTRANGE(""https://docs.google.com/spreadsheets/d/1MeEWN-I1oV_STSDYn1IFDPWt_1FKiwhDph83XaGc0o0/edit?usp=sharing"",""งบพรบ!AR113"")"),0)</f>
        <v>0</v>
      </c>
      <c r="F113" s="172">
        <f ca="1">IFERROR(__xludf.DUMMYFUNCTION("IMPORTRANGE(""https://docs.google.com/spreadsheets/d/1MeEWN-I1oV_STSDYn1IFDPWt_1FKiwhDph83XaGc0o0/edit?usp=sharing"",""งบพรบ!AS113"")"),0)</f>
        <v>0</v>
      </c>
      <c r="G113" s="172">
        <f ca="1">IFERROR(__xludf.DUMMYFUNCTION("IMPORTRANGE(""https://docs.google.com/spreadsheets/d/1MeEWN-I1oV_STSDYn1IFDPWt_1FKiwhDph83XaGc0o0/edit?usp=sharing"",""งบพรบ!AT113"")"),0)</f>
        <v>0</v>
      </c>
      <c r="H113" s="172">
        <f ca="1">IFERROR(__xludf.DUMMYFUNCTION("IMPORTRANGE(""https://docs.google.com/spreadsheets/d/1MeEWN-I1oV_STSDYn1IFDPWt_1FKiwhDph83XaGc0o0/edit?usp=sharing"",""งบพรบ!AV113"")"),0)</f>
        <v>0</v>
      </c>
      <c r="I113" s="172">
        <f ca="1">IFERROR(__xludf.DUMMYFUNCTION("IMPORTRANGE(""https://docs.google.com/spreadsheets/d/1MeEWN-I1oV_STSDYn1IFDPWt_1FKiwhDph83XaGc0o0/edit?usp=sharing"",""งบพรบ!AW113"")"),0)</f>
        <v>0</v>
      </c>
      <c r="J113" s="172">
        <f t="shared" ca="1" si="3"/>
        <v>0</v>
      </c>
      <c r="K113" s="179">
        <f t="shared" ca="1" si="4"/>
        <v>0</v>
      </c>
      <c r="L113" s="172">
        <f ca="1">IFERROR(__xludf.DUMMYFUNCTION("IMPORTRANGE(""https://docs.google.com/spreadsheets/d/1MeEWN-I1oV_STSDYn1IFDPWt_1FKiwhDph83XaGc0o0/edit?usp=sharing"",""งบพรบ!AX113"")"),0)</f>
        <v>0</v>
      </c>
      <c r="M113" s="175">
        <f t="shared" ca="1" si="5"/>
        <v>0</v>
      </c>
      <c r="N113" s="175">
        <f t="shared" ca="1" si="6"/>
        <v>0</v>
      </c>
      <c r="O113" s="176">
        <f ca="1">IFERROR(__xludf.DUMMYFUNCTION("IMPORTRANGE(""https://docs.google.com/spreadsheets/d/1MeEWN-I1oV_STSDYn1IFDPWt_1FKiwhDph83XaGc0o0/edit?usp=sharing"",""งบพรบ!AY113"")"),0)</f>
        <v>0</v>
      </c>
      <c r="P113" s="176">
        <f t="shared" ca="1" si="36"/>
        <v>0</v>
      </c>
      <c r="Q113" s="175">
        <f t="shared" ca="1" si="8"/>
        <v>0</v>
      </c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</row>
    <row r="114" spans="1:52" ht="24" hidden="1" customHeight="1" x14ac:dyDescent="0.3">
      <c r="A114" s="195">
        <v>10</v>
      </c>
      <c r="B114" s="194" t="s">
        <v>136</v>
      </c>
      <c r="C114" s="170">
        <f t="shared" ca="1" si="0"/>
        <v>0</v>
      </c>
      <c r="D114" s="171">
        <f t="shared" ca="1" si="67"/>
        <v>0</v>
      </c>
      <c r="E114" s="172">
        <f ca="1">IFERROR(__xludf.DUMMYFUNCTION("IMPORTRANGE(""https://docs.google.com/spreadsheets/d/1MeEWN-I1oV_STSDYn1IFDPWt_1FKiwhDph83XaGc0o0/edit?usp=sharing"",""งบพรบ!AR114"")"),0)</f>
        <v>0</v>
      </c>
      <c r="F114" s="172">
        <f ca="1">IFERROR(__xludf.DUMMYFUNCTION("IMPORTRANGE(""https://docs.google.com/spreadsheets/d/1MeEWN-I1oV_STSDYn1IFDPWt_1FKiwhDph83XaGc0o0/edit?usp=sharing"",""งบพรบ!AS114"")"),0)</f>
        <v>0</v>
      </c>
      <c r="G114" s="172">
        <f ca="1">IFERROR(__xludf.DUMMYFUNCTION("IMPORTRANGE(""https://docs.google.com/spreadsheets/d/1MeEWN-I1oV_STSDYn1IFDPWt_1FKiwhDph83XaGc0o0/edit?usp=sharing"",""งบพรบ!AT114"")"),0)</f>
        <v>0</v>
      </c>
      <c r="H114" s="172">
        <f ca="1">IFERROR(__xludf.DUMMYFUNCTION("IMPORTRANGE(""https://docs.google.com/spreadsheets/d/1MeEWN-I1oV_STSDYn1IFDPWt_1FKiwhDph83XaGc0o0/edit?usp=sharing"",""งบพรบ!AV114"")"),0)</f>
        <v>0</v>
      </c>
      <c r="I114" s="172">
        <f ca="1">IFERROR(__xludf.DUMMYFUNCTION("IMPORTRANGE(""https://docs.google.com/spreadsheets/d/1MeEWN-I1oV_STSDYn1IFDPWt_1FKiwhDph83XaGc0o0/edit?usp=sharing"",""งบพรบ!AW114"")"),0)</f>
        <v>0</v>
      </c>
      <c r="J114" s="172">
        <f t="shared" ca="1" si="3"/>
        <v>0</v>
      </c>
      <c r="K114" s="179">
        <f t="shared" ca="1" si="4"/>
        <v>0</v>
      </c>
      <c r="L114" s="172">
        <f ca="1">IFERROR(__xludf.DUMMYFUNCTION("IMPORTRANGE(""https://docs.google.com/spreadsheets/d/1MeEWN-I1oV_STSDYn1IFDPWt_1FKiwhDph83XaGc0o0/edit?usp=sharing"",""งบพรบ!AX114"")"),0)</f>
        <v>0</v>
      </c>
      <c r="M114" s="175">
        <f t="shared" ca="1" si="5"/>
        <v>0</v>
      </c>
      <c r="N114" s="175">
        <f t="shared" ca="1" si="6"/>
        <v>0</v>
      </c>
      <c r="O114" s="176">
        <f ca="1">IFERROR(__xludf.DUMMYFUNCTION("IMPORTRANGE(""https://docs.google.com/spreadsheets/d/1MeEWN-I1oV_STSDYn1IFDPWt_1FKiwhDph83XaGc0o0/edit?usp=sharing"",""งบพรบ!AY114"")"),0)</f>
        <v>0</v>
      </c>
      <c r="P114" s="176">
        <f t="shared" ca="1" si="36"/>
        <v>0</v>
      </c>
      <c r="Q114" s="175">
        <f t="shared" ca="1" si="8"/>
        <v>0</v>
      </c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</row>
    <row r="115" spans="1:52" ht="24" hidden="1" customHeight="1" x14ac:dyDescent="0.3">
      <c r="A115" s="195">
        <v>11</v>
      </c>
      <c r="B115" s="194" t="s">
        <v>137</v>
      </c>
      <c r="C115" s="170">
        <f t="shared" ca="1" si="0"/>
        <v>0</v>
      </c>
      <c r="D115" s="171">
        <f t="shared" ca="1" si="67"/>
        <v>0</v>
      </c>
      <c r="E115" s="172">
        <f ca="1">IFERROR(__xludf.DUMMYFUNCTION("IMPORTRANGE(""https://docs.google.com/spreadsheets/d/1MeEWN-I1oV_STSDYn1IFDPWt_1FKiwhDph83XaGc0o0/edit?usp=sharing"",""งบพรบ!AR115"")"),0)</f>
        <v>0</v>
      </c>
      <c r="F115" s="172">
        <f ca="1">IFERROR(__xludf.DUMMYFUNCTION("IMPORTRANGE(""https://docs.google.com/spreadsheets/d/1MeEWN-I1oV_STSDYn1IFDPWt_1FKiwhDph83XaGc0o0/edit?usp=sharing"",""งบพรบ!AS115"")"),0)</f>
        <v>0</v>
      </c>
      <c r="G115" s="172">
        <f ca="1">IFERROR(__xludf.DUMMYFUNCTION("IMPORTRANGE(""https://docs.google.com/spreadsheets/d/1MeEWN-I1oV_STSDYn1IFDPWt_1FKiwhDph83XaGc0o0/edit?usp=sharing"",""งบพรบ!AT115"")"),0)</f>
        <v>0</v>
      </c>
      <c r="H115" s="172">
        <f ca="1">IFERROR(__xludf.DUMMYFUNCTION("IMPORTRANGE(""https://docs.google.com/spreadsheets/d/1MeEWN-I1oV_STSDYn1IFDPWt_1FKiwhDph83XaGc0o0/edit?usp=sharing"",""งบพรบ!AV115"")"),0)</f>
        <v>0</v>
      </c>
      <c r="I115" s="172">
        <f ca="1">IFERROR(__xludf.DUMMYFUNCTION("IMPORTRANGE(""https://docs.google.com/spreadsheets/d/1MeEWN-I1oV_STSDYn1IFDPWt_1FKiwhDph83XaGc0o0/edit?usp=sharing"",""งบพรบ!AW115"")"),0)</f>
        <v>0</v>
      </c>
      <c r="J115" s="172">
        <f t="shared" ca="1" si="3"/>
        <v>0</v>
      </c>
      <c r="K115" s="179">
        <f t="shared" ca="1" si="4"/>
        <v>0</v>
      </c>
      <c r="L115" s="172">
        <f ca="1">IFERROR(__xludf.DUMMYFUNCTION("IMPORTRANGE(""https://docs.google.com/spreadsheets/d/1MeEWN-I1oV_STSDYn1IFDPWt_1FKiwhDph83XaGc0o0/edit?usp=sharing"",""งบพรบ!AX115"")"),0)</f>
        <v>0</v>
      </c>
      <c r="M115" s="175">
        <f t="shared" ca="1" si="5"/>
        <v>0</v>
      </c>
      <c r="N115" s="175">
        <f t="shared" ca="1" si="6"/>
        <v>0</v>
      </c>
      <c r="O115" s="176">
        <f ca="1">IFERROR(__xludf.DUMMYFUNCTION("IMPORTRANGE(""https://docs.google.com/spreadsheets/d/1MeEWN-I1oV_STSDYn1IFDPWt_1FKiwhDph83XaGc0o0/edit?usp=sharing"",""งบพรบ!AY115"")"),0)</f>
        <v>0</v>
      </c>
      <c r="P115" s="176">
        <f t="shared" ca="1" si="36"/>
        <v>0</v>
      </c>
      <c r="Q115" s="175">
        <f t="shared" ca="1" si="8"/>
        <v>0</v>
      </c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</row>
    <row r="116" spans="1:52" ht="24" hidden="1" customHeight="1" x14ac:dyDescent="0.3">
      <c r="A116" s="195">
        <v>12</v>
      </c>
      <c r="B116" s="194" t="s">
        <v>138</v>
      </c>
      <c r="C116" s="170">
        <f t="shared" ca="1" si="0"/>
        <v>0</v>
      </c>
      <c r="D116" s="171">
        <f t="shared" ca="1" si="67"/>
        <v>0</v>
      </c>
      <c r="E116" s="172">
        <f ca="1">IFERROR(__xludf.DUMMYFUNCTION("IMPORTRANGE(""https://docs.google.com/spreadsheets/d/1MeEWN-I1oV_STSDYn1IFDPWt_1FKiwhDph83XaGc0o0/edit?usp=sharing"",""งบพรบ!AR116"")"),0)</f>
        <v>0</v>
      </c>
      <c r="F116" s="172">
        <f ca="1">IFERROR(__xludf.DUMMYFUNCTION("IMPORTRANGE(""https://docs.google.com/spreadsheets/d/1MeEWN-I1oV_STSDYn1IFDPWt_1FKiwhDph83XaGc0o0/edit?usp=sharing"",""งบพรบ!AS116"")"),0)</f>
        <v>0</v>
      </c>
      <c r="G116" s="172">
        <f ca="1">IFERROR(__xludf.DUMMYFUNCTION("IMPORTRANGE(""https://docs.google.com/spreadsheets/d/1MeEWN-I1oV_STSDYn1IFDPWt_1FKiwhDph83XaGc0o0/edit?usp=sharing"",""งบพรบ!AT116"")"),0)</f>
        <v>0</v>
      </c>
      <c r="H116" s="172">
        <f ca="1">IFERROR(__xludf.DUMMYFUNCTION("IMPORTRANGE(""https://docs.google.com/spreadsheets/d/1MeEWN-I1oV_STSDYn1IFDPWt_1FKiwhDph83XaGc0o0/edit?usp=sharing"",""งบพรบ!AV116"")"),0)</f>
        <v>0</v>
      </c>
      <c r="I116" s="172">
        <f ca="1">IFERROR(__xludf.DUMMYFUNCTION("IMPORTRANGE(""https://docs.google.com/spreadsheets/d/1MeEWN-I1oV_STSDYn1IFDPWt_1FKiwhDph83XaGc0o0/edit?usp=sharing"",""งบพรบ!AW116"")"),0)</f>
        <v>0</v>
      </c>
      <c r="J116" s="172">
        <f t="shared" ca="1" si="3"/>
        <v>0</v>
      </c>
      <c r="K116" s="179">
        <f t="shared" ca="1" si="4"/>
        <v>0</v>
      </c>
      <c r="L116" s="172">
        <f ca="1">IFERROR(__xludf.DUMMYFUNCTION("IMPORTRANGE(""https://docs.google.com/spreadsheets/d/1MeEWN-I1oV_STSDYn1IFDPWt_1FKiwhDph83XaGc0o0/edit?usp=sharing"",""งบพรบ!AX116"")"),0)</f>
        <v>0</v>
      </c>
      <c r="M116" s="175">
        <f t="shared" ca="1" si="5"/>
        <v>0</v>
      </c>
      <c r="N116" s="175">
        <f t="shared" ca="1" si="6"/>
        <v>0</v>
      </c>
      <c r="O116" s="176">
        <f ca="1">IFERROR(__xludf.DUMMYFUNCTION("IMPORTRANGE(""https://docs.google.com/spreadsheets/d/1MeEWN-I1oV_STSDYn1IFDPWt_1FKiwhDph83XaGc0o0/edit?usp=sharing"",""งบพรบ!AY116"")"),0)</f>
        <v>0</v>
      </c>
      <c r="P116" s="176">
        <f t="shared" ca="1" si="36"/>
        <v>0</v>
      </c>
      <c r="Q116" s="175">
        <f t="shared" ca="1" si="8"/>
        <v>0</v>
      </c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</row>
    <row r="117" spans="1:52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7"/>
      <c r="N117" s="197"/>
      <c r="O117" s="198"/>
      <c r="P117" s="198"/>
      <c r="Q117" s="198"/>
      <c r="R117" s="196"/>
      <c r="S117" s="196"/>
      <c r="T117" s="196"/>
      <c r="U117" s="196"/>
      <c r="V117" s="196"/>
      <c r="W117" s="196"/>
      <c r="X117" s="197"/>
      <c r="Y117" s="197"/>
      <c r="Z117" s="197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7"/>
      <c r="AR117" s="196"/>
      <c r="AS117" s="196"/>
      <c r="AT117" s="196"/>
      <c r="AU117" s="196"/>
      <c r="AV117" s="196"/>
      <c r="AW117" s="197"/>
      <c r="AX117" s="197"/>
      <c r="AY117" s="197"/>
      <c r="AZ117" s="197"/>
    </row>
    <row r="118" spans="1:52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7"/>
      <c r="N118" s="197"/>
      <c r="O118" s="198"/>
      <c r="P118" s="198"/>
      <c r="Q118" s="198"/>
      <c r="R118" s="196"/>
      <c r="S118" s="196"/>
      <c r="T118" s="196"/>
      <c r="U118" s="196"/>
      <c r="V118" s="196"/>
      <c r="W118" s="196"/>
      <c r="X118" s="197"/>
      <c r="Y118" s="197"/>
      <c r="Z118" s="197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7"/>
      <c r="AR118" s="196"/>
      <c r="AS118" s="196"/>
      <c r="AT118" s="196"/>
      <c r="AU118" s="196"/>
      <c r="AV118" s="196"/>
      <c r="AW118" s="197"/>
      <c r="AX118" s="197"/>
      <c r="AY118" s="197"/>
      <c r="AZ118" s="197"/>
    </row>
    <row r="119" spans="1:52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7"/>
      <c r="N119" s="197"/>
      <c r="O119" s="198"/>
      <c r="P119" s="198"/>
      <c r="Q119" s="198"/>
      <c r="R119" s="196"/>
      <c r="S119" s="196"/>
      <c r="T119" s="196"/>
      <c r="U119" s="196"/>
      <c r="V119" s="196"/>
      <c r="W119" s="196"/>
      <c r="X119" s="197"/>
      <c r="Y119" s="197"/>
      <c r="Z119" s="197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7"/>
      <c r="AR119" s="196"/>
      <c r="AS119" s="196"/>
      <c r="AT119" s="196"/>
      <c r="AU119" s="196"/>
      <c r="AV119" s="196"/>
      <c r="AW119" s="197"/>
      <c r="AX119" s="197"/>
      <c r="AY119" s="197"/>
      <c r="AZ119" s="197"/>
    </row>
    <row r="120" spans="1:52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7"/>
      <c r="N120" s="197"/>
      <c r="O120" s="198"/>
      <c r="P120" s="198"/>
      <c r="Q120" s="198"/>
      <c r="R120" s="196"/>
      <c r="S120" s="196"/>
      <c r="T120" s="196"/>
      <c r="U120" s="196"/>
      <c r="V120" s="196"/>
      <c r="W120" s="196"/>
      <c r="X120" s="197"/>
      <c r="Y120" s="197"/>
      <c r="Z120" s="197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7"/>
      <c r="AR120" s="196"/>
      <c r="AS120" s="196"/>
      <c r="AT120" s="196"/>
      <c r="AU120" s="196"/>
      <c r="AV120" s="196"/>
      <c r="AW120" s="197"/>
      <c r="AX120" s="197"/>
      <c r="AY120" s="197"/>
      <c r="AZ120" s="197"/>
    </row>
    <row r="121" spans="1:52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7"/>
      <c r="N121" s="197"/>
      <c r="O121" s="198"/>
      <c r="P121" s="198"/>
      <c r="Q121" s="198"/>
      <c r="R121" s="196"/>
      <c r="S121" s="196"/>
      <c r="T121" s="196"/>
      <c r="U121" s="196"/>
      <c r="V121" s="196"/>
      <c r="W121" s="196"/>
      <c r="X121" s="197"/>
      <c r="Y121" s="197"/>
      <c r="Z121" s="197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7"/>
      <c r="AR121" s="196"/>
      <c r="AS121" s="196"/>
      <c r="AT121" s="196"/>
      <c r="AU121" s="196"/>
      <c r="AV121" s="196"/>
      <c r="AW121" s="197"/>
      <c r="AX121" s="197"/>
      <c r="AY121" s="197"/>
      <c r="AZ121" s="197"/>
    </row>
    <row r="122" spans="1:52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7"/>
      <c r="N122" s="197"/>
      <c r="O122" s="198"/>
      <c r="P122" s="198"/>
      <c r="Q122" s="198"/>
      <c r="R122" s="196"/>
      <c r="S122" s="196"/>
      <c r="T122" s="196"/>
      <c r="U122" s="196"/>
      <c r="V122" s="196"/>
      <c r="W122" s="196"/>
      <c r="X122" s="197"/>
      <c r="Y122" s="197"/>
      <c r="Z122" s="197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7"/>
      <c r="AR122" s="196"/>
      <c r="AS122" s="196"/>
      <c r="AT122" s="196"/>
      <c r="AU122" s="196"/>
      <c r="AV122" s="196"/>
      <c r="AW122" s="197"/>
      <c r="AX122" s="197"/>
      <c r="AY122" s="197"/>
      <c r="AZ122" s="197"/>
    </row>
    <row r="123" spans="1:52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7"/>
      <c r="N123" s="197"/>
      <c r="O123" s="198"/>
      <c r="P123" s="198"/>
      <c r="Q123" s="198"/>
      <c r="R123" s="196"/>
      <c r="S123" s="196"/>
      <c r="T123" s="196"/>
      <c r="U123" s="196"/>
      <c r="V123" s="196"/>
      <c r="W123" s="196"/>
      <c r="X123" s="197"/>
      <c r="Y123" s="197"/>
      <c r="Z123" s="197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7"/>
      <c r="AR123" s="196"/>
      <c r="AS123" s="196"/>
      <c r="AT123" s="196"/>
      <c r="AU123" s="196"/>
      <c r="AV123" s="196"/>
      <c r="AW123" s="197"/>
      <c r="AX123" s="197"/>
      <c r="AY123" s="197"/>
      <c r="AZ123" s="197"/>
    </row>
    <row r="124" spans="1:52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7"/>
      <c r="N124" s="197"/>
      <c r="O124" s="198"/>
      <c r="P124" s="198"/>
      <c r="Q124" s="198"/>
      <c r="R124" s="196"/>
      <c r="S124" s="196"/>
      <c r="T124" s="196"/>
      <c r="U124" s="196"/>
      <c r="V124" s="196"/>
      <c r="W124" s="196"/>
      <c r="X124" s="197"/>
      <c r="Y124" s="197"/>
      <c r="Z124" s="197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7"/>
      <c r="AR124" s="196"/>
      <c r="AS124" s="196"/>
      <c r="AT124" s="196"/>
      <c r="AU124" s="196"/>
      <c r="AV124" s="196"/>
      <c r="AW124" s="197"/>
      <c r="AX124" s="197"/>
      <c r="AY124" s="197"/>
      <c r="AZ124" s="197"/>
    </row>
    <row r="125" spans="1:52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7"/>
      <c r="N125" s="197"/>
      <c r="O125" s="198"/>
      <c r="P125" s="198"/>
      <c r="Q125" s="198"/>
      <c r="R125" s="196"/>
      <c r="S125" s="196"/>
      <c r="T125" s="196"/>
      <c r="U125" s="196"/>
      <c r="V125" s="196"/>
      <c r="W125" s="196"/>
      <c r="X125" s="197"/>
      <c r="Y125" s="197"/>
      <c r="Z125" s="197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7"/>
      <c r="AR125" s="196"/>
      <c r="AS125" s="196"/>
      <c r="AT125" s="196"/>
      <c r="AU125" s="196"/>
      <c r="AV125" s="196"/>
      <c r="AW125" s="197"/>
      <c r="AX125" s="197"/>
      <c r="AY125" s="197"/>
      <c r="AZ125" s="197"/>
    </row>
    <row r="126" spans="1:52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7"/>
      <c r="N126" s="197"/>
      <c r="O126" s="198"/>
      <c r="P126" s="198"/>
      <c r="Q126" s="198"/>
      <c r="R126" s="196"/>
      <c r="S126" s="196"/>
      <c r="T126" s="196"/>
      <c r="U126" s="196"/>
      <c r="V126" s="196"/>
      <c r="W126" s="196"/>
      <c r="X126" s="197"/>
      <c r="Y126" s="197"/>
      <c r="Z126" s="197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7"/>
      <c r="AR126" s="196"/>
      <c r="AS126" s="196"/>
      <c r="AT126" s="196"/>
      <c r="AU126" s="196"/>
      <c r="AV126" s="196"/>
      <c r="AW126" s="197"/>
      <c r="AX126" s="197"/>
      <c r="AY126" s="197"/>
      <c r="AZ126" s="197"/>
    </row>
    <row r="127" spans="1:52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7"/>
      <c r="N127" s="197"/>
      <c r="O127" s="198"/>
      <c r="P127" s="198"/>
      <c r="Q127" s="198"/>
      <c r="R127" s="196"/>
      <c r="S127" s="196"/>
      <c r="T127" s="196"/>
      <c r="U127" s="196"/>
      <c r="V127" s="196"/>
      <c r="W127" s="196"/>
      <c r="X127" s="197"/>
      <c r="Y127" s="197"/>
      <c r="Z127" s="197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7"/>
      <c r="AR127" s="196"/>
      <c r="AS127" s="196"/>
      <c r="AT127" s="196"/>
      <c r="AU127" s="196"/>
      <c r="AV127" s="196"/>
      <c r="AW127" s="197"/>
      <c r="AX127" s="197"/>
      <c r="AY127" s="197"/>
      <c r="AZ127" s="197"/>
    </row>
    <row r="128" spans="1:52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7"/>
      <c r="N128" s="197"/>
      <c r="O128" s="198"/>
      <c r="P128" s="198"/>
      <c r="Q128" s="198"/>
      <c r="R128" s="196"/>
      <c r="S128" s="196"/>
      <c r="T128" s="196"/>
      <c r="U128" s="196"/>
      <c r="V128" s="196"/>
      <c r="W128" s="196"/>
      <c r="X128" s="197"/>
      <c r="Y128" s="197"/>
      <c r="Z128" s="197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7"/>
      <c r="AR128" s="196"/>
      <c r="AS128" s="196"/>
      <c r="AT128" s="196"/>
      <c r="AU128" s="196"/>
      <c r="AV128" s="196"/>
      <c r="AW128" s="197"/>
      <c r="AX128" s="197"/>
      <c r="AY128" s="197"/>
      <c r="AZ128" s="197"/>
    </row>
    <row r="129" spans="1:52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7"/>
      <c r="N129" s="197"/>
      <c r="O129" s="198"/>
      <c r="P129" s="198"/>
      <c r="Q129" s="198"/>
      <c r="R129" s="196"/>
      <c r="S129" s="196"/>
      <c r="T129" s="196"/>
      <c r="U129" s="196"/>
      <c r="V129" s="196"/>
      <c r="W129" s="196"/>
      <c r="X129" s="197"/>
      <c r="Y129" s="197"/>
      <c r="Z129" s="197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7"/>
      <c r="AR129" s="196"/>
      <c r="AS129" s="196"/>
      <c r="AT129" s="196"/>
      <c r="AU129" s="196"/>
      <c r="AV129" s="196"/>
      <c r="AW129" s="197"/>
      <c r="AX129" s="197"/>
      <c r="AY129" s="197"/>
      <c r="AZ129" s="197"/>
    </row>
    <row r="130" spans="1:52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7"/>
      <c r="N130" s="197"/>
      <c r="O130" s="198"/>
      <c r="P130" s="198"/>
      <c r="Q130" s="198"/>
      <c r="R130" s="196"/>
      <c r="S130" s="196"/>
      <c r="T130" s="196"/>
      <c r="U130" s="196"/>
      <c r="V130" s="196"/>
      <c r="W130" s="196"/>
      <c r="X130" s="197"/>
      <c r="Y130" s="197"/>
      <c r="Z130" s="197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7"/>
      <c r="AR130" s="196"/>
      <c r="AS130" s="196"/>
      <c r="AT130" s="196"/>
      <c r="AU130" s="196"/>
      <c r="AV130" s="196"/>
      <c r="AW130" s="197"/>
      <c r="AX130" s="197"/>
      <c r="AY130" s="197"/>
      <c r="AZ130" s="197"/>
    </row>
    <row r="131" spans="1:52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7"/>
      <c r="N131" s="197"/>
      <c r="O131" s="198"/>
      <c r="P131" s="198"/>
      <c r="Q131" s="198"/>
      <c r="R131" s="196"/>
      <c r="S131" s="196"/>
      <c r="T131" s="196"/>
      <c r="U131" s="196"/>
      <c r="V131" s="196"/>
      <c r="W131" s="196"/>
      <c r="X131" s="197"/>
      <c r="Y131" s="197"/>
      <c r="Z131" s="197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7"/>
      <c r="AR131" s="196"/>
      <c r="AS131" s="196"/>
      <c r="AT131" s="196"/>
      <c r="AU131" s="196"/>
      <c r="AV131" s="196"/>
      <c r="AW131" s="197"/>
      <c r="AX131" s="197"/>
      <c r="AY131" s="197"/>
      <c r="AZ131" s="197"/>
    </row>
    <row r="132" spans="1:52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7"/>
      <c r="N132" s="197"/>
      <c r="O132" s="198"/>
      <c r="P132" s="198"/>
      <c r="Q132" s="198"/>
      <c r="R132" s="196"/>
      <c r="S132" s="196"/>
      <c r="T132" s="196"/>
      <c r="U132" s="196"/>
      <c r="V132" s="196"/>
      <c r="W132" s="196"/>
      <c r="X132" s="197"/>
      <c r="Y132" s="197"/>
      <c r="Z132" s="197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7"/>
      <c r="AR132" s="196"/>
      <c r="AS132" s="196"/>
      <c r="AT132" s="196"/>
      <c r="AU132" s="196"/>
      <c r="AV132" s="196"/>
      <c r="AW132" s="197"/>
      <c r="AX132" s="197"/>
      <c r="AY132" s="197"/>
      <c r="AZ132" s="197"/>
    </row>
    <row r="133" spans="1:52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7"/>
      <c r="N133" s="197"/>
      <c r="O133" s="198"/>
      <c r="P133" s="198"/>
      <c r="Q133" s="198"/>
      <c r="R133" s="196"/>
      <c r="S133" s="196"/>
      <c r="T133" s="196"/>
      <c r="U133" s="196"/>
      <c r="V133" s="196"/>
      <c r="W133" s="196"/>
      <c r="X133" s="197"/>
      <c r="Y133" s="197"/>
      <c r="Z133" s="197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7"/>
      <c r="AR133" s="196"/>
      <c r="AS133" s="196"/>
      <c r="AT133" s="196"/>
      <c r="AU133" s="196"/>
      <c r="AV133" s="196"/>
      <c r="AW133" s="197"/>
      <c r="AX133" s="197"/>
      <c r="AY133" s="197"/>
      <c r="AZ133" s="197"/>
    </row>
    <row r="134" spans="1:52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7"/>
      <c r="N134" s="197"/>
      <c r="O134" s="198"/>
      <c r="P134" s="198"/>
      <c r="Q134" s="198"/>
      <c r="R134" s="196"/>
      <c r="S134" s="196"/>
      <c r="T134" s="196"/>
      <c r="U134" s="196"/>
      <c r="V134" s="196"/>
      <c r="W134" s="196"/>
      <c r="X134" s="197"/>
      <c r="Y134" s="197"/>
      <c r="Z134" s="197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196"/>
      <c r="AQ134" s="197"/>
      <c r="AR134" s="196"/>
      <c r="AS134" s="196"/>
      <c r="AT134" s="196"/>
      <c r="AU134" s="196"/>
      <c r="AV134" s="196"/>
      <c r="AW134" s="197"/>
      <c r="AX134" s="197"/>
      <c r="AY134" s="197"/>
      <c r="AZ134" s="197"/>
    </row>
    <row r="135" spans="1:52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7"/>
      <c r="N135" s="197"/>
      <c r="O135" s="198"/>
      <c r="P135" s="198"/>
      <c r="Q135" s="198"/>
      <c r="R135" s="196"/>
      <c r="S135" s="196"/>
      <c r="T135" s="196"/>
      <c r="U135" s="196"/>
      <c r="V135" s="196"/>
      <c r="W135" s="196"/>
      <c r="X135" s="197"/>
      <c r="Y135" s="197"/>
      <c r="Z135" s="197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196"/>
      <c r="AQ135" s="197"/>
      <c r="AR135" s="196"/>
      <c r="AS135" s="196"/>
      <c r="AT135" s="196"/>
      <c r="AU135" s="196"/>
      <c r="AV135" s="196"/>
      <c r="AW135" s="197"/>
      <c r="AX135" s="197"/>
      <c r="AY135" s="197"/>
      <c r="AZ135" s="197"/>
    </row>
    <row r="136" spans="1:52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7"/>
      <c r="N136" s="197"/>
      <c r="O136" s="198"/>
      <c r="P136" s="198"/>
      <c r="Q136" s="198"/>
      <c r="R136" s="196"/>
      <c r="S136" s="196"/>
      <c r="T136" s="196"/>
      <c r="U136" s="196"/>
      <c r="V136" s="196"/>
      <c r="W136" s="196"/>
      <c r="X136" s="197"/>
      <c r="Y136" s="197"/>
      <c r="Z136" s="197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7"/>
      <c r="AR136" s="196"/>
      <c r="AS136" s="196"/>
      <c r="AT136" s="196"/>
      <c r="AU136" s="196"/>
      <c r="AV136" s="196"/>
      <c r="AW136" s="197"/>
      <c r="AX136" s="197"/>
      <c r="AY136" s="197"/>
      <c r="AZ136" s="197"/>
    </row>
    <row r="137" spans="1:52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7"/>
      <c r="N137" s="197"/>
      <c r="O137" s="198"/>
      <c r="P137" s="198"/>
      <c r="Q137" s="198"/>
      <c r="R137" s="196"/>
      <c r="S137" s="196"/>
      <c r="T137" s="196"/>
      <c r="U137" s="196"/>
      <c r="V137" s="196"/>
      <c r="W137" s="196"/>
      <c r="X137" s="197"/>
      <c r="Y137" s="197"/>
      <c r="Z137" s="197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7"/>
      <c r="AR137" s="196"/>
      <c r="AS137" s="196"/>
      <c r="AT137" s="196"/>
      <c r="AU137" s="196"/>
      <c r="AV137" s="196"/>
      <c r="AW137" s="197"/>
      <c r="AX137" s="197"/>
      <c r="AY137" s="197"/>
      <c r="AZ137" s="197"/>
    </row>
    <row r="138" spans="1:52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7"/>
      <c r="N138" s="197"/>
      <c r="O138" s="198"/>
      <c r="P138" s="198"/>
      <c r="Q138" s="198"/>
      <c r="R138" s="196"/>
      <c r="S138" s="196"/>
      <c r="T138" s="196"/>
      <c r="U138" s="196"/>
      <c r="V138" s="196"/>
      <c r="W138" s="196"/>
      <c r="X138" s="197"/>
      <c r="Y138" s="197"/>
      <c r="Z138" s="197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7"/>
      <c r="AR138" s="196"/>
      <c r="AS138" s="196"/>
      <c r="AT138" s="196"/>
      <c r="AU138" s="196"/>
      <c r="AV138" s="196"/>
      <c r="AW138" s="197"/>
      <c r="AX138" s="197"/>
      <c r="AY138" s="197"/>
      <c r="AZ138" s="197"/>
    </row>
    <row r="139" spans="1:52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7"/>
      <c r="N139" s="197"/>
      <c r="O139" s="198"/>
      <c r="P139" s="198"/>
      <c r="Q139" s="198"/>
      <c r="R139" s="196"/>
      <c r="S139" s="196"/>
      <c r="T139" s="196"/>
      <c r="U139" s="196"/>
      <c r="V139" s="196"/>
      <c r="W139" s="196"/>
      <c r="X139" s="197"/>
      <c r="Y139" s="197"/>
      <c r="Z139" s="197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7"/>
      <c r="AR139" s="196"/>
      <c r="AS139" s="196"/>
      <c r="AT139" s="196"/>
      <c r="AU139" s="196"/>
      <c r="AV139" s="196"/>
      <c r="AW139" s="197"/>
      <c r="AX139" s="197"/>
      <c r="AY139" s="197"/>
      <c r="AZ139" s="197"/>
    </row>
    <row r="140" spans="1:52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7"/>
      <c r="N140" s="197"/>
      <c r="O140" s="198"/>
      <c r="P140" s="198"/>
      <c r="Q140" s="198"/>
      <c r="R140" s="196"/>
      <c r="S140" s="196"/>
      <c r="T140" s="196"/>
      <c r="U140" s="196"/>
      <c r="V140" s="196"/>
      <c r="W140" s="196"/>
      <c r="X140" s="197"/>
      <c r="Y140" s="197"/>
      <c r="Z140" s="197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7"/>
      <c r="AR140" s="196"/>
      <c r="AS140" s="196"/>
      <c r="AT140" s="196"/>
      <c r="AU140" s="196"/>
      <c r="AV140" s="196"/>
      <c r="AW140" s="197"/>
      <c r="AX140" s="197"/>
      <c r="AY140" s="197"/>
      <c r="AZ140" s="197"/>
    </row>
    <row r="141" spans="1:52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7"/>
      <c r="N141" s="197"/>
      <c r="O141" s="198"/>
      <c r="P141" s="198"/>
      <c r="Q141" s="198"/>
      <c r="R141" s="196"/>
      <c r="S141" s="196"/>
      <c r="T141" s="196"/>
      <c r="U141" s="196"/>
      <c r="V141" s="196"/>
      <c r="W141" s="196"/>
      <c r="X141" s="197"/>
      <c r="Y141" s="197"/>
      <c r="Z141" s="197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7"/>
      <c r="AR141" s="196"/>
      <c r="AS141" s="196"/>
      <c r="AT141" s="196"/>
      <c r="AU141" s="196"/>
      <c r="AV141" s="196"/>
      <c r="AW141" s="197"/>
      <c r="AX141" s="197"/>
      <c r="AY141" s="197"/>
      <c r="AZ141" s="197"/>
    </row>
    <row r="142" spans="1:52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7"/>
      <c r="N142" s="197"/>
      <c r="O142" s="198"/>
      <c r="P142" s="198"/>
      <c r="Q142" s="198"/>
      <c r="R142" s="196"/>
      <c r="S142" s="196"/>
      <c r="T142" s="196"/>
      <c r="U142" s="196"/>
      <c r="V142" s="196"/>
      <c r="W142" s="196"/>
      <c r="X142" s="197"/>
      <c r="Y142" s="197"/>
      <c r="Z142" s="197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7"/>
      <c r="AR142" s="196"/>
      <c r="AS142" s="196"/>
      <c r="AT142" s="196"/>
      <c r="AU142" s="196"/>
      <c r="AV142" s="196"/>
      <c r="AW142" s="197"/>
      <c r="AX142" s="197"/>
      <c r="AY142" s="197"/>
      <c r="AZ142" s="197"/>
    </row>
    <row r="143" spans="1:52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7"/>
      <c r="N143" s="197"/>
      <c r="O143" s="198"/>
      <c r="P143" s="198"/>
      <c r="Q143" s="198"/>
      <c r="R143" s="196"/>
      <c r="S143" s="196"/>
      <c r="T143" s="196"/>
      <c r="U143" s="196"/>
      <c r="V143" s="196"/>
      <c r="W143" s="196"/>
      <c r="X143" s="197"/>
      <c r="Y143" s="197"/>
      <c r="Z143" s="197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7"/>
      <c r="AR143" s="196"/>
      <c r="AS143" s="196"/>
      <c r="AT143" s="196"/>
      <c r="AU143" s="196"/>
      <c r="AV143" s="196"/>
      <c r="AW143" s="197"/>
      <c r="AX143" s="197"/>
      <c r="AY143" s="197"/>
      <c r="AZ143" s="197"/>
    </row>
    <row r="144" spans="1:52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7"/>
      <c r="N144" s="197"/>
      <c r="O144" s="198"/>
      <c r="P144" s="198"/>
      <c r="Q144" s="198"/>
      <c r="R144" s="196"/>
      <c r="S144" s="196"/>
      <c r="T144" s="196"/>
      <c r="U144" s="196"/>
      <c r="V144" s="196"/>
      <c r="W144" s="196"/>
      <c r="X144" s="197"/>
      <c r="Y144" s="197"/>
      <c r="Z144" s="197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7"/>
      <c r="AR144" s="196"/>
      <c r="AS144" s="196"/>
      <c r="AT144" s="196"/>
      <c r="AU144" s="196"/>
      <c r="AV144" s="196"/>
      <c r="AW144" s="197"/>
      <c r="AX144" s="197"/>
      <c r="AY144" s="197"/>
      <c r="AZ144" s="197"/>
    </row>
    <row r="145" spans="1:52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7"/>
      <c r="N145" s="197"/>
      <c r="O145" s="198"/>
      <c r="P145" s="198"/>
      <c r="Q145" s="198"/>
      <c r="R145" s="196"/>
      <c r="S145" s="196"/>
      <c r="T145" s="196"/>
      <c r="U145" s="196"/>
      <c r="V145" s="196"/>
      <c r="W145" s="196"/>
      <c r="X145" s="197"/>
      <c r="Y145" s="197"/>
      <c r="Z145" s="197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7"/>
      <c r="AR145" s="196"/>
      <c r="AS145" s="196"/>
      <c r="AT145" s="196"/>
      <c r="AU145" s="196"/>
      <c r="AV145" s="196"/>
      <c r="AW145" s="197"/>
      <c r="AX145" s="197"/>
      <c r="AY145" s="197"/>
      <c r="AZ145" s="197"/>
    </row>
    <row r="146" spans="1:52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7"/>
      <c r="N146" s="197"/>
      <c r="O146" s="198"/>
      <c r="P146" s="198"/>
      <c r="Q146" s="198"/>
      <c r="R146" s="196"/>
      <c r="S146" s="196"/>
      <c r="T146" s="196"/>
      <c r="U146" s="196"/>
      <c r="V146" s="196"/>
      <c r="W146" s="196"/>
      <c r="X146" s="197"/>
      <c r="Y146" s="197"/>
      <c r="Z146" s="197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7"/>
      <c r="AR146" s="196"/>
      <c r="AS146" s="196"/>
      <c r="AT146" s="196"/>
      <c r="AU146" s="196"/>
      <c r="AV146" s="196"/>
      <c r="AW146" s="197"/>
      <c r="AX146" s="197"/>
      <c r="AY146" s="197"/>
      <c r="AZ146" s="197"/>
    </row>
    <row r="147" spans="1:52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7"/>
      <c r="N147" s="197"/>
      <c r="O147" s="198"/>
      <c r="P147" s="198"/>
      <c r="Q147" s="198"/>
      <c r="R147" s="196"/>
      <c r="S147" s="196"/>
      <c r="T147" s="196"/>
      <c r="U147" s="196"/>
      <c r="V147" s="196"/>
      <c r="W147" s="196"/>
      <c r="X147" s="197"/>
      <c r="Y147" s="197"/>
      <c r="Z147" s="197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7"/>
      <c r="AR147" s="196"/>
      <c r="AS147" s="196"/>
      <c r="AT147" s="196"/>
      <c r="AU147" s="196"/>
      <c r="AV147" s="196"/>
      <c r="AW147" s="197"/>
      <c r="AX147" s="197"/>
      <c r="AY147" s="197"/>
      <c r="AZ147" s="197"/>
    </row>
    <row r="148" spans="1:52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7"/>
      <c r="N148" s="197"/>
      <c r="O148" s="198"/>
      <c r="P148" s="198"/>
      <c r="Q148" s="198"/>
      <c r="R148" s="196"/>
      <c r="S148" s="196"/>
      <c r="T148" s="196"/>
      <c r="U148" s="196"/>
      <c r="V148" s="196"/>
      <c r="W148" s="196"/>
      <c r="X148" s="197"/>
      <c r="Y148" s="197"/>
      <c r="Z148" s="197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7"/>
      <c r="AR148" s="196"/>
      <c r="AS148" s="196"/>
      <c r="AT148" s="196"/>
      <c r="AU148" s="196"/>
      <c r="AV148" s="196"/>
      <c r="AW148" s="197"/>
      <c r="AX148" s="197"/>
      <c r="AY148" s="197"/>
      <c r="AZ148" s="197"/>
    </row>
    <row r="149" spans="1:52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7"/>
      <c r="N149" s="197"/>
      <c r="O149" s="198"/>
      <c r="P149" s="198"/>
      <c r="Q149" s="198"/>
      <c r="R149" s="196"/>
      <c r="S149" s="196"/>
      <c r="T149" s="196"/>
      <c r="U149" s="196"/>
      <c r="V149" s="196"/>
      <c r="W149" s="196"/>
      <c r="X149" s="197"/>
      <c r="Y149" s="197"/>
      <c r="Z149" s="197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7"/>
      <c r="AR149" s="196"/>
      <c r="AS149" s="196"/>
      <c r="AT149" s="196"/>
      <c r="AU149" s="196"/>
      <c r="AV149" s="196"/>
      <c r="AW149" s="197"/>
      <c r="AX149" s="197"/>
      <c r="AY149" s="197"/>
      <c r="AZ149" s="197"/>
    </row>
    <row r="150" spans="1:52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7"/>
      <c r="N150" s="197"/>
      <c r="O150" s="198"/>
      <c r="P150" s="198"/>
      <c r="Q150" s="198"/>
      <c r="R150" s="196"/>
      <c r="S150" s="196"/>
      <c r="T150" s="196"/>
      <c r="U150" s="196"/>
      <c r="V150" s="196"/>
      <c r="W150" s="196"/>
      <c r="X150" s="197"/>
      <c r="Y150" s="197"/>
      <c r="Z150" s="197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197"/>
      <c r="AR150" s="196"/>
      <c r="AS150" s="196"/>
      <c r="AT150" s="196"/>
      <c r="AU150" s="196"/>
      <c r="AV150" s="196"/>
      <c r="AW150" s="197"/>
      <c r="AX150" s="197"/>
      <c r="AY150" s="197"/>
      <c r="AZ150" s="197"/>
    </row>
    <row r="151" spans="1:52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7"/>
      <c r="N151" s="197"/>
      <c r="O151" s="198"/>
      <c r="P151" s="198"/>
      <c r="Q151" s="198"/>
      <c r="R151" s="196"/>
      <c r="S151" s="196"/>
      <c r="T151" s="196"/>
      <c r="U151" s="196"/>
      <c r="V151" s="196"/>
      <c r="W151" s="196"/>
      <c r="X151" s="197"/>
      <c r="Y151" s="197"/>
      <c r="Z151" s="197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196"/>
      <c r="AQ151" s="197"/>
      <c r="AR151" s="196"/>
      <c r="AS151" s="196"/>
      <c r="AT151" s="196"/>
      <c r="AU151" s="196"/>
      <c r="AV151" s="196"/>
      <c r="AW151" s="197"/>
      <c r="AX151" s="197"/>
      <c r="AY151" s="197"/>
      <c r="AZ151" s="197"/>
    </row>
    <row r="152" spans="1:52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7"/>
      <c r="N152" s="197"/>
      <c r="O152" s="198"/>
      <c r="P152" s="198"/>
      <c r="Q152" s="198"/>
      <c r="R152" s="196"/>
      <c r="S152" s="196"/>
      <c r="T152" s="196"/>
      <c r="U152" s="196"/>
      <c r="V152" s="196"/>
      <c r="W152" s="196"/>
      <c r="X152" s="197"/>
      <c r="Y152" s="197"/>
      <c r="Z152" s="197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7"/>
      <c r="AR152" s="196"/>
      <c r="AS152" s="196"/>
      <c r="AT152" s="196"/>
      <c r="AU152" s="196"/>
      <c r="AV152" s="196"/>
      <c r="AW152" s="197"/>
      <c r="AX152" s="197"/>
      <c r="AY152" s="197"/>
      <c r="AZ152" s="197"/>
    </row>
    <row r="153" spans="1:52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7"/>
      <c r="N153" s="197"/>
      <c r="O153" s="198"/>
      <c r="P153" s="198"/>
      <c r="Q153" s="198"/>
      <c r="R153" s="196"/>
      <c r="S153" s="196"/>
      <c r="T153" s="196"/>
      <c r="U153" s="196"/>
      <c r="V153" s="196"/>
      <c r="W153" s="196"/>
      <c r="X153" s="197"/>
      <c r="Y153" s="197"/>
      <c r="Z153" s="197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7"/>
      <c r="AR153" s="196"/>
      <c r="AS153" s="196"/>
      <c r="AT153" s="196"/>
      <c r="AU153" s="196"/>
      <c r="AV153" s="196"/>
      <c r="AW153" s="197"/>
      <c r="AX153" s="197"/>
      <c r="AY153" s="197"/>
      <c r="AZ153" s="197"/>
    </row>
    <row r="154" spans="1:52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7"/>
      <c r="N154" s="197"/>
      <c r="O154" s="198"/>
      <c r="P154" s="198"/>
      <c r="Q154" s="198"/>
      <c r="R154" s="196"/>
      <c r="S154" s="196"/>
      <c r="T154" s="196"/>
      <c r="U154" s="196"/>
      <c r="V154" s="196"/>
      <c r="W154" s="196"/>
      <c r="X154" s="197"/>
      <c r="Y154" s="197"/>
      <c r="Z154" s="197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7"/>
      <c r="AR154" s="196"/>
      <c r="AS154" s="196"/>
      <c r="AT154" s="196"/>
      <c r="AU154" s="196"/>
      <c r="AV154" s="196"/>
      <c r="AW154" s="197"/>
      <c r="AX154" s="197"/>
      <c r="AY154" s="197"/>
      <c r="AZ154" s="197"/>
    </row>
    <row r="155" spans="1:52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7"/>
      <c r="N155" s="197"/>
      <c r="O155" s="198"/>
      <c r="P155" s="198"/>
      <c r="Q155" s="198"/>
      <c r="R155" s="196"/>
      <c r="S155" s="196"/>
      <c r="T155" s="196"/>
      <c r="U155" s="196"/>
      <c r="V155" s="196"/>
      <c r="W155" s="196"/>
      <c r="X155" s="197"/>
      <c r="Y155" s="197"/>
      <c r="Z155" s="197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7"/>
      <c r="AR155" s="196"/>
      <c r="AS155" s="196"/>
      <c r="AT155" s="196"/>
      <c r="AU155" s="196"/>
      <c r="AV155" s="196"/>
      <c r="AW155" s="197"/>
      <c r="AX155" s="197"/>
      <c r="AY155" s="197"/>
      <c r="AZ155" s="197"/>
    </row>
    <row r="156" spans="1:52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7"/>
      <c r="N156" s="197"/>
      <c r="O156" s="198"/>
      <c r="P156" s="198"/>
      <c r="Q156" s="198"/>
      <c r="R156" s="196"/>
      <c r="S156" s="196"/>
      <c r="T156" s="196"/>
      <c r="U156" s="196"/>
      <c r="V156" s="196"/>
      <c r="W156" s="196"/>
      <c r="X156" s="197"/>
      <c r="Y156" s="197"/>
      <c r="Z156" s="197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7"/>
      <c r="AR156" s="196"/>
      <c r="AS156" s="196"/>
      <c r="AT156" s="196"/>
      <c r="AU156" s="196"/>
      <c r="AV156" s="196"/>
      <c r="AW156" s="197"/>
      <c r="AX156" s="197"/>
      <c r="AY156" s="197"/>
      <c r="AZ156" s="197"/>
    </row>
    <row r="157" spans="1:52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7"/>
      <c r="N157" s="197"/>
      <c r="O157" s="198"/>
      <c r="P157" s="198"/>
      <c r="Q157" s="198"/>
      <c r="R157" s="196"/>
      <c r="S157" s="196"/>
      <c r="T157" s="196"/>
      <c r="U157" s="196"/>
      <c r="V157" s="196"/>
      <c r="W157" s="196"/>
      <c r="X157" s="197"/>
      <c r="Y157" s="197"/>
      <c r="Z157" s="197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7"/>
      <c r="AR157" s="196"/>
      <c r="AS157" s="196"/>
      <c r="AT157" s="196"/>
      <c r="AU157" s="196"/>
      <c r="AV157" s="196"/>
      <c r="AW157" s="197"/>
      <c r="AX157" s="197"/>
      <c r="AY157" s="197"/>
      <c r="AZ157" s="197"/>
    </row>
    <row r="158" spans="1:52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7"/>
      <c r="N158" s="197"/>
      <c r="O158" s="198"/>
      <c r="P158" s="198"/>
      <c r="Q158" s="198"/>
      <c r="R158" s="196"/>
      <c r="S158" s="196"/>
      <c r="T158" s="196"/>
      <c r="U158" s="196"/>
      <c r="V158" s="196"/>
      <c r="W158" s="196"/>
      <c r="X158" s="197"/>
      <c r="Y158" s="197"/>
      <c r="Z158" s="197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  <c r="AM158" s="196"/>
      <c r="AN158" s="196"/>
      <c r="AO158" s="196"/>
      <c r="AP158" s="196"/>
      <c r="AQ158" s="197"/>
      <c r="AR158" s="196"/>
      <c r="AS158" s="196"/>
      <c r="AT158" s="196"/>
      <c r="AU158" s="196"/>
      <c r="AV158" s="196"/>
      <c r="AW158" s="197"/>
      <c r="AX158" s="197"/>
      <c r="AY158" s="197"/>
      <c r="AZ158" s="197"/>
    </row>
    <row r="159" spans="1:52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7"/>
      <c r="N159" s="197"/>
      <c r="O159" s="198"/>
      <c r="P159" s="198"/>
      <c r="Q159" s="198"/>
      <c r="R159" s="196"/>
      <c r="S159" s="196"/>
      <c r="T159" s="196"/>
      <c r="U159" s="196"/>
      <c r="V159" s="196"/>
      <c r="W159" s="196"/>
      <c r="X159" s="197"/>
      <c r="Y159" s="197"/>
      <c r="Z159" s="197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7"/>
      <c r="AR159" s="196"/>
      <c r="AS159" s="196"/>
      <c r="AT159" s="196"/>
      <c r="AU159" s="196"/>
      <c r="AV159" s="196"/>
      <c r="AW159" s="197"/>
      <c r="AX159" s="197"/>
      <c r="AY159" s="197"/>
      <c r="AZ159" s="197"/>
    </row>
    <row r="160" spans="1:52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7"/>
      <c r="N160" s="197"/>
      <c r="O160" s="198"/>
      <c r="P160" s="198"/>
      <c r="Q160" s="198"/>
      <c r="R160" s="196"/>
      <c r="S160" s="196"/>
      <c r="T160" s="196"/>
      <c r="U160" s="196"/>
      <c r="V160" s="196"/>
      <c r="W160" s="196"/>
      <c r="X160" s="197"/>
      <c r="Y160" s="197"/>
      <c r="Z160" s="197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  <c r="AP160" s="196"/>
      <c r="AQ160" s="197"/>
      <c r="AR160" s="196"/>
      <c r="AS160" s="196"/>
      <c r="AT160" s="196"/>
      <c r="AU160" s="196"/>
      <c r="AV160" s="196"/>
      <c r="AW160" s="197"/>
      <c r="AX160" s="197"/>
      <c r="AY160" s="197"/>
      <c r="AZ160" s="197"/>
    </row>
    <row r="161" spans="1:52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7"/>
      <c r="N161" s="197"/>
      <c r="O161" s="198"/>
      <c r="P161" s="198"/>
      <c r="Q161" s="198"/>
      <c r="R161" s="196"/>
      <c r="S161" s="196"/>
      <c r="T161" s="196"/>
      <c r="U161" s="196"/>
      <c r="V161" s="196"/>
      <c r="W161" s="196"/>
      <c r="X161" s="197"/>
      <c r="Y161" s="197"/>
      <c r="Z161" s="197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96"/>
      <c r="AN161" s="196"/>
      <c r="AO161" s="196"/>
      <c r="AP161" s="196"/>
      <c r="AQ161" s="197"/>
      <c r="AR161" s="196"/>
      <c r="AS161" s="196"/>
      <c r="AT161" s="196"/>
      <c r="AU161" s="196"/>
      <c r="AV161" s="196"/>
      <c r="AW161" s="197"/>
      <c r="AX161" s="197"/>
      <c r="AY161" s="197"/>
      <c r="AZ161" s="197"/>
    </row>
    <row r="162" spans="1:52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7"/>
      <c r="N162" s="197"/>
      <c r="O162" s="198"/>
      <c r="P162" s="198"/>
      <c r="Q162" s="198"/>
      <c r="R162" s="196"/>
      <c r="S162" s="196"/>
      <c r="T162" s="196"/>
      <c r="U162" s="196"/>
      <c r="V162" s="196"/>
      <c r="W162" s="196"/>
      <c r="X162" s="197"/>
      <c r="Y162" s="197"/>
      <c r="Z162" s="197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  <c r="AM162" s="196"/>
      <c r="AN162" s="196"/>
      <c r="AO162" s="196"/>
      <c r="AP162" s="196"/>
      <c r="AQ162" s="197"/>
      <c r="AR162" s="196"/>
      <c r="AS162" s="196"/>
      <c r="AT162" s="196"/>
      <c r="AU162" s="196"/>
      <c r="AV162" s="196"/>
      <c r="AW162" s="197"/>
      <c r="AX162" s="197"/>
      <c r="AY162" s="197"/>
      <c r="AZ162" s="197"/>
    </row>
    <row r="163" spans="1:52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7"/>
      <c r="N163" s="197"/>
      <c r="O163" s="198"/>
      <c r="P163" s="198"/>
      <c r="Q163" s="198"/>
      <c r="R163" s="196"/>
      <c r="S163" s="196"/>
      <c r="T163" s="196"/>
      <c r="U163" s="196"/>
      <c r="V163" s="196"/>
      <c r="W163" s="196"/>
      <c r="X163" s="197"/>
      <c r="Y163" s="197"/>
      <c r="Z163" s="197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7"/>
      <c r="AR163" s="196"/>
      <c r="AS163" s="196"/>
      <c r="AT163" s="196"/>
      <c r="AU163" s="196"/>
      <c r="AV163" s="196"/>
      <c r="AW163" s="197"/>
      <c r="AX163" s="197"/>
      <c r="AY163" s="197"/>
      <c r="AZ163" s="197"/>
    </row>
    <row r="164" spans="1:52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7"/>
      <c r="N164" s="197"/>
      <c r="O164" s="198"/>
      <c r="P164" s="198"/>
      <c r="Q164" s="198"/>
      <c r="R164" s="196"/>
      <c r="S164" s="196"/>
      <c r="T164" s="196"/>
      <c r="U164" s="196"/>
      <c r="V164" s="196"/>
      <c r="W164" s="196"/>
      <c r="X164" s="197"/>
      <c r="Y164" s="197"/>
      <c r="Z164" s="197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  <c r="AM164" s="196"/>
      <c r="AN164" s="196"/>
      <c r="AO164" s="196"/>
      <c r="AP164" s="196"/>
      <c r="AQ164" s="197"/>
      <c r="AR164" s="196"/>
      <c r="AS164" s="196"/>
      <c r="AT164" s="196"/>
      <c r="AU164" s="196"/>
      <c r="AV164" s="196"/>
      <c r="AW164" s="197"/>
      <c r="AX164" s="197"/>
      <c r="AY164" s="197"/>
      <c r="AZ164" s="197"/>
    </row>
    <row r="165" spans="1:52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7"/>
      <c r="N165" s="197"/>
      <c r="O165" s="198"/>
      <c r="P165" s="198"/>
      <c r="Q165" s="198"/>
      <c r="R165" s="196"/>
      <c r="S165" s="196"/>
      <c r="T165" s="196"/>
      <c r="U165" s="196"/>
      <c r="V165" s="196"/>
      <c r="W165" s="196"/>
      <c r="X165" s="197"/>
      <c r="Y165" s="197"/>
      <c r="Z165" s="197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7"/>
      <c r="AR165" s="196"/>
      <c r="AS165" s="196"/>
      <c r="AT165" s="196"/>
      <c r="AU165" s="196"/>
      <c r="AV165" s="196"/>
      <c r="AW165" s="197"/>
      <c r="AX165" s="197"/>
      <c r="AY165" s="197"/>
      <c r="AZ165" s="197"/>
    </row>
    <row r="166" spans="1:52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7"/>
      <c r="N166" s="197"/>
      <c r="O166" s="198"/>
      <c r="P166" s="198"/>
      <c r="Q166" s="198"/>
      <c r="R166" s="196"/>
      <c r="S166" s="196"/>
      <c r="T166" s="196"/>
      <c r="U166" s="196"/>
      <c r="V166" s="196"/>
      <c r="W166" s="196"/>
      <c r="X166" s="197"/>
      <c r="Y166" s="197"/>
      <c r="Z166" s="197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7"/>
      <c r="AR166" s="196"/>
      <c r="AS166" s="196"/>
      <c r="AT166" s="196"/>
      <c r="AU166" s="196"/>
      <c r="AV166" s="196"/>
      <c r="AW166" s="197"/>
      <c r="AX166" s="197"/>
      <c r="AY166" s="197"/>
      <c r="AZ166" s="197"/>
    </row>
    <row r="167" spans="1:52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7"/>
      <c r="N167" s="197"/>
      <c r="O167" s="198"/>
      <c r="P167" s="198"/>
      <c r="Q167" s="198"/>
      <c r="R167" s="196"/>
      <c r="S167" s="196"/>
      <c r="T167" s="196"/>
      <c r="U167" s="196"/>
      <c r="V167" s="196"/>
      <c r="W167" s="196"/>
      <c r="X167" s="197"/>
      <c r="Y167" s="197"/>
      <c r="Z167" s="197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7"/>
      <c r="AR167" s="196"/>
      <c r="AS167" s="196"/>
      <c r="AT167" s="196"/>
      <c r="AU167" s="196"/>
      <c r="AV167" s="196"/>
      <c r="AW167" s="197"/>
      <c r="AX167" s="197"/>
      <c r="AY167" s="197"/>
      <c r="AZ167" s="197"/>
    </row>
    <row r="168" spans="1:52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7"/>
      <c r="N168" s="197"/>
      <c r="O168" s="198"/>
      <c r="P168" s="198"/>
      <c r="Q168" s="198"/>
      <c r="R168" s="196"/>
      <c r="S168" s="196"/>
      <c r="T168" s="196"/>
      <c r="U168" s="196"/>
      <c r="V168" s="196"/>
      <c r="W168" s="196"/>
      <c r="X168" s="197"/>
      <c r="Y168" s="197"/>
      <c r="Z168" s="197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7"/>
      <c r="AR168" s="196"/>
      <c r="AS168" s="196"/>
      <c r="AT168" s="196"/>
      <c r="AU168" s="196"/>
      <c r="AV168" s="196"/>
      <c r="AW168" s="197"/>
      <c r="AX168" s="197"/>
      <c r="AY168" s="197"/>
      <c r="AZ168" s="197"/>
    </row>
    <row r="169" spans="1:52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7"/>
      <c r="N169" s="197"/>
      <c r="O169" s="198"/>
      <c r="P169" s="198"/>
      <c r="Q169" s="198"/>
      <c r="R169" s="196"/>
      <c r="S169" s="196"/>
      <c r="T169" s="196"/>
      <c r="U169" s="196"/>
      <c r="V169" s="196"/>
      <c r="W169" s="196"/>
      <c r="X169" s="197"/>
      <c r="Y169" s="197"/>
      <c r="Z169" s="197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  <c r="AK169" s="196"/>
      <c r="AL169" s="196"/>
      <c r="AM169" s="196"/>
      <c r="AN169" s="196"/>
      <c r="AO169" s="196"/>
      <c r="AP169" s="196"/>
      <c r="AQ169" s="197"/>
      <c r="AR169" s="196"/>
      <c r="AS169" s="196"/>
      <c r="AT169" s="196"/>
      <c r="AU169" s="196"/>
      <c r="AV169" s="196"/>
      <c r="AW169" s="197"/>
      <c r="AX169" s="197"/>
      <c r="AY169" s="197"/>
      <c r="AZ169" s="197"/>
    </row>
    <row r="170" spans="1:52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7"/>
      <c r="N170" s="197"/>
      <c r="O170" s="198"/>
      <c r="P170" s="198"/>
      <c r="Q170" s="198"/>
      <c r="R170" s="196"/>
      <c r="S170" s="196"/>
      <c r="T170" s="196"/>
      <c r="U170" s="196"/>
      <c r="V170" s="196"/>
      <c r="W170" s="196"/>
      <c r="X170" s="197"/>
      <c r="Y170" s="197"/>
      <c r="Z170" s="197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  <c r="AL170" s="196"/>
      <c r="AM170" s="196"/>
      <c r="AN170" s="196"/>
      <c r="AO170" s="196"/>
      <c r="AP170" s="196"/>
      <c r="AQ170" s="197"/>
      <c r="AR170" s="196"/>
      <c r="AS170" s="196"/>
      <c r="AT170" s="196"/>
      <c r="AU170" s="196"/>
      <c r="AV170" s="196"/>
      <c r="AW170" s="197"/>
      <c r="AX170" s="197"/>
      <c r="AY170" s="197"/>
      <c r="AZ170" s="197"/>
    </row>
    <row r="171" spans="1:52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7"/>
      <c r="N171" s="197"/>
      <c r="O171" s="198"/>
      <c r="P171" s="198"/>
      <c r="Q171" s="198"/>
      <c r="R171" s="196"/>
      <c r="S171" s="196"/>
      <c r="T171" s="196"/>
      <c r="U171" s="196"/>
      <c r="V171" s="196"/>
      <c r="W171" s="196"/>
      <c r="X171" s="197"/>
      <c r="Y171" s="197"/>
      <c r="Z171" s="197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7"/>
      <c r="AR171" s="196"/>
      <c r="AS171" s="196"/>
      <c r="AT171" s="196"/>
      <c r="AU171" s="196"/>
      <c r="AV171" s="196"/>
      <c r="AW171" s="197"/>
      <c r="AX171" s="197"/>
      <c r="AY171" s="197"/>
      <c r="AZ171" s="197"/>
    </row>
    <row r="172" spans="1:52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7"/>
      <c r="N172" s="197"/>
      <c r="O172" s="198"/>
      <c r="P172" s="198"/>
      <c r="Q172" s="198"/>
      <c r="R172" s="196"/>
      <c r="S172" s="196"/>
      <c r="T172" s="196"/>
      <c r="U172" s="196"/>
      <c r="V172" s="196"/>
      <c r="W172" s="196"/>
      <c r="X172" s="197"/>
      <c r="Y172" s="197"/>
      <c r="Z172" s="197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  <c r="AK172" s="196"/>
      <c r="AL172" s="196"/>
      <c r="AM172" s="196"/>
      <c r="AN172" s="196"/>
      <c r="AO172" s="196"/>
      <c r="AP172" s="196"/>
      <c r="AQ172" s="197"/>
      <c r="AR172" s="196"/>
      <c r="AS172" s="196"/>
      <c r="AT172" s="196"/>
      <c r="AU172" s="196"/>
      <c r="AV172" s="196"/>
      <c r="AW172" s="197"/>
      <c r="AX172" s="197"/>
      <c r="AY172" s="197"/>
      <c r="AZ172" s="197"/>
    </row>
    <row r="173" spans="1:52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7"/>
      <c r="N173" s="197"/>
      <c r="O173" s="198"/>
      <c r="P173" s="198"/>
      <c r="Q173" s="198"/>
      <c r="R173" s="196"/>
      <c r="S173" s="196"/>
      <c r="T173" s="196"/>
      <c r="U173" s="196"/>
      <c r="V173" s="196"/>
      <c r="W173" s="196"/>
      <c r="X173" s="197"/>
      <c r="Y173" s="197"/>
      <c r="Z173" s="197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7"/>
      <c r="AR173" s="196"/>
      <c r="AS173" s="196"/>
      <c r="AT173" s="196"/>
      <c r="AU173" s="196"/>
      <c r="AV173" s="196"/>
      <c r="AW173" s="197"/>
      <c r="AX173" s="197"/>
      <c r="AY173" s="197"/>
      <c r="AZ173" s="197"/>
    </row>
    <row r="174" spans="1:52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7"/>
      <c r="N174" s="197"/>
      <c r="O174" s="198"/>
      <c r="P174" s="198"/>
      <c r="Q174" s="198"/>
      <c r="R174" s="196"/>
      <c r="S174" s="196"/>
      <c r="T174" s="196"/>
      <c r="U174" s="196"/>
      <c r="V174" s="196"/>
      <c r="W174" s="196"/>
      <c r="X174" s="197"/>
      <c r="Y174" s="197"/>
      <c r="Z174" s="197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  <c r="AK174" s="196"/>
      <c r="AL174" s="196"/>
      <c r="AM174" s="196"/>
      <c r="AN174" s="196"/>
      <c r="AO174" s="196"/>
      <c r="AP174" s="196"/>
      <c r="AQ174" s="197"/>
      <c r="AR174" s="196"/>
      <c r="AS174" s="196"/>
      <c r="AT174" s="196"/>
      <c r="AU174" s="196"/>
      <c r="AV174" s="196"/>
      <c r="AW174" s="197"/>
      <c r="AX174" s="197"/>
      <c r="AY174" s="197"/>
      <c r="AZ174" s="197"/>
    </row>
    <row r="175" spans="1:52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7"/>
      <c r="N175" s="197"/>
      <c r="O175" s="198"/>
      <c r="P175" s="198"/>
      <c r="Q175" s="198"/>
      <c r="R175" s="196"/>
      <c r="S175" s="196"/>
      <c r="T175" s="196"/>
      <c r="U175" s="196"/>
      <c r="V175" s="196"/>
      <c r="W175" s="196"/>
      <c r="X175" s="197"/>
      <c r="Y175" s="197"/>
      <c r="Z175" s="197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  <c r="AM175" s="196"/>
      <c r="AN175" s="196"/>
      <c r="AO175" s="196"/>
      <c r="AP175" s="196"/>
      <c r="AQ175" s="197"/>
      <c r="AR175" s="196"/>
      <c r="AS175" s="196"/>
      <c r="AT175" s="196"/>
      <c r="AU175" s="196"/>
      <c r="AV175" s="196"/>
      <c r="AW175" s="197"/>
      <c r="AX175" s="197"/>
      <c r="AY175" s="197"/>
      <c r="AZ175" s="197"/>
    </row>
    <row r="176" spans="1:52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7"/>
      <c r="N176" s="197"/>
      <c r="O176" s="198"/>
      <c r="P176" s="198"/>
      <c r="Q176" s="198"/>
      <c r="R176" s="196"/>
      <c r="S176" s="196"/>
      <c r="T176" s="196"/>
      <c r="U176" s="196"/>
      <c r="V176" s="196"/>
      <c r="W176" s="196"/>
      <c r="X176" s="197"/>
      <c r="Y176" s="197"/>
      <c r="Z176" s="197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  <c r="AQ176" s="197"/>
      <c r="AR176" s="196"/>
      <c r="AS176" s="196"/>
      <c r="AT176" s="196"/>
      <c r="AU176" s="196"/>
      <c r="AV176" s="196"/>
      <c r="AW176" s="197"/>
      <c r="AX176" s="197"/>
      <c r="AY176" s="197"/>
      <c r="AZ176" s="197"/>
    </row>
    <row r="177" spans="1:52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7"/>
      <c r="N177" s="197"/>
      <c r="O177" s="198"/>
      <c r="P177" s="198"/>
      <c r="Q177" s="198"/>
      <c r="R177" s="196"/>
      <c r="S177" s="196"/>
      <c r="T177" s="196"/>
      <c r="U177" s="196"/>
      <c r="V177" s="196"/>
      <c r="W177" s="196"/>
      <c r="X177" s="197"/>
      <c r="Y177" s="197"/>
      <c r="Z177" s="197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  <c r="AQ177" s="197"/>
      <c r="AR177" s="196"/>
      <c r="AS177" s="196"/>
      <c r="AT177" s="196"/>
      <c r="AU177" s="196"/>
      <c r="AV177" s="196"/>
      <c r="AW177" s="197"/>
      <c r="AX177" s="197"/>
      <c r="AY177" s="197"/>
      <c r="AZ177" s="197"/>
    </row>
    <row r="178" spans="1:52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7"/>
      <c r="N178" s="197"/>
      <c r="O178" s="198"/>
      <c r="P178" s="198"/>
      <c r="Q178" s="198"/>
      <c r="R178" s="196"/>
      <c r="S178" s="196"/>
      <c r="T178" s="196"/>
      <c r="U178" s="196"/>
      <c r="V178" s="196"/>
      <c r="W178" s="196"/>
      <c r="X178" s="197"/>
      <c r="Y178" s="197"/>
      <c r="Z178" s="197"/>
      <c r="AA178" s="196"/>
      <c r="AB178" s="196"/>
      <c r="AC178" s="196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  <c r="AP178" s="196"/>
      <c r="AQ178" s="197"/>
      <c r="AR178" s="196"/>
      <c r="AS178" s="196"/>
      <c r="AT178" s="196"/>
      <c r="AU178" s="196"/>
      <c r="AV178" s="196"/>
      <c r="AW178" s="197"/>
      <c r="AX178" s="197"/>
      <c r="AY178" s="197"/>
      <c r="AZ178" s="197"/>
    </row>
    <row r="179" spans="1:52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7"/>
      <c r="N179" s="197"/>
      <c r="O179" s="198"/>
      <c r="P179" s="198"/>
      <c r="Q179" s="198"/>
      <c r="R179" s="196"/>
      <c r="S179" s="196"/>
      <c r="T179" s="196"/>
      <c r="U179" s="196"/>
      <c r="V179" s="196"/>
      <c r="W179" s="196"/>
      <c r="X179" s="197"/>
      <c r="Y179" s="197"/>
      <c r="Z179" s="197"/>
      <c r="AA179" s="196"/>
      <c r="AB179" s="196"/>
      <c r="AC179" s="196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  <c r="AP179" s="196"/>
      <c r="AQ179" s="197"/>
      <c r="AR179" s="196"/>
      <c r="AS179" s="196"/>
      <c r="AT179" s="196"/>
      <c r="AU179" s="196"/>
      <c r="AV179" s="196"/>
      <c r="AW179" s="197"/>
      <c r="AX179" s="197"/>
      <c r="AY179" s="197"/>
      <c r="AZ179" s="197"/>
    </row>
    <row r="180" spans="1:52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7"/>
      <c r="N180" s="197"/>
      <c r="O180" s="198"/>
      <c r="P180" s="198"/>
      <c r="Q180" s="198"/>
      <c r="R180" s="196"/>
      <c r="S180" s="196"/>
      <c r="T180" s="196"/>
      <c r="U180" s="196"/>
      <c r="V180" s="196"/>
      <c r="W180" s="196"/>
      <c r="X180" s="197"/>
      <c r="Y180" s="197"/>
      <c r="Z180" s="197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  <c r="AP180" s="196"/>
      <c r="AQ180" s="197"/>
      <c r="AR180" s="196"/>
      <c r="AS180" s="196"/>
      <c r="AT180" s="196"/>
      <c r="AU180" s="196"/>
      <c r="AV180" s="196"/>
      <c r="AW180" s="197"/>
      <c r="AX180" s="197"/>
      <c r="AY180" s="197"/>
      <c r="AZ180" s="197"/>
    </row>
    <row r="181" spans="1:52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7"/>
      <c r="N181" s="197"/>
      <c r="O181" s="198"/>
      <c r="P181" s="198"/>
      <c r="Q181" s="198"/>
      <c r="R181" s="196"/>
      <c r="S181" s="196"/>
      <c r="T181" s="196"/>
      <c r="U181" s="196"/>
      <c r="V181" s="196"/>
      <c r="W181" s="196"/>
      <c r="X181" s="197"/>
      <c r="Y181" s="197"/>
      <c r="Z181" s="197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  <c r="AQ181" s="197"/>
      <c r="AR181" s="196"/>
      <c r="AS181" s="196"/>
      <c r="AT181" s="196"/>
      <c r="AU181" s="196"/>
      <c r="AV181" s="196"/>
      <c r="AW181" s="197"/>
      <c r="AX181" s="197"/>
      <c r="AY181" s="197"/>
      <c r="AZ181" s="197"/>
    </row>
    <row r="182" spans="1:52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7"/>
      <c r="N182" s="197"/>
      <c r="O182" s="198"/>
      <c r="P182" s="198"/>
      <c r="Q182" s="198"/>
      <c r="R182" s="196"/>
      <c r="S182" s="196"/>
      <c r="T182" s="196"/>
      <c r="U182" s="196"/>
      <c r="V182" s="196"/>
      <c r="W182" s="196"/>
      <c r="X182" s="197"/>
      <c r="Y182" s="197"/>
      <c r="Z182" s="197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  <c r="AL182" s="196"/>
      <c r="AM182" s="196"/>
      <c r="AN182" s="196"/>
      <c r="AO182" s="196"/>
      <c r="AP182" s="196"/>
      <c r="AQ182" s="197"/>
      <c r="AR182" s="196"/>
      <c r="AS182" s="196"/>
      <c r="AT182" s="196"/>
      <c r="AU182" s="196"/>
      <c r="AV182" s="196"/>
      <c r="AW182" s="197"/>
      <c r="AX182" s="197"/>
      <c r="AY182" s="197"/>
      <c r="AZ182" s="197"/>
    </row>
    <row r="183" spans="1:52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7"/>
      <c r="N183" s="197"/>
      <c r="O183" s="198"/>
      <c r="P183" s="198"/>
      <c r="Q183" s="198"/>
      <c r="R183" s="196"/>
      <c r="S183" s="196"/>
      <c r="T183" s="196"/>
      <c r="U183" s="196"/>
      <c r="V183" s="196"/>
      <c r="W183" s="196"/>
      <c r="X183" s="197"/>
      <c r="Y183" s="197"/>
      <c r="Z183" s="197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  <c r="AK183" s="196"/>
      <c r="AL183" s="196"/>
      <c r="AM183" s="196"/>
      <c r="AN183" s="196"/>
      <c r="AO183" s="196"/>
      <c r="AP183" s="196"/>
      <c r="AQ183" s="197"/>
      <c r="AR183" s="196"/>
      <c r="AS183" s="196"/>
      <c r="AT183" s="196"/>
      <c r="AU183" s="196"/>
      <c r="AV183" s="196"/>
      <c r="AW183" s="197"/>
      <c r="AX183" s="197"/>
      <c r="AY183" s="197"/>
      <c r="AZ183" s="197"/>
    </row>
    <row r="184" spans="1:52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7"/>
      <c r="N184" s="197"/>
      <c r="O184" s="198"/>
      <c r="P184" s="198"/>
      <c r="Q184" s="198"/>
      <c r="R184" s="196"/>
      <c r="S184" s="196"/>
      <c r="T184" s="196"/>
      <c r="U184" s="196"/>
      <c r="V184" s="196"/>
      <c r="W184" s="196"/>
      <c r="X184" s="197"/>
      <c r="Y184" s="197"/>
      <c r="Z184" s="197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  <c r="AL184" s="196"/>
      <c r="AM184" s="196"/>
      <c r="AN184" s="196"/>
      <c r="AO184" s="196"/>
      <c r="AP184" s="196"/>
      <c r="AQ184" s="197"/>
      <c r="AR184" s="196"/>
      <c r="AS184" s="196"/>
      <c r="AT184" s="196"/>
      <c r="AU184" s="196"/>
      <c r="AV184" s="196"/>
      <c r="AW184" s="197"/>
      <c r="AX184" s="197"/>
      <c r="AY184" s="197"/>
      <c r="AZ184" s="197"/>
    </row>
    <row r="185" spans="1:52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7"/>
      <c r="N185" s="197"/>
      <c r="O185" s="198"/>
      <c r="P185" s="198"/>
      <c r="Q185" s="198"/>
      <c r="R185" s="196"/>
      <c r="S185" s="196"/>
      <c r="T185" s="196"/>
      <c r="U185" s="196"/>
      <c r="V185" s="196"/>
      <c r="W185" s="196"/>
      <c r="X185" s="197"/>
      <c r="Y185" s="197"/>
      <c r="Z185" s="197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7"/>
      <c r="AR185" s="196"/>
      <c r="AS185" s="196"/>
      <c r="AT185" s="196"/>
      <c r="AU185" s="196"/>
      <c r="AV185" s="196"/>
      <c r="AW185" s="197"/>
      <c r="AX185" s="197"/>
      <c r="AY185" s="197"/>
      <c r="AZ185" s="197"/>
    </row>
    <row r="186" spans="1:52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7"/>
      <c r="N186" s="197"/>
      <c r="O186" s="198"/>
      <c r="P186" s="198"/>
      <c r="Q186" s="198"/>
      <c r="R186" s="196"/>
      <c r="S186" s="196"/>
      <c r="T186" s="196"/>
      <c r="U186" s="196"/>
      <c r="V186" s="196"/>
      <c r="W186" s="196"/>
      <c r="X186" s="197"/>
      <c r="Y186" s="197"/>
      <c r="Z186" s="197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7"/>
      <c r="AR186" s="196"/>
      <c r="AS186" s="196"/>
      <c r="AT186" s="196"/>
      <c r="AU186" s="196"/>
      <c r="AV186" s="196"/>
      <c r="AW186" s="197"/>
      <c r="AX186" s="197"/>
      <c r="AY186" s="197"/>
      <c r="AZ186" s="197"/>
    </row>
    <row r="187" spans="1:52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7"/>
      <c r="N187" s="197"/>
      <c r="O187" s="198"/>
      <c r="P187" s="198"/>
      <c r="Q187" s="198"/>
      <c r="R187" s="196"/>
      <c r="S187" s="196"/>
      <c r="T187" s="196"/>
      <c r="U187" s="196"/>
      <c r="V187" s="196"/>
      <c r="W187" s="196"/>
      <c r="X187" s="197"/>
      <c r="Y187" s="197"/>
      <c r="Z187" s="197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7"/>
      <c r="AR187" s="196"/>
      <c r="AS187" s="196"/>
      <c r="AT187" s="196"/>
      <c r="AU187" s="196"/>
      <c r="AV187" s="196"/>
      <c r="AW187" s="197"/>
      <c r="AX187" s="197"/>
      <c r="AY187" s="197"/>
      <c r="AZ187" s="197"/>
    </row>
    <row r="188" spans="1:52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7"/>
      <c r="N188" s="197"/>
      <c r="O188" s="198"/>
      <c r="P188" s="198"/>
      <c r="Q188" s="198"/>
      <c r="R188" s="196"/>
      <c r="S188" s="196"/>
      <c r="T188" s="196"/>
      <c r="U188" s="196"/>
      <c r="V188" s="196"/>
      <c r="W188" s="196"/>
      <c r="X188" s="197"/>
      <c r="Y188" s="197"/>
      <c r="Z188" s="197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7"/>
      <c r="AR188" s="196"/>
      <c r="AS188" s="196"/>
      <c r="AT188" s="196"/>
      <c r="AU188" s="196"/>
      <c r="AV188" s="196"/>
      <c r="AW188" s="197"/>
      <c r="AX188" s="197"/>
      <c r="AY188" s="197"/>
      <c r="AZ188" s="197"/>
    </row>
    <row r="189" spans="1:52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7"/>
      <c r="N189" s="197"/>
      <c r="O189" s="198"/>
      <c r="P189" s="198"/>
      <c r="Q189" s="198"/>
      <c r="R189" s="196"/>
      <c r="S189" s="196"/>
      <c r="T189" s="196"/>
      <c r="U189" s="196"/>
      <c r="V189" s="196"/>
      <c r="W189" s="196"/>
      <c r="X189" s="197"/>
      <c r="Y189" s="197"/>
      <c r="Z189" s="197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7"/>
      <c r="AR189" s="196"/>
      <c r="AS189" s="196"/>
      <c r="AT189" s="196"/>
      <c r="AU189" s="196"/>
      <c r="AV189" s="196"/>
      <c r="AW189" s="197"/>
      <c r="AX189" s="197"/>
      <c r="AY189" s="197"/>
      <c r="AZ189" s="197"/>
    </row>
    <row r="190" spans="1:52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7"/>
      <c r="N190" s="197"/>
      <c r="O190" s="198"/>
      <c r="P190" s="198"/>
      <c r="Q190" s="198"/>
      <c r="R190" s="196"/>
      <c r="S190" s="196"/>
      <c r="T190" s="196"/>
      <c r="U190" s="196"/>
      <c r="V190" s="196"/>
      <c r="W190" s="196"/>
      <c r="X190" s="197"/>
      <c r="Y190" s="197"/>
      <c r="Z190" s="197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  <c r="AM190" s="196"/>
      <c r="AN190" s="196"/>
      <c r="AO190" s="196"/>
      <c r="AP190" s="196"/>
      <c r="AQ190" s="197"/>
      <c r="AR190" s="196"/>
      <c r="AS190" s="196"/>
      <c r="AT190" s="196"/>
      <c r="AU190" s="196"/>
      <c r="AV190" s="196"/>
      <c r="AW190" s="197"/>
      <c r="AX190" s="197"/>
      <c r="AY190" s="197"/>
      <c r="AZ190" s="197"/>
    </row>
    <row r="191" spans="1:52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7"/>
      <c r="N191" s="197"/>
      <c r="O191" s="198"/>
      <c r="P191" s="198"/>
      <c r="Q191" s="198"/>
      <c r="R191" s="196"/>
      <c r="S191" s="196"/>
      <c r="T191" s="196"/>
      <c r="U191" s="196"/>
      <c r="V191" s="196"/>
      <c r="W191" s="196"/>
      <c r="X191" s="197"/>
      <c r="Y191" s="197"/>
      <c r="Z191" s="197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7"/>
      <c r="AR191" s="196"/>
      <c r="AS191" s="196"/>
      <c r="AT191" s="196"/>
      <c r="AU191" s="196"/>
      <c r="AV191" s="196"/>
      <c r="AW191" s="197"/>
      <c r="AX191" s="197"/>
      <c r="AY191" s="197"/>
      <c r="AZ191" s="197"/>
    </row>
    <row r="192" spans="1:52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7"/>
      <c r="N192" s="197"/>
      <c r="O192" s="198"/>
      <c r="P192" s="198"/>
      <c r="Q192" s="198"/>
      <c r="R192" s="196"/>
      <c r="S192" s="196"/>
      <c r="T192" s="196"/>
      <c r="U192" s="196"/>
      <c r="V192" s="196"/>
      <c r="W192" s="196"/>
      <c r="X192" s="197"/>
      <c r="Y192" s="197"/>
      <c r="Z192" s="197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  <c r="AM192" s="196"/>
      <c r="AN192" s="196"/>
      <c r="AO192" s="196"/>
      <c r="AP192" s="196"/>
      <c r="AQ192" s="197"/>
      <c r="AR192" s="196"/>
      <c r="AS192" s="196"/>
      <c r="AT192" s="196"/>
      <c r="AU192" s="196"/>
      <c r="AV192" s="196"/>
      <c r="AW192" s="197"/>
      <c r="AX192" s="197"/>
      <c r="AY192" s="197"/>
      <c r="AZ192" s="197"/>
    </row>
    <row r="193" spans="1:52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7"/>
      <c r="N193" s="197"/>
      <c r="O193" s="198"/>
      <c r="P193" s="198"/>
      <c r="Q193" s="198"/>
      <c r="R193" s="196"/>
      <c r="S193" s="196"/>
      <c r="T193" s="196"/>
      <c r="U193" s="196"/>
      <c r="V193" s="196"/>
      <c r="W193" s="196"/>
      <c r="X193" s="197"/>
      <c r="Y193" s="197"/>
      <c r="Z193" s="197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  <c r="AQ193" s="197"/>
      <c r="AR193" s="196"/>
      <c r="AS193" s="196"/>
      <c r="AT193" s="196"/>
      <c r="AU193" s="196"/>
      <c r="AV193" s="196"/>
      <c r="AW193" s="197"/>
      <c r="AX193" s="197"/>
      <c r="AY193" s="197"/>
      <c r="AZ193" s="197"/>
    </row>
    <row r="194" spans="1:52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7"/>
      <c r="N194" s="197"/>
      <c r="O194" s="198"/>
      <c r="P194" s="198"/>
      <c r="Q194" s="198"/>
      <c r="R194" s="196"/>
      <c r="S194" s="196"/>
      <c r="T194" s="196"/>
      <c r="U194" s="196"/>
      <c r="V194" s="196"/>
      <c r="W194" s="196"/>
      <c r="X194" s="197"/>
      <c r="Y194" s="197"/>
      <c r="Z194" s="197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  <c r="AQ194" s="197"/>
      <c r="AR194" s="196"/>
      <c r="AS194" s="196"/>
      <c r="AT194" s="196"/>
      <c r="AU194" s="196"/>
      <c r="AV194" s="196"/>
      <c r="AW194" s="197"/>
      <c r="AX194" s="197"/>
      <c r="AY194" s="197"/>
      <c r="AZ194" s="197"/>
    </row>
    <row r="195" spans="1:52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7"/>
      <c r="N195" s="197"/>
      <c r="O195" s="198"/>
      <c r="P195" s="198"/>
      <c r="Q195" s="198"/>
      <c r="R195" s="196"/>
      <c r="S195" s="196"/>
      <c r="T195" s="196"/>
      <c r="U195" s="196"/>
      <c r="V195" s="196"/>
      <c r="W195" s="196"/>
      <c r="X195" s="197"/>
      <c r="Y195" s="197"/>
      <c r="Z195" s="197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7"/>
      <c r="AR195" s="196"/>
      <c r="AS195" s="196"/>
      <c r="AT195" s="196"/>
      <c r="AU195" s="196"/>
      <c r="AV195" s="196"/>
      <c r="AW195" s="197"/>
      <c r="AX195" s="197"/>
      <c r="AY195" s="197"/>
      <c r="AZ195" s="197"/>
    </row>
    <row r="196" spans="1:52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7"/>
      <c r="N196" s="197"/>
      <c r="O196" s="198"/>
      <c r="P196" s="198"/>
      <c r="Q196" s="198"/>
      <c r="R196" s="196"/>
      <c r="S196" s="196"/>
      <c r="T196" s="196"/>
      <c r="U196" s="196"/>
      <c r="V196" s="196"/>
      <c r="W196" s="196"/>
      <c r="X196" s="197"/>
      <c r="Y196" s="197"/>
      <c r="Z196" s="197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7"/>
      <c r="AR196" s="196"/>
      <c r="AS196" s="196"/>
      <c r="AT196" s="196"/>
      <c r="AU196" s="196"/>
      <c r="AV196" s="196"/>
      <c r="AW196" s="197"/>
      <c r="AX196" s="197"/>
      <c r="AY196" s="197"/>
      <c r="AZ196" s="197"/>
    </row>
    <row r="197" spans="1:52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7"/>
      <c r="N197" s="197"/>
      <c r="O197" s="198"/>
      <c r="P197" s="198"/>
      <c r="Q197" s="198"/>
      <c r="R197" s="196"/>
      <c r="S197" s="196"/>
      <c r="T197" s="196"/>
      <c r="U197" s="196"/>
      <c r="V197" s="196"/>
      <c r="W197" s="196"/>
      <c r="X197" s="197"/>
      <c r="Y197" s="197"/>
      <c r="Z197" s="197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96"/>
      <c r="AN197" s="196"/>
      <c r="AO197" s="196"/>
      <c r="AP197" s="196"/>
      <c r="AQ197" s="197"/>
      <c r="AR197" s="196"/>
      <c r="AS197" s="196"/>
      <c r="AT197" s="196"/>
      <c r="AU197" s="196"/>
      <c r="AV197" s="196"/>
      <c r="AW197" s="197"/>
      <c r="AX197" s="197"/>
      <c r="AY197" s="197"/>
      <c r="AZ197" s="197"/>
    </row>
    <row r="198" spans="1:52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7"/>
      <c r="N198" s="197"/>
      <c r="O198" s="198"/>
      <c r="P198" s="198"/>
      <c r="Q198" s="198"/>
      <c r="R198" s="196"/>
      <c r="S198" s="196"/>
      <c r="T198" s="196"/>
      <c r="U198" s="196"/>
      <c r="V198" s="196"/>
      <c r="W198" s="196"/>
      <c r="X198" s="197"/>
      <c r="Y198" s="197"/>
      <c r="Z198" s="197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  <c r="AQ198" s="197"/>
      <c r="AR198" s="196"/>
      <c r="AS198" s="196"/>
      <c r="AT198" s="196"/>
      <c r="AU198" s="196"/>
      <c r="AV198" s="196"/>
      <c r="AW198" s="197"/>
      <c r="AX198" s="197"/>
      <c r="AY198" s="197"/>
      <c r="AZ198" s="197"/>
    </row>
    <row r="199" spans="1:52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7"/>
      <c r="N199" s="197"/>
      <c r="O199" s="198"/>
      <c r="P199" s="198"/>
      <c r="Q199" s="198"/>
      <c r="R199" s="196"/>
      <c r="S199" s="196"/>
      <c r="T199" s="196"/>
      <c r="U199" s="196"/>
      <c r="V199" s="196"/>
      <c r="W199" s="196"/>
      <c r="X199" s="197"/>
      <c r="Y199" s="197"/>
      <c r="Z199" s="197"/>
      <c r="AA199" s="196"/>
      <c r="AB199" s="196"/>
      <c r="AC199" s="196"/>
      <c r="AD199" s="196"/>
      <c r="AE199" s="196"/>
      <c r="AF199" s="196"/>
      <c r="AG199" s="196"/>
      <c r="AH199" s="196"/>
      <c r="AI199" s="196"/>
      <c r="AJ199" s="196"/>
      <c r="AK199" s="196"/>
      <c r="AL199" s="196"/>
      <c r="AM199" s="196"/>
      <c r="AN199" s="196"/>
      <c r="AO199" s="196"/>
      <c r="AP199" s="196"/>
      <c r="AQ199" s="197"/>
      <c r="AR199" s="196"/>
      <c r="AS199" s="196"/>
      <c r="AT199" s="196"/>
      <c r="AU199" s="196"/>
      <c r="AV199" s="196"/>
      <c r="AW199" s="197"/>
      <c r="AX199" s="197"/>
      <c r="AY199" s="197"/>
      <c r="AZ199" s="197"/>
    </row>
    <row r="200" spans="1:52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7"/>
      <c r="N200" s="197"/>
      <c r="O200" s="198"/>
      <c r="P200" s="198"/>
      <c r="Q200" s="198"/>
      <c r="R200" s="196"/>
      <c r="S200" s="196"/>
      <c r="T200" s="196"/>
      <c r="U200" s="196"/>
      <c r="V200" s="196"/>
      <c r="W200" s="196"/>
      <c r="X200" s="197"/>
      <c r="Y200" s="197"/>
      <c r="Z200" s="197"/>
      <c r="AA200" s="196"/>
      <c r="AB200" s="196"/>
      <c r="AC200" s="196"/>
      <c r="AD200" s="196"/>
      <c r="AE200" s="196"/>
      <c r="AF200" s="196"/>
      <c r="AG200" s="196"/>
      <c r="AH200" s="196"/>
      <c r="AI200" s="196"/>
      <c r="AJ200" s="196"/>
      <c r="AK200" s="196"/>
      <c r="AL200" s="196"/>
      <c r="AM200" s="196"/>
      <c r="AN200" s="196"/>
      <c r="AO200" s="196"/>
      <c r="AP200" s="196"/>
      <c r="AQ200" s="197"/>
      <c r="AR200" s="196"/>
      <c r="AS200" s="196"/>
      <c r="AT200" s="196"/>
      <c r="AU200" s="196"/>
      <c r="AV200" s="196"/>
      <c r="AW200" s="197"/>
      <c r="AX200" s="197"/>
      <c r="AY200" s="197"/>
      <c r="AZ200" s="197"/>
    </row>
    <row r="201" spans="1:52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7"/>
      <c r="N201" s="197"/>
      <c r="O201" s="198"/>
      <c r="P201" s="198"/>
      <c r="Q201" s="198"/>
      <c r="R201" s="196"/>
      <c r="S201" s="196"/>
      <c r="T201" s="196"/>
      <c r="U201" s="196"/>
      <c r="V201" s="196"/>
      <c r="W201" s="196"/>
      <c r="X201" s="197"/>
      <c r="Y201" s="197"/>
      <c r="Z201" s="197"/>
      <c r="AA201" s="196"/>
      <c r="AB201" s="196"/>
      <c r="AC201" s="196"/>
      <c r="AD201" s="196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7"/>
      <c r="AR201" s="196"/>
      <c r="AS201" s="196"/>
      <c r="AT201" s="196"/>
      <c r="AU201" s="196"/>
      <c r="AV201" s="196"/>
      <c r="AW201" s="197"/>
      <c r="AX201" s="197"/>
      <c r="AY201" s="197"/>
      <c r="AZ201" s="197"/>
    </row>
    <row r="202" spans="1:52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7"/>
      <c r="N202" s="197"/>
      <c r="O202" s="198"/>
      <c r="P202" s="198"/>
      <c r="Q202" s="198"/>
      <c r="R202" s="196"/>
      <c r="S202" s="196"/>
      <c r="T202" s="196"/>
      <c r="U202" s="196"/>
      <c r="V202" s="196"/>
      <c r="W202" s="196"/>
      <c r="X202" s="197"/>
      <c r="Y202" s="197"/>
      <c r="Z202" s="197"/>
      <c r="AA202" s="196"/>
      <c r="AB202" s="196"/>
      <c r="AC202" s="196"/>
      <c r="AD202" s="196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7"/>
      <c r="AR202" s="196"/>
      <c r="AS202" s="196"/>
      <c r="AT202" s="196"/>
      <c r="AU202" s="196"/>
      <c r="AV202" s="196"/>
      <c r="AW202" s="197"/>
      <c r="AX202" s="197"/>
      <c r="AY202" s="197"/>
      <c r="AZ202" s="197"/>
    </row>
    <row r="203" spans="1:52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7"/>
      <c r="N203" s="197"/>
      <c r="O203" s="198"/>
      <c r="P203" s="198"/>
      <c r="Q203" s="198"/>
      <c r="R203" s="196"/>
      <c r="S203" s="196"/>
      <c r="T203" s="196"/>
      <c r="U203" s="196"/>
      <c r="V203" s="196"/>
      <c r="W203" s="196"/>
      <c r="X203" s="197"/>
      <c r="Y203" s="197"/>
      <c r="Z203" s="197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7"/>
      <c r="AR203" s="196"/>
      <c r="AS203" s="196"/>
      <c r="AT203" s="196"/>
      <c r="AU203" s="196"/>
      <c r="AV203" s="196"/>
      <c r="AW203" s="197"/>
      <c r="AX203" s="197"/>
      <c r="AY203" s="197"/>
      <c r="AZ203" s="197"/>
    </row>
    <row r="204" spans="1:52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7"/>
      <c r="N204" s="197"/>
      <c r="O204" s="198"/>
      <c r="P204" s="198"/>
      <c r="Q204" s="198"/>
      <c r="R204" s="196"/>
      <c r="S204" s="196"/>
      <c r="T204" s="196"/>
      <c r="U204" s="196"/>
      <c r="V204" s="196"/>
      <c r="W204" s="196"/>
      <c r="X204" s="197"/>
      <c r="Y204" s="197"/>
      <c r="Z204" s="197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7"/>
      <c r="AR204" s="196"/>
      <c r="AS204" s="196"/>
      <c r="AT204" s="196"/>
      <c r="AU204" s="196"/>
      <c r="AV204" s="196"/>
      <c r="AW204" s="197"/>
      <c r="AX204" s="197"/>
      <c r="AY204" s="197"/>
      <c r="AZ204" s="197"/>
    </row>
    <row r="205" spans="1:52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7"/>
      <c r="N205" s="197"/>
      <c r="O205" s="198"/>
      <c r="P205" s="198"/>
      <c r="Q205" s="198"/>
      <c r="R205" s="196"/>
      <c r="S205" s="196"/>
      <c r="T205" s="196"/>
      <c r="U205" s="196"/>
      <c r="V205" s="196"/>
      <c r="W205" s="196"/>
      <c r="X205" s="197"/>
      <c r="Y205" s="197"/>
      <c r="Z205" s="197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7"/>
      <c r="AR205" s="196"/>
      <c r="AS205" s="196"/>
      <c r="AT205" s="196"/>
      <c r="AU205" s="196"/>
      <c r="AV205" s="196"/>
      <c r="AW205" s="197"/>
      <c r="AX205" s="197"/>
      <c r="AY205" s="197"/>
      <c r="AZ205" s="197"/>
    </row>
    <row r="206" spans="1:52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7"/>
      <c r="N206" s="197"/>
      <c r="O206" s="198"/>
      <c r="P206" s="198"/>
      <c r="Q206" s="198"/>
      <c r="R206" s="196"/>
      <c r="S206" s="196"/>
      <c r="T206" s="196"/>
      <c r="U206" s="196"/>
      <c r="V206" s="196"/>
      <c r="W206" s="196"/>
      <c r="X206" s="197"/>
      <c r="Y206" s="197"/>
      <c r="Z206" s="197"/>
      <c r="AA206" s="196"/>
      <c r="AB206" s="196"/>
      <c r="AC206" s="196"/>
      <c r="AD206" s="196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  <c r="AQ206" s="197"/>
      <c r="AR206" s="196"/>
      <c r="AS206" s="196"/>
      <c r="AT206" s="196"/>
      <c r="AU206" s="196"/>
      <c r="AV206" s="196"/>
      <c r="AW206" s="197"/>
      <c r="AX206" s="197"/>
      <c r="AY206" s="197"/>
      <c r="AZ206" s="197"/>
    </row>
    <row r="207" spans="1:52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7"/>
      <c r="N207" s="197"/>
      <c r="O207" s="198"/>
      <c r="P207" s="198"/>
      <c r="Q207" s="198"/>
      <c r="R207" s="196"/>
      <c r="S207" s="196"/>
      <c r="T207" s="196"/>
      <c r="U207" s="196"/>
      <c r="V207" s="196"/>
      <c r="W207" s="196"/>
      <c r="X207" s="197"/>
      <c r="Y207" s="197"/>
      <c r="Z207" s="197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7"/>
      <c r="AR207" s="196"/>
      <c r="AS207" s="196"/>
      <c r="AT207" s="196"/>
      <c r="AU207" s="196"/>
      <c r="AV207" s="196"/>
      <c r="AW207" s="197"/>
      <c r="AX207" s="197"/>
      <c r="AY207" s="197"/>
      <c r="AZ207" s="197"/>
    </row>
    <row r="208" spans="1:52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7"/>
      <c r="N208" s="197"/>
      <c r="O208" s="198"/>
      <c r="P208" s="198"/>
      <c r="Q208" s="198"/>
      <c r="R208" s="196"/>
      <c r="S208" s="196"/>
      <c r="T208" s="196"/>
      <c r="U208" s="196"/>
      <c r="V208" s="196"/>
      <c r="W208" s="196"/>
      <c r="X208" s="197"/>
      <c r="Y208" s="197"/>
      <c r="Z208" s="197"/>
      <c r="AA208" s="196"/>
      <c r="AB208" s="196"/>
      <c r="AC208" s="196"/>
      <c r="AD208" s="196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  <c r="AP208" s="196"/>
      <c r="AQ208" s="197"/>
      <c r="AR208" s="196"/>
      <c r="AS208" s="196"/>
      <c r="AT208" s="196"/>
      <c r="AU208" s="196"/>
      <c r="AV208" s="196"/>
      <c r="AW208" s="197"/>
      <c r="AX208" s="197"/>
      <c r="AY208" s="197"/>
      <c r="AZ208" s="197"/>
    </row>
    <row r="209" spans="1:52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7"/>
      <c r="N209" s="197"/>
      <c r="O209" s="198"/>
      <c r="P209" s="198"/>
      <c r="Q209" s="198"/>
      <c r="R209" s="196"/>
      <c r="S209" s="196"/>
      <c r="T209" s="196"/>
      <c r="U209" s="196"/>
      <c r="V209" s="196"/>
      <c r="W209" s="196"/>
      <c r="X209" s="197"/>
      <c r="Y209" s="197"/>
      <c r="Z209" s="197"/>
      <c r="AA209" s="196"/>
      <c r="AB209" s="196"/>
      <c r="AC209" s="196"/>
      <c r="AD209" s="196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  <c r="AQ209" s="197"/>
      <c r="AR209" s="196"/>
      <c r="AS209" s="196"/>
      <c r="AT209" s="196"/>
      <c r="AU209" s="196"/>
      <c r="AV209" s="196"/>
      <c r="AW209" s="197"/>
      <c r="AX209" s="197"/>
      <c r="AY209" s="197"/>
      <c r="AZ209" s="197"/>
    </row>
    <row r="210" spans="1:52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7"/>
      <c r="N210" s="197"/>
      <c r="O210" s="198"/>
      <c r="P210" s="198"/>
      <c r="Q210" s="198"/>
      <c r="R210" s="196"/>
      <c r="S210" s="196"/>
      <c r="T210" s="196"/>
      <c r="U210" s="196"/>
      <c r="V210" s="196"/>
      <c r="W210" s="196"/>
      <c r="X210" s="197"/>
      <c r="Y210" s="197"/>
      <c r="Z210" s="197"/>
      <c r="AA210" s="196"/>
      <c r="AB210" s="196"/>
      <c r="AC210" s="196"/>
      <c r="AD210" s="196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  <c r="AQ210" s="197"/>
      <c r="AR210" s="196"/>
      <c r="AS210" s="196"/>
      <c r="AT210" s="196"/>
      <c r="AU210" s="196"/>
      <c r="AV210" s="196"/>
      <c r="AW210" s="197"/>
      <c r="AX210" s="197"/>
      <c r="AY210" s="197"/>
      <c r="AZ210" s="197"/>
    </row>
    <row r="211" spans="1:52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7"/>
      <c r="N211" s="197"/>
      <c r="O211" s="198"/>
      <c r="P211" s="198"/>
      <c r="Q211" s="198"/>
      <c r="R211" s="196"/>
      <c r="S211" s="196"/>
      <c r="T211" s="196"/>
      <c r="U211" s="196"/>
      <c r="V211" s="196"/>
      <c r="W211" s="196"/>
      <c r="X211" s="197"/>
      <c r="Y211" s="197"/>
      <c r="Z211" s="197"/>
      <c r="AA211" s="196"/>
      <c r="AB211" s="196"/>
      <c r="AC211" s="196"/>
      <c r="AD211" s="196"/>
      <c r="AE211" s="196"/>
      <c r="AF211" s="196"/>
      <c r="AG211" s="196"/>
      <c r="AH211" s="196"/>
      <c r="AI211" s="196"/>
      <c r="AJ211" s="196"/>
      <c r="AK211" s="196"/>
      <c r="AL211" s="196"/>
      <c r="AM211" s="196"/>
      <c r="AN211" s="196"/>
      <c r="AO211" s="196"/>
      <c r="AP211" s="196"/>
      <c r="AQ211" s="197"/>
      <c r="AR211" s="196"/>
      <c r="AS211" s="196"/>
      <c r="AT211" s="196"/>
      <c r="AU211" s="196"/>
      <c r="AV211" s="196"/>
      <c r="AW211" s="197"/>
      <c r="AX211" s="197"/>
      <c r="AY211" s="197"/>
      <c r="AZ211" s="197"/>
    </row>
    <row r="212" spans="1:52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7"/>
      <c r="N212" s="197"/>
      <c r="O212" s="198"/>
      <c r="P212" s="198"/>
      <c r="Q212" s="198"/>
      <c r="R212" s="196"/>
      <c r="S212" s="196"/>
      <c r="T212" s="196"/>
      <c r="U212" s="196"/>
      <c r="V212" s="196"/>
      <c r="W212" s="196"/>
      <c r="X212" s="197"/>
      <c r="Y212" s="197"/>
      <c r="Z212" s="197"/>
      <c r="AA212" s="196"/>
      <c r="AB212" s="196"/>
      <c r="AC212" s="196"/>
      <c r="AD212" s="196"/>
      <c r="AE212" s="196"/>
      <c r="AF212" s="196"/>
      <c r="AG212" s="196"/>
      <c r="AH212" s="196"/>
      <c r="AI212" s="196"/>
      <c r="AJ212" s="196"/>
      <c r="AK212" s="196"/>
      <c r="AL212" s="196"/>
      <c r="AM212" s="196"/>
      <c r="AN212" s="196"/>
      <c r="AO212" s="196"/>
      <c r="AP212" s="196"/>
      <c r="AQ212" s="197"/>
      <c r="AR212" s="196"/>
      <c r="AS212" s="196"/>
      <c r="AT212" s="196"/>
      <c r="AU212" s="196"/>
      <c r="AV212" s="196"/>
      <c r="AW212" s="197"/>
      <c r="AX212" s="197"/>
      <c r="AY212" s="197"/>
      <c r="AZ212" s="197"/>
    </row>
    <row r="213" spans="1:52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7"/>
      <c r="N213" s="197"/>
      <c r="O213" s="198"/>
      <c r="P213" s="198"/>
      <c r="Q213" s="198"/>
      <c r="R213" s="196"/>
      <c r="S213" s="196"/>
      <c r="T213" s="196"/>
      <c r="U213" s="196"/>
      <c r="V213" s="196"/>
      <c r="W213" s="196"/>
      <c r="X213" s="197"/>
      <c r="Y213" s="197"/>
      <c r="Z213" s="197"/>
      <c r="AA213" s="196"/>
      <c r="AB213" s="196"/>
      <c r="AC213" s="196"/>
      <c r="AD213" s="196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7"/>
      <c r="AR213" s="196"/>
      <c r="AS213" s="196"/>
      <c r="AT213" s="196"/>
      <c r="AU213" s="196"/>
      <c r="AV213" s="196"/>
      <c r="AW213" s="197"/>
      <c r="AX213" s="197"/>
      <c r="AY213" s="197"/>
      <c r="AZ213" s="197"/>
    </row>
    <row r="214" spans="1:52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7"/>
      <c r="N214" s="197"/>
      <c r="O214" s="198"/>
      <c r="P214" s="198"/>
      <c r="Q214" s="198"/>
      <c r="R214" s="196"/>
      <c r="S214" s="196"/>
      <c r="T214" s="196"/>
      <c r="U214" s="196"/>
      <c r="V214" s="196"/>
      <c r="W214" s="196"/>
      <c r="X214" s="197"/>
      <c r="Y214" s="197"/>
      <c r="Z214" s="197"/>
      <c r="AA214" s="196"/>
      <c r="AB214" s="196"/>
      <c r="AC214" s="196"/>
      <c r="AD214" s="196"/>
      <c r="AE214" s="196"/>
      <c r="AF214" s="196"/>
      <c r="AG214" s="196"/>
      <c r="AH214" s="196"/>
      <c r="AI214" s="196"/>
      <c r="AJ214" s="196"/>
      <c r="AK214" s="196"/>
      <c r="AL214" s="196"/>
      <c r="AM214" s="196"/>
      <c r="AN214" s="196"/>
      <c r="AO214" s="196"/>
      <c r="AP214" s="196"/>
      <c r="AQ214" s="197"/>
      <c r="AR214" s="196"/>
      <c r="AS214" s="196"/>
      <c r="AT214" s="196"/>
      <c r="AU214" s="196"/>
      <c r="AV214" s="196"/>
      <c r="AW214" s="197"/>
      <c r="AX214" s="197"/>
      <c r="AY214" s="197"/>
      <c r="AZ214" s="197"/>
    </row>
    <row r="215" spans="1:52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7"/>
      <c r="N215" s="197"/>
      <c r="O215" s="198"/>
      <c r="P215" s="198"/>
      <c r="Q215" s="198"/>
      <c r="R215" s="196"/>
      <c r="S215" s="196"/>
      <c r="T215" s="196"/>
      <c r="U215" s="196"/>
      <c r="V215" s="196"/>
      <c r="W215" s="196"/>
      <c r="X215" s="197"/>
      <c r="Y215" s="197"/>
      <c r="Z215" s="197"/>
      <c r="AA215" s="196"/>
      <c r="AB215" s="196"/>
      <c r="AC215" s="196"/>
      <c r="AD215" s="196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  <c r="AP215" s="196"/>
      <c r="AQ215" s="197"/>
      <c r="AR215" s="196"/>
      <c r="AS215" s="196"/>
      <c r="AT215" s="196"/>
      <c r="AU215" s="196"/>
      <c r="AV215" s="196"/>
      <c r="AW215" s="197"/>
      <c r="AX215" s="197"/>
      <c r="AY215" s="197"/>
      <c r="AZ215" s="197"/>
    </row>
    <row r="216" spans="1:52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7"/>
      <c r="N216" s="197"/>
      <c r="O216" s="198"/>
      <c r="P216" s="198"/>
      <c r="Q216" s="198"/>
      <c r="R216" s="196"/>
      <c r="S216" s="196"/>
      <c r="T216" s="196"/>
      <c r="U216" s="196"/>
      <c r="V216" s="196"/>
      <c r="W216" s="196"/>
      <c r="X216" s="197"/>
      <c r="Y216" s="197"/>
      <c r="Z216" s="197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7"/>
      <c r="AR216" s="196"/>
      <c r="AS216" s="196"/>
      <c r="AT216" s="196"/>
      <c r="AU216" s="196"/>
      <c r="AV216" s="196"/>
      <c r="AW216" s="197"/>
      <c r="AX216" s="197"/>
      <c r="AY216" s="197"/>
      <c r="AZ216" s="197"/>
    </row>
    <row r="217" spans="1:52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7"/>
      <c r="N217" s="197"/>
      <c r="O217" s="198"/>
      <c r="P217" s="198"/>
      <c r="Q217" s="198"/>
      <c r="R217" s="196"/>
      <c r="S217" s="196"/>
      <c r="T217" s="196"/>
      <c r="U217" s="196"/>
      <c r="V217" s="196"/>
      <c r="W217" s="196"/>
      <c r="X217" s="197"/>
      <c r="Y217" s="197"/>
      <c r="Z217" s="197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7"/>
      <c r="AR217" s="196"/>
      <c r="AS217" s="196"/>
      <c r="AT217" s="196"/>
      <c r="AU217" s="196"/>
      <c r="AV217" s="196"/>
      <c r="AW217" s="197"/>
      <c r="AX217" s="197"/>
      <c r="AY217" s="197"/>
      <c r="AZ217" s="197"/>
    </row>
    <row r="218" spans="1:52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7"/>
      <c r="N218" s="197"/>
      <c r="O218" s="198"/>
      <c r="P218" s="198"/>
      <c r="Q218" s="198"/>
      <c r="R218" s="196"/>
      <c r="S218" s="196"/>
      <c r="T218" s="196"/>
      <c r="U218" s="196"/>
      <c r="V218" s="196"/>
      <c r="W218" s="196"/>
      <c r="X218" s="197"/>
      <c r="Y218" s="197"/>
      <c r="Z218" s="197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  <c r="AK218" s="196"/>
      <c r="AL218" s="196"/>
      <c r="AM218" s="196"/>
      <c r="AN218" s="196"/>
      <c r="AO218" s="196"/>
      <c r="AP218" s="196"/>
      <c r="AQ218" s="197"/>
      <c r="AR218" s="196"/>
      <c r="AS218" s="196"/>
      <c r="AT218" s="196"/>
      <c r="AU218" s="196"/>
      <c r="AV218" s="196"/>
      <c r="AW218" s="197"/>
      <c r="AX218" s="197"/>
      <c r="AY218" s="197"/>
      <c r="AZ218" s="197"/>
    </row>
    <row r="219" spans="1:52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7"/>
      <c r="N219" s="197"/>
      <c r="O219" s="198"/>
      <c r="P219" s="198"/>
      <c r="Q219" s="198"/>
      <c r="R219" s="196"/>
      <c r="S219" s="196"/>
      <c r="T219" s="196"/>
      <c r="U219" s="196"/>
      <c r="V219" s="196"/>
      <c r="W219" s="196"/>
      <c r="X219" s="197"/>
      <c r="Y219" s="197"/>
      <c r="Z219" s="197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  <c r="AK219" s="196"/>
      <c r="AL219" s="196"/>
      <c r="AM219" s="196"/>
      <c r="AN219" s="196"/>
      <c r="AO219" s="196"/>
      <c r="AP219" s="196"/>
      <c r="AQ219" s="197"/>
      <c r="AR219" s="196"/>
      <c r="AS219" s="196"/>
      <c r="AT219" s="196"/>
      <c r="AU219" s="196"/>
      <c r="AV219" s="196"/>
      <c r="AW219" s="197"/>
      <c r="AX219" s="197"/>
      <c r="AY219" s="197"/>
      <c r="AZ219" s="197"/>
    </row>
    <row r="220" spans="1:52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7"/>
      <c r="N220" s="197"/>
      <c r="O220" s="198"/>
      <c r="P220" s="198"/>
      <c r="Q220" s="198"/>
      <c r="R220" s="196"/>
      <c r="S220" s="196"/>
      <c r="T220" s="196"/>
      <c r="U220" s="196"/>
      <c r="V220" s="196"/>
      <c r="W220" s="196"/>
      <c r="X220" s="197"/>
      <c r="Y220" s="197"/>
      <c r="Z220" s="197"/>
      <c r="AA220" s="196"/>
      <c r="AB220" s="196"/>
      <c r="AC220" s="196"/>
      <c r="AD220" s="196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7"/>
      <c r="AR220" s="196"/>
      <c r="AS220" s="196"/>
      <c r="AT220" s="196"/>
      <c r="AU220" s="196"/>
      <c r="AV220" s="196"/>
      <c r="AW220" s="197"/>
      <c r="AX220" s="197"/>
      <c r="AY220" s="197"/>
      <c r="AZ220" s="197"/>
    </row>
    <row r="221" spans="1:52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7"/>
      <c r="N221" s="197"/>
      <c r="O221" s="198"/>
      <c r="P221" s="198"/>
      <c r="Q221" s="198"/>
      <c r="R221" s="196"/>
      <c r="S221" s="196"/>
      <c r="T221" s="196"/>
      <c r="U221" s="196"/>
      <c r="V221" s="196"/>
      <c r="W221" s="196"/>
      <c r="X221" s="197"/>
      <c r="Y221" s="197"/>
      <c r="Z221" s="197"/>
      <c r="AA221" s="196"/>
      <c r="AB221" s="196"/>
      <c r="AC221" s="196"/>
      <c r="AD221" s="196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  <c r="AQ221" s="197"/>
      <c r="AR221" s="196"/>
      <c r="AS221" s="196"/>
      <c r="AT221" s="196"/>
      <c r="AU221" s="196"/>
      <c r="AV221" s="196"/>
      <c r="AW221" s="197"/>
      <c r="AX221" s="197"/>
      <c r="AY221" s="197"/>
      <c r="AZ221" s="197"/>
    </row>
    <row r="222" spans="1:52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7"/>
      <c r="N222" s="197"/>
      <c r="O222" s="198"/>
      <c r="P222" s="198"/>
      <c r="Q222" s="198"/>
      <c r="R222" s="196"/>
      <c r="S222" s="196"/>
      <c r="T222" s="196"/>
      <c r="U222" s="196"/>
      <c r="V222" s="196"/>
      <c r="W222" s="196"/>
      <c r="X222" s="197"/>
      <c r="Y222" s="197"/>
      <c r="Z222" s="197"/>
      <c r="AA222" s="196"/>
      <c r="AB222" s="196"/>
      <c r="AC222" s="196"/>
      <c r="AD222" s="196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7"/>
      <c r="AR222" s="196"/>
      <c r="AS222" s="196"/>
      <c r="AT222" s="196"/>
      <c r="AU222" s="196"/>
      <c r="AV222" s="196"/>
      <c r="AW222" s="197"/>
      <c r="AX222" s="197"/>
      <c r="AY222" s="197"/>
      <c r="AZ222" s="197"/>
    </row>
    <row r="223" spans="1:52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7"/>
      <c r="N223" s="197"/>
      <c r="O223" s="198"/>
      <c r="P223" s="198"/>
      <c r="Q223" s="198"/>
      <c r="R223" s="196"/>
      <c r="S223" s="196"/>
      <c r="T223" s="196"/>
      <c r="U223" s="196"/>
      <c r="V223" s="196"/>
      <c r="W223" s="196"/>
      <c r="X223" s="197"/>
      <c r="Y223" s="197"/>
      <c r="Z223" s="197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  <c r="AN223" s="196"/>
      <c r="AO223" s="196"/>
      <c r="AP223" s="196"/>
      <c r="AQ223" s="197"/>
      <c r="AR223" s="196"/>
      <c r="AS223" s="196"/>
      <c r="AT223" s="196"/>
      <c r="AU223" s="196"/>
      <c r="AV223" s="196"/>
      <c r="AW223" s="197"/>
      <c r="AX223" s="197"/>
      <c r="AY223" s="197"/>
      <c r="AZ223" s="197"/>
    </row>
    <row r="224" spans="1:52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7"/>
      <c r="N224" s="197"/>
      <c r="O224" s="198"/>
      <c r="P224" s="198"/>
      <c r="Q224" s="198"/>
      <c r="R224" s="196"/>
      <c r="S224" s="196"/>
      <c r="T224" s="196"/>
      <c r="U224" s="196"/>
      <c r="V224" s="196"/>
      <c r="W224" s="196"/>
      <c r="X224" s="197"/>
      <c r="Y224" s="197"/>
      <c r="Z224" s="197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7"/>
      <c r="AR224" s="196"/>
      <c r="AS224" s="196"/>
      <c r="AT224" s="196"/>
      <c r="AU224" s="196"/>
      <c r="AV224" s="196"/>
      <c r="AW224" s="197"/>
      <c r="AX224" s="197"/>
      <c r="AY224" s="197"/>
      <c r="AZ224" s="197"/>
    </row>
    <row r="225" spans="1:52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7"/>
      <c r="N225" s="197"/>
      <c r="O225" s="198"/>
      <c r="P225" s="198"/>
      <c r="Q225" s="198"/>
      <c r="R225" s="196"/>
      <c r="S225" s="196"/>
      <c r="T225" s="196"/>
      <c r="U225" s="196"/>
      <c r="V225" s="196"/>
      <c r="W225" s="196"/>
      <c r="X225" s="197"/>
      <c r="Y225" s="197"/>
      <c r="Z225" s="197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7"/>
      <c r="AR225" s="196"/>
      <c r="AS225" s="196"/>
      <c r="AT225" s="196"/>
      <c r="AU225" s="196"/>
      <c r="AV225" s="196"/>
      <c r="AW225" s="197"/>
      <c r="AX225" s="197"/>
      <c r="AY225" s="197"/>
      <c r="AZ225" s="197"/>
    </row>
    <row r="226" spans="1:52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7"/>
      <c r="N226" s="197"/>
      <c r="O226" s="198"/>
      <c r="P226" s="198"/>
      <c r="Q226" s="198"/>
      <c r="R226" s="196"/>
      <c r="S226" s="196"/>
      <c r="T226" s="196"/>
      <c r="U226" s="196"/>
      <c r="V226" s="196"/>
      <c r="W226" s="196"/>
      <c r="X226" s="197"/>
      <c r="Y226" s="197"/>
      <c r="Z226" s="197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7"/>
      <c r="AR226" s="196"/>
      <c r="AS226" s="196"/>
      <c r="AT226" s="196"/>
      <c r="AU226" s="196"/>
      <c r="AV226" s="196"/>
      <c r="AW226" s="197"/>
      <c r="AX226" s="197"/>
      <c r="AY226" s="197"/>
      <c r="AZ226" s="197"/>
    </row>
    <row r="227" spans="1:52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7"/>
      <c r="N227" s="197"/>
      <c r="O227" s="198"/>
      <c r="P227" s="198"/>
      <c r="Q227" s="198"/>
      <c r="R227" s="196"/>
      <c r="S227" s="196"/>
      <c r="T227" s="196"/>
      <c r="U227" s="196"/>
      <c r="V227" s="196"/>
      <c r="W227" s="196"/>
      <c r="X227" s="197"/>
      <c r="Y227" s="197"/>
      <c r="Z227" s="197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7"/>
      <c r="AR227" s="196"/>
      <c r="AS227" s="196"/>
      <c r="AT227" s="196"/>
      <c r="AU227" s="196"/>
      <c r="AV227" s="196"/>
      <c r="AW227" s="197"/>
      <c r="AX227" s="197"/>
      <c r="AY227" s="197"/>
      <c r="AZ227" s="197"/>
    </row>
    <row r="228" spans="1:52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7"/>
      <c r="N228" s="197"/>
      <c r="O228" s="198"/>
      <c r="P228" s="198"/>
      <c r="Q228" s="198"/>
      <c r="R228" s="196"/>
      <c r="S228" s="196"/>
      <c r="T228" s="196"/>
      <c r="U228" s="196"/>
      <c r="V228" s="196"/>
      <c r="W228" s="196"/>
      <c r="X228" s="197"/>
      <c r="Y228" s="197"/>
      <c r="Z228" s="197"/>
      <c r="AA228" s="196"/>
      <c r="AB228" s="196"/>
      <c r="AC228" s="196"/>
      <c r="AD228" s="196"/>
      <c r="AE228" s="196"/>
      <c r="AF228" s="196"/>
      <c r="AG228" s="196"/>
      <c r="AH228" s="196"/>
      <c r="AI228" s="196"/>
      <c r="AJ228" s="196"/>
      <c r="AK228" s="196"/>
      <c r="AL228" s="196"/>
      <c r="AM228" s="196"/>
      <c r="AN228" s="196"/>
      <c r="AO228" s="196"/>
      <c r="AP228" s="196"/>
      <c r="AQ228" s="197"/>
      <c r="AR228" s="196"/>
      <c r="AS228" s="196"/>
      <c r="AT228" s="196"/>
      <c r="AU228" s="196"/>
      <c r="AV228" s="196"/>
      <c r="AW228" s="197"/>
      <c r="AX228" s="197"/>
      <c r="AY228" s="197"/>
      <c r="AZ228" s="197"/>
    </row>
    <row r="229" spans="1:52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7"/>
      <c r="N229" s="197"/>
      <c r="O229" s="198"/>
      <c r="P229" s="198"/>
      <c r="Q229" s="198"/>
      <c r="R229" s="196"/>
      <c r="S229" s="196"/>
      <c r="T229" s="196"/>
      <c r="U229" s="196"/>
      <c r="V229" s="196"/>
      <c r="W229" s="196"/>
      <c r="X229" s="197"/>
      <c r="Y229" s="197"/>
      <c r="Z229" s="197"/>
      <c r="AA229" s="196"/>
      <c r="AB229" s="196"/>
      <c r="AC229" s="196"/>
      <c r="AD229" s="196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7"/>
      <c r="AR229" s="196"/>
      <c r="AS229" s="196"/>
      <c r="AT229" s="196"/>
      <c r="AU229" s="196"/>
      <c r="AV229" s="196"/>
      <c r="AW229" s="197"/>
      <c r="AX229" s="197"/>
      <c r="AY229" s="197"/>
      <c r="AZ229" s="197"/>
    </row>
    <row r="230" spans="1:52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7"/>
      <c r="N230" s="197"/>
      <c r="O230" s="198"/>
      <c r="P230" s="198"/>
      <c r="Q230" s="198"/>
      <c r="R230" s="196"/>
      <c r="S230" s="196"/>
      <c r="T230" s="196"/>
      <c r="U230" s="196"/>
      <c r="V230" s="196"/>
      <c r="W230" s="196"/>
      <c r="X230" s="197"/>
      <c r="Y230" s="197"/>
      <c r="Z230" s="197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7"/>
      <c r="AR230" s="196"/>
      <c r="AS230" s="196"/>
      <c r="AT230" s="196"/>
      <c r="AU230" s="196"/>
      <c r="AV230" s="196"/>
      <c r="AW230" s="197"/>
      <c r="AX230" s="197"/>
      <c r="AY230" s="197"/>
      <c r="AZ230" s="197"/>
    </row>
    <row r="231" spans="1:52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7"/>
      <c r="N231" s="197"/>
      <c r="O231" s="198"/>
      <c r="P231" s="198"/>
      <c r="Q231" s="198"/>
      <c r="R231" s="196"/>
      <c r="S231" s="196"/>
      <c r="T231" s="196"/>
      <c r="U231" s="196"/>
      <c r="V231" s="196"/>
      <c r="W231" s="196"/>
      <c r="X231" s="197"/>
      <c r="Y231" s="197"/>
      <c r="Z231" s="197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7"/>
      <c r="AR231" s="196"/>
      <c r="AS231" s="196"/>
      <c r="AT231" s="196"/>
      <c r="AU231" s="196"/>
      <c r="AV231" s="196"/>
      <c r="AW231" s="197"/>
      <c r="AX231" s="197"/>
      <c r="AY231" s="197"/>
      <c r="AZ231" s="197"/>
    </row>
    <row r="232" spans="1:52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7"/>
      <c r="N232" s="197"/>
      <c r="O232" s="198"/>
      <c r="P232" s="198"/>
      <c r="Q232" s="198"/>
      <c r="R232" s="196"/>
      <c r="S232" s="196"/>
      <c r="T232" s="196"/>
      <c r="U232" s="196"/>
      <c r="V232" s="196"/>
      <c r="W232" s="196"/>
      <c r="X232" s="197"/>
      <c r="Y232" s="197"/>
      <c r="Z232" s="197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7"/>
      <c r="AR232" s="196"/>
      <c r="AS232" s="196"/>
      <c r="AT232" s="196"/>
      <c r="AU232" s="196"/>
      <c r="AV232" s="196"/>
      <c r="AW232" s="197"/>
      <c r="AX232" s="197"/>
      <c r="AY232" s="197"/>
      <c r="AZ232" s="197"/>
    </row>
    <row r="233" spans="1:52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7"/>
      <c r="N233" s="197"/>
      <c r="O233" s="198"/>
      <c r="P233" s="198"/>
      <c r="Q233" s="198"/>
      <c r="R233" s="196"/>
      <c r="S233" s="196"/>
      <c r="T233" s="196"/>
      <c r="U233" s="196"/>
      <c r="V233" s="196"/>
      <c r="W233" s="196"/>
      <c r="X233" s="197"/>
      <c r="Y233" s="197"/>
      <c r="Z233" s="197"/>
      <c r="AA233" s="196"/>
      <c r="AB233" s="196"/>
      <c r="AC233" s="196"/>
      <c r="AD233" s="196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  <c r="AP233" s="196"/>
      <c r="AQ233" s="197"/>
      <c r="AR233" s="196"/>
      <c r="AS233" s="196"/>
      <c r="AT233" s="196"/>
      <c r="AU233" s="196"/>
      <c r="AV233" s="196"/>
      <c r="AW233" s="197"/>
      <c r="AX233" s="197"/>
      <c r="AY233" s="197"/>
      <c r="AZ233" s="197"/>
    </row>
    <row r="234" spans="1:52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7"/>
      <c r="N234" s="197"/>
      <c r="O234" s="198"/>
      <c r="P234" s="198"/>
      <c r="Q234" s="198"/>
      <c r="R234" s="196"/>
      <c r="S234" s="196"/>
      <c r="T234" s="196"/>
      <c r="U234" s="196"/>
      <c r="V234" s="196"/>
      <c r="W234" s="196"/>
      <c r="X234" s="197"/>
      <c r="Y234" s="197"/>
      <c r="Z234" s="197"/>
      <c r="AA234" s="196"/>
      <c r="AB234" s="196"/>
      <c r="AC234" s="196"/>
      <c r="AD234" s="196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  <c r="AP234" s="196"/>
      <c r="AQ234" s="197"/>
      <c r="AR234" s="196"/>
      <c r="AS234" s="196"/>
      <c r="AT234" s="196"/>
      <c r="AU234" s="196"/>
      <c r="AV234" s="196"/>
      <c r="AW234" s="197"/>
      <c r="AX234" s="197"/>
      <c r="AY234" s="197"/>
      <c r="AZ234" s="197"/>
    </row>
    <row r="235" spans="1:52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7"/>
      <c r="N235" s="197"/>
      <c r="O235" s="198"/>
      <c r="P235" s="198"/>
      <c r="Q235" s="198"/>
      <c r="R235" s="196"/>
      <c r="S235" s="196"/>
      <c r="T235" s="196"/>
      <c r="U235" s="196"/>
      <c r="V235" s="196"/>
      <c r="W235" s="196"/>
      <c r="X235" s="197"/>
      <c r="Y235" s="197"/>
      <c r="Z235" s="197"/>
      <c r="AA235" s="196"/>
      <c r="AB235" s="196"/>
      <c r="AC235" s="196"/>
      <c r="AD235" s="196"/>
      <c r="AE235" s="196"/>
      <c r="AF235" s="196"/>
      <c r="AG235" s="196"/>
      <c r="AH235" s="196"/>
      <c r="AI235" s="196"/>
      <c r="AJ235" s="196"/>
      <c r="AK235" s="196"/>
      <c r="AL235" s="196"/>
      <c r="AM235" s="196"/>
      <c r="AN235" s="196"/>
      <c r="AO235" s="196"/>
      <c r="AP235" s="196"/>
      <c r="AQ235" s="197"/>
      <c r="AR235" s="196"/>
      <c r="AS235" s="196"/>
      <c r="AT235" s="196"/>
      <c r="AU235" s="196"/>
      <c r="AV235" s="196"/>
      <c r="AW235" s="197"/>
      <c r="AX235" s="197"/>
      <c r="AY235" s="197"/>
      <c r="AZ235" s="197"/>
    </row>
    <row r="236" spans="1:52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7"/>
      <c r="N236" s="197"/>
      <c r="O236" s="198"/>
      <c r="P236" s="198"/>
      <c r="Q236" s="198"/>
      <c r="R236" s="196"/>
      <c r="S236" s="196"/>
      <c r="T236" s="196"/>
      <c r="U236" s="196"/>
      <c r="V236" s="196"/>
      <c r="W236" s="196"/>
      <c r="X236" s="197"/>
      <c r="Y236" s="197"/>
      <c r="Z236" s="197"/>
      <c r="AA236" s="196"/>
      <c r="AB236" s="196"/>
      <c r="AC236" s="196"/>
      <c r="AD236" s="196"/>
      <c r="AE236" s="196"/>
      <c r="AF236" s="196"/>
      <c r="AG236" s="196"/>
      <c r="AH236" s="196"/>
      <c r="AI236" s="196"/>
      <c r="AJ236" s="196"/>
      <c r="AK236" s="196"/>
      <c r="AL236" s="196"/>
      <c r="AM236" s="196"/>
      <c r="AN236" s="196"/>
      <c r="AO236" s="196"/>
      <c r="AP236" s="196"/>
      <c r="AQ236" s="197"/>
      <c r="AR236" s="196"/>
      <c r="AS236" s="196"/>
      <c r="AT236" s="196"/>
      <c r="AU236" s="196"/>
      <c r="AV236" s="196"/>
      <c r="AW236" s="197"/>
      <c r="AX236" s="197"/>
      <c r="AY236" s="197"/>
      <c r="AZ236" s="197"/>
    </row>
    <row r="237" spans="1:52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7"/>
      <c r="N237" s="197"/>
      <c r="O237" s="198"/>
      <c r="P237" s="198"/>
      <c r="Q237" s="198"/>
      <c r="R237" s="196"/>
      <c r="S237" s="196"/>
      <c r="T237" s="196"/>
      <c r="U237" s="196"/>
      <c r="V237" s="196"/>
      <c r="W237" s="196"/>
      <c r="X237" s="197"/>
      <c r="Y237" s="197"/>
      <c r="Z237" s="197"/>
      <c r="AA237" s="196"/>
      <c r="AB237" s="196"/>
      <c r="AC237" s="196"/>
      <c r="AD237" s="196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  <c r="AQ237" s="197"/>
      <c r="AR237" s="196"/>
      <c r="AS237" s="196"/>
      <c r="AT237" s="196"/>
      <c r="AU237" s="196"/>
      <c r="AV237" s="196"/>
      <c r="AW237" s="197"/>
      <c r="AX237" s="197"/>
      <c r="AY237" s="197"/>
      <c r="AZ237" s="197"/>
    </row>
    <row r="238" spans="1:52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7"/>
      <c r="N238" s="197"/>
      <c r="O238" s="198"/>
      <c r="P238" s="198"/>
      <c r="Q238" s="198"/>
      <c r="R238" s="196"/>
      <c r="S238" s="196"/>
      <c r="T238" s="196"/>
      <c r="U238" s="196"/>
      <c r="V238" s="196"/>
      <c r="W238" s="196"/>
      <c r="X238" s="197"/>
      <c r="Y238" s="197"/>
      <c r="Z238" s="197"/>
      <c r="AA238" s="196"/>
      <c r="AB238" s="196"/>
      <c r="AC238" s="196"/>
      <c r="AD238" s="196"/>
      <c r="AE238" s="196"/>
      <c r="AF238" s="196"/>
      <c r="AG238" s="196"/>
      <c r="AH238" s="196"/>
      <c r="AI238" s="196"/>
      <c r="AJ238" s="196"/>
      <c r="AK238" s="196"/>
      <c r="AL238" s="196"/>
      <c r="AM238" s="196"/>
      <c r="AN238" s="196"/>
      <c r="AO238" s="196"/>
      <c r="AP238" s="196"/>
      <c r="AQ238" s="197"/>
      <c r="AR238" s="196"/>
      <c r="AS238" s="196"/>
      <c r="AT238" s="196"/>
      <c r="AU238" s="196"/>
      <c r="AV238" s="196"/>
      <c r="AW238" s="197"/>
      <c r="AX238" s="197"/>
      <c r="AY238" s="197"/>
      <c r="AZ238" s="197"/>
    </row>
    <row r="239" spans="1:52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7"/>
      <c r="N239" s="197"/>
      <c r="O239" s="198"/>
      <c r="P239" s="198"/>
      <c r="Q239" s="198"/>
      <c r="R239" s="196"/>
      <c r="S239" s="196"/>
      <c r="T239" s="196"/>
      <c r="U239" s="196"/>
      <c r="V239" s="196"/>
      <c r="W239" s="196"/>
      <c r="X239" s="197"/>
      <c r="Y239" s="197"/>
      <c r="Z239" s="197"/>
      <c r="AA239" s="196"/>
      <c r="AB239" s="196"/>
      <c r="AC239" s="196"/>
      <c r="AD239" s="196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7"/>
      <c r="AR239" s="196"/>
      <c r="AS239" s="196"/>
      <c r="AT239" s="196"/>
      <c r="AU239" s="196"/>
      <c r="AV239" s="196"/>
      <c r="AW239" s="197"/>
      <c r="AX239" s="197"/>
      <c r="AY239" s="197"/>
      <c r="AZ239" s="197"/>
    </row>
    <row r="240" spans="1:52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7"/>
      <c r="N240" s="197"/>
      <c r="O240" s="198"/>
      <c r="P240" s="198"/>
      <c r="Q240" s="198"/>
      <c r="R240" s="196"/>
      <c r="S240" s="196"/>
      <c r="T240" s="196"/>
      <c r="U240" s="196"/>
      <c r="V240" s="196"/>
      <c r="W240" s="196"/>
      <c r="X240" s="197"/>
      <c r="Y240" s="197"/>
      <c r="Z240" s="197"/>
      <c r="AA240" s="196"/>
      <c r="AB240" s="196"/>
      <c r="AC240" s="196"/>
      <c r="AD240" s="196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7"/>
      <c r="AR240" s="196"/>
      <c r="AS240" s="196"/>
      <c r="AT240" s="196"/>
      <c r="AU240" s="196"/>
      <c r="AV240" s="196"/>
      <c r="AW240" s="197"/>
      <c r="AX240" s="197"/>
      <c r="AY240" s="197"/>
      <c r="AZ240" s="197"/>
    </row>
    <row r="241" spans="1:52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7"/>
      <c r="N241" s="197"/>
      <c r="O241" s="198"/>
      <c r="P241" s="198"/>
      <c r="Q241" s="198"/>
      <c r="R241" s="196"/>
      <c r="S241" s="196"/>
      <c r="T241" s="196"/>
      <c r="U241" s="196"/>
      <c r="V241" s="196"/>
      <c r="W241" s="196"/>
      <c r="X241" s="197"/>
      <c r="Y241" s="197"/>
      <c r="Z241" s="197"/>
      <c r="AA241" s="196"/>
      <c r="AB241" s="196"/>
      <c r="AC241" s="196"/>
      <c r="AD241" s="196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  <c r="AQ241" s="197"/>
      <c r="AR241" s="196"/>
      <c r="AS241" s="196"/>
      <c r="AT241" s="196"/>
      <c r="AU241" s="196"/>
      <c r="AV241" s="196"/>
      <c r="AW241" s="197"/>
      <c r="AX241" s="197"/>
      <c r="AY241" s="197"/>
      <c r="AZ241" s="197"/>
    </row>
    <row r="242" spans="1:52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7"/>
      <c r="N242" s="197"/>
      <c r="O242" s="198"/>
      <c r="P242" s="198"/>
      <c r="Q242" s="198"/>
      <c r="R242" s="196"/>
      <c r="S242" s="196"/>
      <c r="T242" s="196"/>
      <c r="U242" s="196"/>
      <c r="V242" s="196"/>
      <c r="W242" s="196"/>
      <c r="X242" s="197"/>
      <c r="Y242" s="197"/>
      <c r="Z242" s="197"/>
      <c r="AA242" s="196"/>
      <c r="AB242" s="196"/>
      <c r="AC242" s="196"/>
      <c r="AD242" s="196"/>
      <c r="AE242" s="196"/>
      <c r="AF242" s="196"/>
      <c r="AG242" s="196"/>
      <c r="AH242" s="196"/>
      <c r="AI242" s="196"/>
      <c r="AJ242" s="196"/>
      <c r="AK242" s="196"/>
      <c r="AL242" s="196"/>
      <c r="AM242" s="196"/>
      <c r="AN242" s="196"/>
      <c r="AO242" s="196"/>
      <c r="AP242" s="196"/>
      <c r="AQ242" s="197"/>
      <c r="AR242" s="196"/>
      <c r="AS242" s="196"/>
      <c r="AT242" s="196"/>
      <c r="AU242" s="196"/>
      <c r="AV242" s="196"/>
      <c r="AW242" s="197"/>
      <c r="AX242" s="197"/>
      <c r="AY242" s="197"/>
      <c r="AZ242" s="197"/>
    </row>
    <row r="243" spans="1:52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7"/>
      <c r="N243" s="197"/>
      <c r="O243" s="198"/>
      <c r="P243" s="198"/>
      <c r="Q243" s="198"/>
      <c r="R243" s="196"/>
      <c r="S243" s="196"/>
      <c r="T243" s="196"/>
      <c r="U243" s="196"/>
      <c r="V243" s="196"/>
      <c r="W243" s="196"/>
      <c r="X243" s="197"/>
      <c r="Y243" s="197"/>
      <c r="Z243" s="197"/>
      <c r="AA243" s="196"/>
      <c r="AB243" s="196"/>
      <c r="AC243" s="196"/>
      <c r="AD243" s="196"/>
      <c r="AE243" s="196"/>
      <c r="AF243" s="196"/>
      <c r="AG243" s="196"/>
      <c r="AH243" s="196"/>
      <c r="AI243" s="196"/>
      <c r="AJ243" s="196"/>
      <c r="AK243" s="196"/>
      <c r="AL243" s="196"/>
      <c r="AM243" s="196"/>
      <c r="AN243" s="196"/>
      <c r="AO243" s="196"/>
      <c r="AP243" s="196"/>
      <c r="AQ243" s="197"/>
      <c r="AR243" s="196"/>
      <c r="AS243" s="196"/>
      <c r="AT243" s="196"/>
      <c r="AU243" s="196"/>
      <c r="AV243" s="196"/>
      <c r="AW243" s="197"/>
      <c r="AX243" s="197"/>
      <c r="AY243" s="197"/>
      <c r="AZ243" s="197"/>
    </row>
    <row r="244" spans="1:52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7"/>
      <c r="N244" s="197"/>
      <c r="O244" s="198"/>
      <c r="P244" s="198"/>
      <c r="Q244" s="198"/>
      <c r="R244" s="196"/>
      <c r="S244" s="196"/>
      <c r="T244" s="196"/>
      <c r="U244" s="196"/>
      <c r="V244" s="196"/>
      <c r="W244" s="196"/>
      <c r="X244" s="197"/>
      <c r="Y244" s="197"/>
      <c r="Z244" s="197"/>
      <c r="AA244" s="196"/>
      <c r="AB244" s="196"/>
      <c r="AC244" s="196"/>
      <c r="AD244" s="196"/>
      <c r="AE244" s="196"/>
      <c r="AF244" s="196"/>
      <c r="AG244" s="196"/>
      <c r="AH244" s="196"/>
      <c r="AI244" s="196"/>
      <c r="AJ244" s="196"/>
      <c r="AK244" s="196"/>
      <c r="AL244" s="196"/>
      <c r="AM244" s="196"/>
      <c r="AN244" s="196"/>
      <c r="AO244" s="196"/>
      <c r="AP244" s="196"/>
      <c r="AQ244" s="197"/>
      <c r="AR244" s="196"/>
      <c r="AS244" s="196"/>
      <c r="AT244" s="196"/>
      <c r="AU244" s="196"/>
      <c r="AV244" s="196"/>
      <c r="AW244" s="197"/>
      <c r="AX244" s="197"/>
      <c r="AY244" s="197"/>
      <c r="AZ244" s="197"/>
    </row>
    <row r="245" spans="1:52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7"/>
      <c r="N245" s="197"/>
      <c r="O245" s="198"/>
      <c r="P245" s="198"/>
      <c r="Q245" s="198"/>
      <c r="R245" s="196"/>
      <c r="S245" s="196"/>
      <c r="T245" s="196"/>
      <c r="U245" s="196"/>
      <c r="V245" s="196"/>
      <c r="W245" s="196"/>
      <c r="X245" s="197"/>
      <c r="Y245" s="197"/>
      <c r="Z245" s="197"/>
      <c r="AA245" s="196"/>
      <c r="AB245" s="196"/>
      <c r="AC245" s="196"/>
      <c r="AD245" s="196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7"/>
      <c r="AR245" s="196"/>
      <c r="AS245" s="196"/>
      <c r="AT245" s="196"/>
      <c r="AU245" s="196"/>
      <c r="AV245" s="196"/>
      <c r="AW245" s="197"/>
      <c r="AX245" s="197"/>
      <c r="AY245" s="197"/>
      <c r="AZ245" s="197"/>
    </row>
    <row r="246" spans="1:52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7"/>
      <c r="N246" s="197"/>
      <c r="O246" s="198"/>
      <c r="P246" s="198"/>
      <c r="Q246" s="198"/>
      <c r="R246" s="196"/>
      <c r="S246" s="196"/>
      <c r="T246" s="196"/>
      <c r="U246" s="196"/>
      <c r="V246" s="196"/>
      <c r="W246" s="196"/>
      <c r="X246" s="197"/>
      <c r="Y246" s="197"/>
      <c r="Z246" s="197"/>
      <c r="AA246" s="196"/>
      <c r="AB246" s="196"/>
      <c r="AC246" s="196"/>
      <c r="AD246" s="196"/>
      <c r="AE246" s="196"/>
      <c r="AF246" s="196"/>
      <c r="AG246" s="196"/>
      <c r="AH246" s="196"/>
      <c r="AI246" s="196"/>
      <c r="AJ246" s="196"/>
      <c r="AK246" s="196"/>
      <c r="AL246" s="196"/>
      <c r="AM246" s="196"/>
      <c r="AN246" s="196"/>
      <c r="AO246" s="196"/>
      <c r="AP246" s="196"/>
      <c r="AQ246" s="197"/>
      <c r="AR246" s="196"/>
      <c r="AS246" s="196"/>
      <c r="AT246" s="196"/>
      <c r="AU246" s="196"/>
      <c r="AV246" s="196"/>
      <c r="AW246" s="197"/>
      <c r="AX246" s="197"/>
      <c r="AY246" s="197"/>
      <c r="AZ246" s="197"/>
    </row>
    <row r="247" spans="1:52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7"/>
      <c r="N247" s="197"/>
      <c r="O247" s="198"/>
      <c r="P247" s="198"/>
      <c r="Q247" s="198"/>
      <c r="R247" s="196"/>
      <c r="S247" s="196"/>
      <c r="T247" s="196"/>
      <c r="U247" s="196"/>
      <c r="V247" s="196"/>
      <c r="W247" s="196"/>
      <c r="X247" s="197"/>
      <c r="Y247" s="197"/>
      <c r="Z247" s="197"/>
      <c r="AA247" s="196"/>
      <c r="AB247" s="196"/>
      <c r="AC247" s="196"/>
      <c r="AD247" s="196"/>
      <c r="AE247" s="196"/>
      <c r="AF247" s="196"/>
      <c r="AG247" s="196"/>
      <c r="AH247" s="196"/>
      <c r="AI247" s="196"/>
      <c r="AJ247" s="196"/>
      <c r="AK247" s="196"/>
      <c r="AL247" s="196"/>
      <c r="AM247" s="196"/>
      <c r="AN247" s="196"/>
      <c r="AO247" s="196"/>
      <c r="AP247" s="196"/>
      <c r="AQ247" s="197"/>
      <c r="AR247" s="196"/>
      <c r="AS247" s="196"/>
      <c r="AT247" s="196"/>
      <c r="AU247" s="196"/>
      <c r="AV247" s="196"/>
      <c r="AW247" s="197"/>
      <c r="AX247" s="197"/>
      <c r="AY247" s="197"/>
      <c r="AZ247" s="197"/>
    </row>
    <row r="248" spans="1:52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7"/>
      <c r="N248" s="197"/>
      <c r="O248" s="198"/>
      <c r="P248" s="198"/>
      <c r="Q248" s="198"/>
      <c r="R248" s="196"/>
      <c r="S248" s="196"/>
      <c r="T248" s="196"/>
      <c r="U248" s="196"/>
      <c r="V248" s="196"/>
      <c r="W248" s="196"/>
      <c r="X248" s="197"/>
      <c r="Y248" s="197"/>
      <c r="Z248" s="197"/>
      <c r="AA248" s="196"/>
      <c r="AB248" s="196"/>
      <c r="AC248" s="196"/>
      <c r="AD248" s="196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  <c r="AP248" s="196"/>
      <c r="AQ248" s="197"/>
      <c r="AR248" s="196"/>
      <c r="AS248" s="196"/>
      <c r="AT248" s="196"/>
      <c r="AU248" s="196"/>
      <c r="AV248" s="196"/>
      <c r="AW248" s="197"/>
      <c r="AX248" s="197"/>
      <c r="AY248" s="197"/>
      <c r="AZ248" s="197"/>
    </row>
    <row r="249" spans="1:52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7"/>
      <c r="N249" s="197"/>
      <c r="O249" s="198"/>
      <c r="P249" s="198"/>
      <c r="Q249" s="198"/>
      <c r="R249" s="196"/>
      <c r="S249" s="196"/>
      <c r="T249" s="196"/>
      <c r="U249" s="196"/>
      <c r="V249" s="196"/>
      <c r="W249" s="196"/>
      <c r="X249" s="197"/>
      <c r="Y249" s="197"/>
      <c r="Z249" s="197"/>
      <c r="AA249" s="196"/>
      <c r="AB249" s="196"/>
      <c r="AC249" s="196"/>
      <c r="AD249" s="196"/>
      <c r="AE249" s="196"/>
      <c r="AF249" s="196"/>
      <c r="AG249" s="196"/>
      <c r="AH249" s="196"/>
      <c r="AI249" s="196"/>
      <c r="AJ249" s="196"/>
      <c r="AK249" s="196"/>
      <c r="AL249" s="196"/>
      <c r="AM249" s="196"/>
      <c r="AN249" s="196"/>
      <c r="AO249" s="196"/>
      <c r="AP249" s="196"/>
      <c r="AQ249" s="197"/>
      <c r="AR249" s="196"/>
      <c r="AS249" s="196"/>
      <c r="AT249" s="196"/>
      <c r="AU249" s="196"/>
      <c r="AV249" s="196"/>
      <c r="AW249" s="197"/>
      <c r="AX249" s="197"/>
      <c r="AY249" s="197"/>
      <c r="AZ249" s="197"/>
    </row>
    <row r="250" spans="1:52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7"/>
      <c r="N250" s="197"/>
      <c r="O250" s="198"/>
      <c r="P250" s="198"/>
      <c r="Q250" s="198"/>
      <c r="R250" s="196"/>
      <c r="S250" s="196"/>
      <c r="T250" s="196"/>
      <c r="U250" s="196"/>
      <c r="V250" s="196"/>
      <c r="W250" s="196"/>
      <c r="X250" s="197"/>
      <c r="Y250" s="197"/>
      <c r="Z250" s="197"/>
      <c r="AA250" s="196"/>
      <c r="AB250" s="196"/>
      <c r="AC250" s="196"/>
      <c r="AD250" s="196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  <c r="AQ250" s="197"/>
      <c r="AR250" s="196"/>
      <c r="AS250" s="196"/>
      <c r="AT250" s="196"/>
      <c r="AU250" s="196"/>
      <c r="AV250" s="196"/>
      <c r="AW250" s="197"/>
      <c r="AX250" s="197"/>
      <c r="AY250" s="197"/>
      <c r="AZ250" s="197"/>
    </row>
    <row r="251" spans="1:52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7"/>
      <c r="N251" s="197"/>
      <c r="O251" s="198"/>
      <c r="P251" s="198"/>
      <c r="Q251" s="198"/>
      <c r="R251" s="196"/>
      <c r="S251" s="196"/>
      <c r="T251" s="196"/>
      <c r="U251" s="196"/>
      <c r="V251" s="196"/>
      <c r="W251" s="196"/>
      <c r="X251" s="197"/>
      <c r="Y251" s="197"/>
      <c r="Z251" s="197"/>
      <c r="AA251" s="196"/>
      <c r="AB251" s="196"/>
      <c r="AC251" s="196"/>
      <c r="AD251" s="196"/>
      <c r="AE251" s="196"/>
      <c r="AF251" s="196"/>
      <c r="AG251" s="196"/>
      <c r="AH251" s="196"/>
      <c r="AI251" s="196"/>
      <c r="AJ251" s="196"/>
      <c r="AK251" s="196"/>
      <c r="AL251" s="196"/>
      <c r="AM251" s="196"/>
      <c r="AN251" s="196"/>
      <c r="AO251" s="196"/>
      <c r="AP251" s="196"/>
      <c r="AQ251" s="197"/>
      <c r="AR251" s="196"/>
      <c r="AS251" s="196"/>
      <c r="AT251" s="196"/>
      <c r="AU251" s="196"/>
      <c r="AV251" s="196"/>
      <c r="AW251" s="197"/>
      <c r="AX251" s="197"/>
      <c r="AY251" s="197"/>
      <c r="AZ251" s="197"/>
    </row>
    <row r="252" spans="1:52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7"/>
      <c r="N252" s="197"/>
      <c r="O252" s="198"/>
      <c r="P252" s="198"/>
      <c r="Q252" s="198"/>
      <c r="R252" s="196"/>
      <c r="S252" s="196"/>
      <c r="T252" s="196"/>
      <c r="U252" s="196"/>
      <c r="V252" s="196"/>
      <c r="W252" s="196"/>
      <c r="X252" s="197"/>
      <c r="Y252" s="197"/>
      <c r="Z252" s="197"/>
      <c r="AA252" s="196"/>
      <c r="AB252" s="196"/>
      <c r="AC252" s="196"/>
      <c r="AD252" s="196"/>
      <c r="AE252" s="196"/>
      <c r="AF252" s="196"/>
      <c r="AG252" s="196"/>
      <c r="AH252" s="196"/>
      <c r="AI252" s="196"/>
      <c r="AJ252" s="196"/>
      <c r="AK252" s="196"/>
      <c r="AL252" s="196"/>
      <c r="AM252" s="196"/>
      <c r="AN252" s="196"/>
      <c r="AO252" s="196"/>
      <c r="AP252" s="196"/>
      <c r="AQ252" s="197"/>
      <c r="AR252" s="196"/>
      <c r="AS252" s="196"/>
      <c r="AT252" s="196"/>
      <c r="AU252" s="196"/>
      <c r="AV252" s="196"/>
      <c r="AW252" s="197"/>
      <c r="AX252" s="197"/>
      <c r="AY252" s="197"/>
      <c r="AZ252" s="197"/>
    </row>
    <row r="253" spans="1:52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7"/>
      <c r="N253" s="197"/>
      <c r="O253" s="198"/>
      <c r="P253" s="198"/>
      <c r="Q253" s="198"/>
      <c r="R253" s="196"/>
      <c r="S253" s="196"/>
      <c r="T253" s="196"/>
      <c r="U253" s="196"/>
      <c r="V253" s="196"/>
      <c r="W253" s="196"/>
      <c r="X253" s="197"/>
      <c r="Y253" s="197"/>
      <c r="Z253" s="197"/>
      <c r="AA253" s="196"/>
      <c r="AB253" s="196"/>
      <c r="AC253" s="196"/>
      <c r="AD253" s="196"/>
      <c r="AE253" s="196"/>
      <c r="AF253" s="196"/>
      <c r="AG253" s="196"/>
      <c r="AH253" s="196"/>
      <c r="AI253" s="196"/>
      <c r="AJ253" s="196"/>
      <c r="AK253" s="196"/>
      <c r="AL253" s="196"/>
      <c r="AM253" s="196"/>
      <c r="AN253" s="196"/>
      <c r="AO253" s="196"/>
      <c r="AP253" s="196"/>
      <c r="AQ253" s="197"/>
      <c r="AR253" s="196"/>
      <c r="AS253" s="196"/>
      <c r="AT253" s="196"/>
      <c r="AU253" s="196"/>
      <c r="AV253" s="196"/>
      <c r="AW253" s="197"/>
      <c r="AX253" s="197"/>
      <c r="AY253" s="197"/>
      <c r="AZ253" s="197"/>
    </row>
    <row r="254" spans="1:52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7"/>
      <c r="N254" s="197"/>
      <c r="O254" s="198"/>
      <c r="P254" s="198"/>
      <c r="Q254" s="198"/>
      <c r="R254" s="196"/>
      <c r="S254" s="196"/>
      <c r="T254" s="196"/>
      <c r="U254" s="196"/>
      <c r="V254" s="196"/>
      <c r="W254" s="196"/>
      <c r="X254" s="197"/>
      <c r="Y254" s="197"/>
      <c r="Z254" s="197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6"/>
      <c r="AK254" s="196"/>
      <c r="AL254" s="196"/>
      <c r="AM254" s="196"/>
      <c r="AN254" s="196"/>
      <c r="AO254" s="196"/>
      <c r="AP254" s="196"/>
      <c r="AQ254" s="197"/>
      <c r="AR254" s="196"/>
      <c r="AS254" s="196"/>
      <c r="AT254" s="196"/>
      <c r="AU254" s="196"/>
      <c r="AV254" s="196"/>
      <c r="AW254" s="197"/>
      <c r="AX254" s="197"/>
      <c r="AY254" s="197"/>
      <c r="AZ254" s="197"/>
    </row>
    <row r="255" spans="1:52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7"/>
      <c r="N255" s="197"/>
      <c r="O255" s="198"/>
      <c r="P255" s="198"/>
      <c r="Q255" s="198"/>
      <c r="R255" s="196"/>
      <c r="S255" s="196"/>
      <c r="T255" s="196"/>
      <c r="U255" s="196"/>
      <c r="V255" s="196"/>
      <c r="W255" s="196"/>
      <c r="X255" s="197"/>
      <c r="Y255" s="197"/>
      <c r="Z255" s="197"/>
      <c r="AA255" s="196"/>
      <c r="AB255" s="196"/>
      <c r="AC255" s="196"/>
      <c r="AD255" s="196"/>
      <c r="AE255" s="196"/>
      <c r="AF255" s="196"/>
      <c r="AG255" s="196"/>
      <c r="AH255" s="196"/>
      <c r="AI255" s="196"/>
      <c r="AJ255" s="196"/>
      <c r="AK255" s="196"/>
      <c r="AL255" s="196"/>
      <c r="AM255" s="196"/>
      <c r="AN255" s="196"/>
      <c r="AO255" s="196"/>
      <c r="AP255" s="196"/>
      <c r="AQ255" s="197"/>
      <c r="AR255" s="196"/>
      <c r="AS255" s="196"/>
      <c r="AT255" s="196"/>
      <c r="AU255" s="196"/>
      <c r="AV255" s="196"/>
      <c r="AW255" s="197"/>
      <c r="AX255" s="197"/>
      <c r="AY255" s="197"/>
      <c r="AZ255" s="197"/>
    </row>
    <row r="256" spans="1:52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7"/>
      <c r="N256" s="197"/>
      <c r="O256" s="198"/>
      <c r="P256" s="198"/>
      <c r="Q256" s="198"/>
      <c r="R256" s="196"/>
      <c r="S256" s="196"/>
      <c r="T256" s="196"/>
      <c r="U256" s="196"/>
      <c r="V256" s="196"/>
      <c r="W256" s="196"/>
      <c r="X256" s="197"/>
      <c r="Y256" s="197"/>
      <c r="Z256" s="197"/>
      <c r="AA256" s="196"/>
      <c r="AB256" s="196"/>
      <c r="AC256" s="196"/>
      <c r="AD256" s="196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7"/>
      <c r="AR256" s="196"/>
      <c r="AS256" s="196"/>
      <c r="AT256" s="196"/>
      <c r="AU256" s="196"/>
      <c r="AV256" s="196"/>
      <c r="AW256" s="197"/>
      <c r="AX256" s="197"/>
      <c r="AY256" s="197"/>
      <c r="AZ256" s="197"/>
    </row>
    <row r="257" spans="1:52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7"/>
      <c r="N257" s="197"/>
      <c r="O257" s="198"/>
      <c r="P257" s="198"/>
      <c r="Q257" s="198"/>
      <c r="R257" s="196"/>
      <c r="S257" s="196"/>
      <c r="T257" s="196"/>
      <c r="U257" s="196"/>
      <c r="V257" s="196"/>
      <c r="W257" s="196"/>
      <c r="X257" s="197"/>
      <c r="Y257" s="197"/>
      <c r="Z257" s="197"/>
      <c r="AA257" s="196"/>
      <c r="AB257" s="196"/>
      <c r="AC257" s="196"/>
      <c r="AD257" s="196"/>
      <c r="AE257" s="196"/>
      <c r="AF257" s="196"/>
      <c r="AG257" s="196"/>
      <c r="AH257" s="196"/>
      <c r="AI257" s="196"/>
      <c r="AJ257" s="196"/>
      <c r="AK257" s="196"/>
      <c r="AL257" s="196"/>
      <c r="AM257" s="196"/>
      <c r="AN257" s="196"/>
      <c r="AO257" s="196"/>
      <c r="AP257" s="196"/>
      <c r="AQ257" s="197"/>
      <c r="AR257" s="196"/>
      <c r="AS257" s="196"/>
      <c r="AT257" s="196"/>
      <c r="AU257" s="196"/>
      <c r="AV257" s="196"/>
      <c r="AW257" s="197"/>
      <c r="AX257" s="197"/>
      <c r="AY257" s="197"/>
      <c r="AZ257" s="197"/>
    </row>
    <row r="258" spans="1:52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7"/>
      <c r="N258" s="197"/>
      <c r="O258" s="198"/>
      <c r="P258" s="198"/>
      <c r="Q258" s="198"/>
      <c r="R258" s="196"/>
      <c r="S258" s="196"/>
      <c r="T258" s="196"/>
      <c r="U258" s="196"/>
      <c r="V258" s="196"/>
      <c r="W258" s="196"/>
      <c r="X258" s="197"/>
      <c r="Y258" s="197"/>
      <c r="Z258" s="197"/>
      <c r="AA258" s="196"/>
      <c r="AB258" s="196"/>
      <c r="AC258" s="196"/>
      <c r="AD258" s="196"/>
      <c r="AE258" s="196"/>
      <c r="AF258" s="196"/>
      <c r="AG258" s="196"/>
      <c r="AH258" s="196"/>
      <c r="AI258" s="196"/>
      <c r="AJ258" s="196"/>
      <c r="AK258" s="196"/>
      <c r="AL258" s="196"/>
      <c r="AM258" s="196"/>
      <c r="AN258" s="196"/>
      <c r="AO258" s="196"/>
      <c r="AP258" s="196"/>
      <c r="AQ258" s="197"/>
      <c r="AR258" s="196"/>
      <c r="AS258" s="196"/>
      <c r="AT258" s="196"/>
      <c r="AU258" s="196"/>
      <c r="AV258" s="196"/>
      <c r="AW258" s="197"/>
      <c r="AX258" s="197"/>
      <c r="AY258" s="197"/>
      <c r="AZ258" s="197"/>
    </row>
    <row r="259" spans="1:52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7"/>
      <c r="N259" s="197"/>
      <c r="O259" s="198"/>
      <c r="P259" s="198"/>
      <c r="Q259" s="198"/>
      <c r="R259" s="196"/>
      <c r="S259" s="196"/>
      <c r="T259" s="196"/>
      <c r="U259" s="196"/>
      <c r="V259" s="196"/>
      <c r="W259" s="196"/>
      <c r="X259" s="197"/>
      <c r="Y259" s="197"/>
      <c r="Z259" s="197"/>
      <c r="AA259" s="196"/>
      <c r="AB259" s="196"/>
      <c r="AC259" s="196"/>
      <c r="AD259" s="196"/>
      <c r="AE259" s="196"/>
      <c r="AF259" s="196"/>
      <c r="AG259" s="196"/>
      <c r="AH259" s="196"/>
      <c r="AI259" s="196"/>
      <c r="AJ259" s="196"/>
      <c r="AK259" s="196"/>
      <c r="AL259" s="196"/>
      <c r="AM259" s="196"/>
      <c r="AN259" s="196"/>
      <c r="AO259" s="196"/>
      <c r="AP259" s="196"/>
      <c r="AQ259" s="197"/>
      <c r="AR259" s="196"/>
      <c r="AS259" s="196"/>
      <c r="AT259" s="196"/>
      <c r="AU259" s="196"/>
      <c r="AV259" s="196"/>
      <c r="AW259" s="197"/>
      <c r="AX259" s="197"/>
      <c r="AY259" s="197"/>
      <c r="AZ259" s="197"/>
    </row>
    <row r="260" spans="1:52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7"/>
      <c r="N260" s="197"/>
      <c r="O260" s="198"/>
      <c r="P260" s="198"/>
      <c r="Q260" s="198"/>
      <c r="R260" s="196"/>
      <c r="S260" s="196"/>
      <c r="T260" s="196"/>
      <c r="U260" s="196"/>
      <c r="V260" s="196"/>
      <c r="W260" s="196"/>
      <c r="X260" s="197"/>
      <c r="Y260" s="197"/>
      <c r="Z260" s="197"/>
      <c r="AA260" s="196"/>
      <c r="AB260" s="196"/>
      <c r="AC260" s="196"/>
      <c r="AD260" s="196"/>
      <c r="AE260" s="196"/>
      <c r="AF260" s="196"/>
      <c r="AG260" s="196"/>
      <c r="AH260" s="196"/>
      <c r="AI260" s="196"/>
      <c r="AJ260" s="196"/>
      <c r="AK260" s="196"/>
      <c r="AL260" s="196"/>
      <c r="AM260" s="196"/>
      <c r="AN260" s="196"/>
      <c r="AO260" s="196"/>
      <c r="AP260" s="196"/>
      <c r="AQ260" s="197"/>
      <c r="AR260" s="196"/>
      <c r="AS260" s="196"/>
      <c r="AT260" s="196"/>
      <c r="AU260" s="196"/>
      <c r="AV260" s="196"/>
      <c r="AW260" s="197"/>
      <c r="AX260" s="197"/>
      <c r="AY260" s="197"/>
      <c r="AZ260" s="197"/>
    </row>
    <row r="261" spans="1:52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7"/>
      <c r="N261" s="197"/>
      <c r="O261" s="198"/>
      <c r="P261" s="198"/>
      <c r="Q261" s="198"/>
      <c r="R261" s="196"/>
      <c r="S261" s="196"/>
      <c r="T261" s="196"/>
      <c r="U261" s="196"/>
      <c r="V261" s="196"/>
      <c r="W261" s="196"/>
      <c r="X261" s="197"/>
      <c r="Y261" s="197"/>
      <c r="Z261" s="197"/>
      <c r="AA261" s="196"/>
      <c r="AB261" s="196"/>
      <c r="AC261" s="196"/>
      <c r="AD261" s="196"/>
      <c r="AE261" s="196"/>
      <c r="AF261" s="196"/>
      <c r="AG261" s="196"/>
      <c r="AH261" s="196"/>
      <c r="AI261" s="196"/>
      <c r="AJ261" s="196"/>
      <c r="AK261" s="196"/>
      <c r="AL261" s="196"/>
      <c r="AM261" s="196"/>
      <c r="AN261" s="196"/>
      <c r="AO261" s="196"/>
      <c r="AP261" s="196"/>
      <c r="AQ261" s="197"/>
      <c r="AR261" s="196"/>
      <c r="AS261" s="196"/>
      <c r="AT261" s="196"/>
      <c r="AU261" s="196"/>
      <c r="AV261" s="196"/>
      <c r="AW261" s="197"/>
      <c r="AX261" s="197"/>
      <c r="AY261" s="197"/>
      <c r="AZ261" s="197"/>
    </row>
    <row r="262" spans="1:52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7"/>
      <c r="N262" s="197"/>
      <c r="O262" s="198"/>
      <c r="P262" s="198"/>
      <c r="Q262" s="198"/>
      <c r="R262" s="196"/>
      <c r="S262" s="196"/>
      <c r="T262" s="196"/>
      <c r="U262" s="196"/>
      <c r="V262" s="196"/>
      <c r="W262" s="196"/>
      <c r="X262" s="197"/>
      <c r="Y262" s="197"/>
      <c r="Z262" s="197"/>
      <c r="AA262" s="196"/>
      <c r="AB262" s="196"/>
      <c r="AC262" s="196"/>
      <c r="AD262" s="196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7"/>
      <c r="AR262" s="196"/>
      <c r="AS262" s="196"/>
      <c r="AT262" s="196"/>
      <c r="AU262" s="196"/>
      <c r="AV262" s="196"/>
      <c r="AW262" s="197"/>
      <c r="AX262" s="197"/>
      <c r="AY262" s="197"/>
      <c r="AZ262" s="197"/>
    </row>
    <row r="263" spans="1:52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7"/>
      <c r="N263" s="197"/>
      <c r="O263" s="198"/>
      <c r="P263" s="198"/>
      <c r="Q263" s="198"/>
      <c r="R263" s="196"/>
      <c r="S263" s="196"/>
      <c r="T263" s="196"/>
      <c r="U263" s="196"/>
      <c r="V263" s="196"/>
      <c r="W263" s="196"/>
      <c r="X263" s="197"/>
      <c r="Y263" s="197"/>
      <c r="Z263" s="197"/>
      <c r="AA263" s="196"/>
      <c r="AB263" s="196"/>
      <c r="AC263" s="196"/>
      <c r="AD263" s="196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  <c r="AQ263" s="197"/>
      <c r="AR263" s="196"/>
      <c r="AS263" s="196"/>
      <c r="AT263" s="196"/>
      <c r="AU263" s="196"/>
      <c r="AV263" s="196"/>
      <c r="AW263" s="197"/>
      <c r="AX263" s="197"/>
      <c r="AY263" s="197"/>
      <c r="AZ263" s="197"/>
    </row>
    <row r="264" spans="1:52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7"/>
      <c r="N264" s="197"/>
      <c r="O264" s="198"/>
      <c r="P264" s="198"/>
      <c r="Q264" s="198"/>
      <c r="R264" s="196"/>
      <c r="S264" s="196"/>
      <c r="T264" s="196"/>
      <c r="U264" s="196"/>
      <c r="V264" s="196"/>
      <c r="W264" s="196"/>
      <c r="X264" s="197"/>
      <c r="Y264" s="197"/>
      <c r="Z264" s="197"/>
      <c r="AA264" s="196"/>
      <c r="AB264" s="196"/>
      <c r="AC264" s="196"/>
      <c r="AD264" s="196"/>
      <c r="AE264" s="196"/>
      <c r="AF264" s="196"/>
      <c r="AG264" s="196"/>
      <c r="AH264" s="196"/>
      <c r="AI264" s="196"/>
      <c r="AJ264" s="196"/>
      <c r="AK264" s="196"/>
      <c r="AL264" s="196"/>
      <c r="AM264" s="196"/>
      <c r="AN264" s="196"/>
      <c r="AO264" s="196"/>
      <c r="AP264" s="196"/>
      <c r="AQ264" s="197"/>
      <c r="AR264" s="196"/>
      <c r="AS264" s="196"/>
      <c r="AT264" s="196"/>
      <c r="AU264" s="196"/>
      <c r="AV264" s="196"/>
      <c r="AW264" s="197"/>
      <c r="AX264" s="197"/>
      <c r="AY264" s="197"/>
      <c r="AZ264" s="197"/>
    </row>
    <row r="265" spans="1:52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7"/>
      <c r="N265" s="197"/>
      <c r="O265" s="198"/>
      <c r="P265" s="198"/>
      <c r="Q265" s="198"/>
      <c r="R265" s="196"/>
      <c r="S265" s="196"/>
      <c r="T265" s="196"/>
      <c r="U265" s="196"/>
      <c r="V265" s="196"/>
      <c r="W265" s="196"/>
      <c r="X265" s="197"/>
      <c r="Y265" s="197"/>
      <c r="Z265" s="197"/>
      <c r="AA265" s="196"/>
      <c r="AB265" s="196"/>
      <c r="AC265" s="196"/>
      <c r="AD265" s="196"/>
      <c r="AE265" s="196"/>
      <c r="AF265" s="196"/>
      <c r="AG265" s="196"/>
      <c r="AH265" s="196"/>
      <c r="AI265" s="196"/>
      <c r="AJ265" s="196"/>
      <c r="AK265" s="196"/>
      <c r="AL265" s="196"/>
      <c r="AM265" s="196"/>
      <c r="AN265" s="196"/>
      <c r="AO265" s="196"/>
      <c r="AP265" s="196"/>
      <c r="AQ265" s="197"/>
      <c r="AR265" s="196"/>
      <c r="AS265" s="196"/>
      <c r="AT265" s="196"/>
      <c r="AU265" s="196"/>
      <c r="AV265" s="196"/>
      <c r="AW265" s="197"/>
      <c r="AX265" s="197"/>
      <c r="AY265" s="197"/>
      <c r="AZ265" s="197"/>
    </row>
    <row r="266" spans="1:52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7"/>
      <c r="N266" s="197"/>
      <c r="O266" s="198"/>
      <c r="P266" s="198"/>
      <c r="Q266" s="198"/>
      <c r="R266" s="196"/>
      <c r="S266" s="196"/>
      <c r="T266" s="196"/>
      <c r="U266" s="196"/>
      <c r="V266" s="196"/>
      <c r="W266" s="196"/>
      <c r="X266" s="197"/>
      <c r="Y266" s="197"/>
      <c r="Z266" s="197"/>
      <c r="AA266" s="196"/>
      <c r="AB266" s="196"/>
      <c r="AC266" s="196"/>
      <c r="AD266" s="196"/>
      <c r="AE266" s="196"/>
      <c r="AF266" s="196"/>
      <c r="AG266" s="196"/>
      <c r="AH266" s="196"/>
      <c r="AI266" s="196"/>
      <c r="AJ266" s="196"/>
      <c r="AK266" s="196"/>
      <c r="AL266" s="196"/>
      <c r="AM266" s="196"/>
      <c r="AN266" s="196"/>
      <c r="AO266" s="196"/>
      <c r="AP266" s="196"/>
      <c r="AQ266" s="197"/>
      <c r="AR266" s="196"/>
      <c r="AS266" s="196"/>
      <c r="AT266" s="196"/>
      <c r="AU266" s="196"/>
      <c r="AV266" s="196"/>
      <c r="AW266" s="197"/>
      <c r="AX266" s="197"/>
      <c r="AY266" s="197"/>
      <c r="AZ266" s="197"/>
    </row>
    <row r="267" spans="1:52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7"/>
      <c r="N267" s="197"/>
      <c r="O267" s="198"/>
      <c r="P267" s="198"/>
      <c r="Q267" s="198"/>
      <c r="R267" s="196"/>
      <c r="S267" s="196"/>
      <c r="T267" s="196"/>
      <c r="U267" s="196"/>
      <c r="V267" s="196"/>
      <c r="W267" s="196"/>
      <c r="X267" s="197"/>
      <c r="Y267" s="197"/>
      <c r="Z267" s="197"/>
      <c r="AA267" s="196"/>
      <c r="AB267" s="196"/>
      <c r="AC267" s="196"/>
      <c r="AD267" s="196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7"/>
      <c r="AR267" s="196"/>
      <c r="AS267" s="196"/>
      <c r="AT267" s="196"/>
      <c r="AU267" s="196"/>
      <c r="AV267" s="196"/>
      <c r="AW267" s="197"/>
      <c r="AX267" s="197"/>
      <c r="AY267" s="197"/>
      <c r="AZ267" s="197"/>
    </row>
    <row r="268" spans="1:52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7"/>
      <c r="N268" s="197"/>
      <c r="O268" s="198"/>
      <c r="P268" s="198"/>
      <c r="Q268" s="198"/>
      <c r="R268" s="196"/>
      <c r="S268" s="196"/>
      <c r="T268" s="196"/>
      <c r="U268" s="196"/>
      <c r="V268" s="196"/>
      <c r="W268" s="196"/>
      <c r="X268" s="197"/>
      <c r="Y268" s="197"/>
      <c r="Z268" s="197"/>
      <c r="AA268" s="196"/>
      <c r="AB268" s="196"/>
      <c r="AC268" s="196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  <c r="AN268" s="196"/>
      <c r="AO268" s="196"/>
      <c r="AP268" s="196"/>
      <c r="AQ268" s="197"/>
      <c r="AR268" s="196"/>
      <c r="AS268" s="196"/>
      <c r="AT268" s="196"/>
      <c r="AU268" s="196"/>
      <c r="AV268" s="196"/>
      <c r="AW268" s="197"/>
      <c r="AX268" s="197"/>
      <c r="AY268" s="197"/>
      <c r="AZ268" s="197"/>
    </row>
    <row r="269" spans="1:52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7"/>
      <c r="N269" s="197"/>
      <c r="O269" s="198"/>
      <c r="P269" s="198"/>
      <c r="Q269" s="198"/>
      <c r="R269" s="196"/>
      <c r="S269" s="196"/>
      <c r="T269" s="196"/>
      <c r="U269" s="196"/>
      <c r="V269" s="196"/>
      <c r="W269" s="196"/>
      <c r="X269" s="197"/>
      <c r="Y269" s="197"/>
      <c r="Z269" s="197"/>
      <c r="AA269" s="196"/>
      <c r="AB269" s="196"/>
      <c r="AC269" s="196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  <c r="AP269" s="196"/>
      <c r="AQ269" s="197"/>
      <c r="AR269" s="196"/>
      <c r="AS269" s="196"/>
      <c r="AT269" s="196"/>
      <c r="AU269" s="196"/>
      <c r="AV269" s="196"/>
      <c r="AW269" s="197"/>
      <c r="AX269" s="197"/>
      <c r="AY269" s="197"/>
      <c r="AZ269" s="197"/>
    </row>
    <row r="270" spans="1:52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7"/>
      <c r="N270" s="197"/>
      <c r="O270" s="198"/>
      <c r="P270" s="198"/>
      <c r="Q270" s="198"/>
      <c r="R270" s="196"/>
      <c r="S270" s="196"/>
      <c r="T270" s="196"/>
      <c r="U270" s="196"/>
      <c r="V270" s="196"/>
      <c r="W270" s="196"/>
      <c r="X270" s="197"/>
      <c r="Y270" s="197"/>
      <c r="Z270" s="197"/>
      <c r="AA270" s="196"/>
      <c r="AB270" s="196"/>
      <c r="AC270" s="196"/>
      <c r="AD270" s="196"/>
      <c r="AE270" s="196"/>
      <c r="AF270" s="196"/>
      <c r="AG270" s="196"/>
      <c r="AH270" s="196"/>
      <c r="AI270" s="196"/>
      <c r="AJ270" s="196"/>
      <c r="AK270" s="196"/>
      <c r="AL270" s="196"/>
      <c r="AM270" s="196"/>
      <c r="AN270" s="196"/>
      <c r="AO270" s="196"/>
      <c r="AP270" s="196"/>
      <c r="AQ270" s="197"/>
      <c r="AR270" s="196"/>
      <c r="AS270" s="196"/>
      <c r="AT270" s="196"/>
      <c r="AU270" s="196"/>
      <c r="AV270" s="196"/>
      <c r="AW270" s="197"/>
      <c r="AX270" s="197"/>
      <c r="AY270" s="197"/>
      <c r="AZ270" s="197"/>
    </row>
    <row r="271" spans="1:52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7"/>
      <c r="N271" s="197"/>
      <c r="O271" s="198"/>
      <c r="P271" s="198"/>
      <c r="Q271" s="198"/>
      <c r="R271" s="196"/>
      <c r="S271" s="196"/>
      <c r="T271" s="196"/>
      <c r="U271" s="196"/>
      <c r="V271" s="196"/>
      <c r="W271" s="196"/>
      <c r="X271" s="197"/>
      <c r="Y271" s="197"/>
      <c r="Z271" s="197"/>
      <c r="AA271" s="196"/>
      <c r="AB271" s="196"/>
      <c r="AC271" s="196"/>
      <c r="AD271" s="196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  <c r="AP271" s="196"/>
      <c r="AQ271" s="197"/>
      <c r="AR271" s="196"/>
      <c r="AS271" s="196"/>
      <c r="AT271" s="196"/>
      <c r="AU271" s="196"/>
      <c r="AV271" s="196"/>
      <c r="AW271" s="197"/>
      <c r="AX271" s="197"/>
      <c r="AY271" s="197"/>
      <c r="AZ271" s="197"/>
    </row>
    <row r="272" spans="1:52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7"/>
      <c r="N272" s="197"/>
      <c r="O272" s="198"/>
      <c r="P272" s="198"/>
      <c r="Q272" s="198"/>
      <c r="R272" s="196"/>
      <c r="S272" s="196"/>
      <c r="T272" s="196"/>
      <c r="U272" s="196"/>
      <c r="V272" s="196"/>
      <c r="W272" s="196"/>
      <c r="X272" s="197"/>
      <c r="Y272" s="197"/>
      <c r="Z272" s="197"/>
      <c r="AA272" s="196"/>
      <c r="AB272" s="196"/>
      <c r="AC272" s="196"/>
      <c r="AD272" s="196"/>
      <c r="AE272" s="196"/>
      <c r="AF272" s="196"/>
      <c r="AG272" s="196"/>
      <c r="AH272" s="196"/>
      <c r="AI272" s="196"/>
      <c r="AJ272" s="196"/>
      <c r="AK272" s="196"/>
      <c r="AL272" s="196"/>
      <c r="AM272" s="196"/>
      <c r="AN272" s="196"/>
      <c r="AO272" s="196"/>
      <c r="AP272" s="196"/>
      <c r="AQ272" s="197"/>
      <c r="AR272" s="196"/>
      <c r="AS272" s="196"/>
      <c r="AT272" s="196"/>
      <c r="AU272" s="196"/>
      <c r="AV272" s="196"/>
      <c r="AW272" s="197"/>
      <c r="AX272" s="197"/>
      <c r="AY272" s="197"/>
      <c r="AZ272" s="197"/>
    </row>
    <row r="273" spans="1:52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7"/>
      <c r="N273" s="197"/>
      <c r="O273" s="198"/>
      <c r="P273" s="198"/>
      <c r="Q273" s="198"/>
      <c r="R273" s="196"/>
      <c r="S273" s="196"/>
      <c r="T273" s="196"/>
      <c r="U273" s="196"/>
      <c r="V273" s="196"/>
      <c r="W273" s="196"/>
      <c r="X273" s="197"/>
      <c r="Y273" s="197"/>
      <c r="Z273" s="197"/>
      <c r="AA273" s="196"/>
      <c r="AB273" s="196"/>
      <c r="AC273" s="196"/>
      <c r="AD273" s="196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  <c r="AP273" s="196"/>
      <c r="AQ273" s="197"/>
      <c r="AR273" s="196"/>
      <c r="AS273" s="196"/>
      <c r="AT273" s="196"/>
      <c r="AU273" s="196"/>
      <c r="AV273" s="196"/>
      <c r="AW273" s="197"/>
      <c r="AX273" s="197"/>
      <c r="AY273" s="197"/>
      <c r="AZ273" s="197"/>
    </row>
    <row r="274" spans="1:52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7"/>
      <c r="N274" s="197"/>
      <c r="O274" s="198"/>
      <c r="P274" s="198"/>
      <c r="Q274" s="198"/>
      <c r="R274" s="196"/>
      <c r="S274" s="196"/>
      <c r="T274" s="196"/>
      <c r="U274" s="196"/>
      <c r="V274" s="196"/>
      <c r="W274" s="196"/>
      <c r="X274" s="197"/>
      <c r="Y274" s="197"/>
      <c r="Z274" s="197"/>
      <c r="AA274" s="196"/>
      <c r="AB274" s="196"/>
      <c r="AC274" s="196"/>
      <c r="AD274" s="196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7"/>
      <c r="AR274" s="196"/>
      <c r="AS274" s="196"/>
      <c r="AT274" s="196"/>
      <c r="AU274" s="196"/>
      <c r="AV274" s="196"/>
      <c r="AW274" s="197"/>
      <c r="AX274" s="197"/>
      <c r="AY274" s="197"/>
      <c r="AZ274" s="197"/>
    </row>
    <row r="275" spans="1:52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7"/>
      <c r="N275" s="197"/>
      <c r="O275" s="198"/>
      <c r="P275" s="198"/>
      <c r="Q275" s="198"/>
      <c r="R275" s="196"/>
      <c r="S275" s="196"/>
      <c r="T275" s="196"/>
      <c r="U275" s="196"/>
      <c r="V275" s="196"/>
      <c r="W275" s="196"/>
      <c r="X275" s="197"/>
      <c r="Y275" s="197"/>
      <c r="Z275" s="197"/>
      <c r="AA275" s="196"/>
      <c r="AB275" s="196"/>
      <c r="AC275" s="196"/>
      <c r="AD275" s="196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  <c r="AQ275" s="197"/>
      <c r="AR275" s="196"/>
      <c r="AS275" s="196"/>
      <c r="AT275" s="196"/>
      <c r="AU275" s="196"/>
      <c r="AV275" s="196"/>
      <c r="AW275" s="197"/>
      <c r="AX275" s="197"/>
      <c r="AY275" s="197"/>
      <c r="AZ275" s="197"/>
    </row>
    <row r="276" spans="1:52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7"/>
      <c r="N276" s="197"/>
      <c r="O276" s="198"/>
      <c r="P276" s="198"/>
      <c r="Q276" s="198"/>
      <c r="R276" s="196"/>
      <c r="S276" s="196"/>
      <c r="T276" s="196"/>
      <c r="U276" s="196"/>
      <c r="V276" s="196"/>
      <c r="W276" s="196"/>
      <c r="X276" s="197"/>
      <c r="Y276" s="197"/>
      <c r="Z276" s="197"/>
      <c r="AA276" s="196"/>
      <c r="AB276" s="196"/>
      <c r="AC276" s="196"/>
      <c r="AD276" s="196"/>
      <c r="AE276" s="196"/>
      <c r="AF276" s="196"/>
      <c r="AG276" s="196"/>
      <c r="AH276" s="196"/>
      <c r="AI276" s="196"/>
      <c r="AJ276" s="196"/>
      <c r="AK276" s="196"/>
      <c r="AL276" s="196"/>
      <c r="AM276" s="196"/>
      <c r="AN276" s="196"/>
      <c r="AO276" s="196"/>
      <c r="AP276" s="196"/>
      <c r="AQ276" s="197"/>
      <c r="AR276" s="196"/>
      <c r="AS276" s="196"/>
      <c r="AT276" s="196"/>
      <c r="AU276" s="196"/>
      <c r="AV276" s="196"/>
      <c r="AW276" s="197"/>
      <c r="AX276" s="197"/>
      <c r="AY276" s="197"/>
      <c r="AZ276" s="197"/>
    </row>
    <row r="277" spans="1:52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7"/>
      <c r="N277" s="197"/>
      <c r="O277" s="198"/>
      <c r="P277" s="198"/>
      <c r="Q277" s="198"/>
      <c r="R277" s="196"/>
      <c r="S277" s="196"/>
      <c r="T277" s="196"/>
      <c r="U277" s="196"/>
      <c r="V277" s="196"/>
      <c r="W277" s="196"/>
      <c r="X277" s="197"/>
      <c r="Y277" s="197"/>
      <c r="Z277" s="197"/>
      <c r="AA277" s="196"/>
      <c r="AB277" s="196"/>
      <c r="AC277" s="196"/>
      <c r="AD277" s="196"/>
      <c r="AE277" s="196"/>
      <c r="AF277" s="196"/>
      <c r="AG277" s="196"/>
      <c r="AH277" s="196"/>
      <c r="AI277" s="196"/>
      <c r="AJ277" s="196"/>
      <c r="AK277" s="196"/>
      <c r="AL277" s="196"/>
      <c r="AM277" s="196"/>
      <c r="AN277" s="196"/>
      <c r="AO277" s="196"/>
      <c r="AP277" s="196"/>
      <c r="AQ277" s="197"/>
      <c r="AR277" s="196"/>
      <c r="AS277" s="196"/>
      <c r="AT277" s="196"/>
      <c r="AU277" s="196"/>
      <c r="AV277" s="196"/>
      <c r="AW277" s="197"/>
      <c r="AX277" s="197"/>
      <c r="AY277" s="197"/>
      <c r="AZ277" s="197"/>
    </row>
    <row r="278" spans="1:52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7"/>
      <c r="N278" s="197"/>
      <c r="O278" s="198"/>
      <c r="P278" s="198"/>
      <c r="Q278" s="198"/>
      <c r="R278" s="196"/>
      <c r="S278" s="196"/>
      <c r="T278" s="196"/>
      <c r="U278" s="196"/>
      <c r="V278" s="196"/>
      <c r="W278" s="196"/>
      <c r="X278" s="197"/>
      <c r="Y278" s="197"/>
      <c r="Z278" s="197"/>
      <c r="AA278" s="196"/>
      <c r="AB278" s="196"/>
      <c r="AC278" s="196"/>
      <c r="AD278" s="196"/>
      <c r="AE278" s="196"/>
      <c r="AF278" s="196"/>
      <c r="AG278" s="196"/>
      <c r="AH278" s="196"/>
      <c r="AI278" s="196"/>
      <c r="AJ278" s="196"/>
      <c r="AK278" s="196"/>
      <c r="AL278" s="196"/>
      <c r="AM278" s="196"/>
      <c r="AN278" s="196"/>
      <c r="AO278" s="196"/>
      <c r="AP278" s="196"/>
      <c r="AQ278" s="197"/>
      <c r="AR278" s="196"/>
      <c r="AS278" s="196"/>
      <c r="AT278" s="196"/>
      <c r="AU278" s="196"/>
      <c r="AV278" s="196"/>
      <c r="AW278" s="197"/>
      <c r="AX278" s="197"/>
      <c r="AY278" s="197"/>
      <c r="AZ278" s="197"/>
    </row>
    <row r="279" spans="1:52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7"/>
      <c r="N279" s="197"/>
      <c r="O279" s="198"/>
      <c r="P279" s="198"/>
      <c r="Q279" s="198"/>
      <c r="R279" s="196"/>
      <c r="S279" s="196"/>
      <c r="T279" s="196"/>
      <c r="U279" s="196"/>
      <c r="V279" s="196"/>
      <c r="W279" s="196"/>
      <c r="X279" s="197"/>
      <c r="Y279" s="197"/>
      <c r="Z279" s="197"/>
      <c r="AA279" s="196"/>
      <c r="AB279" s="196"/>
      <c r="AC279" s="196"/>
      <c r="AD279" s="196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7"/>
      <c r="AR279" s="196"/>
      <c r="AS279" s="196"/>
      <c r="AT279" s="196"/>
      <c r="AU279" s="196"/>
      <c r="AV279" s="196"/>
      <c r="AW279" s="197"/>
      <c r="AX279" s="197"/>
      <c r="AY279" s="197"/>
      <c r="AZ279" s="197"/>
    </row>
    <row r="280" spans="1:52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7"/>
      <c r="N280" s="197"/>
      <c r="O280" s="198"/>
      <c r="P280" s="198"/>
      <c r="Q280" s="198"/>
      <c r="R280" s="196"/>
      <c r="S280" s="196"/>
      <c r="T280" s="196"/>
      <c r="U280" s="196"/>
      <c r="V280" s="196"/>
      <c r="W280" s="196"/>
      <c r="X280" s="197"/>
      <c r="Y280" s="197"/>
      <c r="Z280" s="197"/>
      <c r="AA280" s="196"/>
      <c r="AB280" s="196"/>
      <c r="AC280" s="196"/>
      <c r="AD280" s="196"/>
      <c r="AE280" s="196"/>
      <c r="AF280" s="196"/>
      <c r="AG280" s="196"/>
      <c r="AH280" s="196"/>
      <c r="AI280" s="196"/>
      <c r="AJ280" s="196"/>
      <c r="AK280" s="196"/>
      <c r="AL280" s="196"/>
      <c r="AM280" s="196"/>
      <c r="AN280" s="196"/>
      <c r="AO280" s="196"/>
      <c r="AP280" s="196"/>
      <c r="AQ280" s="197"/>
      <c r="AR280" s="196"/>
      <c r="AS280" s="196"/>
      <c r="AT280" s="196"/>
      <c r="AU280" s="196"/>
      <c r="AV280" s="196"/>
      <c r="AW280" s="197"/>
      <c r="AX280" s="197"/>
      <c r="AY280" s="197"/>
      <c r="AZ280" s="197"/>
    </row>
    <row r="281" spans="1:52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7"/>
      <c r="N281" s="197"/>
      <c r="O281" s="198"/>
      <c r="P281" s="198"/>
      <c r="Q281" s="198"/>
      <c r="R281" s="196"/>
      <c r="S281" s="196"/>
      <c r="T281" s="196"/>
      <c r="U281" s="196"/>
      <c r="V281" s="196"/>
      <c r="W281" s="196"/>
      <c r="X281" s="197"/>
      <c r="Y281" s="197"/>
      <c r="Z281" s="197"/>
      <c r="AA281" s="196"/>
      <c r="AB281" s="196"/>
      <c r="AC281" s="196"/>
      <c r="AD281" s="196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  <c r="AP281" s="196"/>
      <c r="AQ281" s="197"/>
      <c r="AR281" s="196"/>
      <c r="AS281" s="196"/>
      <c r="AT281" s="196"/>
      <c r="AU281" s="196"/>
      <c r="AV281" s="196"/>
      <c r="AW281" s="197"/>
      <c r="AX281" s="197"/>
      <c r="AY281" s="197"/>
      <c r="AZ281" s="197"/>
    </row>
    <row r="282" spans="1:52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7"/>
      <c r="N282" s="197"/>
      <c r="O282" s="198"/>
      <c r="P282" s="198"/>
      <c r="Q282" s="198"/>
      <c r="R282" s="196"/>
      <c r="S282" s="196"/>
      <c r="T282" s="196"/>
      <c r="U282" s="196"/>
      <c r="V282" s="196"/>
      <c r="W282" s="196"/>
      <c r="X282" s="197"/>
      <c r="Y282" s="197"/>
      <c r="Z282" s="197"/>
      <c r="AA282" s="196"/>
      <c r="AB282" s="196"/>
      <c r="AC282" s="196"/>
      <c r="AD282" s="196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  <c r="AP282" s="196"/>
      <c r="AQ282" s="197"/>
      <c r="AR282" s="196"/>
      <c r="AS282" s="196"/>
      <c r="AT282" s="196"/>
      <c r="AU282" s="196"/>
      <c r="AV282" s="196"/>
      <c r="AW282" s="197"/>
      <c r="AX282" s="197"/>
      <c r="AY282" s="197"/>
      <c r="AZ282" s="197"/>
    </row>
    <row r="283" spans="1:52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7"/>
      <c r="N283" s="197"/>
      <c r="O283" s="198"/>
      <c r="P283" s="198"/>
      <c r="Q283" s="198"/>
      <c r="R283" s="196"/>
      <c r="S283" s="196"/>
      <c r="T283" s="196"/>
      <c r="U283" s="196"/>
      <c r="V283" s="196"/>
      <c r="W283" s="196"/>
      <c r="X283" s="197"/>
      <c r="Y283" s="197"/>
      <c r="Z283" s="197"/>
      <c r="AA283" s="196"/>
      <c r="AB283" s="196"/>
      <c r="AC283" s="196"/>
      <c r="AD283" s="196"/>
      <c r="AE283" s="196"/>
      <c r="AF283" s="196"/>
      <c r="AG283" s="196"/>
      <c r="AH283" s="196"/>
      <c r="AI283" s="196"/>
      <c r="AJ283" s="196"/>
      <c r="AK283" s="196"/>
      <c r="AL283" s="196"/>
      <c r="AM283" s="196"/>
      <c r="AN283" s="196"/>
      <c r="AO283" s="196"/>
      <c r="AP283" s="196"/>
      <c r="AQ283" s="197"/>
      <c r="AR283" s="196"/>
      <c r="AS283" s="196"/>
      <c r="AT283" s="196"/>
      <c r="AU283" s="196"/>
      <c r="AV283" s="196"/>
      <c r="AW283" s="197"/>
      <c r="AX283" s="197"/>
      <c r="AY283" s="197"/>
      <c r="AZ283" s="197"/>
    </row>
    <row r="284" spans="1:52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7"/>
      <c r="N284" s="197"/>
      <c r="O284" s="198"/>
      <c r="P284" s="198"/>
      <c r="Q284" s="198"/>
      <c r="R284" s="196"/>
      <c r="S284" s="196"/>
      <c r="T284" s="196"/>
      <c r="U284" s="196"/>
      <c r="V284" s="196"/>
      <c r="W284" s="196"/>
      <c r="X284" s="197"/>
      <c r="Y284" s="197"/>
      <c r="Z284" s="197"/>
      <c r="AA284" s="196"/>
      <c r="AB284" s="196"/>
      <c r="AC284" s="196"/>
      <c r="AD284" s="196"/>
      <c r="AE284" s="196"/>
      <c r="AF284" s="196"/>
      <c r="AG284" s="196"/>
      <c r="AH284" s="196"/>
      <c r="AI284" s="196"/>
      <c r="AJ284" s="196"/>
      <c r="AK284" s="196"/>
      <c r="AL284" s="196"/>
      <c r="AM284" s="196"/>
      <c r="AN284" s="196"/>
      <c r="AO284" s="196"/>
      <c r="AP284" s="196"/>
      <c r="AQ284" s="197"/>
      <c r="AR284" s="196"/>
      <c r="AS284" s="196"/>
      <c r="AT284" s="196"/>
      <c r="AU284" s="196"/>
      <c r="AV284" s="196"/>
      <c r="AW284" s="197"/>
      <c r="AX284" s="197"/>
      <c r="AY284" s="197"/>
      <c r="AZ284" s="197"/>
    </row>
    <row r="285" spans="1:52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7"/>
      <c r="N285" s="197"/>
      <c r="O285" s="198"/>
      <c r="P285" s="198"/>
      <c r="Q285" s="198"/>
      <c r="R285" s="196"/>
      <c r="S285" s="196"/>
      <c r="T285" s="196"/>
      <c r="U285" s="196"/>
      <c r="V285" s="196"/>
      <c r="W285" s="196"/>
      <c r="X285" s="197"/>
      <c r="Y285" s="197"/>
      <c r="Z285" s="197"/>
      <c r="AA285" s="196"/>
      <c r="AB285" s="196"/>
      <c r="AC285" s="196"/>
      <c r="AD285" s="196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  <c r="AQ285" s="197"/>
      <c r="AR285" s="196"/>
      <c r="AS285" s="196"/>
      <c r="AT285" s="196"/>
      <c r="AU285" s="196"/>
      <c r="AV285" s="196"/>
      <c r="AW285" s="197"/>
      <c r="AX285" s="197"/>
      <c r="AY285" s="197"/>
      <c r="AZ285" s="197"/>
    </row>
    <row r="286" spans="1:52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7"/>
      <c r="N286" s="197"/>
      <c r="O286" s="198"/>
      <c r="P286" s="198"/>
      <c r="Q286" s="198"/>
      <c r="R286" s="196"/>
      <c r="S286" s="196"/>
      <c r="T286" s="196"/>
      <c r="U286" s="196"/>
      <c r="V286" s="196"/>
      <c r="W286" s="196"/>
      <c r="X286" s="197"/>
      <c r="Y286" s="197"/>
      <c r="Z286" s="197"/>
      <c r="AA286" s="196"/>
      <c r="AB286" s="196"/>
      <c r="AC286" s="196"/>
      <c r="AD286" s="196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  <c r="AP286" s="196"/>
      <c r="AQ286" s="197"/>
      <c r="AR286" s="196"/>
      <c r="AS286" s="196"/>
      <c r="AT286" s="196"/>
      <c r="AU286" s="196"/>
      <c r="AV286" s="196"/>
      <c r="AW286" s="197"/>
      <c r="AX286" s="197"/>
      <c r="AY286" s="197"/>
      <c r="AZ286" s="197"/>
    </row>
    <row r="287" spans="1:52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7"/>
      <c r="N287" s="197"/>
      <c r="O287" s="198"/>
      <c r="P287" s="198"/>
      <c r="Q287" s="198"/>
      <c r="R287" s="196"/>
      <c r="S287" s="196"/>
      <c r="T287" s="196"/>
      <c r="U287" s="196"/>
      <c r="V287" s="196"/>
      <c r="W287" s="196"/>
      <c r="X287" s="197"/>
      <c r="Y287" s="197"/>
      <c r="Z287" s="197"/>
      <c r="AA287" s="196"/>
      <c r="AB287" s="196"/>
      <c r="AC287" s="196"/>
      <c r="AD287" s="196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  <c r="AP287" s="196"/>
      <c r="AQ287" s="197"/>
      <c r="AR287" s="196"/>
      <c r="AS287" s="196"/>
      <c r="AT287" s="196"/>
      <c r="AU287" s="196"/>
      <c r="AV287" s="196"/>
      <c r="AW287" s="197"/>
      <c r="AX287" s="197"/>
      <c r="AY287" s="197"/>
      <c r="AZ287" s="197"/>
    </row>
    <row r="288" spans="1:52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7"/>
      <c r="N288" s="197"/>
      <c r="O288" s="198"/>
      <c r="P288" s="198"/>
      <c r="Q288" s="198"/>
      <c r="R288" s="196"/>
      <c r="S288" s="196"/>
      <c r="T288" s="196"/>
      <c r="U288" s="196"/>
      <c r="V288" s="196"/>
      <c r="W288" s="196"/>
      <c r="X288" s="197"/>
      <c r="Y288" s="197"/>
      <c r="Z288" s="197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  <c r="AK288" s="196"/>
      <c r="AL288" s="196"/>
      <c r="AM288" s="196"/>
      <c r="AN288" s="196"/>
      <c r="AO288" s="196"/>
      <c r="AP288" s="196"/>
      <c r="AQ288" s="197"/>
      <c r="AR288" s="196"/>
      <c r="AS288" s="196"/>
      <c r="AT288" s="196"/>
      <c r="AU288" s="196"/>
      <c r="AV288" s="196"/>
      <c r="AW288" s="197"/>
      <c r="AX288" s="197"/>
      <c r="AY288" s="197"/>
      <c r="AZ288" s="197"/>
    </row>
    <row r="289" spans="1:52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7"/>
      <c r="N289" s="197"/>
      <c r="O289" s="198"/>
      <c r="P289" s="198"/>
      <c r="Q289" s="198"/>
      <c r="R289" s="196"/>
      <c r="S289" s="196"/>
      <c r="T289" s="196"/>
      <c r="U289" s="196"/>
      <c r="V289" s="196"/>
      <c r="W289" s="196"/>
      <c r="X289" s="197"/>
      <c r="Y289" s="197"/>
      <c r="Z289" s="197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  <c r="AK289" s="196"/>
      <c r="AL289" s="196"/>
      <c r="AM289" s="196"/>
      <c r="AN289" s="196"/>
      <c r="AO289" s="196"/>
      <c r="AP289" s="196"/>
      <c r="AQ289" s="197"/>
      <c r="AR289" s="196"/>
      <c r="AS289" s="196"/>
      <c r="AT289" s="196"/>
      <c r="AU289" s="196"/>
      <c r="AV289" s="196"/>
      <c r="AW289" s="197"/>
      <c r="AX289" s="197"/>
      <c r="AY289" s="197"/>
      <c r="AZ289" s="197"/>
    </row>
    <row r="290" spans="1:52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7"/>
      <c r="N290" s="197"/>
      <c r="O290" s="198"/>
      <c r="P290" s="198"/>
      <c r="Q290" s="198"/>
      <c r="R290" s="196"/>
      <c r="S290" s="196"/>
      <c r="T290" s="196"/>
      <c r="U290" s="196"/>
      <c r="V290" s="196"/>
      <c r="W290" s="196"/>
      <c r="X290" s="197"/>
      <c r="Y290" s="197"/>
      <c r="Z290" s="197"/>
      <c r="AA290" s="196"/>
      <c r="AB290" s="196"/>
      <c r="AC290" s="196"/>
      <c r="AD290" s="196"/>
      <c r="AE290" s="196"/>
      <c r="AF290" s="196"/>
      <c r="AG290" s="196"/>
      <c r="AH290" s="196"/>
      <c r="AI290" s="196"/>
      <c r="AJ290" s="196"/>
      <c r="AK290" s="196"/>
      <c r="AL290" s="196"/>
      <c r="AM290" s="196"/>
      <c r="AN290" s="196"/>
      <c r="AO290" s="196"/>
      <c r="AP290" s="196"/>
      <c r="AQ290" s="197"/>
      <c r="AR290" s="196"/>
      <c r="AS290" s="196"/>
      <c r="AT290" s="196"/>
      <c r="AU290" s="196"/>
      <c r="AV290" s="196"/>
      <c r="AW290" s="197"/>
      <c r="AX290" s="197"/>
      <c r="AY290" s="197"/>
      <c r="AZ290" s="197"/>
    </row>
    <row r="291" spans="1:52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7"/>
      <c r="N291" s="197"/>
      <c r="O291" s="198"/>
      <c r="P291" s="198"/>
      <c r="Q291" s="198"/>
      <c r="R291" s="196"/>
      <c r="S291" s="196"/>
      <c r="T291" s="196"/>
      <c r="U291" s="196"/>
      <c r="V291" s="196"/>
      <c r="W291" s="196"/>
      <c r="X291" s="197"/>
      <c r="Y291" s="197"/>
      <c r="Z291" s="197"/>
      <c r="AA291" s="196"/>
      <c r="AB291" s="196"/>
      <c r="AC291" s="196"/>
      <c r="AD291" s="196"/>
      <c r="AE291" s="196"/>
      <c r="AF291" s="196"/>
      <c r="AG291" s="196"/>
      <c r="AH291" s="196"/>
      <c r="AI291" s="196"/>
      <c r="AJ291" s="196"/>
      <c r="AK291" s="196"/>
      <c r="AL291" s="196"/>
      <c r="AM291" s="196"/>
      <c r="AN291" s="196"/>
      <c r="AO291" s="196"/>
      <c r="AP291" s="196"/>
      <c r="AQ291" s="197"/>
      <c r="AR291" s="196"/>
      <c r="AS291" s="196"/>
      <c r="AT291" s="196"/>
      <c r="AU291" s="196"/>
      <c r="AV291" s="196"/>
      <c r="AW291" s="197"/>
      <c r="AX291" s="197"/>
      <c r="AY291" s="197"/>
      <c r="AZ291" s="197"/>
    </row>
    <row r="292" spans="1:52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7"/>
      <c r="N292" s="197"/>
      <c r="O292" s="198"/>
      <c r="P292" s="198"/>
      <c r="Q292" s="198"/>
      <c r="R292" s="196"/>
      <c r="S292" s="196"/>
      <c r="T292" s="196"/>
      <c r="U292" s="196"/>
      <c r="V292" s="196"/>
      <c r="W292" s="196"/>
      <c r="X292" s="197"/>
      <c r="Y292" s="197"/>
      <c r="Z292" s="197"/>
      <c r="AA292" s="196"/>
      <c r="AB292" s="196"/>
      <c r="AC292" s="196"/>
      <c r="AD292" s="196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  <c r="AQ292" s="197"/>
      <c r="AR292" s="196"/>
      <c r="AS292" s="196"/>
      <c r="AT292" s="196"/>
      <c r="AU292" s="196"/>
      <c r="AV292" s="196"/>
      <c r="AW292" s="197"/>
      <c r="AX292" s="197"/>
      <c r="AY292" s="197"/>
      <c r="AZ292" s="197"/>
    </row>
    <row r="293" spans="1:52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7"/>
      <c r="N293" s="197"/>
      <c r="O293" s="198"/>
      <c r="P293" s="198"/>
      <c r="Q293" s="198"/>
      <c r="R293" s="196"/>
      <c r="S293" s="196"/>
      <c r="T293" s="196"/>
      <c r="U293" s="196"/>
      <c r="V293" s="196"/>
      <c r="W293" s="196"/>
      <c r="X293" s="197"/>
      <c r="Y293" s="197"/>
      <c r="Z293" s="197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7"/>
      <c r="AR293" s="196"/>
      <c r="AS293" s="196"/>
      <c r="AT293" s="196"/>
      <c r="AU293" s="196"/>
      <c r="AV293" s="196"/>
      <c r="AW293" s="197"/>
      <c r="AX293" s="197"/>
      <c r="AY293" s="197"/>
      <c r="AZ293" s="197"/>
    </row>
    <row r="294" spans="1:52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7"/>
      <c r="N294" s="197"/>
      <c r="O294" s="198"/>
      <c r="P294" s="198"/>
      <c r="Q294" s="198"/>
      <c r="R294" s="196"/>
      <c r="S294" s="196"/>
      <c r="T294" s="196"/>
      <c r="U294" s="196"/>
      <c r="V294" s="196"/>
      <c r="W294" s="196"/>
      <c r="X294" s="197"/>
      <c r="Y294" s="197"/>
      <c r="Z294" s="197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  <c r="AK294" s="196"/>
      <c r="AL294" s="196"/>
      <c r="AM294" s="196"/>
      <c r="AN294" s="196"/>
      <c r="AO294" s="196"/>
      <c r="AP294" s="196"/>
      <c r="AQ294" s="197"/>
      <c r="AR294" s="196"/>
      <c r="AS294" s="196"/>
      <c r="AT294" s="196"/>
      <c r="AU294" s="196"/>
      <c r="AV294" s="196"/>
      <c r="AW294" s="197"/>
      <c r="AX294" s="197"/>
      <c r="AY294" s="197"/>
      <c r="AZ294" s="197"/>
    </row>
    <row r="295" spans="1:52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7"/>
      <c r="N295" s="197"/>
      <c r="O295" s="198"/>
      <c r="P295" s="198"/>
      <c r="Q295" s="198"/>
      <c r="R295" s="196"/>
      <c r="S295" s="196"/>
      <c r="T295" s="196"/>
      <c r="U295" s="196"/>
      <c r="V295" s="196"/>
      <c r="W295" s="196"/>
      <c r="X295" s="197"/>
      <c r="Y295" s="197"/>
      <c r="Z295" s="197"/>
      <c r="AA295" s="196"/>
      <c r="AB295" s="196"/>
      <c r="AC295" s="196"/>
      <c r="AD295" s="196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  <c r="AQ295" s="197"/>
      <c r="AR295" s="196"/>
      <c r="AS295" s="196"/>
      <c r="AT295" s="196"/>
      <c r="AU295" s="196"/>
      <c r="AV295" s="196"/>
      <c r="AW295" s="197"/>
      <c r="AX295" s="197"/>
      <c r="AY295" s="197"/>
      <c r="AZ295" s="197"/>
    </row>
    <row r="296" spans="1:52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7"/>
      <c r="N296" s="197"/>
      <c r="O296" s="198"/>
      <c r="P296" s="198"/>
      <c r="Q296" s="198"/>
      <c r="R296" s="196"/>
      <c r="S296" s="196"/>
      <c r="T296" s="196"/>
      <c r="U296" s="196"/>
      <c r="V296" s="196"/>
      <c r="W296" s="196"/>
      <c r="X296" s="197"/>
      <c r="Y296" s="197"/>
      <c r="Z296" s="197"/>
      <c r="AA296" s="196"/>
      <c r="AB296" s="196"/>
      <c r="AC296" s="196"/>
      <c r="AD296" s="196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  <c r="AQ296" s="197"/>
      <c r="AR296" s="196"/>
      <c r="AS296" s="196"/>
      <c r="AT296" s="196"/>
      <c r="AU296" s="196"/>
      <c r="AV296" s="196"/>
      <c r="AW296" s="197"/>
      <c r="AX296" s="197"/>
      <c r="AY296" s="197"/>
      <c r="AZ296" s="197"/>
    </row>
    <row r="297" spans="1:52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7"/>
      <c r="N297" s="197"/>
      <c r="O297" s="198"/>
      <c r="P297" s="198"/>
      <c r="Q297" s="198"/>
      <c r="R297" s="196"/>
      <c r="S297" s="196"/>
      <c r="T297" s="196"/>
      <c r="U297" s="196"/>
      <c r="V297" s="196"/>
      <c r="W297" s="196"/>
      <c r="X297" s="197"/>
      <c r="Y297" s="197"/>
      <c r="Z297" s="197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7"/>
      <c r="AR297" s="196"/>
      <c r="AS297" s="196"/>
      <c r="AT297" s="196"/>
      <c r="AU297" s="196"/>
      <c r="AV297" s="196"/>
      <c r="AW297" s="197"/>
      <c r="AX297" s="197"/>
      <c r="AY297" s="197"/>
      <c r="AZ297" s="197"/>
    </row>
    <row r="298" spans="1:52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7"/>
      <c r="N298" s="197"/>
      <c r="O298" s="198"/>
      <c r="P298" s="198"/>
      <c r="Q298" s="198"/>
      <c r="R298" s="196"/>
      <c r="S298" s="196"/>
      <c r="T298" s="196"/>
      <c r="U298" s="196"/>
      <c r="V298" s="196"/>
      <c r="W298" s="196"/>
      <c r="X298" s="197"/>
      <c r="Y298" s="197"/>
      <c r="Z298" s="197"/>
      <c r="AA298" s="196"/>
      <c r="AB298" s="196"/>
      <c r="AC298" s="196"/>
      <c r="AD298" s="196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  <c r="AQ298" s="197"/>
      <c r="AR298" s="196"/>
      <c r="AS298" s="196"/>
      <c r="AT298" s="196"/>
      <c r="AU298" s="196"/>
      <c r="AV298" s="196"/>
      <c r="AW298" s="197"/>
      <c r="AX298" s="197"/>
      <c r="AY298" s="197"/>
      <c r="AZ298" s="197"/>
    </row>
    <row r="299" spans="1:52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7"/>
      <c r="N299" s="197"/>
      <c r="O299" s="198"/>
      <c r="P299" s="198"/>
      <c r="Q299" s="198"/>
      <c r="R299" s="196"/>
      <c r="S299" s="196"/>
      <c r="T299" s="196"/>
      <c r="U299" s="196"/>
      <c r="V299" s="196"/>
      <c r="W299" s="196"/>
      <c r="X299" s="197"/>
      <c r="Y299" s="197"/>
      <c r="Z299" s="197"/>
      <c r="AA299" s="196"/>
      <c r="AB299" s="196"/>
      <c r="AC299" s="196"/>
      <c r="AD299" s="196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7"/>
      <c r="AR299" s="196"/>
      <c r="AS299" s="196"/>
      <c r="AT299" s="196"/>
      <c r="AU299" s="196"/>
      <c r="AV299" s="196"/>
      <c r="AW299" s="197"/>
      <c r="AX299" s="197"/>
      <c r="AY299" s="197"/>
      <c r="AZ299" s="197"/>
    </row>
    <row r="300" spans="1:52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7"/>
      <c r="N300" s="197"/>
      <c r="O300" s="198"/>
      <c r="P300" s="198"/>
      <c r="Q300" s="198"/>
      <c r="R300" s="196"/>
      <c r="S300" s="196"/>
      <c r="T300" s="196"/>
      <c r="U300" s="196"/>
      <c r="V300" s="196"/>
      <c r="W300" s="196"/>
      <c r="X300" s="197"/>
      <c r="Y300" s="197"/>
      <c r="Z300" s="197"/>
      <c r="AA300" s="196"/>
      <c r="AB300" s="196"/>
      <c r="AC300" s="196"/>
      <c r="AD300" s="196"/>
      <c r="AE300" s="196"/>
      <c r="AF300" s="196"/>
      <c r="AG300" s="196"/>
      <c r="AH300" s="196"/>
      <c r="AI300" s="196"/>
      <c r="AJ300" s="196"/>
      <c r="AK300" s="196"/>
      <c r="AL300" s="196"/>
      <c r="AM300" s="196"/>
      <c r="AN300" s="196"/>
      <c r="AO300" s="196"/>
      <c r="AP300" s="196"/>
      <c r="AQ300" s="197"/>
      <c r="AR300" s="196"/>
      <c r="AS300" s="196"/>
      <c r="AT300" s="196"/>
      <c r="AU300" s="196"/>
      <c r="AV300" s="196"/>
      <c r="AW300" s="197"/>
      <c r="AX300" s="197"/>
      <c r="AY300" s="197"/>
      <c r="AZ300" s="197"/>
    </row>
    <row r="301" spans="1:52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7"/>
      <c r="N301" s="197"/>
      <c r="O301" s="198"/>
      <c r="P301" s="198"/>
      <c r="Q301" s="198"/>
      <c r="R301" s="196"/>
      <c r="S301" s="196"/>
      <c r="T301" s="196"/>
      <c r="U301" s="196"/>
      <c r="V301" s="196"/>
      <c r="W301" s="196"/>
      <c r="X301" s="197"/>
      <c r="Y301" s="197"/>
      <c r="Z301" s="197"/>
      <c r="AA301" s="196"/>
      <c r="AB301" s="196"/>
      <c r="AC301" s="196"/>
      <c r="AD301" s="196"/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  <c r="AQ301" s="197"/>
      <c r="AR301" s="196"/>
      <c r="AS301" s="196"/>
      <c r="AT301" s="196"/>
      <c r="AU301" s="196"/>
      <c r="AV301" s="196"/>
      <c r="AW301" s="197"/>
      <c r="AX301" s="197"/>
      <c r="AY301" s="197"/>
      <c r="AZ301" s="197"/>
    </row>
    <row r="302" spans="1:52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7"/>
      <c r="N302" s="197"/>
      <c r="O302" s="198"/>
      <c r="P302" s="198"/>
      <c r="Q302" s="198"/>
      <c r="R302" s="196"/>
      <c r="S302" s="196"/>
      <c r="T302" s="196"/>
      <c r="U302" s="196"/>
      <c r="V302" s="196"/>
      <c r="W302" s="196"/>
      <c r="X302" s="197"/>
      <c r="Y302" s="197"/>
      <c r="Z302" s="197"/>
      <c r="AA302" s="196"/>
      <c r="AB302" s="196"/>
      <c r="AC302" s="196"/>
      <c r="AD302" s="196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  <c r="AQ302" s="197"/>
      <c r="AR302" s="196"/>
      <c r="AS302" s="196"/>
      <c r="AT302" s="196"/>
      <c r="AU302" s="196"/>
      <c r="AV302" s="196"/>
      <c r="AW302" s="197"/>
      <c r="AX302" s="197"/>
      <c r="AY302" s="197"/>
      <c r="AZ302" s="197"/>
    </row>
    <row r="303" spans="1:52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7"/>
      <c r="N303" s="197"/>
      <c r="O303" s="198"/>
      <c r="P303" s="198"/>
      <c r="Q303" s="198"/>
      <c r="R303" s="196"/>
      <c r="S303" s="196"/>
      <c r="T303" s="196"/>
      <c r="U303" s="196"/>
      <c r="V303" s="196"/>
      <c r="W303" s="196"/>
      <c r="X303" s="197"/>
      <c r="Y303" s="197"/>
      <c r="Z303" s="197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  <c r="AK303" s="196"/>
      <c r="AL303" s="196"/>
      <c r="AM303" s="196"/>
      <c r="AN303" s="196"/>
      <c r="AO303" s="196"/>
      <c r="AP303" s="196"/>
      <c r="AQ303" s="197"/>
      <c r="AR303" s="196"/>
      <c r="AS303" s="196"/>
      <c r="AT303" s="196"/>
      <c r="AU303" s="196"/>
      <c r="AV303" s="196"/>
      <c r="AW303" s="197"/>
      <c r="AX303" s="197"/>
      <c r="AY303" s="197"/>
      <c r="AZ303" s="197"/>
    </row>
    <row r="304" spans="1:52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7"/>
      <c r="N304" s="197"/>
      <c r="O304" s="198"/>
      <c r="P304" s="198"/>
      <c r="Q304" s="198"/>
      <c r="R304" s="196"/>
      <c r="S304" s="196"/>
      <c r="T304" s="196"/>
      <c r="U304" s="196"/>
      <c r="V304" s="196"/>
      <c r="W304" s="196"/>
      <c r="X304" s="197"/>
      <c r="Y304" s="197"/>
      <c r="Z304" s="197"/>
      <c r="AA304" s="196"/>
      <c r="AB304" s="196"/>
      <c r="AC304" s="196"/>
      <c r="AD304" s="196"/>
      <c r="AE304" s="196"/>
      <c r="AF304" s="196"/>
      <c r="AG304" s="196"/>
      <c r="AH304" s="196"/>
      <c r="AI304" s="196"/>
      <c r="AJ304" s="196"/>
      <c r="AK304" s="196"/>
      <c r="AL304" s="196"/>
      <c r="AM304" s="196"/>
      <c r="AN304" s="196"/>
      <c r="AO304" s="196"/>
      <c r="AP304" s="196"/>
      <c r="AQ304" s="197"/>
      <c r="AR304" s="196"/>
      <c r="AS304" s="196"/>
      <c r="AT304" s="196"/>
      <c r="AU304" s="196"/>
      <c r="AV304" s="196"/>
      <c r="AW304" s="197"/>
      <c r="AX304" s="197"/>
      <c r="AY304" s="197"/>
      <c r="AZ304" s="197"/>
    </row>
    <row r="305" spans="1:52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7"/>
      <c r="N305" s="197"/>
      <c r="O305" s="198"/>
      <c r="P305" s="198"/>
      <c r="Q305" s="198"/>
      <c r="R305" s="196"/>
      <c r="S305" s="196"/>
      <c r="T305" s="196"/>
      <c r="U305" s="196"/>
      <c r="V305" s="196"/>
      <c r="W305" s="196"/>
      <c r="X305" s="197"/>
      <c r="Y305" s="197"/>
      <c r="Z305" s="197"/>
      <c r="AA305" s="196"/>
      <c r="AB305" s="196"/>
      <c r="AC305" s="196"/>
      <c r="AD305" s="196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  <c r="AQ305" s="197"/>
      <c r="AR305" s="196"/>
      <c r="AS305" s="196"/>
      <c r="AT305" s="196"/>
      <c r="AU305" s="196"/>
      <c r="AV305" s="196"/>
      <c r="AW305" s="197"/>
      <c r="AX305" s="197"/>
      <c r="AY305" s="197"/>
      <c r="AZ305" s="197"/>
    </row>
    <row r="306" spans="1:52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7"/>
      <c r="N306" s="197"/>
      <c r="O306" s="198"/>
      <c r="P306" s="198"/>
      <c r="Q306" s="198"/>
      <c r="R306" s="196"/>
      <c r="S306" s="196"/>
      <c r="T306" s="196"/>
      <c r="U306" s="196"/>
      <c r="V306" s="196"/>
      <c r="W306" s="196"/>
      <c r="X306" s="197"/>
      <c r="Y306" s="197"/>
      <c r="Z306" s="197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7"/>
      <c r="AR306" s="196"/>
      <c r="AS306" s="196"/>
      <c r="AT306" s="196"/>
      <c r="AU306" s="196"/>
      <c r="AV306" s="196"/>
      <c r="AW306" s="197"/>
      <c r="AX306" s="197"/>
      <c r="AY306" s="197"/>
      <c r="AZ306" s="197"/>
    </row>
    <row r="307" spans="1:52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7"/>
      <c r="N307" s="197"/>
      <c r="O307" s="198"/>
      <c r="P307" s="198"/>
      <c r="Q307" s="198"/>
      <c r="R307" s="196"/>
      <c r="S307" s="196"/>
      <c r="T307" s="196"/>
      <c r="U307" s="196"/>
      <c r="V307" s="196"/>
      <c r="W307" s="196"/>
      <c r="X307" s="197"/>
      <c r="Y307" s="197"/>
      <c r="Z307" s="197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  <c r="AK307" s="196"/>
      <c r="AL307" s="196"/>
      <c r="AM307" s="196"/>
      <c r="AN307" s="196"/>
      <c r="AO307" s="196"/>
      <c r="AP307" s="196"/>
      <c r="AQ307" s="197"/>
      <c r="AR307" s="196"/>
      <c r="AS307" s="196"/>
      <c r="AT307" s="196"/>
      <c r="AU307" s="196"/>
      <c r="AV307" s="196"/>
      <c r="AW307" s="197"/>
      <c r="AX307" s="197"/>
      <c r="AY307" s="197"/>
      <c r="AZ307" s="197"/>
    </row>
    <row r="308" spans="1:52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7"/>
      <c r="N308" s="197"/>
      <c r="O308" s="198"/>
      <c r="P308" s="198"/>
      <c r="Q308" s="198"/>
      <c r="R308" s="196"/>
      <c r="S308" s="196"/>
      <c r="T308" s="196"/>
      <c r="U308" s="196"/>
      <c r="V308" s="196"/>
      <c r="W308" s="196"/>
      <c r="X308" s="197"/>
      <c r="Y308" s="197"/>
      <c r="Z308" s="197"/>
      <c r="AA308" s="196"/>
      <c r="AB308" s="196"/>
      <c r="AC308" s="196"/>
      <c r="AD308" s="196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  <c r="AQ308" s="197"/>
      <c r="AR308" s="196"/>
      <c r="AS308" s="196"/>
      <c r="AT308" s="196"/>
      <c r="AU308" s="196"/>
      <c r="AV308" s="196"/>
      <c r="AW308" s="197"/>
      <c r="AX308" s="197"/>
      <c r="AY308" s="197"/>
      <c r="AZ308" s="197"/>
    </row>
    <row r="309" spans="1:52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7"/>
      <c r="N309" s="197"/>
      <c r="O309" s="198"/>
      <c r="P309" s="198"/>
      <c r="Q309" s="198"/>
      <c r="R309" s="196"/>
      <c r="S309" s="196"/>
      <c r="T309" s="196"/>
      <c r="U309" s="196"/>
      <c r="V309" s="196"/>
      <c r="W309" s="196"/>
      <c r="X309" s="197"/>
      <c r="Y309" s="197"/>
      <c r="Z309" s="197"/>
      <c r="AA309" s="196"/>
      <c r="AB309" s="196"/>
      <c r="AC309" s="196"/>
      <c r="AD309" s="196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  <c r="AQ309" s="197"/>
      <c r="AR309" s="196"/>
      <c r="AS309" s="196"/>
      <c r="AT309" s="196"/>
      <c r="AU309" s="196"/>
      <c r="AV309" s="196"/>
      <c r="AW309" s="197"/>
      <c r="AX309" s="197"/>
      <c r="AY309" s="197"/>
      <c r="AZ309" s="197"/>
    </row>
    <row r="310" spans="1:52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7"/>
      <c r="N310" s="197"/>
      <c r="O310" s="198"/>
      <c r="P310" s="198"/>
      <c r="Q310" s="198"/>
      <c r="R310" s="196"/>
      <c r="S310" s="196"/>
      <c r="T310" s="196"/>
      <c r="U310" s="196"/>
      <c r="V310" s="196"/>
      <c r="W310" s="196"/>
      <c r="X310" s="197"/>
      <c r="Y310" s="197"/>
      <c r="Z310" s="197"/>
      <c r="AA310" s="196"/>
      <c r="AB310" s="196"/>
      <c r="AC310" s="196"/>
      <c r="AD310" s="196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  <c r="AQ310" s="197"/>
      <c r="AR310" s="196"/>
      <c r="AS310" s="196"/>
      <c r="AT310" s="196"/>
      <c r="AU310" s="196"/>
      <c r="AV310" s="196"/>
      <c r="AW310" s="197"/>
      <c r="AX310" s="197"/>
      <c r="AY310" s="197"/>
      <c r="AZ310" s="197"/>
    </row>
    <row r="311" spans="1:52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7"/>
      <c r="N311" s="197"/>
      <c r="O311" s="198"/>
      <c r="P311" s="198"/>
      <c r="Q311" s="198"/>
      <c r="R311" s="196"/>
      <c r="S311" s="196"/>
      <c r="T311" s="196"/>
      <c r="U311" s="196"/>
      <c r="V311" s="196"/>
      <c r="W311" s="196"/>
      <c r="X311" s="197"/>
      <c r="Y311" s="197"/>
      <c r="Z311" s="197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7"/>
      <c r="AR311" s="196"/>
      <c r="AS311" s="196"/>
      <c r="AT311" s="196"/>
      <c r="AU311" s="196"/>
      <c r="AV311" s="196"/>
      <c r="AW311" s="197"/>
      <c r="AX311" s="197"/>
      <c r="AY311" s="197"/>
      <c r="AZ311" s="197"/>
    </row>
    <row r="312" spans="1:52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7"/>
      <c r="N312" s="197"/>
      <c r="O312" s="198"/>
      <c r="P312" s="198"/>
      <c r="Q312" s="198"/>
      <c r="R312" s="196"/>
      <c r="S312" s="196"/>
      <c r="T312" s="196"/>
      <c r="U312" s="196"/>
      <c r="V312" s="196"/>
      <c r="W312" s="196"/>
      <c r="X312" s="197"/>
      <c r="Y312" s="197"/>
      <c r="Z312" s="197"/>
      <c r="AA312" s="196"/>
      <c r="AB312" s="196"/>
      <c r="AC312" s="196"/>
      <c r="AD312" s="196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7"/>
      <c r="AR312" s="196"/>
      <c r="AS312" s="196"/>
      <c r="AT312" s="196"/>
      <c r="AU312" s="196"/>
      <c r="AV312" s="196"/>
      <c r="AW312" s="197"/>
      <c r="AX312" s="197"/>
      <c r="AY312" s="197"/>
      <c r="AZ312" s="197"/>
    </row>
    <row r="313" spans="1:52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7"/>
      <c r="N313" s="197"/>
      <c r="O313" s="198"/>
      <c r="P313" s="198"/>
      <c r="Q313" s="198"/>
      <c r="R313" s="196"/>
      <c r="S313" s="196"/>
      <c r="T313" s="196"/>
      <c r="U313" s="196"/>
      <c r="V313" s="196"/>
      <c r="W313" s="196"/>
      <c r="X313" s="197"/>
      <c r="Y313" s="197"/>
      <c r="Z313" s="197"/>
      <c r="AA313" s="196"/>
      <c r="AB313" s="196"/>
      <c r="AC313" s="196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7"/>
      <c r="AR313" s="196"/>
      <c r="AS313" s="196"/>
      <c r="AT313" s="196"/>
      <c r="AU313" s="196"/>
      <c r="AV313" s="196"/>
      <c r="AW313" s="197"/>
      <c r="AX313" s="197"/>
      <c r="AY313" s="197"/>
      <c r="AZ313" s="197"/>
    </row>
    <row r="314" spans="1:52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7"/>
      <c r="N314" s="197"/>
      <c r="O314" s="198"/>
      <c r="P314" s="198"/>
      <c r="Q314" s="198"/>
      <c r="R314" s="196"/>
      <c r="S314" s="196"/>
      <c r="T314" s="196"/>
      <c r="U314" s="196"/>
      <c r="V314" s="196"/>
      <c r="W314" s="196"/>
      <c r="X314" s="197"/>
      <c r="Y314" s="197"/>
      <c r="Z314" s="197"/>
      <c r="AA314" s="196"/>
      <c r="AB314" s="196"/>
      <c r="AC314" s="196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  <c r="AN314" s="196"/>
      <c r="AO314" s="196"/>
      <c r="AP314" s="196"/>
      <c r="AQ314" s="197"/>
      <c r="AR314" s="196"/>
      <c r="AS314" s="196"/>
      <c r="AT314" s="196"/>
      <c r="AU314" s="196"/>
      <c r="AV314" s="196"/>
      <c r="AW314" s="197"/>
      <c r="AX314" s="197"/>
      <c r="AY314" s="197"/>
      <c r="AZ314" s="197"/>
    </row>
    <row r="315" spans="1:52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7"/>
      <c r="N315" s="197"/>
      <c r="O315" s="198"/>
      <c r="P315" s="198"/>
      <c r="Q315" s="198"/>
      <c r="R315" s="196"/>
      <c r="S315" s="196"/>
      <c r="T315" s="196"/>
      <c r="U315" s="196"/>
      <c r="V315" s="196"/>
      <c r="W315" s="196"/>
      <c r="X315" s="197"/>
      <c r="Y315" s="197"/>
      <c r="Z315" s="197"/>
      <c r="AA315" s="196"/>
      <c r="AB315" s="196"/>
      <c r="AC315" s="196"/>
      <c r="AD315" s="196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7"/>
      <c r="AR315" s="196"/>
      <c r="AS315" s="196"/>
      <c r="AT315" s="196"/>
      <c r="AU315" s="196"/>
      <c r="AV315" s="196"/>
      <c r="AW315" s="197"/>
      <c r="AX315" s="197"/>
      <c r="AY315" s="197"/>
      <c r="AZ315" s="197"/>
    </row>
    <row r="316" spans="1:52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7"/>
      <c r="N316" s="197"/>
      <c r="O316" s="198"/>
      <c r="P316" s="198"/>
      <c r="Q316" s="198"/>
      <c r="R316" s="196"/>
      <c r="S316" s="196"/>
      <c r="T316" s="196"/>
      <c r="U316" s="196"/>
      <c r="V316" s="196"/>
      <c r="W316" s="196"/>
      <c r="X316" s="197"/>
      <c r="Y316" s="197"/>
      <c r="Z316" s="197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7"/>
      <c r="AR316" s="196"/>
      <c r="AS316" s="196"/>
      <c r="AT316" s="196"/>
      <c r="AU316" s="196"/>
      <c r="AV316" s="196"/>
      <c r="AW316" s="197"/>
      <c r="AX316" s="197"/>
      <c r="AY316" s="197"/>
      <c r="AZ316" s="197"/>
    </row>
    <row r="317" spans="1:52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7"/>
      <c r="N317" s="197"/>
      <c r="O317" s="198"/>
      <c r="P317" s="198"/>
      <c r="Q317" s="198"/>
      <c r="R317" s="196"/>
      <c r="S317" s="196"/>
      <c r="T317" s="196"/>
      <c r="U317" s="196"/>
      <c r="V317" s="196"/>
      <c r="W317" s="196"/>
      <c r="X317" s="197"/>
      <c r="Y317" s="197"/>
      <c r="Z317" s="197"/>
      <c r="AA317" s="196"/>
      <c r="AB317" s="196"/>
      <c r="AC317" s="196"/>
      <c r="AD317" s="196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  <c r="AP317" s="196"/>
      <c r="AQ317" s="197"/>
      <c r="AR317" s="196"/>
      <c r="AS317" s="196"/>
      <c r="AT317" s="196"/>
      <c r="AU317" s="196"/>
      <c r="AV317" s="196"/>
      <c r="AW317" s="197"/>
      <c r="AX317" s="197"/>
      <c r="AY317" s="197"/>
      <c r="AZ317" s="197"/>
    </row>
    <row r="318" spans="1:52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7"/>
      <c r="N318" s="197"/>
      <c r="O318" s="198"/>
      <c r="P318" s="198"/>
      <c r="Q318" s="198"/>
      <c r="R318" s="196"/>
      <c r="S318" s="196"/>
      <c r="T318" s="196"/>
      <c r="U318" s="196"/>
      <c r="V318" s="196"/>
      <c r="W318" s="196"/>
      <c r="X318" s="197"/>
      <c r="Y318" s="197"/>
      <c r="Z318" s="197"/>
      <c r="AA318" s="196"/>
      <c r="AB318" s="196"/>
      <c r="AC318" s="196"/>
      <c r="AD318" s="196"/>
      <c r="AE318" s="196"/>
      <c r="AF318" s="196"/>
      <c r="AG318" s="196"/>
      <c r="AH318" s="196"/>
      <c r="AI318" s="196"/>
      <c r="AJ318" s="196"/>
      <c r="AK318" s="196"/>
      <c r="AL318" s="196"/>
      <c r="AM318" s="196"/>
      <c r="AN318" s="196"/>
      <c r="AO318" s="196"/>
      <c r="AP318" s="196"/>
      <c r="AQ318" s="197"/>
      <c r="AR318" s="196"/>
      <c r="AS318" s="196"/>
      <c r="AT318" s="196"/>
      <c r="AU318" s="196"/>
      <c r="AV318" s="196"/>
      <c r="AW318" s="197"/>
      <c r="AX318" s="197"/>
      <c r="AY318" s="197"/>
      <c r="AZ318" s="197"/>
    </row>
    <row r="319" spans="1:52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7"/>
      <c r="N319" s="197"/>
      <c r="O319" s="198"/>
      <c r="P319" s="198"/>
      <c r="Q319" s="198"/>
      <c r="R319" s="196"/>
      <c r="S319" s="196"/>
      <c r="T319" s="196"/>
      <c r="U319" s="196"/>
      <c r="V319" s="196"/>
      <c r="W319" s="196"/>
      <c r="X319" s="197"/>
      <c r="Y319" s="197"/>
      <c r="Z319" s="197"/>
      <c r="AA319" s="196"/>
      <c r="AB319" s="196"/>
      <c r="AC319" s="196"/>
      <c r="AD319" s="196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  <c r="AQ319" s="197"/>
      <c r="AR319" s="196"/>
      <c r="AS319" s="196"/>
      <c r="AT319" s="196"/>
      <c r="AU319" s="196"/>
      <c r="AV319" s="196"/>
      <c r="AW319" s="197"/>
      <c r="AX319" s="197"/>
      <c r="AY319" s="197"/>
      <c r="AZ319" s="197"/>
    </row>
    <row r="320" spans="1:52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7"/>
      <c r="N320" s="197"/>
      <c r="O320" s="198"/>
      <c r="P320" s="198"/>
      <c r="Q320" s="198"/>
      <c r="R320" s="196"/>
      <c r="S320" s="196"/>
      <c r="T320" s="196"/>
      <c r="U320" s="196"/>
      <c r="V320" s="196"/>
      <c r="W320" s="196"/>
      <c r="X320" s="197"/>
      <c r="Y320" s="197"/>
      <c r="Z320" s="197"/>
      <c r="AA320" s="196"/>
      <c r="AB320" s="196"/>
      <c r="AC320" s="196"/>
      <c r="AD320" s="196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  <c r="AQ320" s="197"/>
      <c r="AR320" s="196"/>
      <c r="AS320" s="196"/>
      <c r="AT320" s="196"/>
      <c r="AU320" s="196"/>
      <c r="AV320" s="196"/>
      <c r="AW320" s="197"/>
      <c r="AX320" s="197"/>
      <c r="AY320" s="197"/>
      <c r="AZ320" s="197"/>
    </row>
    <row r="321" spans="1:52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7"/>
      <c r="N321" s="197"/>
      <c r="O321" s="198"/>
      <c r="P321" s="198"/>
      <c r="Q321" s="198"/>
      <c r="R321" s="196"/>
      <c r="S321" s="196"/>
      <c r="T321" s="196"/>
      <c r="U321" s="196"/>
      <c r="V321" s="196"/>
      <c r="W321" s="196"/>
      <c r="X321" s="197"/>
      <c r="Y321" s="197"/>
      <c r="Z321" s="197"/>
      <c r="AA321" s="196"/>
      <c r="AB321" s="196"/>
      <c r="AC321" s="196"/>
      <c r="AD321" s="196"/>
      <c r="AE321" s="196"/>
      <c r="AF321" s="196"/>
      <c r="AG321" s="196"/>
      <c r="AH321" s="196"/>
      <c r="AI321" s="196"/>
      <c r="AJ321" s="196"/>
      <c r="AK321" s="196"/>
      <c r="AL321" s="196"/>
      <c r="AM321" s="196"/>
      <c r="AN321" s="196"/>
      <c r="AO321" s="196"/>
      <c r="AP321" s="196"/>
      <c r="AQ321" s="197"/>
      <c r="AR321" s="196"/>
      <c r="AS321" s="196"/>
      <c r="AT321" s="196"/>
      <c r="AU321" s="196"/>
      <c r="AV321" s="196"/>
      <c r="AW321" s="197"/>
      <c r="AX321" s="197"/>
      <c r="AY321" s="197"/>
      <c r="AZ321" s="197"/>
    </row>
    <row r="322" spans="1:52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7"/>
      <c r="N322" s="197"/>
      <c r="O322" s="198"/>
      <c r="P322" s="198"/>
      <c r="Q322" s="198"/>
      <c r="R322" s="196"/>
      <c r="S322" s="196"/>
      <c r="T322" s="196"/>
      <c r="U322" s="196"/>
      <c r="V322" s="196"/>
      <c r="W322" s="196"/>
      <c r="X322" s="197"/>
      <c r="Y322" s="197"/>
      <c r="Z322" s="197"/>
      <c r="AA322" s="196"/>
      <c r="AB322" s="196"/>
      <c r="AC322" s="196"/>
      <c r="AD322" s="196"/>
      <c r="AE322" s="196"/>
      <c r="AF322" s="196"/>
      <c r="AG322" s="196"/>
      <c r="AH322" s="196"/>
      <c r="AI322" s="196"/>
      <c r="AJ322" s="196"/>
      <c r="AK322" s="196"/>
      <c r="AL322" s="196"/>
      <c r="AM322" s="196"/>
      <c r="AN322" s="196"/>
      <c r="AO322" s="196"/>
      <c r="AP322" s="196"/>
      <c r="AQ322" s="197"/>
      <c r="AR322" s="196"/>
      <c r="AS322" s="196"/>
      <c r="AT322" s="196"/>
      <c r="AU322" s="196"/>
      <c r="AV322" s="196"/>
      <c r="AW322" s="197"/>
      <c r="AX322" s="197"/>
      <c r="AY322" s="197"/>
      <c r="AZ322" s="197"/>
    </row>
    <row r="323" spans="1:52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7"/>
      <c r="N323" s="197"/>
      <c r="O323" s="198"/>
      <c r="P323" s="198"/>
      <c r="Q323" s="198"/>
      <c r="R323" s="196"/>
      <c r="S323" s="196"/>
      <c r="T323" s="196"/>
      <c r="U323" s="196"/>
      <c r="V323" s="196"/>
      <c r="W323" s="196"/>
      <c r="X323" s="197"/>
      <c r="Y323" s="197"/>
      <c r="Z323" s="197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  <c r="AL323" s="196"/>
      <c r="AM323" s="196"/>
      <c r="AN323" s="196"/>
      <c r="AO323" s="196"/>
      <c r="AP323" s="196"/>
      <c r="AQ323" s="197"/>
      <c r="AR323" s="196"/>
      <c r="AS323" s="196"/>
      <c r="AT323" s="196"/>
      <c r="AU323" s="196"/>
      <c r="AV323" s="196"/>
      <c r="AW323" s="197"/>
      <c r="AX323" s="197"/>
      <c r="AY323" s="197"/>
      <c r="AZ323" s="197"/>
    </row>
    <row r="324" spans="1:52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7"/>
      <c r="N324" s="197"/>
      <c r="O324" s="198"/>
      <c r="P324" s="198"/>
      <c r="Q324" s="198"/>
      <c r="R324" s="196"/>
      <c r="S324" s="196"/>
      <c r="T324" s="196"/>
      <c r="U324" s="196"/>
      <c r="V324" s="196"/>
      <c r="W324" s="196"/>
      <c r="X324" s="197"/>
      <c r="Y324" s="197"/>
      <c r="Z324" s="197"/>
      <c r="AA324" s="196"/>
      <c r="AB324" s="196"/>
      <c r="AC324" s="196"/>
      <c r="AD324" s="196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7"/>
      <c r="AR324" s="196"/>
      <c r="AS324" s="196"/>
      <c r="AT324" s="196"/>
      <c r="AU324" s="196"/>
      <c r="AV324" s="196"/>
      <c r="AW324" s="197"/>
      <c r="AX324" s="197"/>
      <c r="AY324" s="197"/>
      <c r="AZ324" s="197"/>
    </row>
    <row r="325" spans="1:52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7"/>
      <c r="N325" s="197"/>
      <c r="O325" s="198"/>
      <c r="P325" s="198"/>
      <c r="Q325" s="198"/>
      <c r="R325" s="196"/>
      <c r="S325" s="196"/>
      <c r="T325" s="196"/>
      <c r="U325" s="196"/>
      <c r="V325" s="196"/>
      <c r="W325" s="196"/>
      <c r="X325" s="197"/>
      <c r="Y325" s="197"/>
      <c r="Z325" s="197"/>
      <c r="AA325" s="196"/>
      <c r="AB325" s="196"/>
      <c r="AC325" s="196"/>
      <c r="AD325" s="196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  <c r="AQ325" s="197"/>
      <c r="AR325" s="196"/>
      <c r="AS325" s="196"/>
      <c r="AT325" s="196"/>
      <c r="AU325" s="196"/>
      <c r="AV325" s="196"/>
      <c r="AW325" s="197"/>
      <c r="AX325" s="197"/>
      <c r="AY325" s="197"/>
      <c r="AZ325" s="197"/>
    </row>
    <row r="326" spans="1:52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7"/>
      <c r="N326" s="197"/>
      <c r="O326" s="198"/>
      <c r="P326" s="198"/>
      <c r="Q326" s="198"/>
      <c r="R326" s="196"/>
      <c r="S326" s="196"/>
      <c r="T326" s="196"/>
      <c r="U326" s="196"/>
      <c r="V326" s="196"/>
      <c r="W326" s="196"/>
      <c r="X326" s="197"/>
      <c r="Y326" s="197"/>
      <c r="Z326" s="197"/>
      <c r="AA326" s="196"/>
      <c r="AB326" s="196"/>
      <c r="AC326" s="196"/>
      <c r="AD326" s="196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7"/>
      <c r="AR326" s="196"/>
      <c r="AS326" s="196"/>
      <c r="AT326" s="196"/>
      <c r="AU326" s="196"/>
      <c r="AV326" s="196"/>
      <c r="AW326" s="197"/>
      <c r="AX326" s="197"/>
      <c r="AY326" s="197"/>
      <c r="AZ326" s="197"/>
    </row>
    <row r="327" spans="1:52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7"/>
      <c r="N327" s="197"/>
      <c r="O327" s="198"/>
      <c r="P327" s="198"/>
      <c r="Q327" s="198"/>
      <c r="R327" s="196"/>
      <c r="S327" s="196"/>
      <c r="T327" s="196"/>
      <c r="U327" s="196"/>
      <c r="V327" s="196"/>
      <c r="W327" s="196"/>
      <c r="X327" s="197"/>
      <c r="Y327" s="197"/>
      <c r="Z327" s="197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  <c r="AK327" s="196"/>
      <c r="AL327" s="196"/>
      <c r="AM327" s="196"/>
      <c r="AN327" s="196"/>
      <c r="AO327" s="196"/>
      <c r="AP327" s="196"/>
      <c r="AQ327" s="197"/>
      <c r="AR327" s="196"/>
      <c r="AS327" s="196"/>
      <c r="AT327" s="196"/>
      <c r="AU327" s="196"/>
      <c r="AV327" s="196"/>
      <c r="AW327" s="197"/>
      <c r="AX327" s="197"/>
      <c r="AY327" s="197"/>
      <c r="AZ327" s="197"/>
    </row>
    <row r="328" spans="1:52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7"/>
      <c r="N328" s="197"/>
      <c r="O328" s="198"/>
      <c r="P328" s="198"/>
      <c r="Q328" s="198"/>
      <c r="R328" s="196"/>
      <c r="S328" s="196"/>
      <c r="T328" s="196"/>
      <c r="U328" s="196"/>
      <c r="V328" s="196"/>
      <c r="W328" s="196"/>
      <c r="X328" s="197"/>
      <c r="Y328" s="197"/>
      <c r="Z328" s="197"/>
      <c r="AA328" s="196"/>
      <c r="AB328" s="196"/>
      <c r="AC328" s="196"/>
      <c r="AD328" s="196"/>
      <c r="AE328" s="196"/>
      <c r="AF328" s="196"/>
      <c r="AG328" s="196"/>
      <c r="AH328" s="196"/>
      <c r="AI328" s="196"/>
      <c r="AJ328" s="196"/>
      <c r="AK328" s="196"/>
      <c r="AL328" s="196"/>
      <c r="AM328" s="196"/>
      <c r="AN328" s="196"/>
      <c r="AO328" s="196"/>
      <c r="AP328" s="196"/>
      <c r="AQ328" s="197"/>
      <c r="AR328" s="196"/>
      <c r="AS328" s="196"/>
      <c r="AT328" s="196"/>
      <c r="AU328" s="196"/>
      <c r="AV328" s="196"/>
      <c r="AW328" s="197"/>
      <c r="AX328" s="197"/>
      <c r="AY328" s="197"/>
      <c r="AZ328" s="197"/>
    </row>
    <row r="329" spans="1:52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7"/>
      <c r="N329" s="197"/>
      <c r="O329" s="198"/>
      <c r="P329" s="198"/>
      <c r="Q329" s="198"/>
      <c r="R329" s="196"/>
      <c r="S329" s="196"/>
      <c r="T329" s="196"/>
      <c r="U329" s="196"/>
      <c r="V329" s="196"/>
      <c r="W329" s="196"/>
      <c r="X329" s="197"/>
      <c r="Y329" s="197"/>
      <c r="Z329" s="197"/>
      <c r="AA329" s="196"/>
      <c r="AB329" s="196"/>
      <c r="AC329" s="196"/>
      <c r="AD329" s="196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7"/>
      <c r="AR329" s="196"/>
      <c r="AS329" s="196"/>
      <c r="AT329" s="196"/>
      <c r="AU329" s="196"/>
      <c r="AV329" s="196"/>
      <c r="AW329" s="197"/>
      <c r="AX329" s="197"/>
      <c r="AY329" s="197"/>
      <c r="AZ329" s="197"/>
    </row>
    <row r="330" spans="1:52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7"/>
      <c r="N330" s="197"/>
      <c r="O330" s="198"/>
      <c r="P330" s="198"/>
      <c r="Q330" s="198"/>
      <c r="R330" s="196"/>
      <c r="S330" s="196"/>
      <c r="T330" s="196"/>
      <c r="U330" s="196"/>
      <c r="V330" s="196"/>
      <c r="W330" s="196"/>
      <c r="X330" s="197"/>
      <c r="Y330" s="197"/>
      <c r="Z330" s="197"/>
      <c r="AA330" s="196"/>
      <c r="AB330" s="196"/>
      <c r="AC330" s="196"/>
      <c r="AD330" s="196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  <c r="AQ330" s="197"/>
      <c r="AR330" s="196"/>
      <c r="AS330" s="196"/>
      <c r="AT330" s="196"/>
      <c r="AU330" s="196"/>
      <c r="AV330" s="196"/>
      <c r="AW330" s="197"/>
      <c r="AX330" s="197"/>
      <c r="AY330" s="197"/>
      <c r="AZ330" s="197"/>
    </row>
    <row r="331" spans="1:52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7"/>
      <c r="N331" s="197"/>
      <c r="O331" s="198"/>
      <c r="P331" s="198"/>
      <c r="Q331" s="198"/>
      <c r="R331" s="196"/>
      <c r="S331" s="196"/>
      <c r="T331" s="196"/>
      <c r="U331" s="196"/>
      <c r="V331" s="196"/>
      <c r="W331" s="196"/>
      <c r="X331" s="197"/>
      <c r="Y331" s="197"/>
      <c r="Z331" s="197"/>
      <c r="AA331" s="196"/>
      <c r="AB331" s="196"/>
      <c r="AC331" s="196"/>
      <c r="AD331" s="196"/>
      <c r="AE331" s="196"/>
      <c r="AF331" s="196"/>
      <c r="AG331" s="196"/>
      <c r="AH331" s="196"/>
      <c r="AI331" s="196"/>
      <c r="AJ331" s="196"/>
      <c r="AK331" s="196"/>
      <c r="AL331" s="196"/>
      <c r="AM331" s="196"/>
      <c r="AN331" s="196"/>
      <c r="AO331" s="196"/>
      <c r="AP331" s="196"/>
      <c r="AQ331" s="197"/>
      <c r="AR331" s="196"/>
      <c r="AS331" s="196"/>
      <c r="AT331" s="196"/>
      <c r="AU331" s="196"/>
      <c r="AV331" s="196"/>
      <c r="AW331" s="197"/>
      <c r="AX331" s="197"/>
      <c r="AY331" s="197"/>
      <c r="AZ331" s="197"/>
    </row>
    <row r="332" spans="1:52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7"/>
      <c r="N332" s="197"/>
      <c r="O332" s="198"/>
      <c r="P332" s="198"/>
      <c r="Q332" s="198"/>
      <c r="R332" s="196"/>
      <c r="S332" s="196"/>
      <c r="T332" s="196"/>
      <c r="U332" s="196"/>
      <c r="V332" s="196"/>
      <c r="W332" s="196"/>
      <c r="X332" s="197"/>
      <c r="Y332" s="197"/>
      <c r="Z332" s="197"/>
      <c r="AA332" s="196"/>
      <c r="AB332" s="196"/>
      <c r="AC332" s="196"/>
      <c r="AD332" s="196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  <c r="AQ332" s="197"/>
      <c r="AR332" s="196"/>
      <c r="AS332" s="196"/>
      <c r="AT332" s="196"/>
      <c r="AU332" s="196"/>
      <c r="AV332" s="196"/>
      <c r="AW332" s="197"/>
      <c r="AX332" s="197"/>
      <c r="AY332" s="197"/>
      <c r="AZ332" s="197"/>
    </row>
    <row r="333" spans="1:52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7"/>
      <c r="N333" s="197"/>
      <c r="O333" s="198"/>
      <c r="P333" s="198"/>
      <c r="Q333" s="198"/>
      <c r="R333" s="196"/>
      <c r="S333" s="196"/>
      <c r="T333" s="196"/>
      <c r="U333" s="196"/>
      <c r="V333" s="196"/>
      <c r="W333" s="196"/>
      <c r="X333" s="197"/>
      <c r="Y333" s="197"/>
      <c r="Z333" s="197"/>
      <c r="AA333" s="196"/>
      <c r="AB333" s="196"/>
      <c r="AC333" s="196"/>
      <c r="AD333" s="196"/>
      <c r="AE333" s="196"/>
      <c r="AF333" s="196"/>
      <c r="AG333" s="196"/>
      <c r="AH333" s="196"/>
      <c r="AI333" s="196"/>
      <c r="AJ333" s="196"/>
      <c r="AK333" s="196"/>
      <c r="AL333" s="196"/>
      <c r="AM333" s="196"/>
      <c r="AN333" s="196"/>
      <c r="AO333" s="196"/>
      <c r="AP333" s="196"/>
      <c r="AQ333" s="197"/>
      <c r="AR333" s="196"/>
      <c r="AS333" s="196"/>
      <c r="AT333" s="196"/>
      <c r="AU333" s="196"/>
      <c r="AV333" s="196"/>
      <c r="AW333" s="197"/>
      <c r="AX333" s="197"/>
      <c r="AY333" s="197"/>
      <c r="AZ333" s="197"/>
    </row>
    <row r="334" spans="1:52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7"/>
      <c r="N334" s="197"/>
      <c r="O334" s="198"/>
      <c r="P334" s="198"/>
      <c r="Q334" s="198"/>
      <c r="R334" s="196"/>
      <c r="S334" s="196"/>
      <c r="T334" s="196"/>
      <c r="U334" s="196"/>
      <c r="V334" s="196"/>
      <c r="W334" s="196"/>
      <c r="X334" s="197"/>
      <c r="Y334" s="197"/>
      <c r="Z334" s="197"/>
      <c r="AA334" s="196"/>
      <c r="AB334" s="196"/>
      <c r="AC334" s="196"/>
      <c r="AD334" s="196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  <c r="AQ334" s="197"/>
      <c r="AR334" s="196"/>
      <c r="AS334" s="196"/>
      <c r="AT334" s="196"/>
      <c r="AU334" s="196"/>
      <c r="AV334" s="196"/>
      <c r="AW334" s="197"/>
      <c r="AX334" s="197"/>
      <c r="AY334" s="197"/>
      <c r="AZ334" s="197"/>
    </row>
    <row r="335" spans="1:52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7"/>
      <c r="N335" s="197"/>
      <c r="O335" s="198"/>
      <c r="P335" s="198"/>
      <c r="Q335" s="198"/>
      <c r="R335" s="196"/>
      <c r="S335" s="196"/>
      <c r="T335" s="196"/>
      <c r="U335" s="196"/>
      <c r="V335" s="196"/>
      <c r="W335" s="196"/>
      <c r="X335" s="197"/>
      <c r="Y335" s="197"/>
      <c r="Z335" s="197"/>
      <c r="AA335" s="196"/>
      <c r="AB335" s="196"/>
      <c r="AC335" s="196"/>
      <c r="AD335" s="196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  <c r="AP335" s="196"/>
      <c r="AQ335" s="197"/>
      <c r="AR335" s="196"/>
      <c r="AS335" s="196"/>
      <c r="AT335" s="196"/>
      <c r="AU335" s="196"/>
      <c r="AV335" s="196"/>
      <c r="AW335" s="197"/>
      <c r="AX335" s="197"/>
      <c r="AY335" s="197"/>
      <c r="AZ335" s="197"/>
    </row>
    <row r="336" spans="1:52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7"/>
      <c r="N336" s="197"/>
      <c r="O336" s="198"/>
      <c r="P336" s="198"/>
      <c r="Q336" s="198"/>
      <c r="R336" s="196"/>
      <c r="S336" s="196"/>
      <c r="T336" s="196"/>
      <c r="U336" s="196"/>
      <c r="V336" s="196"/>
      <c r="W336" s="196"/>
      <c r="X336" s="197"/>
      <c r="Y336" s="197"/>
      <c r="Z336" s="197"/>
      <c r="AA336" s="196"/>
      <c r="AB336" s="196"/>
      <c r="AC336" s="196"/>
      <c r="AD336" s="196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  <c r="AQ336" s="197"/>
      <c r="AR336" s="196"/>
      <c r="AS336" s="196"/>
      <c r="AT336" s="196"/>
      <c r="AU336" s="196"/>
      <c r="AV336" s="196"/>
      <c r="AW336" s="197"/>
      <c r="AX336" s="197"/>
      <c r="AY336" s="197"/>
      <c r="AZ336" s="197"/>
    </row>
    <row r="337" spans="1:52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7"/>
      <c r="N337" s="197"/>
      <c r="O337" s="198"/>
      <c r="P337" s="198"/>
      <c r="Q337" s="198"/>
      <c r="R337" s="196"/>
      <c r="S337" s="196"/>
      <c r="T337" s="196"/>
      <c r="U337" s="196"/>
      <c r="V337" s="196"/>
      <c r="W337" s="196"/>
      <c r="X337" s="197"/>
      <c r="Y337" s="197"/>
      <c r="Z337" s="197"/>
      <c r="AA337" s="196"/>
      <c r="AB337" s="196"/>
      <c r="AC337" s="196"/>
      <c r="AD337" s="196"/>
      <c r="AE337" s="196"/>
      <c r="AF337" s="196"/>
      <c r="AG337" s="196"/>
      <c r="AH337" s="196"/>
      <c r="AI337" s="196"/>
      <c r="AJ337" s="196"/>
      <c r="AK337" s="196"/>
      <c r="AL337" s="196"/>
      <c r="AM337" s="196"/>
      <c r="AN337" s="196"/>
      <c r="AO337" s="196"/>
      <c r="AP337" s="196"/>
      <c r="AQ337" s="197"/>
      <c r="AR337" s="196"/>
      <c r="AS337" s="196"/>
      <c r="AT337" s="196"/>
      <c r="AU337" s="196"/>
      <c r="AV337" s="196"/>
      <c r="AW337" s="197"/>
      <c r="AX337" s="197"/>
      <c r="AY337" s="197"/>
      <c r="AZ337" s="197"/>
    </row>
    <row r="338" spans="1:52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7"/>
      <c r="N338" s="197"/>
      <c r="O338" s="198"/>
      <c r="P338" s="198"/>
      <c r="Q338" s="198"/>
      <c r="R338" s="196"/>
      <c r="S338" s="196"/>
      <c r="T338" s="196"/>
      <c r="U338" s="196"/>
      <c r="V338" s="196"/>
      <c r="W338" s="196"/>
      <c r="X338" s="197"/>
      <c r="Y338" s="197"/>
      <c r="Z338" s="197"/>
      <c r="AA338" s="196"/>
      <c r="AB338" s="196"/>
      <c r="AC338" s="196"/>
      <c r="AD338" s="196"/>
      <c r="AE338" s="196"/>
      <c r="AF338" s="196"/>
      <c r="AG338" s="196"/>
      <c r="AH338" s="196"/>
      <c r="AI338" s="196"/>
      <c r="AJ338" s="196"/>
      <c r="AK338" s="196"/>
      <c r="AL338" s="196"/>
      <c r="AM338" s="196"/>
      <c r="AN338" s="196"/>
      <c r="AO338" s="196"/>
      <c r="AP338" s="196"/>
      <c r="AQ338" s="197"/>
      <c r="AR338" s="196"/>
      <c r="AS338" s="196"/>
      <c r="AT338" s="196"/>
      <c r="AU338" s="196"/>
      <c r="AV338" s="196"/>
      <c r="AW338" s="197"/>
      <c r="AX338" s="197"/>
      <c r="AY338" s="197"/>
      <c r="AZ338" s="197"/>
    </row>
    <row r="339" spans="1:52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7"/>
      <c r="N339" s="197"/>
      <c r="O339" s="198"/>
      <c r="P339" s="198"/>
      <c r="Q339" s="198"/>
      <c r="R339" s="196"/>
      <c r="S339" s="196"/>
      <c r="T339" s="196"/>
      <c r="U339" s="196"/>
      <c r="V339" s="196"/>
      <c r="W339" s="196"/>
      <c r="X339" s="197"/>
      <c r="Y339" s="197"/>
      <c r="Z339" s="197"/>
      <c r="AA339" s="196"/>
      <c r="AB339" s="196"/>
      <c r="AC339" s="196"/>
      <c r="AD339" s="196"/>
      <c r="AE339" s="196"/>
      <c r="AF339" s="196"/>
      <c r="AG339" s="196"/>
      <c r="AH339" s="196"/>
      <c r="AI339" s="196"/>
      <c r="AJ339" s="196"/>
      <c r="AK339" s="196"/>
      <c r="AL339" s="196"/>
      <c r="AM339" s="196"/>
      <c r="AN339" s="196"/>
      <c r="AO339" s="196"/>
      <c r="AP339" s="196"/>
      <c r="AQ339" s="197"/>
      <c r="AR339" s="196"/>
      <c r="AS339" s="196"/>
      <c r="AT339" s="196"/>
      <c r="AU339" s="196"/>
      <c r="AV339" s="196"/>
      <c r="AW339" s="197"/>
      <c r="AX339" s="197"/>
      <c r="AY339" s="197"/>
      <c r="AZ339" s="197"/>
    </row>
    <row r="340" spans="1:52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7"/>
      <c r="N340" s="197"/>
      <c r="O340" s="198"/>
      <c r="P340" s="198"/>
      <c r="Q340" s="198"/>
      <c r="R340" s="196"/>
      <c r="S340" s="196"/>
      <c r="T340" s="196"/>
      <c r="U340" s="196"/>
      <c r="V340" s="196"/>
      <c r="W340" s="196"/>
      <c r="X340" s="197"/>
      <c r="Y340" s="197"/>
      <c r="Z340" s="197"/>
      <c r="AA340" s="196"/>
      <c r="AB340" s="196"/>
      <c r="AC340" s="196"/>
      <c r="AD340" s="196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  <c r="AP340" s="196"/>
      <c r="AQ340" s="197"/>
      <c r="AR340" s="196"/>
      <c r="AS340" s="196"/>
      <c r="AT340" s="196"/>
      <c r="AU340" s="196"/>
      <c r="AV340" s="196"/>
      <c r="AW340" s="197"/>
      <c r="AX340" s="197"/>
      <c r="AY340" s="197"/>
      <c r="AZ340" s="197"/>
    </row>
    <row r="341" spans="1:52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7"/>
      <c r="N341" s="197"/>
      <c r="O341" s="198"/>
      <c r="P341" s="198"/>
      <c r="Q341" s="198"/>
      <c r="R341" s="196"/>
      <c r="S341" s="196"/>
      <c r="T341" s="196"/>
      <c r="U341" s="196"/>
      <c r="V341" s="196"/>
      <c r="W341" s="196"/>
      <c r="X341" s="197"/>
      <c r="Y341" s="197"/>
      <c r="Z341" s="197"/>
      <c r="AA341" s="196"/>
      <c r="AB341" s="196"/>
      <c r="AC341" s="196"/>
      <c r="AD341" s="196"/>
      <c r="AE341" s="196"/>
      <c r="AF341" s="196"/>
      <c r="AG341" s="196"/>
      <c r="AH341" s="196"/>
      <c r="AI341" s="196"/>
      <c r="AJ341" s="196"/>
      <c r="AK341" s="196"/>
      <c r="AL341" s="196"/>
      <c r="AM341" s="196"/>
      <c r="AN341" s="196"/>
      <c r="AO341" s="196"/>
      <c r="AP341" s="196"/>
      <c r="AQ341" s="197"/>
      <c r="AR341" s="196"/>
      <c r="AS341" s="196"/>
      <c r="AT341" s="196"/>
      <c r="AU341" s="196"/>
      <c r="AV341" s="196"/>
      <c r="AW341" s="197"/>
      <c r="AX341" s="197"/>
      <c r="AY341" s="197"/>
      <c r="AZ341" s="197"/>
    </row>
    <row r="342" spans="1:52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7"/>
      <c r="N342" s="197"/>
      <c r="O342" s="198"/>
      <c r="P342" s="198"/>
      <c r="Q342" s="198"/>
      <c r="R342" s="196"/>
      <c r="S342" s="196"/>
      <c r="T342" s="196"/>
      <c r="U342" s="196"/>
      <c r="V342" s="196"/>
      <c r="W342" s="196"/>
      <c r="X342" s="197"/>
      <c r="Y342" s="197"/>
      <c r="Z342" s="197"/>
      <c r="AA342" s="196"/>
      <c r="AB342" s="196"/>
      <c r="AC342" s="196"/>
      <c r="AD342" s="196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7"/>
      <c r="AR342" s="196"/>
      <c r="AS342" s="196"/>
      <c r="AT342" s="196"/>
      <c r="AU342" s="196"/>
      <c r="AV342" s="196"/>
      <c r="AW342" s="197"/>
      <c r="AX342" s="197"/>
      <c r="AY342" s="197"/>
      <c r="AZ342" s="197"/>
    </row>
    <row r="343" spans="1:52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7"/>
      <c r="N343" s="197"/>
      <c r="O343" s="198"/>
      <c r="P343" s="198"/>
      <c r="Q343" s="198"/>
      <c r="R343" s="196"/>
      <c r="S343" s="196"/>
      <c r="T343" s="196"/>
      <c r="U343" s="196"/>
      <c r="V343" s="196"/>
      <c r="W343" s="196"/>
      <c r="X343" s="197"/>
      <c r="Y343" s="197"/>
      <c r="Z343" s="197"/>
      <c r="AA343" s="196"/>
      <c r="AB343" s="196"/>
      <c r="AC343" s="196"/>
      <c r="AD343" s="196"/>
      <c r="AE343" s="196"/>
      <c r="AF343" s="196"/>
      <c r="AG343" s="196"/>
      <c r="AH343" s="196"/>
      <c r="AI343" s="196"/>
      <c r="AJ343" s="196"/>
      <c r="AK343" s="196"/>
      <c r="AL343" s="196"/>
      <c r="AM343" s="196"/>
      <c r="AN343" s="196"/>
      <c r="AO343" s="196"/>
      <c r="AP343" s="196"/>
      <c r="AQ343" s="197"/>
      <c r="AR343" s="196"/>
      <c r="AS343" s="196"/>
      <c r="AT343" s="196"/>
      <c r="AU343" s="196"/>
      <c r="AV343" s="196"/>
      <c r="AW343" s="197"/>
      <c r="AX343" s="197"/>
      <c r="AY343" s="197"/>
      <c r="AZ343" s="197"/>
    </row>
    <row r="344" spans="1:52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7"/>
      <c r="N344" s="197"/>
      <c r="O344" s="198"/>
      <c r="P344" s="198"/>
      <c r="Q344" s="198"/>
      <c r="R344" s="196"/>
      <c r="S344" s="196"/>
      <c r="T344" s="196"/>
      <c r="U344" s="196"/>
      <c r="V344" s="196"/>
      <c r="W344" s="196"/>
      <c r="X344" s="197"/>
      <c r="Y344" s="197"/>
      <c r="Z344" s="197"/>
      <c r="AA344" s="196"/>
      <c r="AB344" s="196"/>
      <c r="AC344" s="196"/>
      <c r="AD344" s="196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7"/>
      <c r="AR344" s="196"/>
      <c r="AS344" s="196"/>
      <c r="AT344" s="196"/>
      <c r="AU344" s="196"/>
      <c r="AV344" s="196"/>
      <c r="AW344" s="197"/>
      <c r="AX344" s="197"/>
      <c r="AY344" s="197"/>
      <c r="AZ344" s="197"/>
    </row>
    <row r="345" spans="1:52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7"/>
      <c r="N345" s="197"/>
      <c r="O345" s="198"/>
      <c r="P345" s="198"/>
      <c r="Q345" s="198"/>
      <c r="R345" s="196"/>
      <c r="S345" s="196"/>
      <c r="T345" s="196"/>
      <c r="U345" s="196"/>
      <c r="V345" s="196"/>
      <c r="W345" s="196"/>
      <c r="X345" s="197"/>
      <c r="Y345" s="197"/>
      <c r="Z345" s="197"/>
      <c r="AA345" s="196"/>
      <c r="AB345" s="196"/>
      <c r="AC345" s="196"/>
      <c r="AD345" s="196"/>
      <c r="AE345" s="196"/>
      <c r="AF345" s="196"/>
      <c r="AG345" s="196"/>
      <c r="AH345" s="196"/>
      <c r="AI345" s="196"/>
      <c r="AJ345" s="196"/>
      <c r="AK345" s="196"/>
      <c r="AL345" s="196"/>
      <c r="AM345" s="196"/>
      <c r="AN345" s="196"/>
      <c r="AO345" s="196"/>
      <c r="AP345" s="196"/>
      <c r="AQ345" s="197"/>
      <c r="AR345" s="196"/>
      <c r="AS345" s="196"/>
      <c r="AT345" s="196"/>
      <c r="AU345" s="196"/>
      <c r="AV345" s="196"/>
      <c r="AW345" s="197"/>
      <c r="AX345" s="197"/>
      <c r="AY345" s="197"/>
      <c r="AZ345" s="197"/>
    </row>
    <row r="346" spans="1:52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7"/>
      <c r="N346" s="197"/>
      <c r="O346" s="198"/>
      <c r="P346" s="198"/>
      <c r="Q346" s="198"/>
      <c r="R346" s="196"/>
      <c r="S346" s="196"/>
      <c r="T346" s="196"/>
      <c r="U346" s="196"/>
      <c r="V346" s="196"/>
      <c r="W346" s="196"/>
      <c r="X346" s="197"/>
      <c r="Y346" s="197"/>
      <c r="Z346" s="197"/>
      <c r="AA346" s="196"/>
      <c r="AB346" s="196"/>
      <c r="AC346" s="196"/>
      <c r="AD346" s="196"/>
      <c r="AE346" s="196"/>
      <c r="AF346" s="196"/>
      <c r="AG346" s="196"/>
      <c r="AH346" s="196"/>
      <c r="AI346" s="196"/>
      <c r="AJ346" s="196"/>
      <c r="AK346" s="196"/>
      <c r="AL346" s="196"/>
      <c r="AM346" s="196"/>
      <c r="AN346" s="196"/>
      <c r="AO346" s="196"/>
      <c r="AP346" s="196"/>
      <c r="AQ346" s="197"/>
      <c r="AR346" s="196"/>
      <c r="AS346" s="196"/>
      <c r="AT346" s="196"/>
      <c r="AU346" s="196"/>
      <c r="AV346" s="196"/>
      <c r="AW346" s="197"/>
      <c r="AX346" s="197"/>
      <c r="AY346" s="197"/>
      <c r="AZ346" s="197"/>
    </row>
    <row r="347" spans="1:52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7"/>
      <c r="N347" s="197"/>
      <c r="O347" s="198"/>
      <c r="P347" s="198"/>
      <c r="Q347" s="198"/>
      <c r="R347" s="196"/>
      <c r="S347" s="196"/>
      <c r="T347" s="196"/>
      <c r="U347" s="196"/>
      <c r="V347" s="196"/>
      <c r="W347" s="196"/>
      <c r="X347" s="197"/>
      <c r="Y347" s="197"/>
      <c r="Z347" s="197"/>
      <c r="AA347" s="196"/>
      <c r="AB347" s="196"/>
      <c r="AC347" s="196"/>
      <c r="AD347" s="196"/>
      <c r="AE347" s="196"/>
      <c r="AF347" s="196"/>
      <c r="AG347" s="196"/>
      <c r="AH347" s="196"/>
      <c r="AI347" s="196"/>
      <c r="AJ347" s="196"/>
      <c r="AK347" s="196"/>
      <c r="AL347" s="196"/>
      <c r="AM347" s="196"/>
      <c r="AN347" s="196"/>
      <c r="AO347" s="196"/>
      <c r="AP347" s="196"/>
      <c r="AQ347" s="197"/>
      <c r="AR347" s="196"/>
      <c r="AS347" s="196"/>
      <c r="AT347" s="196"/>
      <c r="AU347" s="196"/>
      <c r="AV347" s="196"/>
      <c r="AW347" s="197"/>
      <c r="AX347" s="197"/>
      <c r="AY347" s="197"/>
      <c r="AZ347" s="197"/>
    </row>
    <row r="348" spans="1:52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7"/>
      <c r="N348" s="197"/>
      <c r="O348" s="198"/>
      <c r="P348" s="198"/>
      <c r="Q348" s="198"/>
      <c r="R348" s="196"/>
      <c r="S348" s="196"/>
      <c r="T348" s="196"/>
      <c r="U348" s="196"/>
      <c r="V348" s="196"/>
      <c r="W348" s="196"/>
      <c r="X348" s="197"/>
      <c r="Y348" s="197"/>
      <c r="Z348" s="197"/>
      <c r="AA348" s="196"/>
      <c r="AB348" s="196"/>
      <c r="AC348" s="196"/>
      <c r="AD348" s="196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  <c r="AQ348" s="197"/>
      <c r="AR348" s="196"/>
      <c r="AS348" s="196"/>
      <c r="AT348" s="196"/>
      <c r="AU348" s="196"/>
      <c r="AV348" s="196"/>
      <c r="AW348" s="197"/>
      <c r="AX348" s="197"/>
      <c r="AY348" s="197"/>
      <c r="AZ348" s="197"/>
    </row>
    <row r="349" spans="1:52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7"/>
      <c r="N349" s="197"/>
      <c r="O349" s="198"/>
      <c r="P349" s="198"/>
      <c r="Q349" s="198"/>
      <c r="R349" s="196"/>
      <c r="S349" s="196"/>
      <c r="T349" s="196"/>
      <c r="U349" s="196"/>
      <c r="V349" s="196"/>
      <c r="W349" s="196"/>
      <c r="X349" s="197"/>
      <c r="Y349" s="197"/>
      <c r="Z349" s="197"/>
      <c r="AA349" s="196"/>
      <c r="AB349" s="196"/>
      <c r="AC349" s="196"/>
      <c r="AD349" s="196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7"/>
      <c r="AR349" s="196"/>
      <c r="AS349" s="196"/>
      <c r="AT349" s="196"/>
      <c r="AU349" s="196"/>
      <c r="AV349" s="196"/>
      <c r="AW349" s="197"/>
      <c r="AX349" s="197"/>
      <c r="AY349" s="197"/>
      <c r="AZ349" s="197"/>
    </row>
    <row r="350" spans="1:52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7"/>
      <c r="N350" s="197"/>
      <c r="O350" s="198"/>
      <c r="P350" s="198"/>
      <c r="Q350" s="198"/>
      <c r="R350" s="196"/>
      <c r="S350" s="196"/>
      <c r="T350" s="196"/>
      <c r="U350" s="196"/>
      <c r="V350" s="196"/>
      <c r="W350" s="196"/>
      <c r="X350" s="197"/>
      <c r="Y350" s="197"/>
      <c r="Z350" s="197"/>
      <c r="AA350" s="196"/>
      <c r="AB350" s="196"/>
      <c r="AC350" s="196"/>
      <c r="AD350" s="196"/>
      <c r="AE350" s="196"/>
      <c r="AF350" s="196"/>
      <c r="AG350" s="196"/>
      <c r="AH350" s="196"/>
      <c r="AI350" s="196"/>
      <c r="AJ350" s="196"/>
      <c r="AK350" s="196"/>
      <c r="AL350" s="196"/>
      <c r="AM350" s="196"/>
      <c r="AN350" s="196"/>
      <c r="AO350" s="196"/>
      <c r="AP350" s="196"/>
      <c r="AQ350" s="197"/>
      <c r="AR350" s="196"/>
      <c r="AS350" s="196"/>
      <c r="AT350" s="196"/>
      <c r="AU350" s="196"/>
      <c r="AV350" s="196"/>
      <c r="AW350" s="197"/>
      <c r="AX350" s="197"/>
      <c r="AY350" s="197"/>
      <c r="AZ350" s="197"/>
    </row>
    <row r="351" spans="1:52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7"/>
      <c r="N351" s="197"/>
      <c r="O351" s="198"/>
      <c r="P351" s="198"/>
      <c r="Q351" s="198"/>
      <c r="R351" s="196"/>
      <c r="S351" s="196"/>
      <c r="T351" s="196"/>
      <c r="U351" s="196"/>
      <c r="V351" s="196"/>
      <c r="W351" s="196"/>
      <c r="X351" s="197"/>
      <c r="Y351" s="197"/>
      <c r="Z351" s="197"/>
      <c r="AA351" s="196"/>
      <c r="AB351" s="196"/>
      <c r="AC351" s="196"/>
      <c r="AD351" s="196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7"/>
      <c r="AR351" s="196"/>
      <c r="AS351" s="196"/>
      <c r="AT351" s="196"/>
      <c r="AU351" s="196"/>
      <c r="AV351" s="196"/>
      <c r="AW351" s="197"/>
      <c r="AX351" s="197"/>
      <c r="AY351" s="197"/>
      <c r="AZ351" s="197"/>
    </row>
    <row r="352" spans="1:52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7"/>
      <c r="N352" s="197"/>
      <c r="O352" s="198"/>
      <c r="P352" s="198"/>
      <c r="Q352" s="198"/>
      <c r="R352" s="196"/>
      <c r="S352" s="196"/>
      <c r="T352" s="196"/>
      <c r="U352" s="196"/>
      <c r="V352" s="196"/>
      <c r="W352" s="196"/>
      <c r="X352" s="197"/>
      <c r="Y352" s="197"/>
      <c r="Z352" s="197"/>
      <c r="AA352" s="196"/>
      <c r="AB352" s="196"/>
      <c r="AC352" s="196"/>
      <c r="AD352" s="196"/>
      <c r="AE352" s="196"/>
      <c r="AF352" s="196"/>
      <c r="AG352" s="196"/>
      <c r="AH352" s="196"/>
      <c r="AI352" s="196"/>
      <c r="AJ352" s="196"/>
      <c r="AK352" s="196"/>
      <c r="AL352" s="196"/>
      <c r="AM352" s="196"/>
      <c r="AN352" s="196"/>
      <c r="AO352" s="196"/>
      <c r="AP352" s="196"/>
      <c r="AQ352" s="197"/>
      <c r="AR352" s="196"/>
      <c r="AS352" s="196"/>
      <c r="AT352" s="196"/>
      <c r="AU352" s="196"/>
      <c r="AV352" s="196"/>
      <c r="AW352" s="197"/>
      <c r="AX352" s="197"/>
      <c r="AY352" s="197"/>
      <c r="AZ352" s="197"/>
    </row>
    <row r="353" spans="1:52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7"/>
      <c r="N353" s="197"/>
      <c r="O353" s="198"/>
      <c r="P353" s="198"/>
      <c r="Q353" s="198"/>
      <c r="R353" s="196"/>
      <c r="S353" s="196"/>
      <c r="T353" s="196"/>
      <c r="U353" s="196"/>
      <c r="V353" s="196"/>
      <c r="W353" s="196"/>
      <c r="X353" s="197"/>
      <c r="Y353" s="197"/>
      <c r="Z353" s="197"/>
      <c r="AA353" s="196"/>
      <c r="AB353" s="196"/>
      <c r="AC353" s="196"/>
      <c r="AD353" s="196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7"/>
      <c r="AR353" s="196"/>
      <c r="AS353" s="196"/>
      <c r="AT353" s="196"/>
      <c r="AU353" s="196"/>
      <c r="AV353" s="196"/>
      <c r="AW353" s="197"/>
      <c r="AX353" s="197"/>
      <c r="AY353" s="197"/>
      <c r="AZ353" s="197"/>
    </row>
    <row r="354" spans="1:52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7"/>
      <c r="N354" s="197"/>
      <c r="O354" s="198"/>
      <c r="P354" s="198"/>
      <c r="Q354" s="198"/>
      <c r="R354" s="196"/>
      <c r="S354" s="196"/>
      <c r="T354" s="196"/>
      <c r="U354" s="196"/>
      <c r="V354" s="196"/>
      <c r="W354" s="196"/>
      <c r="X354" s="197"/>
      <c r="Y354" s="197"/>
      <c r="Z354" s="197"/>
      <c r="AA354" s="196"/>
      <c r="AB354" s="196"/>
      <c r="AC354" s="196"/>
      <c r="AD354" s="196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  <c r="AQ354" s="197"/>
      <c r="AR354" s="196"/>
      <c r="AS354" s="196"/>
      <c r="AT354" s="196"/>
      <c r="AU354" s="196"/>
      <c r="AV354" s="196"/>
      <c r="AW354" s="197"/>
      <c r="AX354" s="197"/>
      <c r="AY354" s="197"/>
      <c r="AZ354" s="197"/>
    </row>
    <row r="355" spans="1:52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7"/>
      <c r="N355" s="197"/>
      <c r="O355" s="198"/>
      <c r="P355" s="198"/>
      <c r="Q355" s="198"/>
      <c r="R355" s="196"/>
      <c r="S355" s="196"/>
      <c r="T355" s="196"/>
      <c r="U355" s="196"/>
      <c r="V355" s="196"/>
      <c r="W355" s="196"/>
      <c r="X355" s="197"/>
      <c r="Y355" s="197"/>
      <c r="Z355" s="197"/>
      <c r="AA355" s="196"/>
      <c r="AB355" s="196"/>
      <c r="AC355" s="196"/>
      <c r="AD355" s="196"/>
      <c r="AE355" s="196"/>
      <c r="AF355" s="196"/>
      <c r="AG355" s="196"/>
      <c r="AH355" s="196"/>
      <c r="AI355" s="196"/>
      <c r="AJ355" s="196"/>
      <c r="AK355" s="196"/>
      <c r="AL355" s="196"/>
      <c r="AM355" s="196"/>
      <c r="AN355" s="196"/>
      <c r="AO355" s="196"/>
      <c r="AP355" s="196"/>
      <c r="AQ355" s="197"/>
      <c r="AR355" s="196"/>
      <c r="AS355" s="196"/>
      <c r="AT355" s="196"/>
      <c r="AU355" s="196"/>
      <c r="AV355" s="196"/>
      <c r="AW355" s="197"/>
      <c r="AX355" s="197"/>
      <c r="AY355" s="197"/>
      <c r="AZ355" s="197"/>
    </row>
    <row r="356" spans="1:52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7"/>
      <c r="N356" s="197"/>
      <c r="O356" s="198"/>
      <c r="P356" s="198"/>
      <c r="Q356" s="198"/>
      <c r="R356" s="196"/>
      <c r="S356" s="196"/>
      <c r="T356" s="196"/>
      <c r="U356" s="196"/>
      <c r="V356" s="196"/>
      <c r="W356" s="196"/>
      <c r="X356" s="197"/>
      <c r="Y356" s="197"/>
      <c r="Z356" s="197"/>
      <c r="AA356" s="196"/>
      <c r="AB356" s="196"/>
      <c r="AC356" s="196"/>
      <c r="AD356" s="196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  <c r="AQ356" s="197"/>
      <c r="AR356" s="196"/>
      <c r="AS356" s="196"/>
      <c r="AT356" s="196"/>
      <c r="AU356" s="196"/>
      <c r="AV356" s="196"/>
      <c r="AW356" s="197"/>
      <c r="AX356" s="197"/>
      <c r="AY356" s="197"/>
      <c r="AZ356" s="197"/>
    </row>
    <row r="357" spans="1:52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7"/>
      <c r="N357" s="197"/>
      <c r="O357" s="198"/>
      <c r="P357" s="198"/>
      <c r="Q357" s="198"/>
      <c r="R357" s="196"/>
      <c r="S357" s="196"/>
      <c r="T357" s="196"/>
      <c r="U357" s="196"/>
      <c r="V357" s="196"/>
      <c r="W357" s="196"/>
      <c r="X357" s="197"/>
      <c r="Y357" s="197"/>
      <c r="Z357" s="197"/>
      <c r="AA357" s="196"/>
      <c r="AB357" s="196"/>
      <c r="AC357" s="196"/>
      <c r="AD357" s="196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7"/>
      <c r="AR357" s="196"/>
      <c r="AS357" s="196"/>
      <c r="AT357" s="196"/>
      <c r="AU357" s="196"/>
      <c r="AV357" s="196"/>
      <c r="AW357" s="197"/>
      <c r="AX357" s="197"/>
      <c r="AY357" s="197"/>
      <c r="AZ357" s="197"/>
    </row>
    <row r="358" spans="1:52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7"/>
      <c r="N358" s="197"/>
      <c r="O358" s="198"/>
      <c r="P358" s="198"/>
      <c r="Q358" s="198"/>
      <c r="R358" s="196"/>
      <c r="S358" s="196"/>
      <c r="T358" s="196"/>
      <c r="U358" s="196"/>
      <c r="V358" s="196"/>
      <c r="W358" s="196"/>
      <c r="X358" s="197"/>
      <c r="Y358" s="197"/>
      <c r="Z358" s="197"/>
      <c r="AA358" s="196"/>
      <c r="AB358" s="196"/>
      <c r="AC358" s="196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  <c r="AQ358" s="197"/>
      <c r="AR358" s="196"/>
      <c r="AS358" s="196"/>
      <c r="AT358" s="196"/>
      <c r="AU358" s="196"/>
      <c r="AV358" s="196"/>
      <c r="AW358" s="197"/>
      <c r="AX358" s="197"/>
      <c r="AY358" s="197"/>
      <c r="AZ358" s="197"/>
    </row>
    <row r="359" spans="1:52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7"/>
      <c r="N359" s="197"/>
      <c r="O359" s="198"/>
      <c r="P359" s="198"/>
      <c r="Q359" s="198"/>
      <c r="R359" s="196"/>
      <c r="S359" s="196"/>
      <c r="T359" s="196"/>
      <c r="U359" s="196"/>
      <c r="V359" s="196"/>
      <c r="W359" s="196"/>
      <c r="X359" s="197"/>
      <c r="Y359" s="197"/>
      <c r="Z359" s="197"/>
      <c r="AA359" s="196"/>
      <c r="AB359" s="196"/>
      <c r="AC359" s="196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  <c r="AN359" s="196"/>
      <c r="AO359" s="196"/>
      <c r="AP359" s="196"/>
      <c r="AQ359" s="197"/>
      <c r="AR359" s="196"/>
      <c r="AS359" s="196"/>
      <c r="AT359" s="196"/>
      <c r="AU359" s="196"/>
      <c r="AV359" s="196"/>
      <c r="AW359" s="197"/>
      <c r="AX359" s="197"/>
      <c r="AY359" s="197"/>
      <c r="AZ359" s="197"/>
    </row>
    <row r="360" spans="1:52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7"/>
      <c r="N360" s="197"/>
      <c r="O360" s="198"/>
      <c r="P360" s="198"/>
      <c r="Q360" s="198"/>
      <c r="R360" s="196"/>
      <c r="S360" s="196"/>
      <c r="T360" s="196"/>
      <c r="U360" s="196"/>
      <c r="V360" s="196"/>
      <c r="W360" s="196"/>
      <c r="X360" s="197"/>
      <c r="Y360" s="197"/>
      <c r="Z360" s="197"/>
      <c r="AA360" s="196"/>
      <c r="AB360" s="196"/>
      <c r="AC360" s="196"/>
      <c r="AD360" s="196"/>
      <c r="AE360" s="196"/>
      <c r="AF360" s="196"/>
      <c r="AG360" s="196"/>
      <c r="AH360" s="196"/>
      <c r="AI360" s="196"/>
      <c r="AJ360" s="196"/>
      <c r="AK360" s="196"/>
      <c r="AL360" s="196"/>
      <c r="AM360" s="196"/>
      <c r="AN360" s="196"/>
      <c r="AO360" s="196"/>
      <c r="AP360" s="196"/>
      <c r="AQ360" s="197"/>
      <c r="AR360" s="196"/>
      <c r="AS360" s="196"/>
      <c r="AT360" s="196"/>
      <c r="AU360" s="196"/>
      <c r="AV360" s="196"/>
      <c r="AW360" s="197"/>
      <c r="AX360" s="197"/>
      <c r="AY360" s="197"/>
      <c r="AZ360" s="197"/>
    </row>
    <row r="361" spans="1:52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7"/>
      <c r="N361" s="197"/>
      <c r="O361" s="198"/>
      <c r="P361" s="198"/>
      <c r="Q361" s="198"/>
      <c r="R361" s="196"/>
      <c r="S361" s="196"/>
      <c r="T361" s="196"/>
      <c r="U361" s="196"/>
      <c r="V361" s="196"/>
      <c r="W361" s="196"/>
      <c r="X361" s="197"/>
      <c r="Y361" s="197"/>
      <c r="Z361" s="197"/>
      <c r="AA361" s="196"/>
      <c r="AB361" s="196"/>
      <c r="AC361" s="196"/>
      <c r="AD361" s="196"/>
      <c r="AE361" s="196"/>
      <c r="AF361" s="196"/>
      <c r="AG361" s="196"/>
      <c r="AH361" s="196"/>
      <c r="AI361" s="196"/>
      <c r="AJ361" s="196"/>
      <c r="AK361" s="196"/>
      <c r="AL361" s="196"/>
      <c r="AM361" s="196"/>
      <c r="AN361" s="196"/>
      <c r="AO361" s="196"/>
      <c r="AP361" s="196"/>
      <c r="AQ361" s="197"/>
      <c r="AR361" s="196"/>
      <c r="AS361" s="196"/>
      <c r="AT361" s="196"/>
      <c r="AU361" s="196"/>
      <c r="AV361" s="196"/>
      <c r="AW361" s="197"/>
      <c r="AX361" s="197"/>
      <c r="AY361" s="197"/>
      <c r="AZ361" s="197"/>
    </row>
    <row r="362" spans="1:52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7"/>
      <c r="N362" s="197"/>
      <c r="O362" s="198"/>
      <c r="P362" s="198"/>
      <c r="Q362" s="198"/>
      <c r="R362" s="196"/>
      <c r="S362" s="196"/>
      <c r="T362" s="196"/>
      <c r="U362" s="196"/>
      <c r="V362" s="196"/>
      <c r="W362" s="196"/>
      <c r="X362" s="197"/>
      <c r="Y362" s="197"/>
      <c r="Z362" s="197"/>
      <c r="AA362" s="196"/>
      <c r="AB362" s="196"/>
      <c r="AC362" s="196"/>
      <c r="AD362" s="196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  <c r="AQ362" s="197"/>
      <c r="AR362" s="196"/>
      <c r="AS362" s="196"/>
      <c r="AT362" s="196"/>
      <c r="AU362" s="196"/>
      <c r="AV362" s="196"/>
      <c r="AW362" s="197"/>
      <c r="AX362" s="197"/>
      <c r="AY362" s="197"/>
      <c r="AZ362" s="197"/>
    </row>
    <row r="363" spans="1:52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7"/>
      <c r="N363" s="197"/>
      <c r="O363" s="198"/>
      <c r="P363" s="198"/>
      <c r="Q363" s="198"/>
      <c r="R363" s="196"/>
      <c r="S363" s="196"/>
      <c r="T363" s="196"/>
      <c r="U363" s="196"/>
      <c r="V363" s="196"/>
      <c r="W363" s="196"/>
      <c r="X363" s="197"/>
      <c r="Y363" s="197"/>
      <c r="Z363" s="197"/>
      <c r="AA363" s="196"/>
      <c r="AB363" s="196"/>
      <c r="AC363" s="196"/>
      <c r="AD363" s="196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  <c r="AP363" s="196"/>
      <c r="AQ363" s="197"/>
      <c r="AR363" s="196"/>
      <c r="AS363" s="196"/>
      <c r="AT363" s="196"/>
      <c r="AU363" s="196"/>
      <c r="AV363" s="196"/>
      <c r="AW363" s="197"/>
      <c r="AX363" s="197"/>
      <c r="AY363" s="197"/>
      <c r="AZ363" s="197"/>
    </row>
    <row r="364" spans="1:52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7"/>
      <c r="N364" s="197"/>
      <c r="O364" s="198"/>
      <c r="P364" s="198"/>
      <c r="Q364" s="198"/>
      <c r="R364" s="196"/>
      <c r="S364" s="196"/>
      <c r="T364" s="196"/>
      <c r="U364" s="196"/>
      <c r="V364" s="196"/>
      <c r="W364" s="196"/>
      <c r="X364" s="197"/>
      <c r="Y364" s="197"/>
      <c r="Z364" s="197"/>
      <c r="AA364" s="196"/>
      <c r="AB364" s="196"/>
      <c r="AC364" s="196"/>
      <c r="AD364" s="196"/>
      <c r="AE364" s="196"/>
      <c r="AF364" s="196"/>
      <c r="AG364" s="196"/>
      <c r="AH364" s="196"/>
      <c r="AI364" s="196"/>
      <c r="AJ364" s="196"/>
      <c r="AK364" s="196"/>
      <c r="AL364" s="196"/>
      <c r="AM364" s="196"/>
      <c r="AN364" s="196"/>
      <c r="AO364" s="196"/>
      <c r="AP364" s="196"/>
      <c r="AQ364" s="197"/>
      <c r="AR364" s="196"/>
      <c r="AS364" s="196"/>
      <c r="AT364" s="196"/>
      <c r="AU364" s="196"/>
      <c r="AV364" s="196"/>
      <c r="AW364" s="197"/>
      <c r="AX364" s="197"/>
      <c r="AY364" s="197"/>
      <c r="AZ364" s="197"/>
    </row>
    <row r="365" spans="1:52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7"/>
      <c r="N365" s="197"/>
      <c r="O365" s="198"/>
      <c r="P365" s="198"/>
      <c r="Q365" s="198"/>
      <c r="R365" s="196"/>
      <c r="S365" s="196"/>
      <c r="T365" s="196"/>
      <c r="U365" s="196"/>
      <c r="V365" s="196"/>
      <c r="W365" s="196"/>
      <c r="X365" s="197"/>
      <c r="Y365" s="197"/>
      <c r="Z365" s="197"/>
      <c r="AA365" s="196"/>
      <c r="AB365" s="196"/>
      <c r="AC365" s="196"/>
      <c r="AD365" s="196"/>
      <c r="AE365" s="196"/>
      <c r="AF365" s="196"/>
      <c r="AG365" s="196"/>
      <c r="AH365" s="196"/>
      <c r="AI365" s="196"/>
      <c r="AJ365" s="196"/>
      <c r="AK365" s="196"/>
      <c r="AL365" s="196"/>
      <c r="AM365" s="196"/>
      <c r="AN365" s="196"/>
      <c r="AO365" s="196"/>
      <c r="AP365" s="196"/>
      <c r="AQ365" s="197"/>
      <c r="AR365" s="196"/>
      <c r="AS365" s="196"/>
      <c r="AT365" s="196"/>
      <c r="AU365" s="196"/>
      <c r="AV365" s="196"/>
      <c r="AW365" s="197"/>
      <c r="AX365" s="197"/>
      <c r="AY365" s="197"/>
      <c r="AZ365" s="197"/>
    </row>
    <row r="366" spans="1:52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7"/>
      <c r="N366" s="197"/>
      <c r="O366" s="198"/>
      <c r="P366" s="198"/>
      <c r="Q366" s="198"/>
      <c r="R366" s="196"/>
      <c r="S366" s="196"/>
      <c r="T366" s="196"/>
      <c r="U366" s="196"/>
      <c r="V366" s="196"/>
      <c r="W366" s="196"/>
      <c r="X366" s="197"/>
      <c r="Y366" s="197"/>
      <c r="Z366" s="197"/>
      <c r="AA366" s="196"/>
      <c r="AB366" s="196"/>
      <c r="AC366" s="196"/>
      <c r="AD366" s="196"/>
      <c r="AE366" s="196"/>
      <c r="AF366" s="196"/>
      <c r="AG366" s="196"/>
      <c r="AH366" s="196"/>
      <c r="AI366" s="196"/>
      <c r="AJ366" s="196"/>
      <c r="AK366" s="196"/>
      <c r="AL366" s="196"/>
      <c r="AM366" s="196"/>
      <c r="AN366" s="196"/>
      <c r="AO366" s="196"/>
      <c r="AP366" s="196"/>
      <c r="AQ366" s="197"/>
      <c r="AR366" s="196"/>
      <c r="AS366" s="196"/>
      <c r="AT366" s="196"/>
      <c r="AU366" s="196"/>
      <c r="AV366" s="196"/>
      <c r="AW366" s="197"/>
      <c r="AX366" s="197"/>
      <c r="AY366" s="197"/>
      <c r="AZ366" s="197"/>
    </row>
    <row r="367" spans="1:52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7"/>
      <c r="N367" s="197"/>
      <c r="O367" s="198"/>
      <c r="P367" s="198"/>
      <c r="Q367" s="198"/>
      <c r="R367" s="196"/>
      <c r="S367" s="196"/>
      <c r="T367" s="196"/>
      <c r="U367" s="196"/>
      <c r="V367" s="196"/>
      <c r="W367" s="196"/>
      <c r="X367" s="197"/>
      <c r="Y367" s="197"/>
      <c r="Z367" s="197"/>
      <c r="AA367" s="196"/>
      <c r="AB367" s="196"/>
      <c r="AC367" s="196"/>
      <c r="AD367" s="196"/>
      <c r="AE367" s="196"/>
      <c r="AF367" s="196"/>
      <c r="AG367" s="196"/>
      <c r="AH367" s="196"/>
      <c r="AI367" s="196"/>
      <c r="AJ367" s="196"/>
      <c r="AK367" s="196"/>
      <c r="AL367" s="196"/>
      <c r="AM367" s="196"/>
      <c r="AN367" s="196"/>
      <c r="AO367" s="196"/>
      <c r="AP367" s="196"/>
      <c r="AQ367" s="197"/>
      <c r="AR367" s="196"/>
      <c r="AS367" s="196"/>
      <c r="AT367" s="196"/>
      <c r="AU367" s="196"/>
      <c r="AV367" s="196"/>
      <c r="AW367" s="197"/>
      <c r="AX367" s="197"/>
      <c r="AY367" s="197"/>
      <c r="AZ367" s="197"/>
    </row>
    <row r="368" spans="1:52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7"/>
      <c r="N368" s="197"/>
      <c r="O368" s="198"/>
      <c r="P368" s="198"/>
      <c r="Q368" s="198"/>
      <c r="R368" s="196"/>
      <c r="S368" s="196"/>
      <c r="T368" s="196"/>
      <c r="U368" s="196"/>
      <c r="V368" s="196"/>
      <c r="W368" s="196"/>
      <c r="X368" s="197"/>
      <c r="Y368" s="197"/>
      <c r="Z368" s="197"/>
      <c r="AA368" s="196"/>
      <c r="AB368" s="196"/>
      <c r="AC368" s="196"/>
      <c r="AD368" s="196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  <c r="AP368" s="196"/>
      <c r="AQ368" s="197"/>
      <c r="AR368" s="196"/>
      <c r="AS368" s="196"/>
      <c r="AT368" s="196"/>
      <c r="AU368" s="196"/>
      <c r="AV368" s="196"/>
      <c r="AW368" s="197"/>
      <c r="AX368" s="197"/>
      <c r="AY368" s="197"/>
      <c r="AZ368" s="197"/>
    </row>
    <row r="369" spans="1:52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7"/>
      <c r="N369" s="197"/>
      <c r="O369" s="198"/>
      <c r="P369" s="198"/>
      <c r="Q369" s="198"/>
      <c r="R369" s="196"/>
      <c r="S369" s="196"/>
      <c r="T369" s="196"/>
      <c r="U369" s="196"/>
      <c r="V369" s="196"/>
      <c r="W369" s="196"/>
      <c r="X369" s="197"/>
      <c r="Y369" s="197"/>
      <c r="Z369" s="197"/>
      <c r="AA369" s="196"/>
      <c r="AB369" s="196"/>
      <c r="AC369" s="196"/>
      <c r="AD369" s="196"/>
      <c r="AE369" s="196"/>
      <c r="AF369" s="196"/>
      <c r="AG369" s="196"/>
      <c r="AH369" s="196"/>
      <c r="AI369" s="196"/>
      <c r="AJ369" s="196"/>
      <c r="AK369" s="196"/>
      <c r="AL369" s="196"/>
      <c r="AM369" s="196"/>
      <c r="AN369" s="196"/>
      <c r="AO369" s="196"/>
      <c r="AP369" s="196"/>
      <c r="AQ369" s="197"/>
      <c r="AR369" s="196"/>
      <c r="AS369" s="196"/>
      <c r="AT369" s="196"/>
      <c r="AU369" s="196"/>
      <c r="AV369" s="196"/>
      <c r="AW369" s="197"/>
      <c r="AX369" s="197"/>
      <c r="AY369" s="197"/>
      <c r="AZ369" s="197"/>
    </row>
    <row r="370" spans="1:52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7"/>
      <c r="N370" s="197"/>
      <c r="O370" s="198"/>
      <c r="P370" s="198"/>
      <c r="Q370" s="198"/>
      <c r="R370" s="196"/>
      <c r="S370" s="196"/>
      <c r="T370" s="196"/>
      <c r="U370" s="196"/>
      <c r="V370" s="196"/>
      <c r="W370" s="196"/>
      <c r="X370" s="197"/>
      <c r="Y370" s="197"/>
      <c r="Z370" s="197"/>
      <c r="AA370" s="196"/>
      <c r="AB370" s="196"/>
      <c r="AC370" s="196"/>
      <c r="AD370" s="196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  <c r="AQ370" s="197"/>
      <c r="AR370" s="196"/>
      <c r="AS370" s="196"/>
      <c r="AT370" s="196"/>
      <c r="AU370" s="196"/>
      <c r="AV370" s="196"/>
      <c r="AW370" s="197"/>
      <c r="AX370" s="197"/>
      <c r="AY370" s="197"/>
      <c r="AZ370" s="197"/>
    </row>
    <row r="371" spans="1:52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7"/>
      <c r="N371" s="197"/>
      <c r="O371" s="198"/>
      <c r="P371" s="198"/>
      <c r="Q371" s="198"/>
      <c r="R371" s="196"/>
      <c r="S371" s="196"/>
      <c r="T371" s="196"/>
      <c r="U371" s="196"/>
      <c r="V371" s="196"/>
      <c r="W371" s="196"/>
      <c r="X371" s="197"/>
      <c r="Y371" s="197"/>
      <c r="Z371" s="197"/>
      <c r="AA371" s="196"/>
      <c r="AB371" s="196"/>
      <c r="AC371" s="196"/>
      <c r="AD371" s="196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  <c r="AP371" s="196"/>
      <c r="AQ371" s="197"/>
      <c r="AR371" s="196"/>
      <c r="AS371" s="196"/>
      <c r="AT371" s="196"/>
      <c r="AU371" s="196"/>
      <c r="AV371" s="196"/>
      <c r="AW371" s="197"/>
      <c r="AX371" s="197"/>
      <c r="AY371" s="197"/>
      <c r="AZ371" s="197"/>
    </row>
    <row r="372" spans="1:52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7"/>
      <c r="N372" s="197"/>
      <c r="O372" s="198"/>
      <c r="P372" s="198"/>
      <c r="Q372" s="198"/>
      <c r="R372" s="196"/>
      <c r="S372" s="196"/>
      <c r="T372" s="196"/>
      <c r="U372" s="196"/>
      <c r="V372" s="196"/>
      <c r="W372" s="196"/>
      <c r="X372" s="197"/>
      <c r="Y372" s="197"/>
      <c r="Z372" s="197"/>
      <c r="AA372" s="196"/>
      <c r="AB372" s="196"/>
      <c r="AC372" s="196"/>
      <c r="AD372" s="196"/>
      <c r="AE372" s="196"/>
      <c r="AF372" s="196"/>
      <c r="AG372" s="196"/>
      <c r="AH372" s="196"/>
      <c r="AI372" s="196"/>
      <c r="AJ372" s="196"/>
      <c r="AK372" s="196"/>
      <c r="AL372" s="196"/>
      <c r="AM372" s="196"/>
      <c r="AN372" s="196"/>
      <c r="AO372" s="196"/>
      <c r="AP372" s="196"/>
      <c r="AQ372" s="197"/>
      <c r="AR372" s="196"/>
      <c r="AS372" s="196"/>
      <c r="AT372" s="196"/>
      <c r="AU372" s="196"/>
      <c r="AV372" s="196"/>
      <c r="AW372" s="197"/>
      <c r="AX372" s="197"/>
      <c r="AY372" s="197"/>
      <c r="AZ372" s="197"/>
    </row>
    <row r="373" spans="1:52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7"/>
      <c r="N373" s="197"/>
      <c r="O373" s="198"/>
      <c r="P373" s="198"/>
      <c r="Q373" s="198"/>
      <c r="R373" s="196"/>
      <c r="S373" s="196"/>
      <c r="T373" s="196"/>
      <c r="U373" s="196"/>
      <c r="V373" s="196"/>
      <c r="W373" s="196"/>
      <c r="X373" s="197"/>
      <c r="Y373" s="197"/>
      <c r="Z373" s="197"/>
      <c r="AA373" s="196"/>
      <c r="AB373" s="196"/>
      <c r="AC373" s="196"/>
      <c r="AD373" s="196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  <c r="AP373" s="196"/>
      <c r="AQ373" s="197"/>
      <c r="AR373" s="196"/>
      <c r="AS373" s="196"/>
      <c r="AT373" s="196"/>
      <c r="AU373" s="196"/>
      <c r="AV373" s="196"/>
      <c r="AW373" s="197"/>
      <c r="AX373" s="197"/>
      <c r="AY373" s="197"/>
      <c r="AZ373" s="197"/>
    </row>
    <row r="374" spans="1:52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7"/>
      <c r="N374" s="197"/>
      <c r="O374" s="198"/>
      <c r="P374" s="198"/>
      <c r="Q374" s="198"/>
      <c r="R374" s="196"/>
      <c r="S374" s="196"/>
      <c r="T374" s="196"/>
      <c r="U374" s="196"/>
      <c r="V374" s="196"/>
      <c r="W374" s="196"/>
      <c r="X374" s="197"/>
      <c r="Y374" s="197"/>
      <c r="Z374" s="197"/>
      <c r="AA374" s="196"/>
      <c r="AB374" s="196"/>
      <c r="AC374" s="196"/>
      <c r="AD374" s="196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  <c r="AP374" s="196"/>
      <c r="AQ374" s="197"/>
      <c r="AR374" s="196"/>
      <c r="AS374" s="196"/>
      <c r="AT374" s="196"/>
      <c r="AU374" s="196"/>
      <c r="AV374" s="196"/>
      <c r="AW374" s="197"/>
      <c r="AX374" s="197"/>
      <c r="AY374" s="197"/>
      <c r="AZ374" s="197"/>
    </row>
    <row r="375" spans="1:52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7"/>
      <c r="N375" s="197"/>
      <c r="O375" s="198"/>
      <c r="P375" s="198"/>
      <c r="Q375" s="198"/>
      <c r="R375" s="196"/>
      <c r="S375" s="196"/>
      <c r="T375" s="196"/>
      <c r="U375" s="196"/>
      <c r="V375" s="196"/>
      <c r="W375" s="196"/>
      <c r="X375" s="197"/>
      <c r="Y375" s="197"/>
      <c r="Z375" s="197"/>
      <c r="AA375" s="196"/>
      <c r="AB375" s="196"/>
      <c r="AC375" s="196"/>
      <c r="AD375" s="196"/>
      <c r="AE375" s="196"/>
      <c r="AF375" s="196"/>
      <c r="AG375" s="196"/>
      <c r="AH375" s="196"/>
      <c r="AI375" s="196"/>
      <c r="AJ375" s="196"/>
      <c r="AK375" s="196"/>
      <c r="AL375" s="196"/>
      <c r="AM375" s="196"/>
      <c r="AN375" s="196"/>
      <c r="AO375" s="196"/>
      <c r="AP375" s="196"/>
      <c r="AQ375" s="197"/>
      <c r="AR375" s="196"/>
      <c r="AS375" s="196"/>
      <c r="AT375" s="196"/>
      <c r="AU375" s="196"/>
      <c r="AV375" s="196"/>
      <c r="AW375" s="197"/>
      <c r="AX375" s="197"/>
      <c r="AY375" s="197"/>
      <c r="AZ375" s="197"/>
    </row>
    <row r="376" spans="1:52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7"/>
      <c r="N376" s="197"/>
      <c r="O376" s="198"/>
      <c r="P376" s="198"/>
      <c r="Q376" s="198"/>
      <c r="R376" s="196"/>
      <c r="S376" s="196"/>
      <c r="T376" s="196"/>
      <c r="U376" s="196"/>
      <c r="V376" s="196"/>
      <c r="W376" s="196"/>
      <c r="X376" s="197"/>
      <c r="Y376" s="197"/>
      <c r="Z376" s="197"/>
      <c r="AA376" s="196"/>
      <c r="AB376" s="196"/>
      <c r="AC376" s="196"/>
      <c r="AD376" s="196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  <c r="AQ376" s="197"/>
      <c r="AR376" s="196"/>
      <c r="AS376" s="196"/>
      <c r="AT376" s="196"/>
      <c r="AU376" s="196"/>
      <c r="AV376" s="196"/>
      <c r="AW376" s="197"/>
      <c r="AX376" s="197"/>
      <c r="AY376" s="197"/>
      <c r="AZ376" s="197"/>
    </row>
    <row r="377" spans="1:52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7"/>
      <c r="N377" s="197"/>
      <c r="O377" s="198"/>
      <c r="P377" s="198"/>
      <c r="Q377" s="198"/>
      <c r="R377" s="196"/>
      <c r="S377" s="196"/>
      <c r="T377" s="196"/>
      <c r="U377" s="196"/>
      <c r="V377" s="196"/>
      <c r="W377" s="196"/>
      <c r="X377" s="197"/>
      <c r="Y377" s="197"/>
      <c r="Z377" s="197"/>
      <c r="AA377" s="196"/>
      <c r="AB377" s="196"/>
      <c r="AC377" s="196"/>
      <c r="AD377" s="196"/>
      <c r="AE377" s="196"/>
      <c r="AF377" s="196"/>
      <c r="AG377" s="196"/>
      <c r="AH377" s="196"/>
      <c r="AI377" s="196"/>
      <c r="AJ377" s="196"/>
      <c r="AK377" s="196"/>
      <c r="AL377" s="196"/>
      <c r="AM377" s="196"/>
      <c r="AN377" s="196"/>
      <c r="AO377" s="196"/>
      <c r="AP377" s="196"/>
      <c r="AQ377" s="197"/>
      <c r="AR377" s="196"/>
      <c r="AS377" s="196"/>
      <c r="AT377" s="196"/>
      <c r="AU377" s="196"/>
      <c r="AV377" s="196"/>
      <c r="AW377" s="197"/>
      <c r="AX377" s="197"/>
      <c r="AY377" s="197"/>
      <c r="AZ377" s="197"/>
    </row>
    <row r="378" spans="1:52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7"/>
      <c r="N378" s="197"/>
      <c r="O378" s="198"/>
      <c r="P378" s="198"/>
      <c r="Q378" s="198"/>
      <c r="R378" s="196"/>
      <c r="S378" s="196"/>
      <c r="T378" s="196"/>
      <c r="U378" s="196"/>
      <c r="V378" s="196"/>
      <c r="W378" s="196"/>
      <c r="X378" s="197"/>
      <c r="Y378" s="197"/>
      <c r="Z378" s="197"/>
      <c r="AA378" s="196"/>
      <c r="AB378" s="196"/>
      <c r="AC378" s="196"/>
      <c r="AD378" s="196"/>
      <c r="AE378" s="196"/>
      <c r="AF378" s="196"/>
      <c r="AG378" s="196"/>
      <c r="AH378" s="196"/>
      <c r="AI378" s="196"/>
      <c r="AJ378" s="196"/>
      <c r="AK378" s="196"/>
      <c r="AL378" s="196"/>
      <c r="AM378" s="196"/>
      <c r="AN378" s="196"/>
      <c r="AO378" s="196"/>
      <c r="AP378" s="196"/>
      <c r="AQ378" s="197"/>
      <c r="AR378" s="196"/>
      <c r="AS378" s="196"/>
      <c r="AT378" s="196"/>
      <c r="AU378" s="196"/>
      <c r="AV378" s="196"/>
      <c r="AW378" s="197"/>
      <c r="AX378" s="197"/>
      <c r="AY378" s="197"/>
      <c r="AZ378" s="197"/>
    </row>
    <row r="379" spans="1:52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7"/>
      <c r="N379" s="197"/>
      <c r="O379" s="198"/>
      <c r="P379" s="198"/>
      <c r="Q379" s="198"/>
      <c r="R379" s="196"/>
      <c r="S379" s="196"/>
      <c r="T379" s="196"/>
      <c r="U379" s="196"/>
      <c r="V379" s="196"/>
      <c r="W379" s="196"/>
      <c r="X379" s="197"/>
      <c r="Y379" s="197"/>
      <c r="Z379" s="197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7"/>
      <c r="AR379" s="196"/>
      <c r="AS379" s="196"/>
      <c r="AT379" s="196"/>
      <c r="AU379" s="196"/>
      <c r="AV379" s="196"/>
      <c r="AW379" s="197"/>
      <c r="AX379" s="197"/>
      <c r="AY379" s="197"/>
      <c r="AZ379" s="197"/>
    </row>
    <row r="380" spans="1:52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7"/>
      <c r="N380" s="197"/>
      <c r="O380" s="198"/>
      <c r="P380" s="198"/>
      <c r="Q380" s="198"/>
      <c r="R380" s="196"/>
      <c r="S380" s="196"/>
      <c r="T380" s="196"/>
      <c r="U380" s="196"/>
      <c r="V380" s="196"/>
      <c r="W380" s="196"/>
      <c r="X380" s="197"/>
      <c r="Y380" s="197"/>
      <c r="Z380" s="197"/>
      <c r="AA380" s="196"/>
      <c r="AB380" s="196"/>
      <c r="AC380" s="196"/>
      <c r="AD380" s="196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  <c r="AQ380" s="197"/>
      <c r="AR380" s="196"/>
      <c r="AS380" s="196"/>
      <c r="AT380" s="196"/>
      <c r="AU380" s="196"/>
      <c r="AV380" s="196"/>
      <c r="AW380" s="197"/>
      <c r="AX380" s="197"/>
      <c r="AY380" s="197"/>
      <c r="AZ380" s="197"/>
    </row>
    <row r="381" spans="1:52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7"/>
      <c r="N381" s="197"/>
      <c r="O381" s="198"/>
      <c r="P381" s="198"/>
      <c r="Q381" s="198"/>
      <c r="R381" s="196"/>
      <c r="S381" s="196"/>
      <c r="T381" s="196"/>
      <c r="U381" s="196"/>
      <c r="V381" s="196"/>
      <c r="W381" s="196"/>
      <c r="X381" s="197"/>
      <c r="Y381" s="197"/>
      <c r="Z381" s="197"/>
      <c r="AA381" s="196"/>
      <c r="AB381" s="196"/>
      <c r="AC381" s="196"/>
      <c r="AD381" s="196"/>
      <c r="AE381" s="196"/>
      <c r="AF381" s="196"/>
      <c r="AG381" s="196"/>
      <c r="AH381" s="196"/>
      <c r="AI381" s="196"/>
      <c r="AJ381" s="196"/>
      <c r="AK381" s="196"/>
      <c r="AL381" s="196"/>
      <c r="AM381" s="196"/>
      <c r="AN381" s="196"/>
      <c r="AO381" s="196"/>
      <c r="AP381" s="196"/>
      <c r="AQ381" s="197"/>
      <c r="AR381" s="196"/>
      <c r="AS381" s="196"/>
      <c r="AT381" s="196"/>
      <c r="AU381" s="196"/>
      <c r="AV381" s="196"/>
      <c r="AW381" s="197"/>
      <c r="AX381" s="197"/>
      <c r="AY381" s="197"/>
      <c r="AZ381" s="197"/>
    </row>
    <row r="382" spans="1:52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7"/>
      <c r="N382" s="197"/>
      <c r="O382" s="198"/>
      <c r="P382" s="198"/>
      <c r="Q382" s="198"/>
      <c r="R382" s="196"/>
      <c r="S382" s="196"/>
      <c r="T382" s="196"/>
      <c r="U382" s="196"/>
      <c r="V382" s="196"/>
      <c r="W382" s="196"/>
      <c r="X382" s="197"/>
      <c r="Y382" s="197"/>
      <c r="Z382" s="197"/>
      <c r="AA382" s="196"/>
      <c r="AB382" s="196"/>
      <c r="AC382" s="196"/>
      <c r="AD382" s="196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  <c r="AQ382" s="197"/>
      <c r="AR382" s="196"/>
      <c r="AS382" s="196"/>
      <c r="AT382" s="196"/>
      <c r="AU382" s="196"/>
      <c r="AV382" s="196"/>
      <c r="AW382" s="197"/>
      <c r="AX382" s="197"/>
      <c r="AY382" s="197"/>
      <c r="AZ382" s="197"/>
    </row>
    <row r="383" spans="1:52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7"/>
      <c r="N383" s="197"/>
      <c r="O383" s="198"/>
      <c r="P383" s="198"/>
      <c r="Q383" s="198"/>
      <c r="R383" s="196"/>
      <c r="S383" s="196"/>
      <c r="T383" s="196"/>
      <c r="U383" s="196"/>
      <c r="V383" s="196"/>
      <c r="W383" s="196"/>
      <c r="X383" s="197"/>
      <c r="Y383" s="197"/>
      <c r="Z383" s="197"/>
      <c r="AA383" s="196"/>
      <c r="AB383" s="196"/>
      <c r="AC383" s="196"/>
      <c r="AD383" s="196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  <c r="AP383" s="196"/>
      <c r="AQ383" s="197"/>
      <c r="AR383" s="196"/>
      <c r="AS383" s="196"/>
      <c r="AT383" s="196"/>
      <c r="AU383" s="196"/>
      <c r="AV383" s="196"/>
      <c r="AW383" s="197"/>
      <c r="AX383" s="197"/>
      <c r="AY383" s="197"/>
      <c r="AZ383" s="197"/>
    </row>
    <row r="384" spans="1:52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7"/>
      <c r="N384" s="197"/>
      <c r="O384" s="198"/>
      <c r="P384" s="198"/>
      <c r="Q384" s="198"/>
      <c r="R384" s="196"/>
      <c r="S384" s="196"/>
      <c r="T384" s="196"/>
      <c r="U384" s="196"/>
      <c r="V384" s="196"/>
      <c r="W384" s="196"/>
      <c r="X384" s="197"/>
      <c r="Y384" s="197"/>
      <c r="Z384" s="197"/>
      <c r="AA384" s="196"/>
      <c r="AB384" s="196"/>
      <c r="AC384" s="196"/>
      <c r="AD384" s="196"/>
      <c r="AE384" s="196"/>
      <c r="AF384" s="196"/>
      <c r="AG384" s="196"/>
      <c r="AH384" s="196"/>
      <c r="AI384" s="196"/>
      <c r="AJ384" s="196"/>
      <c r="AK384" s="196"/>
      <c r="AL384" s="196"/>
      <c r="AM384" s="196"/>
      <c r="AN384" s="196"/>
      <c r="AO384" s="196"/>
      <c r="AP384" s="196"/>
      <c r="AQ384" s="197"/>
      <c r="AR384" s="196"/>
      <c r="AS384" s="196"/>
      <c r="AT384" s="196"/>
      <c r="AU384" s="196"/>
      <c r="AV384" s="196"/>
      <c r="AW384" s="197"/>
      <c r="AX384" s="197"/>
      <c r="AY384" s="197"/>
      <c r="AZ384" s="197"/>
    </row>
    <row r="385" spans="1:52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7"/>
      <c r="N385" s="197"/>
      <c r="O385" s="198"/>
      <c r="P385" s="198"/>
      <c r="Q385" s="198"/>
      <c r="R385" s="196"/>
      <c r="S385" s="196"/>
      <c r="T385" s="196"/>
      <c r="U385" s="196"/>
      <c r="V385" s="196"/>
      <c r="W385" s="196"/>
      <c r="X385" s="197"/>
      <c r="Y385" s="197"/>
      <c r="Z385" s="197"/>
      <c r="AA385" s="196"/>
      <c r="AB385" s="196"/>
      <c r="AC385" s="196"/>
      <c r="AD385" s="196"/>
      <c r="AE385" s="196"/>
      <c r="AF385" s="196"/>
      <c r="AG385" s="196"/>
      <c r="AH385" s="196"/>
      <c r="AI385" s="196"/>
      <c r="AJ385" s="196"/>
      <c r="AK385" s="196"/>
      <c r="AL385" s="196"/>
      <c r="AM385" s="196"/>
      <c r="AN385" s="196"/>
      <c r="AO385" s="196"/>
      <c r="AP385" s="196"/>
      <c r="AQ385" s="197"/>
      <c r="AR385" s="196"/>
      <c r="AS385" s="196"/>
      <c r="AT385" s="196"/>
      <c r="AU385" s="196"/>
      <c r="AV385" s="196"/>
      <c r="AW385" s="197"/>
      <c r="AX385" s="197"/>
      <c r="AY385" s="197"/>
      <c r="AZ385" s="197"/>
    </row>
    <row r="386" spans="1:52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7"/>
      <c r="N386" s="197"/>
      <c r="O386" s="198"/>
      <c r="P386" s="198"/>
      <c r="Q386" s="198"/>
      <c r="R386" s="196"/>
      <c r="S386" s="196"/>
      <c r="T386" s="196"/>
      <c r="U386" s="196"/>
      <c r="V386" s="196"/>
      <c r="W386" s="196"/>
      <c r="X386" s="197"/>
      <c r="Y386" s="197"/>
      <c r="Z386" s="197"/>
      <c r="AA386" s="196"/>
      <c r="AB386" s="196"/>
      <c r="AC386" s="196"/>
      <c r="AD386" s="196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7"/>
      <c r="AR386" s="196"/>
      <c r="AS386" s="196"/>
      <c r="AT386" s="196"/>
      <c r="AU386" s="196"/>
      <c r="AV386" s="196"/>
      <c r="AW386" s="197"/>
      <c r="AX386" s="197"/>
      <c r="AY386" s="197"/>
      <c r="AZ386" s="197"/>
    </row>
    <row r="387" spans="1:52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7"/>
      <c r="N387" s="197"/>
      <c r="O387" s="198"/>
      <c r="P387" s="198"/>
      <c r="Q387" s="198"/>
      <c r="R387" s="196"/>
      <c r="S387" s="196"/>
      <c r="T387" s="196"/>
      <c r="U387" s="196"/>
      <c r="V387" s="196"/>
      <c r="W387" s="196"/>
      <c r="X387" s="197"/>
      <c r="Y387" s="197"/>
      <c r="Z387" s="197"/>
      <c r="AA387" s="196"/>
      <c r="AB387" s="196"/>
      <c r="AC387" s="196"/>
      <c r="AD387" s="196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7"/>
      <c r="AR387" s="196"/>
      <c r="AS387" s="196"/>
      <c r="AT387" s="196"/>
      <c r="AU387" s="196"/>
      <c r="AV387" s="196"/>
      <c r="AW387" s="197"/>
      <c r="AX387" s="197"/>
      <c r="AY387" s="197"/>
      <c r="AZ387" s="197"/>
    </row>
    <row r="388" spans="1:52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7"/>
      <c r="N388" s="197"/>
      <c r="O388" s="198"/>
      <c r="P388" s="198"/>
      <c r="Q388" s="198"/>
      <c r="R388" s="196"/>
      <c r="S388" s="196"/>
      <c r="T388" s="196"/>
      <c r="U388" s="196"/>
      <c r="V388" s="196"/>
      <c r="W388" s="196"/>
      <c r="X388" s="197"/>
      <c r="Y388" s="197"/>
      <c r="Z388" s="197"/>
      <c r="AA388" s="196"/>
      <c r="AB388" s="196"/>
      <c r="AC388" s="196"/>
      <c r="AD388" s="196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  <c r="AQ388" s="197"/>
      <c r="AR388" s="196"/>
      <c r="AS388" s="196"/>
      <c r="AT388" s="196"/>
      <c r="AU388" s="196"/>
      <c r="AV388" s="196"/>
      <c r="AW388" s="197"/>
      <c r="AX388" s="197"/>
      <c r="AY388" s="197"/>
      <c r="AZ388" s="197"/>
    </row>
    <row r="389" spans="1:52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7"/>
      <c r="N389" s="197"/>
      <c r="O389" s="198"/>
      <c r="P389" s="198"/>
      <c r="Q389" s="198"/>
      <c r="R389" s="196"/>
      <c r="S389" s="196"/>
      <c r="T389" s="196"/>
      <c r="U389" s="196"/>
      <c r="V389" s="196"/>
      <c r="W389" s="196"/>
      <c r="X389" s="197"/>
      <c r="Y389" s="197"/>
      <c r="Z389" s="197"/>
      <c r="AA389" s="196"/>
      <c r="AB389" s="196"/>
      <c r="AC389" s="196"/>
      <c r="AD389" s="196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  <c r="AQ389" s="197"/>
      <c r="AR389" s="196"/>
      <c r="AS389" s="196"/>
      <c r="AT389" s="196"/>
      <c r="AU389" s="196"/>
      <c r="AV389" s="196"/>
      <c r="AW389" s="197"/>
      <c r="AX389" s="197"/>
      <c r="AY389" s="197"/>
      <c r="AZ389" s="197"/>
    </row>
    <row r="390" spans="1:52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7"/>
      <c r="N390" s="197"/>
      <c r="O390" s="198"/>
      <c r="P390" s="198"/>
      <c r="Q390" s="198"/>
      <c r="R390" s="196"/>
      <c r="S390" s="196"/>
      <c r="T390" s="196"/>
      <c r="U390" s="196"/>
      <c r="V390" s="196"/>
      <c r="W390" s="196"/>
      <c r="X390" s="197"/>
      <c r="Y390" s="197"/>
      <c r="Z390" s="197"/>
      <c r="AA390" s="196"/>
      <c r="AB390" s="196"/>
      <c r="AC390" s="196"/>
      <c r="AD390" s="196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  <c r="AQ390" s="197"/>
      <c r="AR390" s="196"/>
      <c r="AS390" s="196"/>
      <c r="AT390" s="196"/>
      <c r="AU390" s="196"/>
      <c r="AV390" s="196"/>
      <c r="AW390" s="197"/>
      <c r="AX390" s="197"/>
      <c r="AY390" s="197"/>
      <c r="AZ390" s="197"/>
    </row>
    <row r="391" spans="1:52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7"/>
      <c r="N391" s="197"/>
      <c r="O391" s="198"/>
      <c r="P391" s="198"/>
      <c r="Q391" s="198"/>
      <c r="R391" s="196"/>
      <c r="S391" s="196"/>
      <c r="T391" s="196"/>
      <c r="U391" s="196"/>
      <c r="V391" s="196"/>
      <c r="W391" s="196"/>
      <c r="X391" s="197"/>
      <c r="Y391" s="197"/>
      <c r="Z391" s="197"/>
      <c r="AA391" s="196"/>
      <c r="AB391" s="196"/>
      <c r="AC391" s="196"/>
      <c r="AD391" s="196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7"/>
      <c r="AR391" s="196"/>
      <c r="AS391" s="196"/>
      <c r="AT391" s="196"/>
      <c r="AU391" s="196"/>
      <c r="AV391" s="196"/>
      <c r="AW391" s="197"/>
      <c r="AX391" s="197"/>
      <c r="AY391" s="197"/>
      <c r="AZ391" s="197"/>
    </row>
    <row r="392" spans="1:52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7"/>
      <c r="N392" s="197"/>
      <c r="O392" s="198"/>
      <c r="P392" s="198"/>
      <c r="Q392" s="198"/>
      <c r="R392" s="196"/>
      <c r="S392" s="196"/>
      <c r="T392" s="196"/>
      <c r="U392" s="196"/>
      <c r="V392" s="196"/>
      <c r="W392" s="196"/>
      <c r="X392" s="197"/>
      <c r="Y392" s="197"/>
      <c r="Z392" s="197"/>
      <c r="AA392" s="196"/>
      <c r="AB392" s="196"/>
      <c r="AC392" s="196"/>
      <c r="AD392" s="196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  <c r="AP392" s="196"/>
      <c r="AQ392" s="197"/>
      <c r="AR392" s="196"/>
      <c r="AS392" s="196"/>
      <c r="AT392" s="196"/>
      <c r="AU392" s="196"/>
      <c r="AV392" s="196"/>
      <c r="AW392" s="197"/>
      <c r="AX392" s="197"/>
      <c r="AY392" s="197"/>
      <c r="AZ392" s="197"/>
    </row>
    <row r="393" spans="1:52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7"/>
      <c r="N393" s="197"/>
      <c r="O393" s="198"/>
      <c r="P393" s="198"/>
      <c r="Q393" s="198"/>
      <c r="R393" s="196"/>
      <c r="S393" s="196"/>
      <c r="T393" s="196"/>
      <c r="U393" s="196"/>
      <c r="V393" s="196"/>
      <c r="W393" s="196"/>
      <c r="X393" s="197"/>
      <c r="Y393" s="197"/>
      <c r="Z393" s="197"/>
      <c r="AA393" s="196"/>
      <c r="AB393" s="196"/>
      <c r="AC393" s="196"/>
      <c r="AD393" s="196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  <c r="AQ393" s="197"/>
      <c r="AR393" s="196"/>
      <c r="AS393" s="196"/>
      <c r="AT393" s="196"/>
      <c r="AU393" s="196"/>
      <c r="AV393" s="196"/>
      <c r="AW393" s="197"/>
      <c r="AX393" s="197"/>
      <c r="AY393" s="197"/>
      <c r="AZ393" s="197"/>
    </row>
    <row r="394" spans="1:52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7"/>
      <c r="N394" s="197"/>
      <c r="O394" s="198"/>
      <c r="P394" s="198"/>
      <c r="Q394" s="198"/>
      <c r="R394" s="196"/>
      <c r="S394" s="196"/>
      <c r="T394" s="196"/>
      <c r="U394" s="196"/>
      <c r="V394" s="196"/>
      <c r="W394" s="196"/>
      <c r="X394" s="197"/>
      <c r="Y394" s="197"/>
      <c r="Z394" s="197"/>
      <c r="AA394" s="196"/>
      <c r="AB394" s="196"/>
      <c r="AC394" s="196"/>
      <c r="AD394" s="196"/>
      <c r="AE394" s="196"/>
      <c r="AF394" s="196"/>
      <c r="AG394" s="196"/>
      <c r="AH394" s="196"/>
      <c r="AI394" s="196"/>
      <c r="AJ394" s="196"/>
      <c r="AK394" s="196"/>
      <c r="AL394" s="196"/>
      <c r="AM394" s="196"/>
      <c r="AN394" s="196"/>
      <c r="AO394" s="196"/>
      <c r="AP394" s="196"/>
      <c r="AQ394" s="197"/>
      <c r="AR394" s="196"/>
      <c r="AS394" s="196"/>
      <c r="AT394" s="196"/>
      <c r="AU394" s="196"/>
      <c r="AV394" s="196"/>
      <c r="AW394" s="197"/>
      <c r="AX394" s="197"/>
      <c r="AY394" s="197"/>
      <c r="AZ394" s="197"/>
    </row>
    <row r="395" spans="1:52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7"/>
      <c r="N395" s="197"/>
      <c r="O395" s="198"/>
      <c r="P395" s="198"/>
      <c r="Q395" s="198"/>
      <c r="R395" s="196"/>
      <c r="S395" s="196"/>
      <c r="T395" s="196"/>
      <c r="U395" s="196"/>
      <c r="V395" s="196"/>
      <c r="W395" s="196"/>
      <c r="X395" s="197"/>
      <c r="Y395" s="197"/>
      <c r="Z395" s="197"/>
      <c r="AA395" s="196"/>
      <c r="AB395" s="196"/>
      <c r="AC395" s="196"/>
      <c r="AD395" s="196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  <c r="AP395" s="196"/>
      <c r="AQ395" s="197"/>
      <c r="AR395" s="196"/>
      <c r="AS395" s="196"/>
      <c r="AT395" s="196"/>
      <c r="AU395" s="196"/>
      <c r="AV395" s="196"/>
      <c r="AW395" s="197"/>
      <c r="AX395" s="197"/>
      <c r="AY395" s="197"/>
      <c r="AZ395" s="197"/>
    </row>
    <row r="396" spans="1:52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7"/>
      <c r="N396" s="197"/>
      <c r="O396" s="198"/>
      <c r="P396" s="198"/>
      <c r="Q396" s="198"/>
      <c r="R396" s="196"/>
      <c r="S396" s="196"/>
      <c r="T396" s="196"/>
      <c r="U396" s="196"/>
      <c r="V396" s="196"/>
      <c r="W396" s="196"/>
      <c r="X396" s="197"/>
      <c r="Y396" s="197"/>
      <c r="Z396" s="197"/>
      <c r="AA396" s="196"/>
      <c r="AB396" s="196"/>
      <c r="AC396" s="196"/>
      <c r="AD396" s="196"/>
      <c r="AE396" s="196"/>
      <c r="AF396" s="196"/>
      <c r="AG396" s="196"/>
      <c r="AH396" s="196"/>
      <c r="AI396" s="196"/>
      <c r="AJ396" s="196"/>
      <c r="AK396" s="196"/>
      <c r="AL396" s="196"/>
      <c r="AM396" s="196"/>
      <c r="AN396" s="196"/>
      <c r="AO396" s="196"/>
      <c r="AP396" s="196"/>
      <c r="AQ396" s="197"/>
      <c r="AR396" s="196"/>
      <c r="AS396" s="196"/>
      <c r="AT396" s="196"/>
      <c r="AU396" s="196"/>
      <c r="AV396" s="196"/>
      <c r="AW396" s="197"/>
      <c r="AX396" s="197"/>
      <c r="AY396" s="197"/>
      <c r="AZ396" s="197"/>
    </row>
    <row r="397" spans="1:52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7"/>
      <c r="N397" s="197"/>
      <c r="O397" s="198"/>
      <c r="P397" s="198"/>
      <c r="Q397" s="198"/>
      <c r="R397" s="196"/>
      <c r="S397" s="196"/>
      <c r="T397" s="196"/>
      <c r="U397" s="196"/>
      <c r="V397" s="196"/>
      <c r="W397" s="196"/>
      <c r="X397" s="197"/>
      <c r="Y397" s="197"/>
      <c r="Z397" s="197"/>
      <c r="AA397" s="196"/>
      <c r="AB397" s="196"/>
      <c r="AC397" s="196"/>
      <c r="AD397" s="196"/>
      <c r="AE397" s="196"/>
      <c r="AF397" s="196"/>
      <c r="AG397" s="196"/>
      <c r="AH397" s="196"/>
      <c r="AI397" s="196"/>
      <c r="AJ397" s="196"/>
      <c r="AK397" s="196"/>
      <c r="AL397" s="196"/>
      <c r="AM397" s="196"/>
      <c r="AN397" s="196"/>
      <c r="AO397" s="196"/>
      <c r="AP397" s="196"/>
      <c r="AQ397" s="197"/>
      <c r="AR397" s="196"/>
      <c r="AS397" s="196"/>
      <c r="AT397" s="196"/>
      <c r="AU397" s="196"/>
      <c r="AV397" s="196"/>
      <c r="AW397" s="197"/>
      <c r="AX397" s="197"/>
      <c r="AY397" s="197"/>
      <c r="AZ397" s="197"/>
    </row>
    <row r="398" spans="1:52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7"/>
      <c r="N398" s="197"/>
      <c r="O398" s="198"/>
      <c r="P398" s="198"/>
      <c r="Q398" s="198"/>
      <c r="R398" s="196"/>
      <c r="S398" s="196"/>
      <c r="T398" s="196"/>
      <c r="U398" s="196"/>
      <c r="V398" s="196"/>
      <c r="W398" s="196"/>
      <c r="X398" s="197"/>
      <c r="Y398" s="197"/>
      <c r="Z398" s="197"/>
      <c r="AA398" s="196"/>
      <c r="AB398" s="196"/>
      <c r="AC398" s="196"/>
      <c r="AD398" s="196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  <c r="AP398" s="196"/>
      <c r="AQ398" s="197"/>
      <c r="AR398" s="196"/>
      <c r="AS398" s="196"/>
      <c r="AT398" s="196"/>
      <c r="AU398" s="196"/>
      <c r="AV398" s="196"/>
      <c r="AW398" s="197"/>
      <c r="AX398" s="197"/>
      <c r="AY398" s="197"/>
      <c r="AZ398" s="197"/>
    </row>
    <row r="399" spans="1:52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7"/>
      <c r="N399" s="197"/>
      <c r="O399" s="198"/>
      <c r="P399" s="198"/>
      <c r="Q399" s="198"/>
      <c r="R399" s="196"/>
      <c r="S399" s="196"/>
      <c r="T399" s="196"/>
      <c r="U399" s="196"/>
      <c r="V399" s="196"/>
      <c r="W399" s="196"/>
      <c r="X399" s="197"/>
      <c r="Y399" s="197"/>
      <c r="Z399" s="197"/>
      <c r="AA399" s="196"/>
      <c r="AB399" s="196"/>
      <c r="AC399" s="196"/>
      <c r="AD399" s="196"/>
      <c r="AE399" s="196"/>
      <c r="AF399" s="196"/>
      <c r="AG399" s="196"/>
      <c r="AH399" s="196"/>
      <c r="AI399" s="196"/>
      <c r="AJ399" s="196"/>
      <c r="AK399" s="196"/>
      <c r="AL399" s="196"/>
      <c r="AM399" s="196"/>
      <c r="AN399" s="196"/>
      <c r="AO399" s="196"/>
      <c r="AP399" s="196"/>
      <c r="AQ399" s="197"/>
      <c r="AR399" s="196"/>
      <c r="AS399" s="196"/>
      <c r="AT399" s="196"/>
      <c r="AU399" s="196"/>
      <c r="AV399" s="196"/>
      <c r="AW399" s="197"/>
      <c r="AX399" s="197"/>
      <c r="AY399" s="197"/>
      <c r="AZ399" s="197"/>
    </row>
    <row r="400" spans="1:52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7"/>
      <c r="N400" s="197"/>
      <c r="O400" s="198"/>
      <c r="P400" s="198"/>
      <c r="Q400" s="198"/>
      <c r="R400" s="196"/>
      <c r="S400" s="196"/>
      <c r="T400" s="196"/>
      <c r="U400" s="196"/>
      <c r="V400" s="196"/>
      <c r="W400" s="196"/>
      <c r="X400" s="197"/>
      <c r="Y400" s="197"/>
      <c r="Z400" s="197"/>
      <c r="AA400" s="196"/>
      <c r="AB400" s="196"/>
      <c r="AC400" s="196"/>
      <c r="AD400" s="196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  <c r="AQ400" s="197"/>
      <c r="AR400" s="196"/>
      <c r="AS400" s="196"/>
      <c r="AT400" s="196"/>
      <c r="AU400" s="196"/>
      <c r="AV400" s="196"/>
      <c r="AW400" s="197"/>
      <c r="AX400" s="197"/>
      <c r="AY400" s="197"/>
      <c r="AZ400" s="197"/>
    </row>
    <row r="401" spans="1:52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7"/>
      <c r="N401" s="197"/>
      <c r="O401" s="198"/>
      <c r="P401" s="198"/>
      <c r="Q401" s="198"/>
      <c r="R401" s="196"/>
      <c r="S401" s="196"/>
      <c r="T401" s="196"/>
      <c r="U401" s="196"/>
      <c r="V401" s="196"/>
      <c r="W401" s="196"/>
      <c r="X401" s="197"/>
      <c r="Y401" s="197"/>
      <c r="Z401" s="197"/>
      <c r="AA401" s="196"/>
      <c r="AB401" s="196"/>
      <c r="AC401" s="196"/>
      <c r="AD401" s="196"/>
      <c r="AE401" s="196"/>
      <c r="AF401" s="196"/>
      <c r="AG401" s="196"/>
      <c r="AH401" s="196"/>
      <c r="AI401" s="196"/>
      <c r="AJ401" s="196"/>
      <c r="AK401" s="196"/>
      <c r="AL401" s="196"/>
      <c r="AM401" s="196"/>
      <c r="AN401" s="196"/>
      <c r="AO401" s="196"/>
      <c r="AP401" s="196"/>
      <c r="AQ401" s="197"/>
      <c r="AR401" s="196"/>
      <c r="AS401" s="196"/>
      <c r="AT401" s="196"/>
      <c r="AU401" s="196"/>
      <c r="AV401" s="196"/>
      <c r="AW401" s="197"/>
      <c r="AX401" s="197"/>
      <c r="AY401" s="197"/>
      <c r="AZ401" s="197"/>
    </row>
    <row r="402" spans="1:52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7"/>
      <c r="N402" s="197"/>
      <c r="O402" s="198"/>
      <c r="P402" s="198"/>
      <c r="Q402" s="198"/>
      <c r="R402" s="196"/>
      <c r="S402" s="196"/>
      <c r="T402" s="196"/>
      <c r="U402" s="196"/>
      <c r="V402" s="196"/>
      <c r="W402" s="196"/>
      <c r="X402" s="197"/>
      <c r="Y402" s="197"/>
      <c r="Z402" s="197"/>
      <c r="AA402" s="196"/>
      <c r="AB402" s="196"/>
      <c r="AC402" s="196"/>
      <c r="AD402" s="196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7"/>
      <c r="AR402" s="196"/>
      <c r="AS402" s="196"/>
      <c r="AT402" s="196"/>
      <c r="AU402" s="196"/>
      <c r="AV402" s="196"/>
      <c r="AW402" s="197"/>
      <c r="AX402" s="197"/>
      <c r="AY402" s="197"/>
      <c r="AZ402" s="197"/>
    </row>
    <row r="403" spans="1:52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7"/>
      <c r="N403" s="197"/>
      <c r="O403" s="198"/>
      <c r="P403" s="198"/>
      <c r="Q403" s="198"/>
      <c r="R403" s="196"/>
      <c r="S403" s="196"/>
      <c r="T403" s="196"/>
      <c r="U403" s="196"/>
      <c r="V403" s="196"/>
      <c r="W403" s="196"/>
      <c r="X403" s="197"/>
      <c r="Y403" s="197"/>
      <c r="Z403" s="197"/>
      <c r="AA403" s="196"/>
      <c r="AB403" s="196"/>
      <c r="AC403" s="196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  <c r="AN403" s="196"/>
      <c r="AO403" s="196"/>
      <c r="AP403" s="196"/>
      <c r="AQ403" s="197"/>
      <c r="AR403" s="196"/>
      <c r="AS403" s="196"/>
      <c r="AT403" s="196"/>
      <c r="AU403" s="196"/>
      <c r="AV403" s="196"/>
      <c r="AW403" s="197"/>
      <c r="AX403" s="197"/>
      <c r="AY403" s="197"/>
      <c r="AZ403" s="197"/>
    </row>
    <row r="404" spans="1:52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7"/>
      <c r="N404" s="197"/>
      <c r="O404" s="198"/>
      <c r="P404" s="198"/>
      <c r="Q404" s="198"/>
      <c r="R404" s="196"/>
      <c r="S404" s="196"/>
      <c r="T404" s="196"/>
      <c r="U404" s="196"/>
      <c r="V404" s="196"/>
      <c r="W404" s="196"/>
      <c r="X404" s="197"/>
      <c r="Y404" s="197"/>
      <c r="Z404" s="197"/>
      <c r="AA404" s="196"/>
      <c r="AB404" s="196"/>
      <c r="AC404" s="196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  <c r="AP404" s="196"/>
      <c r="AQ404" s="197"/>
      <c r="AR404" s="196"/>
      <c r="AS404" s="196"/>
      <c r="AT404" s="196"/>
      <c r="AU404" s="196"/>
      <c r="AV404" s="196"/>
      <c r="AW404" s="197"/>
      <c r="AX404" s="197"/>
      <c r="AY404" s="197"/>
      <c r="AZ404" s="197"/>
    </row>
    <row r="405" spans="1:52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7"/>
      <c r="N405" s="197"/>
      <c r="O405" s="198"/>
      <c r="P405" s="198"/>
      <c r="Q405" s="198"/>
      <c r="R405" s="196"/>
      <c r="S405" s="196"/>
      <c r="T405" s="196"/>
      <c r="U405" s="196"/>
      <c r="V405" s="196"/>
      <c r="W405" s="196"/>
      <c r="X405" s="197"/>
      <c r="Y405" s="197"/>
      <c r="Z405" s="197"/>
      <c r="AA405" s="196"/>
      <c r="AB405" s="196"/>
      <c r="AC405" s="196"/>
      <c r="AD405" s="196"/>
      <c r="AE405" s="196"/>
      <c r="AF405" s="196"/>
      <c r="AG405" s="196"/>
      <c r="AH405" s="196"/>
      <c r="AI405" s="196"/>
      <c r="AJ405" s="196"/>
      <c r="AK405" s="196"/>
      <c r="AL405" s="196"/>
      <c r="AM405" s="196"/>
      <c r="AN405" s="196"/>
      <c r="AO405" s="196"/>
      <c r="AP405" s="196"/>
      <c r="AQ405" s="197"/>
      <c r="AR405" s="196"/>
      <c r="AS405" s="196"/>
      <c r="AT405" s="196"/>
      <c r="AU405" s="196"/>
      <c r="AV405" s="196"/>
      <c r="AW405" s="197"/>
      <c r="AX405" s="197"/>
      <c r="AY405" s="197"/>
      <c r="AZ405" s="197"/>
    </row>
    <row r="406" spans="1:52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7"/>
      <c r="N406" s="197"/>
      <c r="O406" s="198"/>
      <c r="P406" s="198"/>
      <c r="Q406" s="198"/>
      <c r="R406" s="196"/>
      <c r="S406" s="196"/>
      <c r="T406" s="196"/>
      <c r="U406" s="196"/>
      <c r="V406" s="196"/>
      <c r="W406" s="196"/>
      <c r="X406" s="197"/>
      <c r="Y406" s="197"/>
      <c r="Z406" s="197"/>
      <c r="AA406" s="196"/>
      <c r="AB406" s="196"/>
      <c r="AC406" s="196"/>
      <c r="AD406" s="196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  <c r="AQ406" s="197"/>
      <c r="AR406" s="196"/>
      <c r="AS406" s="196"/>
      <c r="AT406" s="196"/>
      <c r="AU406" s="196"/>
      <c r="AV406" s="196"/>
      <c r="AW406" s="197"/>
      <c r="AX406" s="197"/>
      <c r="AY406" s="197"/>
      <c r="AZ406" s="197"/>
    </row>
    <row r="407" spans="1:52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7"/>
      <c r="N407" s="197"/>
      <c r="O407" s="198"/>
      <c r="P407" s="198"/>
      <c r="Q407" s="198"/>
      <c r="R407" s="196"/>
      <c r="S407" s="196"/>
      <c r="T407" s="196"/>
      <c r="U407" s="196"/>
      <c r="V407" s="196"/>
      <c r="W407" s="196"/>
      <c r="X407" s="197"/>
      <c r="Y407" s="197"/>
      <c r="Z407" s="197"/>
      <c r="AA407" s="196"/>
      <c r="AB407" s="196"/>
      <c r="AC407" s="196"/>
      <c r="AD407" s="196"/>
      <c r="AE407" s="196"/>
      <c r="AF407" s="196"/>
      <c r="AG407" s="196"/>
      <c r="AH407" s="196"/>
      <c r="AI407" s="196"/>
      <c r="AJ407" s="196"/>
      <c r="AK407" s="196"/>
      <c r="AL407" s="196"/>
      <c r="AM407" s="196"/>
      <c r="AN407" s="196"/>
      <c r="AO407" s="196"/>
      <c r="AP407" s="196"/>
      <c r="AQ407" s="197"/>
      <c r="AR407" s="196"/>
      <c r="AS407" s="196"/>
      <c r="AT407" s="196"/>
      <c r="AU407" s="196"/>
      <c r="AV407" s="196"/>
      <c r="AW407" s="197"/>
      <c r="AX407" s="197"/>
      <c r="AY407" s="197"/>
      <c r="AZ407" s="197"/>
    </row>
    <row r="408" spans="1:52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7"/>
      <c r="N408" s="197"/>
      <c r="O408" s="198"/>
      <c r="P408" s="198"/>
      <c r="Q408" s="198"/>
      <c r="R408" s="196"/>
      <c r="S408" s="196"/>
      <c r="T408" s="196"/>
      <c r="U408" s="196"/>
      <c r="V408" s="196"/>
      <c r="W408" s="196"/>
      <c r="X408" s="197"/>
      <c r="Y408" s="197"/>
      <c r="Z408" s="197"/>
      <c r="AA408" s="196"/>
      <c r="AB408" s="196"/>
      <c r="AC408" s="196"/>
      <c r="AD408" s="196"/>
      <c r="AE408" s="196"/>
      <c r="AF408" s="196"/>
      <c r="AG408" s="196"/>
      <c r="AH408" s="196"/>
      <c r="AI408" s="196"/>
      <c r="AJ408" s="196"/>
      <c r="AK408" s="196"/>
      <c r="AL408" s="196"/>
      <c r="AM408" s="196"/>
      <c r="AN408" s="196"/>
      <c r="AO408" s="196"/>
      <c r="AP408" s="196"/>
      <c r="AQ408" s="197"/>
      <c r="AR408" s="196"/>
      <c r="AS408" s="196"/>
      <c r="AT408" s="196"/>
      <c r="AU408" s="196"/>
      <c r="AV408" s="196"/>
      <c r="AW408" s="197"/>
      <c r="AX408" s="197"/>
      <c r="AY408" s="197"/>
      <c r="AZ408" s="197"/>
    </row>
    <row r="409" spans="1:52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7"/>
      <c r="N409" s="197"/>
      <c r="O409" s="198"/>
      <c r="P409" s="198"/>
      <c r="Q409" s="198"/>
      <c r="R409" s="196"/>
      <c r="S409" s="196"/>
      <c r="T409" s="196"/>
      <c r="U409" s="196"/>
      <c r="V409" s="196"/>
      <c r="W409" s="196"/>
      <c r="X409" s="197"/>
      <c r="Y409" s="197"/>
      <c r="Z409" s="197"/>
      <c r="AA409" s="196"/>
      <c r="AB409" s="196"/>
      <c r="AC409" s="196"/>
      <c r="AD409" s="196"/>
      <c r="AE409" s="196"/>
      <c r="AF409" s="196"/>
      <c r="AG409" s="196"/>
      <c r="AH409" s="196"/>
      <c r="AI409" s="196"/>
      <c r="AJ409" s="196"/>
      <c r="AK409" s="196"/>
      <c r="AL409" s="196"/>
      <c r="AM409" s="196"/>
      <c r="AN409" s="196"/>
      <c r="AO409" s="196"/>
      <c r="AP409" s="196"/>
      <c r="AQ409" s="197"/>
      <c r="AR409" s="196"/>
      <c r="AS409" s="196"/>
      <c r="AT409" s="196"/>
      <c r="AU409" s="196"/>
      <c r="AV409" s="196"/>
      <c r="AW409" s="197"/>
      <c r="AX409" s="197"/>
      <c r="AY409" s="197"/>
      <c r="AZ409" s="197"/>
    </row>
    <row r="410" spans="1:52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7"/>
      <c r="N410" s="197"/>
      <c r="O410" s="198"/>
      <c r="P410" s="198"/>
      <c r="Q410" s="198"/>
      <c r="R410" s="196"/>
      <c r="S410" s="196"/>
      <c r="T410" s="196"/>
      <c r="U410" s="196"/>
      <c r="V410" s="196"/>
      <c r="W410" s="196"/>
      <c r="X410" s="197"/>
      <c r="Y410" s="197"/>
      <c r="Z410" s="197"/>
      <c r="AA410" s="196"/>
      <c r="AB410" s="196"/>
      <c r="AC410" s="196"/>
      <c r="AD410" s="196"/>
      <c r="AE410" s="196"/>
      <c r="AF410" s="196"/>
      <c r="AG410" s="196"/>
      <c r="AH410" s="196"/>
      <c r="AI410" s="196"/>
      <c r="AJ410" s="196"/>
      <c r="AK410" s="196"/>
      <c r="AL410" s="196"/>
      <c r="AM410" s="196"/>
      <c r="AN410" s="196"/>
      <c r="AO410" s="196"/>
      <c r="AP410" s="196"/>
      <c r="AQ410" s="197"/>
      <c r="AR410" s="196"/>
      <c r="AS410" s="196"/>
      <c r="AT410" s="196"/>
      <c r="AU410" s="196"/>
      <c r="AV410" s="196"/>
      <c r="AW410" s="197"/>
      <c r="AX410" s="197"/>
      <c r="AY410" s="197"/>
      <c r="AZ410" s="197"/>
    </row>
    <row r="411" spans="1:52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7"/>
      <c r="N411" s="197"/>
      <c r="O411" s="198"/>
      <c r="P411" s="198"/>
      <c r="Q411" s="198"/>
      <c r="R411" s="196"/>
      <c r="S411" s="196"/>
      <c r="T411" s="196"/>
      <c r="U411" s="196"/>
      <c r="V411" s="196"/>
      <c r="W411" s="196"/>
      <c r="X411" s="197"/>
      <c r="Y411" s="197"/>
      <c r="Z411" s="197"/>
      <c r="AA411" s="196"/>
      <c r="AB411" s="196"/>
      <c r="AC411" s="196"/>
      <c r="AD411" s="196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  <c r="AP411" s="196"/>
      <c r="AQ411" s="197"/>
      <c r="AR411" s="196"/>
      <c r="AS411" s="196"/>
      <c r="AT411" s="196"/>
      <c r="AU411" s="196"/>
      <c r="AV411" s="196"/>
      <c r="AW411" s="197"/>
      <c r="AX411" s="197"/>
      <c r="AY411" s="197"/>
      <c r="AZ411" s="197"/>
    </row>
    <row r="412" spans="1:52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7"/>
      <c r="N412" s="197"/>
      <c r="O412" s="198"/>
      <c r="P412" s="198"/>
      <c r="Q412" s="198"/>
      <c r="R412" s="196"/>
      <c r="S412" s="196"/>
      <c r="T412" s="196"/>
      <c r="U412" s="196"/>
      <c r="V412" s="196"/>
      <c r="W412" s="196"/>
      <c r="X412" s="197"/>
      <c r="Y412" s="197"/>
      <c r="Z412" s="197"/>
      <c r="AA412" s="196"/>
      <c r="AB412" s="196"/>
      <c r="AC412" s="196"/>
      <c r="AD412" s="196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  <c r="AP412" s="196"/>
      <c r="AQ412" s="197"/>
      <c r="AR412" s="196"/>
      <c r="AS412" s="196"/>
      <c r="AT412" s="196"/>
      <c r="AU412" s="196"/>
      <c r="AV412" s="196"/>
      <c r="AW412" s="197"/>
      <c r="AX412" s="197"/>
      <c r="AY412" s="197"/>
      <c r="AZ412" s="197"/>
    </row>
    <row r="413" spans="1:52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7"/>
      <c r="N413" s="197"/>
      <c r="O413" s="198"/>
      <c r="P413" s="198"/>
      <c r="Q413" s="198"/>
      <c r="R413" s="196"/>
      <c r="S413" s="196"/>
      <c r="T413" s="196"/>
      <c r="U413" s="196"/>
      <c r="V413" s="196"/>
      <c r="W413" s="196"/>
      <c r="X413" s="197"/>
      <c r="Y413" s="197"/>
      <c r="Z413" s="197"/>
      <c r="AA413" s="196"/>
      <c r="AB413" s="196"/>
      <c r="AC413" s="196"/>
      <c r="AD413" s="196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  <c r="AQ413" s="197"/>
      <c r="AR413" s="196"/>
      <c r="AS413" s="196"/>
      <c r="AT413" s="196"/>
      <c r="AU413" s="196"/>
      <c r="AV413" s="196"/>
      <c r="AW413" s="197"/>
      <c r="AX413" s="197"/>
      <c r="AY413" s="197"/>
      <c r="AZ413" s="197"/>
    </row>
    <row r="414" spans="1:52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7"/>
      <c r="N414" s="197"/>
      <c r="O414" s="198"/>
      <c r="P414" s="198"/>
      <c r="Q414" s="198"/>
      <c r="R414" s="196"/>
      <c r="S414" s="196"/>
      <c r="T414" s="196"/>
      <c r="U414" s="196"/>
      <c r="V414" s="196"/>
      <c r="W414" s="196"/>
      <c r="X414" s="197"/>
      <c r="Y414" s="197"/>
      <c r="Z414" s="197"/>
      <c r="AA414" s="196"/>
      <c r="AB414" s="196"/>
      <c r="AC414" s="196"/>
      <c r="AD414" s="196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  <c r="AQ414" s="197"/>
      <c r="AR414" s="196"/>
      <c r="AS414" s="196"/>
      <c r="AT414" s="196"/>
      <c r="AU414" s="196"/>
      <c r="AV414" s="196"/>
      <c r="AW414" s="197"/>
      <c r="AX414" s="197"/>
      <c r="AY414" s="197"/>
      <c r="AZ414" s="197"/>
    </row>
    <row r="415" spans="1:52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7"/>
      <c r="N415" s="197"/>
      <c r="O415" s="198"/>
      <c r="P415" s="198"/>
      <c r="Q415" s="198"/>
      <c r="R415" s="196"/>
      <c r="S415" s="196"/>
      <c r="T415" s="196"/>
      <c r="U415" s="196"/>
      <c r="V415" s="196"/>
      <c r="W415" s="196"/>
      <c r="X415" s="197"/>
      <c r="Y415" s="197"/>
      <c r="Z415" s="197"/>
      <c r="AA415" s="196"/>
      <c r="AB415" s="196"/>
      <c r="AC415" s="196"/>
      <c r="AD415" s="196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  <c r="AP415" s="196"/>
      <c r="AQ415" s="197"/>
      <c r="AR415" s="196"/>
      <c r="AS415" s="196"/>
      <c r="AT415" s="196"/>
      <c r="AU415" s="196"/>
      <c r="AV415" s="196"/>
      <c r="AW415" s="197"/>
      <c r="AX415" s="197"/>
      <c r="AY415" s="197"/>
      <c r="AZ415" s="197"/>
    </row>
    <row r="416" spans="1:52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7"/>
      <c r="N416" s="197"/>
      <c r="O416" s="198"/>
      <c r="P416" s="198"/>
      <c r="Q416" s="198"/>
      <c r="R416" s="196"/>
      <c r="S416" s="196"/>
      <c r="T416" s="196"/>
      <c r="U416" s="196"/>
      <c r="V416" s="196"/>
      <c r="W416" s="196"/>
      <c r="X416" s="197"/>
      <c r="Y416" s="197"/>
      <c r="Z416" s="197"/>
      <c r="AA416" s="196"/>
      <c r="AB416" s="196"/>
      <c r="AC416" s="196"/>
      <c r="AD416" s="196"/>
      <c r="AE416" s="196"/>
      <c r="AF416" s="196"/>
      <c r="AG416" s="196"/>
      <c r="AH416" s="196"/>
      <c r="AI416" s="196"/>
      <c r="AJ416" s="196"/>
      <c r="AK416" s="196"/>
      <c r="AL416" s="196"/>
      <c r="AM416" s="196"/>
      <c r="AN416" s="196"/>
      <c r="AO416" s="196"/>
      <c r="AP416" s="196"/>
      <c r="AQ416" s="197"/>
      <c r="AR416" s="196"/>
      <c r="AS416" s="196"/>
      <c r="AT416" s="196"/>
      <c r="AU416" s="196"/>
      <c r="AV416" s="196"/>
      <c r="AW416" s="197"/>
      <c r="AX416" s="197"/>
      <c r="AY416" s="197"/>
      <c r="AZ416" s="197"/>
    </row>
    <row r="417" spans="1:52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7"/>
      <c r="N417" s="197"/>
      <c r="O417" s="198"/>
      <c r="P417" s="198"/>
      <c r="Q417" s="198"/>
      <c r="R417" s="196"/>
      <c r="S417" s="196"/>
      <c r="T417" s="196"/>
      <c r="U417" s="196"/>
      <c r="V417" s="196"/>
      <c r="W417" s="196"/>
      <c r="X417" s="197"/>
      <c r="Y417" s="197"/>
      <c r="Z417" s="197"/>
      <c r="AA417" s="196"/>
      <c r="AB417" s="196"/>
      <c r="AC417" s="196"/>
      <c r="AD417" s="196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  <c r="AP417" s="196"/>
      <c r="AQ417" s="197"/>
      <c r="AR417" s="196"/>
      <c r="AS417" s="196"/>
      <c r="AT417" s="196"/>
      <c r="AU417" s="196"/>
      <c r="AV417" s="196"/>
      <c r="AW417" s="197"/>
      <c r="AX417" s="197"/>
      <c r="AY417" s="197"/>
      <c r="AZ417" s="197"/>
    </row>
    <row r="418" spans="1:52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7"/>
      <c r="N418" s="197"/>
      <c r="O418" s="198"/>
      <c r="P418" s="198"/>
      <c r="Q418" s="198"/>
      <c r="R418" s="196"/>
      <c r="S418" s="196"/>
      <c r="T418" s="196"/>
      <c r="U418" s="196"/>
      <c r="V418" s="196"/>
      <c r="W418" s="196"/>
      <c r="X418" s="197"/>
      <c r="Y418" s="197"/>
      <c r="Z418" s="197"/>
      <c r="AA418" s="196"/>
      <c r="AB418" s="196"/>
      <c r="AC418" s="196"/>
      <c r="AD418" s="196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  <c r="AP418" s="196"/>
      <c r="AQ418" s="197"/>
      <c r="AR418" s="196"/>
      <c r="AS418" s="196"/>
      <c r="AT418" s="196"/>
      <c r="AU418" s="196"/>
      <c r="AV418" s="196"/>
      <c r="AW418" s="197"/>
      <c r="AX418" s="197"/>
      <c r="AY418" s="197"/>
      <c r="AZ418" s="197"/>
    </row>
    <row r="419" spans="1:52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7"/>
      <c r="N419" s="197"/>
      <c r="O419" s="198"/>
      <c r="P419" s="198"/>
      <c r="Q419" s="198"/>
      <c r="R419" s="196"/>
      <c r="S419" s="196"/>
      <c r="T419" s="196"/>
      <c r="U419" s="196"/>
      <c r="V419" s="196"/>
      <c r="W419" s="196"/>
      <c r="X419" s="197"/>
      <c r="Y419" s="197"/>
      <c r="Z419" s="197"/>
      <c r="AA419" s="196"/>
      <c r="AB419" s="196"/>
      <c r="AC419" s="196"/>
      <c r="AD419" s="196"/>
      <c r="AE419" s="196"/>
      <c r="AF419" s="196"/>
      <c r="AG419" s="196"/>
      <c r="AH419" s="196"/>
      <c r="AI419" s="196"/>
      <c r="AJ419" s="196"/>
      <c r="AK419" s="196"/>
      <c r="AL419" s="196"/>
      <c r="AM419" s="196"/>
      <c r="AN419" s="196"/>
      <c r="AO419" s="196"/>
      <c r="AP419" s="196"/>
      <c r="AQ419" s="197"/>
      <c r="AR419" s="196"/>
      <c r="AS419" s="196"/>
      <c r="AT419" s="196"/>
      <c r="AU419" s="196"/>
      <c r="AV419" s="196"/>
      <c r="AW419" s="197"/>
      <c r="AX419" s="197"/>
      <c r="AY419" s="197"/>
      <c r="AZ419" s="197"/>
    </row>
    <row r="420" spans="1:52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7"/>
      <c r="N420" s="197"/>
      <c r="O420" s="198"/>
      <c r="P420" s="198"/>
      <c r="Q420" s="198"/>
      <c r="R420" s="196"/>
      <c r="S420" s="196"/>
      <c r="T420" s="196"/>
      <c r="U420" s="196"/>
      <c r="V420" s="196"/>
      <c r="W420" s="196"/>
      <c r="X420" s="197"/>
      <c r="Y420" s="197"/>
      <c r="Z420" s="197"/>
      <c r="AA420" s="196"/>
      <c r="AB420" s="196"/>
      <c r="AC420" s="196"/>
      <c r="AD420" s="196"/>
      <c r="AE420" s="196"/>
      <c r="AF420" s="196"/>
      <c r="AG420" s="196"/>
      <c r="AH420" s="196"/>
      <c r="AI420" s="196"/>
      <c r="AJ420" s="196"/>
      <c r="AK420" s="196"/>
      <c r="AL420" s="196"/>
      <c r="AM420" s="196"/>
      <c r="AN420" s="196"/>
      <c r="AO420" s="196"/>
      <c r="AP420" s="196"/>
      <c r="AQ420" s="197"/>
      <c r="AR420" s="196"/>
      <c r="AS420" s="196"/>
      <c r="AT420" s="196"/>
      <c r="AU420" s="196"/>
      <c r="AV420" s="196"/>
      <c r="AW420" s="197"/>
      <c r="AX420" s="197"/>
      <c r="AY420" s="197"/>
      <c r="AZ420" s="197"/>
    </row>
    <row r="421" spans="1:52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7"/>
      <c r="N421" s="197"/>
      <c r="O421" s="198"/>
      <c r="P421" s="198"/>
      <c r="Q421" s="198"/>
      <c r="R421" s="196"/>
      <c r="S421" s="196"/>
      <c r="T421" s="196"/>
      <c r="U421" s="196"/>
      <c r="V421" s="196"/>
      <c r="W421" s="196"/>
      <c r="X421" s="197"/>
      <c r="Y421" s="197"/>
      <c r="Z421" s="197"/>
      <c r="AA421" s="196"/>
      <c r="AB421" s="196"/>
      <c r="AC421" s="196"/>
      <c r="AD421" s="196"/>
      <c r="AE421" s="196"/>
      <c r="AF421" s="196"/>
      <c r="AG421" s="196"/>
      <c r="AH421" s="196"/>
      <c r="AI421" s="196"/>
      <c r="AJ421" s="196"/>
      <c r="AK421" s="196"/>
      <c r="AL421" s="196"/>
      <c r="AM421" s="196"/>
      <c r="AN421" s="196"/>
      <c r="AO421" s="196"/>
      <c r="AP421" s="196"/>
      <c r="AQ421" s="197"/>
      <c r="AR421" s="196"/>
      <c r="AS421" s="196"/>
      <c r="AT421" s="196"/>
      <c r="AU421" s="196"/>
      <c r="AV421" s="196"/>
      <c r="AW421" s="197"/>
      <c r="AX421" s="197"/>
      <c r="AY421" s="197"/>
      <c r="AZ421" s="197"/>
    </row>
    <row r="422" spans="1:52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7"/>
      <c r="N422" s="197"/>
      <c r="O422" s="198"/>
      <c r="P422" s="198"/>
      <c r="Q422" s="198"/>
      <c r="R422" s="196"/>
      <c r="S422" s="196"/>
      <c r="T422" s="196"/>
      <c r="U422" s="196"/>
      <c r="V422" s="196"/>
      <c r="W422" s="196"/>
      <c r="X422" s="197"/>
      <c r="Y422" s="197"/>
      <c r="Z422" s="197"/>
      <c r="AA422" s="196"/>
      <c r="AB422" s="196"/>
      <c r="AC422" s="196"/>
      <c r="AD422" s="196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  <c r="AP422" s="196"/>
      <c r="AQ422" s="197"/>
      <c r="AR422" s="196"/>
      <c r="AS422" s="196"/>
      <c r="AT422" s="196"/>
      <c r="AU422" s="196"/>
      <c r="AV422" s="196"/>
      <c r="AW422" s="197"/>
      <c r="AX422" s="197"/>
      <c r="AY422" s="197"/>
      <c r="AZ422" s="197"/>
    </row>
    <row r="423" spans="1:52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7"/>
      <c r="N423" s="197"/>
      <c r="O423" s="198"/>
      <c r="P423" s="198"/>
      <c r="Q423" s="198"/>
      <c r="R423" s="196"/>
      <c r="S423" s="196"/>
      <c r="T423" s="196"/>
      <c r="U423" s="196"/>
      <c r="V423" s="196"/>
      <c r="W423" s="196"/>
      <c r="X423" s="197"/>
      <c r="Y423" s="197"/>
      <c r="Z423" s="197"/>
      <c r="AA423" s="196"/>
      <c r="AB423" s="196"/>
      <c r="AC423" s="196"/>
      <c r="AD423" s="196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  <c r="AP423" s="196"/>
      <c r="AQ423" s="197"/>
      <c r="AR423" s="196"/>
      <c r="AS423" s="196"/>
      <c r="AT423" s="196"/>
      <c r="AU423" s="196"/>
      <c r="AV423" s="196"/>
      <c r="AW423" s="197"/>
      <c r="AX423" s="197"/>
      <c r="AY423" s="197"/>
      <c r="AZ423" s="197"/>
    </row>
    <row r="424" spans="1:52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7"/>
      <c r="N424" s="197"/>
      <c r="O424" s="198"/>
      <c r="P424" s="198"/>
      <c r="Q424" s="198"/>
      <c r="R424" s="196"/>
      <c r="S424" s="196"/>
      <c r="T424" s="196"/>
      <c r="U424" s="196"/>
      <c r="V424" s="196"/>
      <c r="W424" s="196"/>
      <c r="X424" s="197"/>
      <c r="Y424" s="197"/>
      <c r="Z424" s="197"/>
      <c r="AA424" s="196"/>
      <c r="AB424" s="196"/>
      <c r="AC424" s="196"/>
      <c r="AD424" s="196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  <c r="AP424" s="196"/>
      <c r="AQ424" s="197"/>
      <c r="AR424" s="196"/>
      <c r="AS424" s="196"/>
      <c r="AT424" s="196"/>
      <c r="AU424" s="196"/>
      <c r="AV424" s="196"/>
      <c r="AW424" s="197"/>
      <c r="AX424" s="197"/>
      <c r="AY424" s="197"/>
      <c r="AZ424" s="197"/>
    </row>
    <row r="425" spans="1:52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7"/>
      <c r="N425" s="197"/>
      <c r="O425" s="198"/>
      <c r="P425" s="198"/>
      <c r="Q425" s="198"/>
      <c r="R425" s="196"/>
      <c r="S425" s="196"/>
      <c r="T425" s="196"/>
      <c r="U425" s="196"/>
      <c r="V425" s="196"/>
      <c r="W425" s="196"/>
      <c r="X425" s="197"/>
      <c r="Y425" s="197"/>
      <c r="Z425" s="197"/>
      <c r="AA425" s="196"/>
      <c r="AB425" s="196"/>
      <c r="AC425" s="196"/>
      <c r="AD425" s="196"/>
      <c r="AE425" s="196"/>
      <c r="AF425" s="196"/>
      <c r="AG425" s="196"/>
      <c r="AH425" s="196"/>
      <c r="AI425" s="196"/>
      <c r="AJ425" s="196"/>
      <c r="AK425" s="196"/>
      <c r="AL425" s="196"/>
      <c r="AM425" s="196"/>
      <c r="AN425" s="196"/>
      <c r="AO425" s="196"/>
      <c r="AP425" s="196"/>
      <c r="AQ425" s="197"/>
      <c r="AR425" s="196"/>
      <c r="AS425" s="196"/>
      <c r="AT425" s="196"/>
      <c r="AU425" s="196"/>
      <c r="AV425" s="196"/>
      <c r="AW425" s="197"/>
      <c r="AX425" s="197"/>
      <c r="AY425" s="197"/>
      <c r="AZ425" s="197"/>
    </row>
    <row r="426" spans="1:52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7"/>
      <c r="N426" s="197"/>
      <c r="O426" s="198"/>
      <c r="P426" s="198"/>
      <c r="Q426" s="198"/>
      <c r="R426" s="196"/>
      <c r="S426" s="196"/>
      <c r="T426" s="196"/>
      <c r="U426" s="196"/>
      <c r="V426" s="196"/>
      <c r="W426" s="196"/>
      <c r="X426" s="197"/>
      <c r="Y426" s="197"/>
      <c r="Z426" s="197"/>
      <c r="AA426" s="196"/>
      <c r="AB426" s="196"/>
      <c r="AC426" s="196"/>
      <c r="AD426" s="196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  <c r="AP426" s="196"/>
      <c r="AQ426" s="197"/>
      <c r="AR426" s="196"/>
      <c r="AS426" s="196"/>
      <c r="AT426" s="196"/>
      <c r="AU426" s="196"/>
      <c r="AV426" s="196"/>
      <c r="AW426" s="197"/>
      <c r="AX426" s="197"/>
      <c r="AY426" s="197"/>
      <c r="AZ426" s="197"/>
    </row>
    <row r="427" spans="1:52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7"/>
      <c r="N427" s="197"/>
      <c r="O427" s="198"/>
      <c r="P427" s="198"/>
      <c r="Q427" s="198"/>
      <c r="R427" s="196"/>
      <c r="S427" s="196"/>
      <c r="T427" s="196"/>
      <c r="U427" s="196"/>
      <c r="V427" s="196"/>
      <c r="W427" s="196"/>
      <c r="X427" s="197"/>
      <c r="Y427" s="197"/>
      <c r="Z427" s="197"/>
      <c r="AA427" s="196"/>
      <c r="AB427" s="196"/>
      <c r="AC427" s="196"/>
      <c r="AD427" s="196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  <c r="AP427" s="196"/>
      <c r="AQ427" s="197"/>
      <c r="AR427" s="196"/>
      <c r="AS427" s="196"/>
      <c r="AT427" s="196"/>
      <c r="AU427" s="196"/>
      <c r="AV427" s="196"/>
      <c r="AW427" s="197"/>
      <c r="AX427" s="197"/>
      <c r="AY427" s="197"/>
      <c r="AZ427" s="197"/>
    </row>
    <row r="428" spans="1:52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7"/>
      <c r="N428" s="197"/>
      <c r="O428" s="198"/>
      <c r="P428" s="198"/>
      <c r="Q428" s="198"/>
      <c r="R428" s="196"/>
      <c r="S428" s="196"/>
      <c r="T428" s="196"/>
      <c r="U428" s="196"/>
      <c r="V428" s="196"/>
      <c r="W428" s="196"/>
      <c r="X428" s="197"/>
      <c r="Y428" s="197"/>
      <c r="Z428" s="197"/>
      <c r="AA428" s="196"/>
      <c r="AB428" s="196"/>
      <c r="AC428" s="196"/>
      <c r="AD428" s="196"/>
      <c r="AE428" s="196"/>
      <c r="AF428" s="196"/>
      <c r="AG428" s="196"/>
      <c r="AH428" s="196"/>
      <c r="AI428" s="196"/>
      <c r="AJ428" s="196"/>
      <c r="AK428" s="196"/>
      <c r="AL428" s="196"/>
      <c r="AM428" s="196"/>
      <c r="AN428" s="196"/>
      <c r="AO428" s="196"/>
      <c r="AP428" s="196"/>
      <c r="AQ428" s="197"/>
      <c r="AR428" s="196"/>
      <c r="AS428" s="196"/>
      <c r="AT428" s="196"/>
      <c r="AU428" s="196"/>
      <c r="AV428" s="196"/>
      <c r="AW428" s="197"/>
      <c r="AX428" s="197"/>
      <c r="AY428" s="197"/>
      <c r="AZ428" s="197"/>
    </row>
    <row r="429" spans="1:52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7"/>
      <c r="N429" s="197"/>
      <c r="O429" s="198"/>
      <c r="P429" s="198"/>
      <c r="Q429" s="198"/>
      <c r="R429" s="196"/>
      <c r="S429" s="196"/>
      <c r="T429" s="196"/>
      <c r="U429" s="196"/>
      <c r="V429" s="196"/>
      <c r="W429" s="196"/>
      <c r="X429" s="197"/>
      <c r="Y429" s="197"/>
      <c r="Z429" s="197"/>
      <c r="AA429" s="196"/>
      <c r="AB429" s="196"/>
      <c r="AC429" s="196"/>
      <c r="AD429" s="196"/>
      <c r="AE429" s="196"/>
      <c r="AF429" s="196"/>
      <c r="AG429" s="196"/>
      <c r="AH429" s="196"/>
      <c r="AI429" s="196"/>
      <c r="AJ429" s="196"/>
      <c r="AK429" s="196"/>
      <c r="AL429" s="196"/>
      <c r="AM429" s="196"/>
      <c r="AN429" s="196"/>
      <c r="AO429" s="196"/>
      <c r="AP429" s="196"/>
      <c r="AQ429" s="197"/>
      <c r="AR429" s="196"/>
      <c r="AS429" s="196"/>
      <c r="AT429" s="196"/>
      <c r="AU429" s="196"/>
      <c r="AV429" s="196"/>
      <c r="AW429" s="197"/>
      <c r="AX429" s="197"/>
      <c r="AY429" s="197"/>
      <c r="AZ429" s="197"/>
    </row>
    <row r="430" spans="1:52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7"/>
      <c r="N430" s="197"/>
      <c r="O430" s="198"/>
      <c r="P430" s="198"/>
      <c r="Q430" s="198"/>
      <c r="R430" s="196"/>
      <c r="S430" s="196"/>
      <c r="T430" s="196"/>
      <c r="U430" s="196"/>
      <c r="V430" s="196"/>
      <c r="W430" s="196"/>
      <c r="X430" s="197"/>
      <c r="Y430" s="197"/>
      <c r="Z430" s="197"/>
      <c r="AA430" s="196"/>
      <c r="AB430" s="196"/>
      <c r="AC430" s="196"/>
      <c r="AD430" s="196"/>
      <c r="AE430" s="196"/>
      <c r="AF430" s="196"/>
      <c r="AG430" s="196"/>
      <c r="AH430" s="196"/>
      <c r="AI430" s="196"/>
      <c r="AJ430" s="196"/>
      <c r="AK430" s="196"/>
      <c r="AL430" s="196"/>
      <c r="AM430" s="196"/>
      <c r="AN430" s="196"/>
      <c r="AO430" s="196"/>
      <c r="AP430" s="196"/>
      <c r="AQ430" s="197"/>
      <c r="AR430" s="196"/>
      <c r="AS430" s="196"/>
      <c r="AT430" s="196"/>
      <c r="AU430" s="196"/>
      <c r="AV430" s="196"/>
      <c r="AW430" s="197"/>
      <c r="AX430" s="197"/>
      <c r="AY430" s="197"/>
      <c r="AZ430" s="197"/>
    </row>
    <row r="431" spans="1:52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7"/>
      <c r="N431" s="197"/>
      <c r="O431" s="198"/>
      <c r="P431" s="198"/>
      <c r="Q431" s="198"/>
      <c r="R431" s="196"/>
      <c r="S431" s="196"/>
      <c r="T431" s="196"/>
      <c r="U431" s="196"/>
      <c r="V431" s="196"/>
      <c r="W431" s="196"/>
      <c r="X431" s="197"/>
      <c r="Y431" s="197"/>
      <c r="Z431" s="197"/>
      <c r="AA431" s="196"/>
      <c r="AB431" s="196"/>
      <c r="AC431" s="196"/>
      <c r="AD431" s="196"/>
      <c r="AE431" s="196"/>
      <c r="AF431" s="196"/>
      <c r="AG431" s="196"/>
      <c r="AH431" s="196"/>
      <c r="AI431" s="196"/>
      <c r="AJ431" s="196"/>
      <c r="AK431" s="196"/>
      <c r="AL431" s="196"/>
      <c r="AM431" s="196"/>
      <c r="AN431" s="196"/>
      <c r="AO431" s="196"/>
      <c r="AP431" s="196"/>
      <c r="AQ431" s="197"/>
      <c r="AR431" s="196"/>
      <c r="AS431" s="196"/>
      <c r="AT431" s="196"/>
      <c r="AU431" s="196"/>
      <c r="AV431" s="196"/>
      <c r="AW431" s="197"/>
      <c r="AX431" s="197"/>
      <c r="AY431" s="197"/>
      <c r="AZ431" s="197"/>
    </row>
    <row r="432" spans="1:52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7"/>
      <c r="N432" s="197"/>
      <c r="O432" s="198"/>
      <c r="P432" s="198"/>
      <c r="Q432" s="198"/>
      <c r="R432" s="196"/>
      <c r="S432" s="196"/>
      <c r="T432" s="196"/>
      <c r="U432" s="196"/>
      <c r="V432" s="196"/>
      <c r="W432" s="196"/>
      <c r="X432" s="197"/>
      <c r="Y432" s="197"/>
      <c r="Z432" s="197"/>
      <c r="AA432" s="196"/>
      <c r="AB432" s="196"/>
      <c r="AC432" s="196"/>
      <c r="AD432" s="196"/>
      <c r="AE432" s="196"/>
      <c r="AF432" s="196"/>
      <c r="AG432" s="196"/>
      <c r="AH432" s="196"/>
      <c r="AI432" s="196"/>
      <c r="AJ432" s="196"/>
      <c r="AK432" s="196"/>
      <c r="AL432" s="196"/>
      <c r="AM432" s="196"/>
      <c r="AN432" s="196"/>
      <c r="AO432" s="196"/>
      <c r="AP432" s="196"/>
      <c r="AQ432" s="197"/>
      <c r="AR432" s="196"/>
      <c r="AS432" s="196"/>
      <c r="AT432" s="196"/>
      <c r="AU432" s="196"/>
      <c r="AV432" s="196"/>
      <c r="AW432" s="197"/>
      <c r="AX432" s="197"/>
      <c r="AY432" s="197"/>
      <c r="AZ432" s="197"/>
    </row>
    <row r="433" spans="1:52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7"/>
      <c r="N433" s="197"/>
      <c r="O433" s="198"/>
      <c r="P433" s="198"/>
      <c r="Q433" s="198"/>
      <c r="R433" s="196"/>
      <c r="S433" s="196"/>
      <c r="T433" s="196"/>
      <c r="U433" s="196"/>
      <c r="V433" s="196"/>
      <c r="W433" s="196"/>
      <c r="X433" s="197"/>
      <c r="Y433" s="197"/>
      <c r="Z433" s="197"/>
      <c r="AA433" s="196"/>
      <c r="AB433" s="196"/>
      <c r="AC433" s="196"/>
      <c r="AD433" s="196"/>
      <c r="AE433" s="196"/>
      <c r="AF433" s="196"/>
      <c r="AG433" s="196"/>
      <c r="AH433" s="196"/>
      <c r="AI433" s="196"/>
      <c r="AJ433" s="196"/>
      <c r="AK433" s="196"/>
      <c r="AL433" s="196"/>
      <c r="AM433" s="196"/>
      <c r="AN433" s="196"/>
      <c r="AO433" s="196"/>
      <c r="AP433" s="196"/>
      <c r="AQ433" s="197"/>
      <c r="AR433" s="196"/>
      <c r="AS433" s="196"/>
      <c r="AT433" s="196"/>
      <c r="AU433" s="196"/>
      <c r="AV433" s="196"/>
      <c r="AW433" s="197"/>
      <c r="AX433" s="197"/>
      <c r="AY433" s="197"/>
      <c r="AZ433" s="197"/>
    </row>
    <row r="434" spans="1:52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7"/>
      <c r="N434" s="197"/>
      <c r="O434" s="198"/>
      <c r="P434" s="198"/>
      <c r="Q434" s="198"/>
      <c r="R434" s="196"/>
      <c r="S434" s="196"/>
      <c r="T434" s="196"/>
      <c r="U434" s="196"/>
      <c r="V434" s="196"/>
      <c r="W434" s="196"/>
      <c r="X434" s="197"/>
      <c r="Y434" s="197"/>
      <c r="Z434" s="197"/>
      <c r="AA434" s="196"/>
      <c r="AB434" s="196"/>
      <c r="AC434" s="196"/>
      <c r="AD434" s="196"/>
      <c r="AE434" s="196"/>
      <c r="AF434" s="196"/>
      <c r="AG434" s="196"/>
      <c r="AH434" s="196"/>
      <c r="AI434" s="196"/>
      <c r="AJ434" s="196"/>
      <c r="AK434" s="196"/>
      <c r="AL434" s="196"/>
      <c r="AM434" s="196"/>
      <c r="AN434" s="196"/>
      <c r="AO434" s="196"/>
      <c r="AP434" s="196"/>
      <c r="AQ434" s="197"/>
      <c r="AR434" s="196"/>
      <c r="AS434" s="196"/>
      <c r="AT434" s="196"/>
      <c r="AU434" s="196"/>
      <c r="AV434" s="196"/>
      <c r="AW434" s="197"/>
      <c r="AX434" s="197"/>
      <c r="AY434" s="197"/>
      <c r="AZ434" s="197"/>
    </row>
    <row r="435" spans="1:52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7"/>
      <c r="N435" s="197"/>
      <c r="O435" s="198"/>
      <c r="P435" s="198"/>
      <c r="Q435" s="198"/>
      <c r="R435" s="196"/>
      <c r="S435" s="196"/>
      <c r="T435" s="196"/>
      <c r="U435" s="196"/>
      <c r="V435" s="196"/>
      <c r="W435" s="196"/>
      <c r="X435" s="197"/>
      <c r="Y435" s="197"/>
      <c r="Z435" s="197"/>
      <c r="AA435" s="196"/>
      <c r="AB435" s="196"/>
      <c r="AC435" s="196"/>
      <c r="AD435" s="196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  <c r="AP435" s="196"/>
      <c r="AQ435" s="197"/>
      <c r="AR435" s="196"/>
      <c r="AS435" s="196"/>
      <c r="AT435" s="196"/>
      <c r="AU435" s="196"/>
      <c r="AV435" s="196"/>
      <c r="AW435" s="197"/>
      <c r="AX435" s="197"/>
      <c r="AY435" s="197"/>
      <c r="AZ435" s="197"/>
    </row>
    <row r="436" spans="1:52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7"/>
      <c r="N436" s="197"/>
      <c r="O436" s="198"/>
      <c r="P436" s="198"/>
      <c r="Q436" s="198"/>
      <c r="R436" s="196"/>
      <c r="S436" s="196"/>
      <c r="T436" s="196"/>
      <c r="U436" s="196"/>
      <c r="V436" s="196"/>
      <c r="W436" s="196"/>
      <c r="X436" s="197"/>
      <c r="Y436" s="197"/>
      <c r="Z436" s="197"/>
      <c r="AA436" s="196"/>
      <c r="AB436" s="196"/>
      <c r="AC436" s="196"/>
      <c r="AD436" s="196"/>
      <c r="AE436" s="196"/>
      <c r="AF436" s="196"/>
      <c r="AG436" s="196"/>
      <c r="AH436" s="196"/>
      <c r="AI436" s="196"/>
      <c r="AJ436" s="196"/>
      <c r="AK436" s="196"/>
      <c r="AL436" s="196"/>
      <c r="AM436" s="196"/>
      <c r="AN436" s="196"/>
      <c r="AO436" s="196"/>
      <c r="AP436" s="196"/>
      <c r="AQ436" s="197"/>
      <c r="AR436" s="196"/>
      <c r="AS436" s="196"/>
      <c r="AT436" s="196"/>
      <c r="AU436" s="196"/>
      <c r="AV436" s="196"/>
      <c r="AW436" s="197"/>
      <c r="AX436" s="197"/>
      <c r="AY436" s="197"/>
      <c r="AZ436" s="197"/>
    </row>
    <row r="437" spans="1:52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7"/>
      <c r="N437" s="197"/>
      <c r="O437" s="198"/>
      <c r="P437" s="198"/>
      <c r="Q437" s="198"/>
      <c r="R437" s="196"/>
      <c r="S437" s="196"/>
      <c r="T437" s="196"/>
      <c r="U437" s="196"/>
      <c r="V437" s="196"/>
      <c r="W437" s="196"/>
      <c r="X437" s="197"/>
      <c r="Y437" s="197"/>
      <c r="Z437" s="197"/>
      <c r="AA437" s="196"/>
      <c r="AB437" s="196"/>
      <c r="AC437" s="196"/>
      <c r="AD437" s="196"/>
      <c r="AE437" s="196"/>
      <c r="AF437" s="196"/>
      <c r="AG437" s="196"/>
      <c r="AH437" s="196"/>
      <c r="AI437" s="196"/>
      <c r="AJ437" s="196"/>
      <c r="AK437" s="196"/>
      <c r="AL437" s="196"/>
      <c r="AM437" s="196"/>
      <c r="AN437" s="196"/>
      <c r="AO437" s="196"/>
      <c r="AP437" s="196"/>
      <c r="AQ437" s="197"/>
      <c r="AR437" s="196"/>
      <c r="AS437" s="196"/>
      <c r="AT437" s="196"/>
      <c r="AU437" s="196"/>
      <c r="AV437" s="196"/>
      <c r="AW437" s="197"/>
      <c r="AX437" s="197"/>
      <c r="AY437" s="197"/>
      <c r="AZ437" s="197"/>
    </row>
    <row r="438" spans="1:52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7"/>
      <c r="N438" s="197"/>
      <c r="O438" s="198"/>
      <c r="P438" s="198"/>
      <c r="Q438" s="198"/>
      <c r="R438" s="196"/>
      <c r="S438" s="196"/>
      <c r="T438" s="196"/>
      <c r="U438" s="196"/>
      <c r="V438" s="196"/>
      <c r="W438" s="196"/>
      <c r="X438" s="197"/>
      <c r="Y438" s="197"/>
      <c r="Z438" s="197"/>
      <c r="AA438" s="196"/>
      <c r="AB438" s="196"/>
      <c r="AC438" s="196"/>
      <c r="AD438" s="196"/>
      <c r="AE438" s="196"/>
      <c r="AF438" s="196"/>
      <c r="AG438" s="196"/>
      <c r="AH438" s="196"/>
      <c r="AI438" s="196"/>
      <c r="AJ438" s="196"/>
      <c r="AK438" s="196"/>
      <c r="AL438" s="196"/>
      <c r="AM438" s="196"/>
      <c r="AN438" s="196"/>
      <c r="AO438" s="196"/>
      <c r="AP438" s="196"/>
      <c r="AQ438" s="197"/>
      <c r="AR438" s="196"/>
      <c r="AS438" s="196"/>
      <c r="AT438" s="196"/>
      <c r="AU438" s="196"/>
      <c r="AV438" s="196"/>
      <c r="AW438" s="197"/>
      <c r="AX438" s="197"/>
      <c r="AY438" s="197"/>
      <c r="AZ438" s="197"/>
    </row>
    <row r="439" spans="1:52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7"/>
      <c r="N439" s="197"/>
      <c r="O439" s="198"/>
      <c r="P439" s="198"/>
      <c r="Q439" s="198"/>
      <c r="R439" s="196"/>
      <c r="S439" s="196"/>
      <c r="T439" s="196"/>
      <c r="U439" s="196"/>
      <c r="V439" s="196"/>
      <c r="W439" s="196"/>
      <c r="X439" s="197"/>
      <c r="Y439" s="197"/>
      <c r="Z439" s="197"/>
      <c r="AA439" s="196"/>
      <c r="AB439" s="196"/>
      <c r="AC439" s="196"/>
      <c r="AD439" s="196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  <c r="AP439" s="196"/>
      <c r="AQ439" s="197"/>
      <c r="AR439" s="196"/>
      <c r="AS439" s="196"/>
      <c r="AT439" s="196"/>
      <c r="AU439" s="196"/>
      <c r="AV439" s="196"/>
      <c r="AW439" s="197"/>
      <c r="AX439" s="197"/>
      <c r="AY439" s="197"/>
      <c r="AZ439" s="197"/>
    </row>
    <row r="440" spans="1:52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7"/>
      <c r="N440" s="197"/>
      <c r="O440" s="198"/>
      <c r="P440" s="198"/>
      <c r="Q440" s="198"/>
      <c r="R440" s="196"/>
      <c r="S440" s="196"/>
      <c r="T440" s="196"/>
      <c r="U440" s="196"/>
      <c r="V440" s="196"/>
      <c r="W440" s="196"/>
      <c r="X440" s="197"/>
      <c r="Y440" s="197"/>
      <c r="Z440" s="197"/>
      <c r="AA440" s="196"/>
      <c r="AB440" s="196"/>
      <c r="AC440" s="196"/>
      <c r="AD440" s="196"/>
      <c r="AE440" s="196"/>
      <c r="AF440" s="196"/>
      <c r="AG440" s="196"/>
      <c r="AH440" s="196"/>
      <c r="AI440" s="196"/>
      <c r="AJ440" s="196"/>
      <c r="AK440" s="196"/>
      <c r="AL440" s="196"/>
      <c r="AM440" s="196"/>
      <c r="AN440" s="196"/>
      <c r="AO440" s="196"/>
      <c r="AP440" s="196"/>
      <c r="AQ440" s="197"/>
      <c r="AR440" s="196"/>
      <c r="AS440" s="196"/>
      <c r="AT440" s="196"/>
      <c r="AU440" s="196"/>
      <c r="AV440" s="196"/>
      <c r="AW440" s="197"/>
      <c r="AX440" s="197"/>
      <c r="AY440" s="197"/>
      <c r="AZ440" s="197"/>
    </row>
    <row r="441" spans="1:52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7"/>
      <c r="N441" s="197"/>
      <c r="O441" s="198"/>
      <c r="P441" s="198"/>
      <c r="Q441" s="198"/>
      <c r="R441" s="196"/>
      <c r="S441" s="196"/>
      <c r="T441" s="196"/>
      <c r="U441" s="196"/>
      <c r="V441" s="196"/>
      <c r="W441" s="196"/>
      <c r="X441" s="197"/>
      <c r="Y441" s="197"/>
      <c r="Z441" s="197"/>
      <c r="AA441" s="196"/>
      <c r="AB441" s="196"/>
      <c r="AC441" s="196"/>
      <c r="AD441" s="196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  <c r="AP441" s="196"/>
      <c r="AQ441" s="197"/>
      <c r="AR441" s="196"/>
      <c r="AS441" s="196"/>
      <c r="AT441" s="196"/>
      <c r="AU441" s="196"/>
      <c r="AV441" s="196"/>
      <c r="AW441" s="197"/>
      <c r="AX441" s="197"/>
      <c r="AY441" s="197"/>
      <c r="AZ441" s="197"/>
    </row>
    <row r="442" spans="1:52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7"/>
      <c r="N442" s="197"/>
      <c r="O442" s="198"/>
      <c r="P442" s="198"/>
      <c r="Q442" s="198"/>
      <c r="R442" s="196"/>
      <c r="S442" s="196"/>
      <c r="T442" s="196"/>
      <c r="U442" s="196"/>
      <c r="V442" s="196"/>
      <c r="W442" s="196"/>
      <c r="X442" s="197"/>
      <c r="Y442" s="197"/>
      <c r="Z442" s="197"/>
      <c r="AA442" s="196"/>
      <c r="AB442" s="196"/>
      <c r="AC442" s="196"/>
      <c r="AD442" s="196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  <c r="AQ442" s="197"/>
      <c r="AR442" s="196"/>
      <c r="AS442" s="196"/>
      <c r="AT442" s="196"/>
      <c r="AU442" s="196"/>
      <c r="AV442" s="196"/>
      <c r="AW442" s="197"/>
      <c r="AX442" s="197"/>
      <c r="AY442" s="197"/>
      <c r="AZ442" s="197"/>
    </row>
    <row r="443" spans="1:52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7"/>
      <c r="N443" s="197"/>
      <c r="O443" s="198"/>
      <c r="P443" s="198"/>
      <c r="Q443" s="198"/>
      <c r="R443" s="196"/>
      <c r="S443" s="196"/>
      <c r="T443" s="196"/>
      <c r="U443" s="196"/>
      <c r="V443" s="196"/>
      <c r="W443" s="196"/>
      <c r="X443" s="197"/>
      <c r="Y443" s="197"/>
      <c r="Z443" s="197"/>
      <c r="AA443" s="196"/>
      <c r="AB443" s="196"/>
      <c r="AC443" s="196"/>
      <c r="AD443" s="196"/>
      <c r="AE443" s="196"/>
      <c r="AF443" s="196"/>
      <c r="AG443" s="196"/>
      <c r="AH443" s="196"/>
      <c r="AI443" s="196"/>
      <c r="AJ443" s="196"/>
      <c r="AK443" s="196"/>
      <c r="AL443" s="196"/>
      <c r="AM443" s="196"/>
      <c r="AN443" s="196"/>
      <c r="AO443" s="196"/>
      <c r="AP443" s="196"/>
      <c r="AQ443" s="197"/>
      <c r="AR443" s="196"/>
      <c r="AS443" s="196"/>
      <c r="AT443" s="196"/>
      <c r="AU443" s="196"/>
      <c r="AV443" s="196"/>
      <c r="AW443" s="197"/>
      <c r="AX443" s="197"/>
      <c r="AY443" s="197"/>
      <c r="AZ443" s="197"/>
    </row>
    <row r="444" spans="1:52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7"/>
      <c r="N444" s="197"/>
      <c r="O444" s="198"/>
      <c r="P444" s="198"/>
      <c r="Q444" s="198"/>
      <c r="R444" s="196"/>
      <c r="S444" s="196"/>
      <c r="T444" s="196"/>
      <c r="U444" s="196"/>
      <c r="V444" s="196"/>
      <c r="W444" s="196"/>
      <c r="X444" s="197"/>
      <c r="Y444" s="197"/>
      <c r="Z444" s="197"/>
      <c r="AA444" s="196"/>
      <c r="AB444" s="196"/>
      <c r="AC444" s="196"/>
      <c r="AD444" s="196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  <c r="AP444" s="196"/>
      <c r="AQ444" s="197"/>
      <c r="AR444" s="196"/>
      <c r="AS444" s="196"/>
      <c r="AT444" s="196"/>
      <c r="AU444" s="196"/>
      <c r="AV444" s="196"/>
      <c r="AW444" s="197"/>
      <c r="AX444" s="197"/>
      <c r="AY444" s="197"/>
      <c r="AZ444" s="197"/>
    </row>
    <row r="445" spans="1:52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7"/>
      <c r="N445" s="197"/>
      <c r="O445" s="198"/>
      <c r="P445" s="198"/>
      <c r="Q445" s="198"/>
      <c r="R445" s="196"/>
      <c r="S445" s="196"/>
      <c r="T445" s="196"/>
      <c r="U445" s="196"/>
      <c r="V445" s="196"/>
      <c r="W445" s="196"/>
      <c r="X445" s="197"/>
      <c r="Y445" s="197"/>
      <c r="Z445" s="197"/>
      <c r="AA445" s="196"/>
      <c r="AB445" s="196"/>
      <c r="AC445" s="196"/>
      <c r="AD445" s="196"/>
      <c r="AE445" s="196"/>
      <c r="AF445" s="196"/>
      <c r="AG445" s="196"/>
      <c r="AH445" s="196"/>
      <c r="AI445" s="196"/>
      <c r="AJ445" s="196"/>
      <c r="AK445" s="196"/>
      <c r="AL445" s="196"/>
      <c r="AM445" s="196"/>
      <c r="AN445" s="196"/>
      <c r="AO445" s="196"/>
      <c r="AP445" s="196"/>
      <c r="AQ445" s="197"/>
      <c r="AR445" s="196"/>
      <c r="AS445" s="196"/>
      <c r="AT445" s="196"/>
      <c r="AU445" s="196"/>
      <c r="AV445" s="196"/>
      <c r="AW445" s="197"/>
      <c r="AX445" s="197"/>
      <c r="AY445" s="197"/>
      <c r="AZ445" s="197"/>
    </row>
    <row r="446" spans="1:52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7"/>
      <c r="N446" s="197"/>
      <c r="O446" s="198"/>
      <c r="P446" s="198"/>
      <c r="Q446" s="198"/>
      <c r="R446" s="196"/>
      <c r="S446" s="196"/>
      <c r="T446" s="196"/>
      <c r="U446" s="196"/>
      <c r="V446" s="196"/>
      <c r="W446" s="196"/>
      <c r="X446" s="197"/>
      <c r="Y446" s="197"/>
      <c r="Z446" s="197"/>
      <c r="AA446" s="196"/>
      <c r="AB446" s="196"/>
      <c r="AC446" s="196"/>
      <c r="AD446" s="196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7"/>
      <c r="AR446" s="196"/>
      <c r="AS446" s="196"/>
      <c r="AT446" s="196"/>
      <c r="AU446" s="196"/>
      <c r="AV446" s="196"/>
      <c r="AW446" s="197"/>
      <c r="AX446" s="197"/>
      <c r="AY446" s="197"/>
      <c r="AZ446" s="197"/>
    </row>
    <row r="447" spans="1:52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7"/>
      <c r="N447" s="197"/>
      <c r="O447" s="198"/>
      <c r="P447" s="198"/>
      <c r="Q447" s="198"/>
      <c r="R447" s="196"/>
      <c r="S447" s="196"/>
      <c r="T447" s="196"/>
      <c r="U447" s="196"/>
      <c r="V447" s="196"/>
      <c r="W447" s="196"/>
      <c r="X447" s="197"/>
      <c r="Y447" s="197"/>
      <c r="Z447" s="197"/>
      <c r="AA447" s="196"/>
      <c r="AB447" s="196"/>
      <c r="AC447" s="196"/>
      <c r="AD447" s="196"/>
      <c r="AE447" s="196"/>
      <c r="AF447" s="196"/>
      <c r="AG447" s="196"/>
      <c r="AH447" s="196"/>
      <c r="AI447" s="196"/>
      <c r="AJ447" s="196"/>
      <c r="AK447" s="196"/>
      <c r="AL447" s="196"/>
      <c r="AM447" s="196"/>
      <c r="AN447" s="196"/>
      <c r="AO447" s="196"/>
      <c r="AP447" s="196"/>
      <c r="AQ447" s="197"/>
      <c r="AR447" s="196"/>
      <c r="AS447" s="196"/>
      <c r="AT447" s="196"/>
      <c r="AU447" s="196"/>
      <c r="AV447" s="196"/>
      <c r="AW447" s="197"/>
      <c r="AX447" s="197"/>
      <c r="AY447" s="197"/>
      <c r="AZ447" s="197"/>
    </row>
    <row r="448" spans="1:52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7"/>
      <c r="N448" s="197"/>
      <c r="O448" s="198"/>
      <c r="P448" s="198"/>
      <c r="Q448" s="198"/>
      <c r="R448" s="196"/>
      <c r="S448" s="196"/>
      <c r="T448" s="196"/>
      <c r="U448" s="196"/>
      <c r="V448" s="196"/>
      <c r="W448" s="196"/>
      <c r="X448" s="197"/>
      <c r="Y448" s="197"/>
      <c r="Z448" s="197"/>
      <c r="AA448" s="196"/>
      <c r="AB448" s="196"/>
      <c r="AC448" s="196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  <c r="AP448" s="196"/>
      <c r="AQ448" s="197"/>
      <c r="AR448" s="196"/>
      <c r="AS448" s="196"/>
      <c r="AT448" s="196"/>
      <c r="AU448" s="196"/>
      <c r="AV448" s="196"/>
      <c r="AW448" s="197"/>
      <c r="AX448" s="197"/>
      <c r="AY448" s="197"/>
      <c r="AZ448" s="197"/>
    </row>
    <row r="449" spans="1:52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7"/>
      <c r="N449" s="197"/>
      <c r="O449" s="198"/>
      <c r="P449" s="198"/>
      <c r="Q449" s="198"/>
      <c r="R449" s="196"/>
      <c r="S449" s="196"/>
      <c r="T449" s="196"/>
      <c r="U449" s="196"/>
      <c r="V449" s="196"/>
      <c r="W449" s="196"/>
      <c r="X449" s="197"/>
      <c r="Y449" s="197"/>
      <c r="Z449" s="197"/>
      <c r="AA449" s="196"/>
      <c r="AB449" s="196"/>
      <c r="AC449" s="196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  <c r="AN449" s="196"/>
      <c r="AO449" s="196"/>
      <c r="AP449" s="196"/>
      <c r="AQ449" s="197"/>
      <c r="AR449" s="196"/>
      <c r="AS449" s="196"/>
      <c r="AT449" s="196"/>
      <c r="AU449" s="196"/>
      <c r="AV449" s="196"/>
      <c r="AW449" s="197"/>
      <c r="AX449" s="197"/>
      <c r="AY449" s="197"/>
      <c r="AZ449" s="197"/>
    </row>
    <row r="450" spans="1:52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7"/>
      <c r="N450" s="197"/>
      <c r="O450" s="198"/>
      <c r="P450" s="198"/>
      <c r="Q450" s="198"/>
      <c r="R450" s="196"/>
      <c r="S450" s="196"/>
      <c r="T450" s="196"/>
      <c r="U450" s="196"/>
      <c r="V450" s="196"/>
      <c r="W450" s="196"/>
      <c r="X450" s="197"/>
      <c r="Y450" s="197"/>
      <c r="Z450" s="197"/>
      <c r="AA450" s="196"/>
      <c r="AB450" s="196"/>
      <c r="AC450" s="196"/>
      <c r="AD450" s="196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  <c r="AP450" s="196"/>
      <c r="AQ450" s="197"/>
      <c r="AR450" s="196"/>
      <c r="AS450" s="196"/>
      <c r="AT450" s="196"/>
      <c r="AU450" s="196"/>
      <c r="AV450" s="196"/>
      <c r="AW450" s="197"/>
      <c r="AX450" s="197"/>
      <c r="AY450" s="197"/>
      <c r="AZ450" s="197"/>
    </row>
    <row r="451" spans="1:52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7"/>
      <c r="N451" s="197"/>
      <c r="O451" s="198"/>
      <c r="P451" s="198"/>
      <c r="Q451" s="198"/>
      <c r="R451" s="196"/>
      <c r="S451" s="196"/>
      <c r="T451" s="196"/>
      <c r="U451" s="196"/>
      <c r="V451" s="196"/>
      <c r="W451" s="196"/>
      <c r="X451" s="197"/>
      <c r="Y451" s="197"/>
      <c r="Z451" s="197"/>
      <c r="AA451" s="196"/>
      <c r="AB451" s="196"/>
      <c r="AC451" s="196"/>
      <c r="AD451" s="196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  <c r="AP451" s="196"/>
      <c r="AQ451" s="197"/>
      <c r="AR451" s="196"/>
      <c r="AS451" s="196"/>
      <c r="AT451" s="196"/>
      <c r="AU451" s="196"/>
      <c r="AV451" s="196"/>
      <c r="AW451" s="197"/>
      <c r="AX451" s="197"/>
      <c r="AY451" s="197"/>
      <c r="AZ451" s="197"/>
    </row>
    <row r="452" spans="1:52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7"/>
      <c r="N452" s="197"/>
      <c r="O452" s="198"/>
      <c r="P452" s="198"/>
      <c r="Q452" s="198"/>
      <c r="R452" s="196"/>
      <c r="S452" s="196"/>
      <c r="T452" s="196"/>
      <c r="U452" s="196"/>
      <c r="V452" s="196"/>
      <c r="W452" s="196"/>
      <c r="X452" s="197"/>
      <c r="Y452" s="197"/>
      <c r="Z452" s="197"/>
      <c r="AA452" s="196"/>
      <c r="AB452" s="196"/>
      <c r="AC452" s="196"/>
      <c r="AD452" s="196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  <c r="AQ452" s="197"/>
      <c r="AR452" s="196"/>
      <c r="AS452" s="196"/>
      <c r="AT452" s="196"/>
      <c r="AU452" s="196"/>
      <c r="AV452" s="196"/>
      <c r="AW452" s="197"/>
      <c r="AX452" s="197"/>
      <c r="AY452" s="197"/>
      <c r="AZ452" s="197"/>
    </row>
    <row r="453" spans="1:52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7"/>
      <c r="N453" s="197"/>
      <c r="O453" s="198"/>
      <c r="P453" s="198"/>
      <c r="Q453" s="198"/>
      <c r="R453" s="196"/>
      <c r="S453" s="196"/>
      <c r="T453" s="196"/>
      <c r="U453" s="196"/>
      <c r="V453" s="196"/>
      <c r="W453" s="196"/>
      <c r="X453" s="197"/>
      <c r="Y453" s="197"/>
      <c r="Z453" s="197"/>
      <c r="AA453" s="196"/>
      <c r="AB453" s="196"/>
      <c r="AC453" s="196"/>
      <c r="AD453" s="196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  <c r="AQ453" s="197"/>
      <c r="AR453" s="196"/>
      <c r="AS453" s="196"/>
      <c r="AT453" s="196"/>
      <c r="AU453" s="196"/>
      <c r="AV453" s="196"/>
      <c r="AW453" s="197"/>
      <c r="AX453" s="197"/>
      <c r="AY453" s="197"/>
      <c r="AZ453" s="197"/>
    </row>
    <row r="454" spans="1:52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7"/>
      <c r="N454" s="197"/>
      <c r="O454" s="198"/>
      <c r="P454" s="198"/>
      <c r="Q454" s="198"/>
      <c r="R454" s="196"/>
      <c r="S454" s="196"/>
      <c r="T454" s="196"/>
      <c r="U454" s="196"/>
      <c r="V454" s="196"/>
      <c r="W454" s="196"/>
      <c r="X454" s="197"/>
      <c r="Y454" s="197"/>
      <c r="Z454" s="197"/>
      <c r="AA454" s="196"/>
      <c r="AB454" s="196"/>
      <c r="AC454" s="196"/>
      <c r="AD454" s="196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  <c r="AQ454" s="197"/>
      <c r="AR454" s="196"/>
      <c r="AS454" s="196"/>
      <c r="AT454" s="196"/>
      <c r="AU454" s="196"/>
      <c r="AV454" s="196"/>
      <c r="AW454" s="197"/>
      <c r="AX454" s="197"/>
      <c r="AY454" s="197"/>
      <c r="AZ454" s="197"/>
    </row>
    <row r="455" spans="1:52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7"/>
      <c r="N455" s="197"/>
      <c r="O455" s="198"/>
      <c r="P455" s="198"/>
      <c r="Q455" s="198"/>
      <c r="R455" s="196"/>
      <c r="S455" s="196"/>
      <c r="T455" s="196"/>
      <c r="U455" s="196"/>
      <c r="V455" s="196"/>
      <c r="W455" s="196"/>
      <c r="X455" s="197"/>
      <c r="Y455" s="197"/>
      <c r="Z455" s="197"/>
      <c r="AA455" s="196"/>
      <c r="AB455" s="196"/>
      <c r="AC455" s="196"/>
      <c r="AD455" s="196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  <c r="AQ455" s="197"/>
      <c r="AR455" s="196"/>
      <c r="AS455" s="196"/>
      <c r="AT455" s="196"/>
      <c r="AU455" s="196"/>
      <c r="AV455" s="196"/>
      <c r="AW455" s="197"/>
      <c r="AX455" s="197"/>
      <c r="AY455" s="197"/>
      <c r="AZ455" s="197"/>
    </row>
    <row r="456" spans="1:52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7"/>
      <c r="N456" s="197"/>
      <c r="O456" s="198"/>
      <c r="P456" s="198"/>
      <c r="Q456" s="198"/>
      <c r="R456" s="196"/>
      <c r="S456" s="196"/>
      <c r="T456" s="196"/>
      <c r="U456" s="196"/>
      <c r="V456" s="196"/>
      <c r="W456" s="196"/>
      <c r="X456" s="197"/>
      <c r="Y456" s="197"/>
      <c r="Z456" s="197"/>
      <c r="AA456" s="196"/>
      <c r="AB456" s="196"/>
      <c r="AC456" s="196"/>
      <c r="AD456" s="196"/>
      <c r="AE456" s="196"/>
      <c r="AF456" s="196"/>
      <c r="AG456" s="196"/>
      <c r="AH456" s="196"/>
      <c r="AI456" s="196"/>
      <c r="AJ456" s="196"/>
      <c r="AK456" s="196"/>
      <c r="AL456" s="196"/>
      <c r="AM456" s="196"/>
      <c r="AN456" s="196"/>
      <c r="AO456" s="196"/>
      <c r="AP456" s="196"/>
      <c r="AQ456" s="197"/>
      <c r="AR456" s="196"/>
      <c r="AS456" s="196"/>
      <c r="AT456" s="196"/>
      <c r="AU456" s="196"/>
      <c r="AV456" s="196"/>
      <c r="AW456" s="197"/>
      <c r="AX456" s="197"/>
      <c r="AY456" s="197"/>
      <c r="AZ456" s="197"/>
    </row>
    <row r="457" spans="1:52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7"/>
      <c r="N457" s="197"/>
      <c r="O457" s="198"/>
      <c r="P457" s="198"/>
      <c r="Q457" s="198"/>
      <c r="R457" s="196"/>
      <c r="S457" s="196"/>
      <c r="T457" s="196"/>
      <c r="U457" s="196"/>
      <c r="V457" s="196"/>
      <c r="W457" s="196"/>
      <c r="X457" s="197"/>
      <c r="Y457" s="197"/>
      <c r="Z457" s="197"/>
      <c r="AA457" s="196"/>
      <c r="AB457" s="196"/>
      <c r="AC457" s="196"/>
      <c r="AD457" s="196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  <c r="AP457" s="196"/>
      <c r="AQ457" s="197"/>
      <c r="AR457" s="196"/>
      <c r="AS457" s="196"/>
      <c r="AT457" s="196"/>
      <c r="AU457" s="196"/>
      <c r="AV457" s="196"/>
      <c r="AW457" s="197"/>
      <c r="AX457" s="197"/>
      <c r="AY457" s="197"/>
      <c r="AZ457" s="197"/>
    </row>
    <row r="458" spans="1:52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7"/>
      <c r="N458" s="197"/>
      <c r="O458" s="198"/>
      <c r="P458" s="198"/>
      <c r="Q458" s="198"/>
      <c r="R458" s="196"/>
      <c r="S458" s="196"/>
      <c r="T458" s="196"/>
      <c r="U458" s="196"/>
      <c r="V458" s="196"/>
      <c r="W458" s="196"/>
      <c r="X458" s="197"/>
      <c r="Y458" s="197"/>
      <c r="Z458" s="197"/>
      <c r="AA458" s="196"/>
      <c r="AB458" s="196"/>
      <c r="AC458" s="196"/>
      <c r="AD458" s="196"/>
      <c r="AE458" s="196"/>
      <c r="AF458" s="196"/>
      <c r="AG458" s="196"/>
      <c r="AH458" s="196"/>
      <c r="AI458" s="196"/>
      <c r="AJ458" s="196"/>
      <c r="AK458" s="196"/>
      <c r="AL458" s="196"/>
      <c r="AM458" s="196"/>
      <c r="AN458" s="196"/>
      <c r="AO458" s="196"/>
      <c r="AP458" s="196"/>
      <c r="AQ458" s="197"/>
      <c r="AR458" s="196"/>
      <c r="AS458" s="196"/>
      <c r="AT458" s="196"/>
      <c r="AU458" s="196"/>
      <c r="AV458" s="196"/>
      <c r="AW458" s="197"/>
      <c r="AX458" s="197"/>
      <c r="AY458" s="197"/>
      <c r="AZ458" s="197"/>
    </row>
    <row r="459" spans="1:52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7"/>
      <c r="N459" s="197"/>
      <c r="O459" s="198"/>
      <c r="P459" s="198"/>
      <c r="Q459" s="198"/>
      <c r="R459" s="196"/>
      <c r="S459" s="196"/>
      <c r="T459" s="196"/>
      <c r="U459" s="196"/>
      <c r="V459" s="196"/>
      <c r="W459" s="196"/>
      <c r="X459" s="197"/>
      <c r="Y459" s="197"/>
      <c r="Z459" s="197"/>
      <c r="AA459" s="196"/>
      <c r="AB459" s="196"/>
      <c r="AC459" s="196"/>
      <c r="AD459" s="196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6"/>
      <c r="AO459" s="196"/>
      <c r="AP459" s="196"/>
      <c r="AQ459" s="197"/>
      <c r="AR459" s="196"/>
      <c r="AS459" s="196"/>
      <c r="AT459" s="196"/>
      <c r="AU459" s="196"/>
      <c r="AV459" s="196"/>
      <c r="AW459" s="197"/>
      <c r="AX459" s="197"/>
      <c r="AY459" s="197"/>
      <c r="AZ459" s="197"/>
    </row>
    <row r="460" spans="1:52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7"/>
      <c r="N460" s="197"/>
      <c r="O460" s="198"/>
      <c r="P460" s="198"/>
      <c r="Q460" s="198"/>
      <c r="R460" s="196"/>
      <c r="S460" s="196"/>
      <c r="T460" s="196"/>
      <c r="U460" s="196"/>
      <c r="V460" s="196"/>
      <c r="W460" s="196"/>
      <c r="X460" s="197"/>
      <c r="Y460" s="197"/>
      <c r="Z460" s="197"/>
      <c r="AA460" s="196"/>
      <c r="AB460" s="196"/>
      <c r="AC460" s="196"/>
      <c r="AD460" s="196"/>
      <c r="AE460" s="196"/>
      <c r="AF460" s="196"/>
      <c r="AG460" s="196"/>
      <c r="AH460" s="196"/>
      <c r="AI460" s="196"/>
      <c r="AJ460" s="196"/>
      <c r="AK460" s="196"/>
      <c r="AL460" s="196"/>
      <c r="AM460" s="196"/>
      <c r="AN460" s="196"/>
      <c r="AO460" s="196"/>
      <c r="AP460" s="196"/>
      <c r="AQ460" s="197"/>
      <c r="AR460" s="196"/>
      <c r="AS460" s="196"/>
      <c r="AT460" s="196"/>
      <c r="AU460" s="196"/>
      <c r="AV460" s="196"/>
      <c r="AW460" s="197"/>
      <c r="AX460" s="197"/>
      <c r="AY460" s="197"/>
      <c r="AZ460" s="197"/>
    </row>
    <row r="461" spans="1:52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7"/>
      <c r="N461" s="197"/>
      <c r="O461" s="198"/>
      <c r="P461" s="198"/>
      <c r="Q461" s="198"/>
      <c r="R461" s="196"/>
      <c r="S461" s="196"/>
      <c r="T461" s="196"/>
      <c r="U461" s="196"/>
      <c r="V461" s="196"/>
      <c r="W461" s="196"/>
      <c r="X461" s="197"/>
      <c r="Y461" s="197"/>
      <c r="Z461" s="197"/>
      <c r="AA461" s="196"/>
      <c r="AB461" s="196"/>
      <c r="AC461" s="196"/>
      <c r="AD461" s="196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  <c r="AP461" s="196"/>
      <c r="AQ461" s="197"/>
      <c r="AR461" s="196"/>
      <c r="AS461" s="196"/>
      <c r="AT461" s="196"/>
      <c r="AU461" s="196"/>
      <c r="AV461" s="196"/>
      <c r="AW461" s="197"/>
      <c r="AX461" s="197"/>
      <c r="AY461" s="197"/>
      <c r="AZ461" s="197"/>
    </row>
    <row r="462" spans="1:52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7"/>
      <c r="N462" s="197"/>
      <c r="O462" s="198"/>
      <c r="P462" s="198"/>
      <c r="Q462" s="198"/>
      <c r="R462" s="196"/>
      <c r="S462" s="196"/>
      <c r="T462" s="196"/>
      <c r="U462" s="196"/>
      <c r="V462" s="196"/>
      <c r="W462" s="196"/>
      <c r="X462" s="197"/>
      <c r="Y462" s="197"/>
      <c r="Z462" s="197"/>
      <c r="AA462" s="196"/>
      <c r="AB462" s="196"/>
      <c r="AC462" s="196"/>
      <c r="AD462" s="196"/>
      <c r="AE462" s="196"/>
      <c r="AF462" s="196"/>
      <c r="AG462" s="196"/>
      <c r="AH462" s="196"/>
      <c r="AI462" s="196"/>
      <c r="AJ462" s="196"/>
      <c r="AK462" s="196"/>
      <c r="AL462" s="196"/>
      <c r="AM462" s="196"/>
      <c r="AN462" s="196"/>
      <c r="AO462" s="196"/>
      <c r="AP462" s="196"/>
      <c r="AQ462" s="197"/>
      <c r="AR462" s="196"/>
      <c r="AS462" s="196"/>
      <c r="AT462" s="196"/>
      <c r="AU462" s="196"/>
      <c r="AV462" s="196"/>
      <c r="AW462" s="197"/>
      <c r="AX462" s="197"/>
      <c r="AY462" s="197"/>
      <c r="AZ462" s="197"/>
    </row>
    <row r="463" spans="1:52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7"/>
      <c r="N463" s="197"/>
      <c r="O463" s="198"/>
      <c r="P463" s="198"/>
      <c r="Q463" s="198"/>
      <c r="R463" s="196"/>
      <c r="S463" s="196"/>
      <c r="T463" s="196"/>
      <c r="U463" s="196"/>
      <c r="V463" s="196"/>
      <c r="W463" s="196"/>
      <c r="X463" s="197"/>
      <c r="Y463" s="197"/>
      <c r="Z463" s="197"/>
      <c r="AA463" s="196"/>
      <c r="AB463" s="196"/>
      <c r="AC463" s="196"/>
      <c r="AD463" s="196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  <c r="AP463" s="196"/>
      <c r="AQ463" s="197"/>
      <c r="AR463" s="196"/>
      <c r="AS463" s="196"/>
      <c r="AT463" s="196"/>
      <c r="AU463" s="196"/>
      <c r="AV463" s="196"/>
      <c r="AW463" s="197"/>
      <c r="AX463" s="197"/>
      <c r="AY463" s="197"/>
      <c r="AZ463" s="197"/>
    </row>
    <row r="464" spans="1:52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7"/>
      <c r="N464" s="197"/>
      <c r="O464" s="198"/>
      <c r="P464" s="198"/>
      <c r="Q464" s="198"/>
      <c r="R464" s="196"/>
      <c r="S464" s="196"/>
      <c r="T464" s="196"/>
      <c r="U464" s="196"/>
      <c r="V464" s="196"/>
      <c r="W464" s="196"/>
      <c r="X464" s="197"/>
      <c r="Y464" s="197"/>
      <c r="Z464" s="197"/>
      <c r="AA464" s="196"/>
      <c r="AB464" s="196"/>
      <c r="AC464" s="196"/>
      <c r="AD464" s="196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  <c r="AP464" s="196"/>
      <c r="AQ464" s="197"/>
      <c r="AR464" s="196"/>
      <c r="AS464" s="196"/>
      <c r="AT464" s="196"/>
      <c r="AU464" s="196"/>
      <c r="AV464" s="196"/>
      <c r="AW464" s="197"/>
      <c r="AX464" s="197"/>
      <c r="AY464" s="197"/>
      <c r="AZ464" s="197"/>
    </row>
    <row r="465" spans="1:52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7"/>
      <c r="N465" s="197"/>
      <c r="O465" s="198"/>
      <c r="P465" s="198"/>
      <c r="Q465" s="198"/>
      <c r="R465" s="196"/>
      <c r="S465" s="196"/>
      <c r="T465" s="196"/>
      <c r="U465" s="196"/>
      <c r="V465" s="196"/>
      <c r="W465" s="196"/>
      <c r="X465" s="197"/>
      <c r="Y465" s="197"/>
      <c r="Z465" s="197"/>
      <c r="AA465" s="196"/>
      <c r="AB465" s="196"/>
      <c r="AC465" s="196"/>
      <c r="AD465" s="196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  <c r="AP465" s="196"/>
      <c r="AQ465" s="197"/>
      <c r="AR465" s="196"/>
      <c r="AS465" s="196"/>
      <c r="AT465" s="196"/>
      <c r="AU465" s="196"/>
      <c r="AV465" s="196"/>
      <c r="AW465" s="197"/>
      <c r="AX465" s="197"/>
      <c r="AY465" s="197"/>
      <c r="AZ465" s="197"/>
    </row>
    <row r="466" spans="1:52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7"/>
      <c r="N466" s="197"/>
      <c r="O466" s="198"/>
      <c r="P466" s="198"/>
      <c r="Q466" s="198"/>
      <c r="R466" s="196"/>
      <c r="S466" s="196"/>
      <c r="T466" s="196"/>
      <c r="U466" s="196"/>
      <c r="V466" s="196"/>
      <c r="W466" s="196"/>
      <c r="X466" s="197"/>
      <c r="Y466" s="197"/>
      <c r="Z466" s="197"/>
      <c r="AA466" s="196"/>
      <c r="AB466" s="196"/>
      <c r="AC466" s="196"/>
      <c r="AD466" s="196"/>
      <c r="AE466" s="196"/>
      <c r="AF466" s="196"/>
      <c r="AG466" s="196"/>
      <c r="AH466" s="196"/>
      <c r="AI466" s="196"/>
      <c r="AJ466" s="196"/>
      <c r="AK466" s="196"/>
      <c r="AL466" s="196"/>
      <c r="AM466" s="196"/>
      <c r="AN466" s="196"/>
      <c r="AO466" s="196"/>
      <c r="AP466" s="196"/>
      <c r="AQ466" s="197"/>
      <c r="AR466" s="196"/>
      <c r="AS466" s="196"/>
      <c r="AT466" s="196"/>
      <c r="AU466" s="196"/>
      <c r="AV466" s="196"/>
      <c r="AW466" s="197"/>
      <c r="AX466" s="197"/>
      <c r="AY466" s="197"/>
      <c r="AZ466" s="197"/>
    </row>
    <row r="467" spans="1:52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7"/>
      <c r="N467" s="197"/>
      <c r="O467" s="198"/>
      <c r="P467" s="198"/>
      <c r="Q467" s="198"/>
      <c r="R467" s="196"/>
      <c r="S467" s="196"/>
      <c r="T467" s="196"/>
      <c r="U467" s="196"/>
      <c r="V467" s="196"/>
      <c r="W467" s="196"/>
      <c r="X467" s="197"/>
      <c r="Y467" s="197"/>
      <c r="Z467" s="197"/>
      <c r="AA467" s="196"/>
      <c r="AB467" s="196"/>
      <c r="AC467" s="196"/>
      <c r="AD467" s="196"/>
      <c r="AE467" s="196"/>
      <c r="AF467" s="196"/>
      <c r="AG467" s="196"/>
      <c r="AH467" s="196"/>
      <c r="AI467" s="196"/>
      <c r="AJ467" s="196"/>
      <c r="AK467" s="196"/>
      <c r="AL467" s="196"/>
      <c r="AM467" s="196"/>
      <c r="AN467" s="196"/>
      <c r="AO467" s="196"/>
      <c r="AP467" s="196"/>
      <c r="AQ467" s="197"/>
      <c r="AR467" s="196"/>
      <c r="AS467" s="196"/>
      <c r="AT467" s="196"/>
      <c r="AU467" s="196"/>
      <c r="AV467" s="196"/>
      <c r="AW467" s="197"/>
      <c r="AX467" s="197"/>
      <c r="AY467" s="197"/>
      <c r="AZ467" s="197"/>
    </row>
    <row r="468" spans="1:52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7"/>
      <c r="N468" s="197"/>
      <c r="O468" s="198"/>
      <c r="P468" s="198"/>
      <c r="Q468" s="198"/>
      <c r="R468" s="196"/>
      <c r="S468" s="196"/>
      <c r="T468" s="196"/>
      <c r="U468" s="196"/>
      <c r="V468" s="196"/>
      <c r="W468" s="196"/>
      <c r="X468" s="197"/>
      <c r="Y468" s="197"/>
      <c r="Z468" s="197"/>
      <c r="AA468" s="196"/>
      <c r="AB468" s="196"/>
      <c r="AC468" s="196"/>
      <c r="AD468" s="196"/>
      <c r="AE468" s="196"/>
      <c r="AF468" s="196"/>
      <c r="AG468" s="196"/>
      <c r="AH468" s="196"/>
      <c r="AI468" s="196"/>
      <c r="AJ468" s="196"/>
      <c r="AK468" s="196"/>
      <c r="AL468" s="196"/>
      <c r="AM468" s="196"/>
      <c r="AN468" s="196"/>
      <c r="AO468" s="196"/>
      <c r="AP468" s="196"/>
      <c r="AQ468" s="197"/>
      <c r="AR468" s="196"/>
      <c r="AS468" s="196"/>
      <c r="AT468" s="196"/>
      <c r="AU468" s="196"/>
      <c r="AV468" s="196"/>
      <c r="AW468" s="197"/>
      <c r="AX468" s="197"/>
      <c r="AY468" s="197"/>
      <c r="AZ468" s="197"/>
    </row>
    <row r="469" spans="1:52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7"/>
      <c r="N469" s="197"/>
      <c r="O469" s="198"/>
      <c r="P469" s="198"/>
      <c r="Q469" s="198"/>
      <c r="R469" s="196"/>
      <c r="S469" s="196"/>
      <c r="T469" s="196"/>
      <c r="U469" s="196"/>
      <c r="V469" s="196"/>
      <c r="W469" s="196"/>
      <c r="X469" s="197"/>
      <c r="Y469" s="197"/>
      <c r="Z469" s="197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  <c r="AK469" s="196"/>
      <c r="AL469" s="196"/>
      <c r="AM469" s="196"/>
      <c r="AN469" s="196"/>
      <c r="AO469" s="196"/>
      <c r="AP469" s="196"/>
      <c r="AQ469" s="197"/>
      <c r="AR469" s="196"/>
      <c r="AS469" s="196"/>
      <c r="AT469" s="196"/>
      <c r="AU469" s="196"/>
      <c r="AV469" s="196"/>
      <c r="AW469" s="197"/>
      <c r="AX469" s="197"/>
      <c r="AY469" s="197"/>
      <c r="AZ469" s="197"/>
    </row>
    <row r="470" spans="1:52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7"/>
      <c r="N470" s="197"/>
      <c r="O470" s="198"/>
      <c r="P470" s="198"/>
      <c r="Q470" s="198"/>
      <c r="R470" s="196"/>
      <c r="S470" s="196"/>
      <c r="T470" s="196"/>
      <c r="U470" s="196"/>
      <c r="V470" s="196"/>
      <c r="W470" s="196"/>
      <c r="X470" s="197"/>
      <c r="Y470" s="197"/>
      <c r="Z470" s="197"/>
      <c r="AA470" s="196"/>
      <c r="AB470" s="196"/>
      <c r="AC470" s="196"/>
      <c r="AD470" s="196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  <c r="AP470" s="196"/>
      <c r="AQ470" s="197"/>
      <c r="AR470" s="196"/>
      <c r="AS470" s="196"/>
      <c r="AT470" s="196"/>
      <c r="AU470" s="196"/>
      <c r="AV470" s="196"/>
      <c r="AW470" s="197"/>
      <c r="AX470" s="197"/>
      <c r="AY470" s="197"/>
      <c r="AZ470" s="197"/>
    </row>
    <row r="471" spans="1:52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7"/>
      <c r="N471" s="197"/>
      <c r="O471" s="198"/>
      <c r="P471" s="198"/>
      <c r="Q471" s="198"/>
      <c r="R471" s="196"/>
      <c r="S471" s="196"/>
      <c r="T471" s="196"/>
      <c r="U471" s="196"/>
      <c r="V471" s="196"/>
      <c r="W471" s="196"/>
      <c r="X471" s="197"/>
      <c r="Y471" s="197"/>
      <c r="Z471" s="197"/>
      <c r="AA471" s="196"/>
      <c r="AB471" s="196"/>
      <c r="AC471" s="196"/>
      <c r="AD471" s="196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  <c r="AQ471" s="197"/>
      <c r="AR471" s="196"/>
      <c r="AS471" s="196"/>
      <c r="AT471" s="196"/>
      <c r="AU471" s="196"/>
      <c r="AV471" s="196"/>
      <c r="AW471" s="197"/>
      <c r="AX471" s="197"/>
      <c r="AY471" s="197"/>
      <c r="AZ471" s="197"/>
    </row>
    <row r="472" spans="1:52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7"/>
      <c r="N472" s="197"/>
      <c r="O472" s="198"/>
      <c r="P472" s="198"/>
      <c r="Q472" s="198"/>
      <c r="R472" s="196"/>
      <c r="S472" s="196"/>
      <c r="T472" s="196"/>
      <c r="U472" s="196"/>
      <c r="V472" s="196"/>
      <c r="W472" s="196"/>
      <c r="X472" s="197"/>
      <c r="Y472" s="197"/>
      <c r="Z472" s="197"/>
      <c r="AA472" s="196"/>
      <c r="AB472" s="196"/>
      <c r="AC472" s="196"/>
      <c r="AD472" s="196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  <c r="AQ472" s="197"/>
      <c r="AR472" s="196"/>
      <c r="AS472" s="196"/>
      <c r="AT472" s="196"/>
      <c r="AU472" s="196"/>
      <c r="AV472" s="196"/>
      <c r="AW472" s="197"/>
      <c r="AX472" s="197"/>
      <c r="AY472" s="197"/>
      <c r="AZ472" s="197"/>
    </row>
    <row r="473" spans="1:52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7"/>
      <c r="N473" s="197"/>
      <c r="O473" s="198"/>
      <c r="P473" s="198"/>
      <c r="Q473" s="198"/>
      <c r="R473" s="196"/>
      <c r="S473" s="196"/>
      <c r="T473" s="196"/>
      <c r="U473" s="196"/>
      <c r="V473" s="196"/>
      <c r="W473" s="196"/>
      <c r="X473" s="197"/>
      <c r="Y473" s="197"/>
      <c r="Z473" s="197"/>
      <c r="AA473" s="196"/>
      <c r="AB473" s="196"/>
      <c r="AC473" s="196"/>
      <c r="AD473" s="196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  <c r="AQ473" s="197"/>
      <c r="AR473" s="196"/>
      <c r="AS473" s="196"/>
      <c r="AT473" s="196"/>
      <c r="AU473" s="196"/>
      <c r="AV473" s="196"/>
      <c r="AW473" s="197"/>
      <c r="AX473" s="197"/>
      <c r="AY473" s="197"/>
      <c r="AZ473" s="197"/>
    </row>
    <row r="474" spans="1:52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7"/>
      <c r="N474" s="197"/>
      <c r="O474" s="198"/>
      <c r="P474" s="198"/>
      <c r="Q474" s="198"/>
      <c r="R474" s="196"/>
      <c r="S474" s="196"/>
      <c r="T474" s="196"/>
      <c r="U474" s="196"/>
      <c r="V474" s="196"/>
      <c r="W474" s="196"/>
      <c r="X474" s="197"/>
      <c r="Y474" s="197"/>
      <c r="Z474" s="197"/>
      <c r="AA474" s="196"/>
      <c r="AB474" s="196"/>
      <c r="AC474" s="196"/>
      <c r="AD474" s="196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  <c r="AP474" s="196"/>
      <c r="AQ474" s="197"/>
      <c r="AR474" s="196"/>
      <c r="AS474" s="196"/>
      <c r="AT474" s="196"/>
      <c r="AU474" s="196"/>
      <c r="AV474" s="196"/>
      <c r="AW474" s="197"/>
      <c r="AX474" s="197"/>
      <c r="AY474" s="197"/>
      <c r="AZ474" s="197"/>
    </row>
    <row r="475" spans="1:52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7"/>
      <c r="N475" s="197"/>
      <c r="O475" s="198"/>
      <c r="P475" s="198"/>
      <c r="Q475" s="198"/>
      <c r="R475" s="196"/>
      <c r="S475" s="196"/>
      <c r="T475" s="196"/>
      <c r="U475" s="196"/>
      <c r="V475" s="196"/>
      <c r="W475" s="196"/>
      <c r="X475" s="197"/>
      <c r="Y475" s="197"/>
      <c r="Z475" s="197"/>
      <c r="AA475" s="196"/>
      <c r="AB475" s="196"/>
      <c r="AC475" s="196"/>
      <c r="AD475" s="196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  <c r="AP475" s="196"/>
      <c r="AQ475" s="197"/>
      <c r="AR475" s="196"/>
      <c r="AS475" s="196"/>
      <c r="AT475" s="196"/>
      <c r="AU475" s="196"/>
      <c r="AV475" s="196"/>
      <c r="AW475" s="197"/>
      <c r="AX475" s="197"/>
      <c r="AY475" s="197"/>
      <c r="AZ475" s="197"/>
    </row>
    <row r="476" spans="1:52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7"/>
      <c r="N476" s="197"/>
      <c r="O476" s="198"/>
      <c r="P476" s="198"/>
      <c r="Q476" s="198"/>
      <c r="R476" s="196"/>
      <c r="S476" s="196"/>
      <c r="T476" s="196"/>
      <c r="U476" s="196"/>
      <c r="V476" s="196"/>
      <c r="W476" s="196"/>
      <c r="X476" s="197"/>
      <c r="Y476" s="197"/>
      <c r="Z476" s="197"/>
      <c r="AA476" s="196"/>
      <c r="AB476" s="196"/>
      <c r="AC476" s="196"/>
      <c r="AD476" s="196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  <c r="AP476" s="196"/>
      <c r="AQ476" s="197"/>
      <c r="AR476" s="196"/>
      <c r="AS476" s="196"/>
      <c r="AT476" s="196"/>
      <c r="AU476" s="196"/>
      <c r="AV476" s="196"/>
      <c r="AW476" s="197"/>
      <c r="AX476" s="197"/>
      <c r="AY476" s="197"/>
      <c r="AZ476" s="197"/>
    </row>
    <row r="477" spans="1:52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7"/>
      <c r="N477" s="197"/>
      <c r="O477" s="198"/>
      <c r="P477" s="198"/>
      <c r="Q477" s="198"/>
      <c r="R477" s="196"/>
      <c r="S477" s="196"/>
      <c r="T477" s="196"/>
      <c r="U477" s="196"/>
      <c r="V477" s="196"/>
      <c r="W477" s="196"/>
      <c r="X477" s="197"/>
      <c r="Y477" s="197"/>
      <c r="Z477" s="197"/>
      <c r="AA477" s="196"/>
      <c r="AB477" s="196"/>
      <c r="AC477" s="196"/>
      <c r="AD477" s="196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  <c r="AQ477" s="197"/>
      <c r="AR477" s="196"/>
      <c r="AS477" s="196"/>
      <c r="AT477" s="196"/>
      <c r="AU477" s="196"/>
      <c r="AV477" s="196"/>
      <c r="AW477" s="197"/>
      <c r="AX477" s="197"/>
      <c r="AY477" s="197"/>
      <c r="AZ477" s="197"/>
    </row>
    <row r="478" spans="1:52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7"/>
      <c r="N478" s="197"/>
      <c r="O478" s="198"/>
      <c r="P478" s="198"/>
      <c r="Q478" s="198"/>
      <c r="R478" s="196"/>
      <c r="S478" s="196"/>
      <c r="T478" s="196"/>
      <c r="U478" s="196"/>
      <c r="V478" s="196"/>
      <c r="W478" s="196"/>
      <c r="X478" s="197"/>
      <c r="Y478" s="197"/>
      <c r="Z478" s="197"/>
      <c r="AA478" s="196"/>
      <c r="AB478" s="196"/>
      <c r="AC478" s="196"/>
      <c r="AD478" s="196"/>
      <c r="AE478" s="196"/>
      <c r="AF478" s="196"/>
      <c r="AG478" s="196"/>
      <c r="AH478" s="196"/>
      <c r="AI478" s="196"/>
      <c r="AJ478" s="196"/>
      <c r="AK478" s="196"/>
      <c r="AL478" s="196"/>
      <c r="AM478" s="196"/>
      <c r="AN478" s="196"/>
      <c r="AO478" s="196"/>
      <c r="AP478" s="196"/>
      <c r="AQ478" s="197"/>
      <c r="AR478" s="196"/>
      <c r="AS478" s="196"/>
      <c r="AT478" s="196"/>
      <c r="AU478" s="196"/>
      <c r="AV478" s="196"/>
      <c r="AW478" s="197"/>
      <c r="AX478" s="197"/>
      <c r="AY478" s="197"/>
      <c r="AZ478" s="197"/>
    </row>
    <row r="479" spans="1:52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7"/>
      <c r="N479" s="197"/>
      <c r="O479" s="198"/>
      <c r="P479" s="198"/>
      <c r="Q479" s="198"/>
      <c r="R479" s="196"/>
      <c r="S479" s="196"/>
      <c r="T479" s="196"/>
      <c r="U479" s="196"/>
      <c r="V479" s="196"/>
      <c r="W479" s="196"/>
      <c r="X479" s="197"/>
      <c r="Y479" s="197"/>
      <c r="Z479" s="197"/>
      <c r="AA479" s="196"/>
      <c r="AB479" s="196"/>
      <c r="AC479" s="196"/>
      <c r="AD479" s="196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  <c r="AP479" s="196"/>
      <c r="AQ479" s="197"/>
      <c r="AR479" s="196"/>
      <c r="AS479" s="196"/>
      <c r="AT479" s="196"/>
      <c r="AU479" s="196"/>
      <c r="AV479" s="196"/>
      <c r="AW479" s="197"/>
      <c r="AX479" s="197"/>
      <c r="AY479" s="197"/>
      <c r="AZ479" s="197"/>
    </row>
    <row r="480" spans="1:52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7"/>
      <c r="N480" s="197"/>
      <c r="O480" s="198"/>
      <c r="P480" s="198"/>
      <c r="Q480" s="198"/>
      <c r="R480" s="196"/>
      <c r="S480" s="196"/>
      <c r="T480" s="196"/>
      <c r="U480" s="196"/>
      <c r="V480" s="196"/>
      <c r="W480" s="196"/>
      <c r="X480" s="197"/>
      <c r="Y480" s="197"/>
      <c r="Z480" s="197"/>
      <c r="AA480" s="196"/>
      <c r="AB480" s="196"/>
      <c r="AC480" s="196"/>
      <c r="AD480" s="196"/>
      <c r="AE480" s="196"/>
      <c r="AF480" s="196"/>
      <c r="AG480" s="196"/>
      <c r="AH480" s="196"/>
      <c r="AI480" s="196"/>
      <c r="AJ480" s="196"/>
      <c r="AK480" s="196"/>
      <c r="AL480" s="196"/>
      <c r="AM480" s="196"/>
      <c r="AN480" s="196"/>
      <c r="AO480" s="196"/>
      <c r="AP480" s="196"/>
      <c r="AQ480" s="197"/>
      <c r="AR480" s="196"/>
      <c r="AS480" s="196"/>
      <c r="AT480" s="196"/>
      <c r="AU480" s="196"/>
      <c r="AV480" s="196"/>
      <c r="AW480" s="197"/>
      <c r="AX480" s="197"/>
      <c r="AY480" s="197"/>
      <c r="AZ480" s="197"/>
    </row>
    <row r="481" spans="1:52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7"/>
      <c r="N481" s="197"/>
      <c r="O481" s="198"/>
      <c r="P481" s="198"/>
      <c r="Q481" s="198"/>
      <c r="R481" s="196"/>
      <c r="S481" s="196"/>
      <c r="T481" s="196"/>
      <c r="U481" s="196"/>
      <c r="V481" s="196"/>
      <c r="W481" s="196"/>
      <c r="X481" s="197"/>
      <c r="Y481" s="197"/>
      <c r="Z481" s="197"/>
      <c r="AA481" s="196"/>
      <c r="AB481" s="196"/>
      <c r="AC481" s="196"/>
      <c r="AD481" s="196"/>
      <c r="AE481" s="196"/>
      <c r="AF481" s="196"/>
      <c r="AG481" s="196"/>
      <c r="AH481" s="196"/>
      <c r="AI481" s="196"/>
      <c r="AJ481" s="196"/>
      <c r="AK481" s="196"/>
      <c r="AL481" s="196"/>
      <c r="AM481" s="196"/>
      <c r="AN481" s="196"/>
      <c r="AO481" s="196"/>
      <c r="AP481" s="196"/>
      <c r="AQ481" s="197"/>
      <c r="AR481" s="196"/>
      <c r="AS481" s="196"/>
      <c r="AT481" s="196"/>
      <c r="AU481" s="196"/>
      <c r="AV481" s="196"/>
      <c r="AW481" s="197"/>
      <c r="AX481" s="197"/>
      <c r="AY481" s="197"/>
      <c r="AZ481" s="197"/>
    </row>
    <row r="482" spans="1:52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7"/>
      <c r="N482" s="197"/>
      <c r="O482" s="198"/>
      <c r="P482" s="198"/>
      <c r="Q482" s="198"/>
      <c r="R482" s="196"/>
      <c r="S482" s="196"/>
      <c r="T482" s="196"/>
      <c r="U482" s="196"/>
      <c r="V482" s="196"/>
      <c r="W482" s="196"/>
      <c r="X482" s="197"/>
      <c r="Y482" s="197"/>
      <c r="Z482" s="197"/>
      <c r="AA482" s="196"/>
      <c r="AB482" s="196"/>
      <c r="AC482" s="196"/>
      <c r="AD482" s="196"/>
      <c r="AE482" s="196"/>
      <c r="AF482" s="196"/>
      <c r="AG482" s="196"/>
      <c r="AH482" s="196"/>
      <c r="AI482" s="196"/>
      <c r="AJ482" s="196"/>
      <c r="AK482" s="196"/>
      <c r="AL482" s="196"/>
      <c r="AM482" s="196"/>
      <c r="AN482" s="196"/>
      <c r="AO482" s="196"/>
      <c r="AP482" s="196"/>
      <c r="AQ482" s="197"/>
      <c r="AR482" s="196"/>
      <c r="AS482" s="196"/>
      <c r="AT482" s="196"/>
      <c r="AU482" s="196"/>
      <c r="AV482" s="196"/>
      <c r="AW482" s="197"/>
      <c r="AX482" s="197"/>
      <c r="AY482" s="197"/>
      <c r="AZ482" s="197"/>
    </row>
    <row r="483" spans="1:52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7"/>
      <c r="N483" s="197"/>
      <c r="O483" s="198"/>
      <c r="P483" s="198"/>
      <c r="Q483" s="198"/>
      <c r="R483" s="196"/>
      <c r="S483" s="196"/>
      <c r="T483" s="196"/>
      <c r="U483" s="196"/>
      <c r="V483" s="196"/>
      <c r="W483" s="196"/>
      <c r="X483" s="197"/>
      <c r="Y483" s="197"/>
      <c r="Z483" s="197"/>
      <c r="AA483" s="196"/>
      <c r="AB483" s="196"/>
      <c r="AC483" s="196"/>
      <c r="AD483" s="196"/>
      <c r="AE483" s="196"/>
      <c r="AF483" s="196"/>
      <c r="AG483" s="196"/>
      <c r="AH483" s="196"/>
      <c r="AI483" s="196"/>
      <c r="AJ483" s="196"/>
      <c r="AK483" s="196"/>
      <c r="AL483" s="196"/>
      <c r="AM483" s="196"/>
      <c r="AN483" s="196"/>
      <c r="AO483" s="196"/>
      <c r="AP483" s="196"/>
      <c r="AQ483" s="197"/>
      <c r="AR483" s="196"/>
      <c r="AS483" s="196"/>
      <c r="AT483" s="196"/>
      <c r="AU483" s="196"/>
      <c r="AV483" s="196"/>
      <c r="AW483" s="197"/>
      <c r="AX483" s="197"/>
      <c r="AY483" s="197"/>
      <c r="AZ483" s="197"/>
    </row>
    <row r="484" spans="1:52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7"/>
      <c r="N484" s="197"/>
      <c r="O484" s="198"/>
      <c r="P484" s="198"/>
      <c r="Q484" s="198"/>
      <c r="R484" s="196"/>
      <c r="S484" s="196"/>
      <c r="T484" s="196"/>
      <c r="U484" s="196"/>
      <c r="V484" s="196"/>
      <c r="W484" s="196"/>
      <c r="X484" s="197"/>
      <c r="Y484" s="197"/>
      <c r="Z484" s="197"/>
      <c r="AA484" s="196"/>
      <c r="AB484" s="196"/>
      <c r="AC484" s="196"/>
      <c r="AD484" s="196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7"/>
      <c r="AR484" s="196"/>
      <c r="AS484" s="196"/>
      <c r="AT484" s="196"/>
      <c r="AU484" s="196"/>
      <c r="AV484" s="196"/>
      <c r="AW484" s="197"/>
      <c r="AX484" s="197"/>
      <c r="AY484" s="197"/>
      <c r="AZ484" s="197"/>
    </row>
    <row r="485" spans="1:52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7"/>
      <c r="N485" s="197"/>
      <c r="O485" s="198"/>
      <c r="P485" s="198"/>
      <c r="Q485" s="198"/>
      <c r="R485" s="196"/>
      <c r="S485" s="196"/>
      <c r="T485" s="196"/>
      <c r="U485" s="196"/>
      <c r="V485" s="196"/>
      <c r="W485" s="196"/>
      <c r="X485" s="197"/>
      <c r="Y485" s="197"/>
      <c r="Z485" s="197"/>
      <c r="AA485" s="196"/>
      <c r="AB485" s="196"/>
      <c r="AC485" s="196"/>
      <c r="AD485" s="196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  <c r="AP485" s="196"/>
      <c r="AQ485" s="197"/>
      <c r="AR485" s="196"/>
      <c r="AS485" s="196"/>
      <c r="AT485" s="196"/>
      <c r="AU485" s="196"/>
      <c r="AV485" s="196"/>
      <c r="AW485" s="197"/>
      <c r="AX485" s="197"/>
      <c r="AY485" s="197"/>
      <c r="AZ485" s="197"/>
    </row>
    <row r="486" spans="1:52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7"/>
      <c r="N486" s="197"/>
      <c r="O486" s="198"/>
      <c r="P486" s="198"/>
      <c r="Q486" s="198"/>
      <c r="R486" s="196"/>
      <c r="S486" s="196"/>
      <c r="T486" s="196"/>
      <c r="U486" s="196"/>
      <c r="V486" s="196"/>
      <c r="W486" s="196"/>
      <c r="X486" s="197"/>
      <c r="Y486" s="197"/>
      <c r="Z486" s="197"/>
      <c r="AA486" s="196"/>
      <c r="AB486" s="196"/>
      <c r="AC486" s="196"/>
      <c r="AD486" s="196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  <c r="AP486" s="196"/>
      <c r="AQ486" s="197"/>
      <c r="AR486" s="196"/>
      <c r="AS486" s="196"/>
      <c r="AT486" s="196"/>
      <c r="AU486" s="196"/>
      <c r="AV486" s="196"/>
      <c r="AW486" s="197"/>
      <c r="AX486" s="197"/>
      <c r="AY486" s="197"/>
      <c r="AZ486" s="197"/>
    </row>
    <row r="487" spans="1:52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7"/>
      <c r="N487" s="197"/>
      <c r="O487" s="198"/>
      <c r="P487" s="198"/>
      <c r="Q487" s="198"/>
      <c r="R487" s="196"/>
      <c r="S487" s="196"/>
      <c r="T487" s="196"/>
      <c r="U487" s="196"/>
      <c r="V487" s="196"/>
      <c r="W487" s="196"/>
      <c r="X487" s="197"/>
      <c r="Y487" s="197"/>
      <c r="Z487" s="197"/>
      <c r="AA487" s="196"/>
      <c r="AB487" s="196"/>
      <c r="AC487" s="196"/>
      <c r="AD487" s="196"/>
      <c r="AE487" s="196"/>
      <c r="AF487" s="196"/>
      <c r="AG487" s="196"/>
      <c r="AH487" s="196"/>
      <c r="AI487" s="196"/>
      <c r="AJ487" s="196"/>
      <c r="AK487" s="196"/>
      <c r="AL487" s="196"/>
      <c r="AM487" s="196"/>
      <c r="AN487" s="196"/>
      <c r="AO487" s="196"/>
      <c r="AP487" s="196"/>
      <c r="AQ487" s="197"/>
      <c r="AR487" s="196"/>
      <c r="AS487" s="196"/>
      <c r="AT487" s="196"/>
      <c r="AU487" s="196"/>
      <c r="AV487" s="196"/>
      <c r="AW487" s="197"/>
      <c r="AX487" s="197"/>
      <c r="AY487" s="197"/>
      <c r="AZ487" s="197"/>
    </row>
    <row r="488" spans="1:52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7"/>
      <c r="N488" s="197"/>
      <c r="O488" s="198"/>
      <c r="P488" s="198"/>
      <c r="Q488" s="198"/>
      <c r="R488" s="196"/>
      <c r="S488" s="196"/>
      <c r="T488" s="196"/>
      <c r="U488" s="196"/>
      <c r="V488" s="196"/>
      <c r="W488" s="196"/>
      <c r="X488" s="197"/>
      <c r="Y488" s="197"/>
      <c r="Z488" s="197"/>
      <c r="AA488" s="196"/>
      <c r="AB488" s="196"/>
      <c r="AC488" s="196"/>
      <c r="AD488" s="196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  <c r="AP488" s="196"/>
      <c r="AQ488" s="197"/>
      <c r="AR488" s="196"/>
      <c r="AS488" s="196"/>
      <c r="AT488" s="196"/>
      <c r="AU488" s="196"/>
      <c r="AV488" s="196"/>
      <c r="AW488" s="197"/>
      <c r="AX488" s="197"/>
      <c r="AY488" s="197"/>
      <c r="AZ488" s="197"/>
    </row>
    <row r="489" spans="1:52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7"/>
      <c r="N489" s="197"/>
      <c r="O489" s="198"/>
      <c r="P489" s="198"/>
      <c r="Q489" s="198"/>
      <c r="R489" s="196"/>
      <c r="S489" s="196"/>
      <c r="T489" s="196"/>
      <c r="U489" s="196"/>
      <c r="V489" s="196"/>
      <c r="W489" s="196"/>
      <c r="X489" s="197"/>
      <c r="Y489" s="197"/>
      <c r="Z489" s="197"/>
      <c r="AA489" s="196"/>
      <c r="AB489" s="196"/>
      <c r="AC489" s="196"/>
      <c r="AD489" s="196"/>
      <c r="AE489" s="196"/>
      <c r="AF489" s="196"/>
      <c r="AG489" s="196"/>
      <c r="AH489" s="196"/>
      <c r="AI489" s="196"/>
      <c r="AJ489" s="196"/>
      <c r="AK489" s="196"/>
      <c r="AL489" s="196"/>
      <c r="AM489" s="196"/>
      <c r="AN489" s="196"/>
      <c r="AO489" s="196"/>
      <c r="AP489" s="196"/>
      <c r="AQ489" s="197"/>
      <c r="AR489" s="196"/>
      <c r="AS489" s="196"/>
      <c r="AT489" s="196"/>
      <c r="AU489" s="196"/>
      <c r="AV489" s="196"/>
      <c r="AW489" s="197"/>
      <c r="AX489" s="197"/>
      <c r="AY489" s="197"/>
      <c r="AZ489" s="197"/>
    </row>
    <row r="490" spans="1:52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7"/>
      <c r="N490" s="197"/>
      <c r="O490" s="198"/>
      <c r="P490" s="198"/>
      <c r="Q490" s="198"/>
      <c r="R490" s="196"/>
      <c r="S490" s="196"/>
      <c r="T490" s="196"/>
      <c r="U490" s="196"/>
      <c r="V490" s="196"/>
      <c r="W490" s="196"/>
      <c r="X490" s="197"/>
      <c r="Y490" s="197"/>
      <c r="Z490" s="197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  <c r="AK490" s="196"/>
      <c r="AL490" s="196"/>
      <c r="AM490" s="196"/>
      <c r="AN490" s="196"/>
      <c r="AO490" s="196"/>
      <c r="AP490" s="196"/>
      <c r="AQ490" s="197"/>
      <c r="AR490" s="196"/>
      <c r="AS490" s="196"/>
      <c r="AT490" s="196"/>
      <c r="AU490" s="196"/>
      <c r="AV490" s="196"/>
      <c r="AW490" s="197"/>
      <c r="AX490" s="197"/>
      <c r="AY490" s="197"/>
      <c r="AZ490" s="197"/>
    </row>
    <row r="491" spans="1:52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7"/>
      <c r="N491" s="197"/>
      <c r="O491" s="198"/>
      <c r="P491" s="198"/>
      <c r="Q491" s="198"/>
      <c r="R491" s="196"/>
      <c r="S491" s="196"/>
      <c r="T491" s="196"/>
      <c r="U491" s="196"/>
      <c r="V491" s="196"/>
      <c r="W491" s="196"/>
      <c r="X491" s="197"/>
      <c r="Y491" s="197"/>
      <c r="Z491" s="197"/>
      <c r="AA491" s="196"/>
      <c r="AB491" s="196"/>
      <c r="AC491" s="196"/>
      <c r="AD491" s="196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  <c r="AQ491" s="197"/>
      <c r="AR491" s="196"/>
      <c r="AS491" s="196"/>
      <c r="AT491" s="196"/>
      <c r="AU491" s="196"/>
      <c r="AV491" s="196"/>
      <c r="AW491" s="197"/>
      <c r="AX491" s="197"/>
      <c r="AY491" s="197"/>
      <c r="AZ491" s="197"/>
    </row>
    <row r="492" spans="1:52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7"/>
      <c r="N492" s="197"/>
      <c r="O492" s="198"/>
      <c r="P492" s="198"/>
      <c r="Q492" s="198"/>
      <c r="R492" s="196"/>
      <c r="S492" s="196"/>
      <c r="T492" s="196"/>
      <c r="U492" s="196"/>
      <c r="V492" s="196"/>
      <c r="W492" s="196"/>
      <c r="X492" s="197"/>
      <c r="Y492" s="197"/>
      <c r="Z492" s="197"/>
      <c r="AA492" s="196"/>
      <c r="AB492" s="196"/>
      <c r="AC492" s="196"/>
      <c r="AD492" s="196"/>
      <c r="AE492" s="196"/>
      <c r="AF492" s="196"/>
      <c r="AG492" s="196"/>
      <c r="AH492" s="196"/>
      <c r="AI492" s="196"/>
      <c r="AJ492" s="196"/>
      <c r="AK492" s="196"/>
      <c r="AL492" s="196"/>
      <c r="AM492" s="196"/>
      <c r="AN492" s="196"/>
      <c r="AO492" s="196"/>
      <c r="AP492" s="196"/>
      <c r="AQ492" s="197"/>
      <c r="AR492" s="196"/>
      <c r="AS492" s="196"/>
      <c r="AT492" s="196"/>
      <c r="AU492" s="196"/>
      <c r="AV492" s="196"/>
      <c r="AW492" s="197"/>
      <c r="AX492" s="197"/>
      <c r="AY492" s="197"/>
      <c r="AZ492" s="197"/>
    </row>
    <row r="493" spans="1:52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7"/>
      <c r="N493" s="197"/>
      <c r="O493" s="198"/>
      <c r="P493" s="198"/>
      <c r="Q493" s="198"/>
      <c r="R493" s="196"/>
      <c r="S493" s="196"/>
      <c r="T493" s="196"/>
      <c r="U493" s="196"/>
      <c r="V493" s="196"/>
      <c r="W493" s="196"/>
      <c r="X493" s="197"/>
      <c r="Y493" s="197"/>
      <c r="Z493" s="197"/>
      <c r="AA493" s="196"/>
      <c r="AB493" s="196"/>
      <c r="AC493" s="196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  <c r="AP493" s="196"/>
      <c r="AQ493" s="197"/>
      <c r="AR493" s="196"/>
      <c r="AS493" s="196"/>
      <c r="AT493" s="196"/>
      <c r="AU493" s="196"/>
      <c r="AV493" s="196"/>
      <c r="AW493" s="197"/>
      <c r="AX493" s="197"/>
      <c r="AY493" s="197"/>
      <c r="AZ493" s="197"/>
    </row>
    <row r="494" spans="1:52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7"/>
      <c r="N494" s="197"/>
      <c r="O494" s="198"/>
      <c r="P494" s="198"/>
      <c r="Q494" s="198"/>
      <c r="R494" s="196"/>
      <c r="S494" s="196"/>
      <c r="T494" s="196"/>
      <c r="U494" s="196"/>
      <c r="V494" s="196"/>
      <c r="W494" s="196"/>
      <c r="X494" s="197"/>
      <c r="Y494" s="197"/>
      <c r="Z494" s="197"/>
      <c r="AA494" s="196"/>
      <c r="AB494" s="196"/>
      <c r="AC494" s="196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  <c r="AN494" s="196"/>
      <c r="AO494" s="196"/>
      <c r="AP494" s="196"/>
      <c r="AQ494" s="197"/>
      <c r="AR494" s="196"/>
      <c r="AS494" s="196"/>
      <c r="AT494" s="196"/>
      <c r="AU494" s="196"/>
      <c r="AV494" s="196"/>
      <c r="AW494" s="197"/>
      <c r="AX494" s="197"/>
      <c r="AY494" s="197"/>
      <c r="AZ494" s="197"/>
    </row>
    <row r="495" spans="1:52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7"/>
      <c r="N495" s="197"/>
      <c r="O495" s="198"/>
      <c r="P495" s="198"/>
      <c r="Q495" s="198"/>
      <c r="R495" s="196"/>
      <c r="S495" s="196"/>
      <c r="T495" s="196"/>
      <c r="U495" s="196"/>
      <c r="V495" s="196"/>
      <c r="W495" s="196"/>
      <c r="X495" s="197"/>
      <c r="Y495" s="197"/>
      <c r="Z495" s="197"/>
      <c r="AA495" s="196"/>
      <c r="AB495" s="196"/>
      <c r="AC495" s="196"/>
      <c r="AD495" s="196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  <c r="AQ495" s="197"/>
      <c r="AR495" s="196"/>
      <c r="AS495" s="196"/>
      <c r="AT495" s="196"/>
      <c r="AU495" s="196"/>
      <c r="AV495" s="196"/>
      <c r="AW495" s="197"/>
      <c r="AX495" s="197"/>
      <c r="AY495" s="197"/>
      <c r="AZ495" s="197"/>
    </row>
    <row r="496" spans="1:52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7"/>
      <c r="N496" s="197"/>
      <c r="O496" s="198"/>
      <c r="P496" s="198"/>
      <c r="Q496" s="198"/>
      <c r="R496" s="196"/>
      <c r="S496" s="196"/>
      <c r="T496" s="196"/>
      <c r="U496" s="196"/>
      <c r="V496" s="196"/>
      <c r="W496" s="196"/>
      <c r="X496" s="197"/>
      <c r="Y496" s="197"/>
      <c r="Z496" s="197"/>
      <c r="AA496" s="196"/>
      <c r="AB496" s="196"/>
      <c r="AC496" s="196"/>
      <c r="AD496" s="196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  <c r="AP496" s="196"/>
      <c r="AQ496" s="197"/>
      <c r="AR496" s="196"/>
      <c r="AS496" s="196"/>
      <c r="AT496" s="196"/>
      <c r="AU496" s="196"/>
      <c r="AV496" s="196"/>
      <c r="AW496" s="197"/>
      <c r="AX496" s="197"/>
      <c r="AY496" s="197"/>
      <c r="AZ496" s="197"/>
    </row>
    <row r="497" spans="1:52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7"/>
      <c r="N497" s="197"/>
      <c r="O497" s="198"/>
      <c r="P497" s="198"/>
      <c r="Q497" s="198"/>
      <c r="R497" s="196"/>
      <c r="S497" s="196"/>
      <c r="T497" s="196"/>
      <c r="U497" s="196"/>
      <c r="V497" s="196"/>
      <c r="W497" s="196"/>
      <c r="X497" s="197"/>
      <c r="Y497" s="197"/>
      <c r="Z497" s="197"/>
      <c r="AA497" s="196"/>
      <c r="AB497" s="196"/>
      <c r="AC497" s="196"/>
      <c r="AD497" s="196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  <c r="AP497" s="196"/>
      <c r="AQ497" s="197"/>
      <c r="AR497" s="196"/>
      <c r="AS497" s="196"/>
      <c r="AT497" s="196"/>
      <c r="AU497" s="196"/>
      <c r="AV497" s="196"/>
      <c r="AW497" s="197"/>
      <c r="AX497" s="197"/>
      <c r="AY497" s="197"/>
      <c r="AZ497" s="197"/>
    </row>
    <row r="498" spans="1:52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7"/>
      <c r="N498" s="197"/>
      <c r="O498" s="198"/>
      <c r="P498" s="198"/>
      <c r="Q498" s="198"/>
      <c r="R498" s="196"/>
      <c r="S498" s="196"/>
      <c r="T498" s="196"/>
      <c r="U498" s="196"/>
      <c r="V498" s="196"/>
      <c r="W498" s="196"/>
      <c r="X498" s="197"/>
      <c r="Y498" s="197"/>
      <c r="Z498" s="197"/>
      <c r="AA498" s="196"/>
      <c r="AB498" s="196"/>
      <c r="AC498" s="196"/>
      <c r="AD498" s="196"/>
      <c r="AE498" s="196"/>
      <c r="AF498" s="196"/>
      <c r="AG498" s="196"/>
      <c r="AH498" s="196"/>
      <c r="AI498" s="196"/>
      <c r="AJ498" s="196"/>
      <c r="AK498" s="196"/>
      <c r="AL498" s="196"/>
      <c r="AM498" s="196"/>
      <c r="AN498" s="196"/>
      <c r="AO498" s="196"/>
      <c r="AP498" s="196"/>
      <c r="AQ498" s="197"/>
      <c r="AR498" s="196"/>
      <c r="AS498" s="196"/>
      <c r="AT498" s="196"/>
      <c r="AU498" s="196"/>
      <c r="AV498" s="196"/>
      <c r="AW498" s="197"/>
      <c r="AX498" s="197"/>
      <c r="AY498" s="197"/>
      <c r="AZ498" s="197"/>
    </row>
    <row r="499" spans="1:52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7"/>
      <c r="N499" s="197"/>
      <c r="O499" s="198"/>
      <c r="P499" s="198"/>
      <c r="Q499" s="198"/>
      <c r="R499" s="196"/>
      <c r="S499" s="196"/>
      <c r="T499" s="196"/>
      <c r="U499" s="196"/>
      <c r="V499" s="196"/>
      <c r="W499" s="196"/>
      <c r="X499" s="197"/>
      <c r="Y499" s="197"/>
      <c r="Z499" s="197"/>
      <c r="AA499" s="196"/>
      <c r="AB499" s="196"/>
      <c r="AC499" s="196"/>
      <c r="AD499" s="196"/>
      <c r="AE499" s="196"/>
      <c r="AF499" s="196"/>
      <c r="AG499" s="196"/>
      <c r="AH499" s="196"/>
      <c r="AI499" s="196"/>
      <c r="AJ499" s="196"/>
      <c r="AK499" s="196"/>
      <c r="AL499" s="196"/>
      <c r="AM499" s="196"/>
      <c r="AN499" s="196"/>
      <c r="AO499" s="196"/>
      <c r="AP499" s="196"/>
      <c r="AQ499" s="197"/>
      <c r="AR499" s="196"/>
      <c r="AS499" s="196"/>
      <c r="AT499" s="196"/>
      <c r="AU499" s="196"/>
      <c r="AV499" s="196"/>
      <c r="AW499" s="197"/>
      <c r="AX499" s="197"/>
      <c r="AY499" s="197"/>
      <c r="AZ499" s="197"/>
    </row>
    <row r="500" spans="1:52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7"/>
      <c r="N500" s="197"/>
      <c r="O500" s="198"/>
      <c r="P500" s="198"/>
      <c r="Q500" s="198"/>
      <c r="R500" s="196"/>
      <c r="S500" s="196"/>
      <c r="T500" s="196"/>
      <c r="U500" s="196"/>
      <c r="V500" s="196"/>
      <c r="W500" s="196"/>
      <c r="X500" s="197"/>
      <c r="Y500" s="197"/>
      <c r="Z500" s="197"/>
      <c r="AA500" s="196"/>
      <c r="AB500" s="196"/>
      <c r="AC500" s="196"/>
      <c r="AD500" s="196"/>
      <c r="AE500" s="196"/>
      <c r="AF500" s="196"/>
      <c r="AG500" s="196"/>
      <c r="AH500" s="196"/>
      <c r="AI500" s="196"/>
      <c r="AJ500" s="196"/>
      <c r="AK500" s="196"/>
      <c r="AL500" s="196"/>
      <c r="AM500" s="196"/>
      <c r="AN500" s="196"/>
      <c r="AO500" s="196"/>
      <c r="AP500" s="196"/>
      <c r="AQ500" s="197"/>
      <c r="AR500" s="196"/>
      <c r="AS500" s="196"/>
      <c r="AT500" s="196"/>
      <c r="AU500" s="196"/>
      <c r="AV500" s="196"/>
      <c r="AW500" s="197"/>
      <c r="AX500" s="197"/>
      <c r="AY500" s="197"/>
      <c r="AZ500" s="197"/>
    </row>
    <row r="501" spans="1:52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7"/>
      <c r="N501" s="197"/>
      <c r="O501" s="198"/>
      <c r="P501" s="198"/>
      <c r="Q501" s="198"/>
      <c r="R501" s="196"/>
      <c r="S501" s="196"/>
      <c r="T501" s="196"/>
      <c r="U501" s="196"/>
      <c r="V501" s="196"/>
      <c r="W501" s="196"/>
      <c r="X501" s="197"/>
      <c r="Y501" s="197"/>
      <c r="Z501" s="197"/>
      <c r="AA501" s="196"/>
      <c r="AB501" s="196"/>
      <c r="AC501" s="196"/>
      <c r="AD501" s="196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  <c r="AP501" s="196"/>
      <c r="AQ501" s="197"/>
      <c r="AR501" s="196"/>
      <c r="AS501" s="196"/>
      <c r="AT501" s="196"/>
      <c r="AU501" s="196"/>
      <c r="AV501" s="196"/>
      <c r="AW501" s="197"/>
      <c r="AX501" s="197"/>
      <c r="AY501" s="197"/>
      <c r="AZ501" s="197"/>
    </row>
    <row r="502" spans="1:52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7"/>
      <c r="N502" s="197"/>
      <c r="O502" s="198"/>
      <c r="P502" s="198"/>
      <c r="Q502" s="198"/>
      <c r="R502" s="196"/>
      <c r="S502" s="196"/>
      <c r="T502" s="196"/>
      <c r="U502" s="196"/>
      <c r="V502" s="196"/>
      <c r="W502" s="196"/>
      <c r="X502" s="197"/>
      <c r="Y502" s="197"/>
      <c r="Z502" s="197"/>
      <c r="AA502" s="196"/>
      <c r="AB502" s="196"/>
      <c r="AC502" s="196"/>
      <c r="AD502" s="196"/>
      <c r="AE502" s="196"/>
      <c r="AF502" s="196"/>
      <c r="AG502" s="196"/>
      <c r="AH502" s="196"/>
      <c r="AI502" s="196"/>
      <c r="AJ502" s="196"/>
      <c r="AK502" s="196"/>
      <c r="AL502" s="196"/>
      <c r="AM502" s="196"/>
      <c r="AN502" s="196"/>
      <c r="AO502" s="196"/>
      <c r="AP502" s="196"/>
      <c r="AQ502" s="197"/>
      <c r="AR502" s="196"/>
      <c r="AS502" s="196"/>
      <c r="AT502" s="196"/>
      <c r="AU502" s="196"/>
      <c r="AV502" s="196"/>
      <c r="AW502" s="197"/>
      <c r="AX502" s="197"/>
      <c r="AY502" s="197"/>
      <c r="AZ502" s="197"/>
    </row>
    <row r="503" spans="1:52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7"/>
      <c r="N503" s="197"/>
      <c r="O503" s="198"/>
      <c r="P503" s="198"/>
      <c r="Q503" s="198"/>
      <c r="R503" s="196"/>
      <c r="S503" s="196"/>
      <c r="T503" s="196"/>
      <c r="U503" s="196"/>
      <c r="V503" s="196"/>
      <c r="W503" s="196"/>
      <c r="X503" s="197"/>
      <c r="Y503" s="197"/>
      <c r="Z503" s="197"/>
      <c r="AA503" s="196"/>
      <c r="AB503" s="196"/>
      <c r="AC503" s="196"/>
      <c r="AD503" s="196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  <c r="AP503" s="196"/>
      <c r="AQ503" s="197"/>
      <c r="AR503" s="196"/>
      <c r="AS503" s="196"/>
      <c r="AT503" s="196"/>
      <c r="AU503" s="196"/>
      <c r="AV503" s="196"/>
      <c r="AW503" s="197"/>
      <c r="AX503" s="197"/>
      <c r="AY503" s="197"/>
      <c r="AZ503" s="197"/>
    </row>
    <row r="504" spans="1:52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7"/>
      <c r="N504" s="197"/>
      <c r="O504" s="198"/>
      <c r="P504" s="198"/>
      <c r="Q504" s="198"/>
      <c r="R504" s="196"/>
      <c r="S504" s="196"/>
      <c r="T504" s="196"/>
      <c r="U504" s="196"/>
      <c r="V504" s="196"/>
      <c r="W504" s="196"/>
      <c r="X504" s="197"/>
      <c r="Y504" s="197"/>
      <c r="Z504" s="197"/>
      <c r="AA504" s="196"/>
      <c r="AB504" s="196"/>
      <c r="AC504" s="196"/>
      <c r="AD504" s="196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  <c r="AQ504" s="197"/>
      <c r="AR504" s="196"/>
      <c r="AS504" s="196"/>
      <c r="AT504" s="196"/>
      <c r="AU504" s="196"/>
      <c r="AV504" s="196"/>
      <c r="AW504" s="197"/>
      <c r="AX504" s="197"/>
      <c r="AY504" s="197"/>
      <c r="AZ504" s="197"/>
    </row>
    <row r="505" spans="1:52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7"/>
      <c r="N505" s="197"/>
      <c r="O505" s="198"/>
      <c r="P505" s="198"/>
      <c r="Q505" s="198"/>
      <c r="R505" s="196"/>
      <c r="S505" s="196"/>
      <c r="T505" s="196"/>
      <c r="U505" s="196"/>
      <c r="V505" s="196"/>
      <c r="W505" s="196"/>
      <c r="X505" s="197"/>
      <c r="Y505" s="197"/>
      <c r="Z505" s="197"/>
      <c r="AA505" s="196"/>
      <c r="AB505" s="196"/>
      <c r="AC505" s="196"/>
      <c r="AD505" s="196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7"/>
      <c r="AR505" s="196"/>
      <c r="AS505" s="196"/>
      <c r="AT505" s="196"/>
      <c r="AU505" s="196"/>
      <c r="AV505" s="196"/>
      <c r="AW505" s="197"/>
      <c r="AX505" s="197"/>
      <c r="AY505" s="197"/>
      <c r="AZ505" s="197"/>
    </row>
    <row r="506" spans="1:52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7"/>
      <c r="N506" s="197"/>
      <c r="O506" s="198"/>
      <c r="P506" s="198"/>
      <c r="Q506" s="198"/>
      <c r="R506" s="196"/>
      <c r="S506" s="196"/>
      <c r="T506" s="196"/>
      <c r="U506" s="196"/>
      <c r="V506" s="196"/>
      <c r="W506" s="196"/>
      <c r="X506" s="197"/>
      <c r="Y506" s="197"/>
      <c r="Z506" s="197"/>
      <c r="AA506" s="196"/>
      <c r="AB506" s="196"/>
      <c r="AC506" s="196"/>
      <c r="AD506" s="196"/>
      <c r="AE506" s="196"/>
      <c r="AF506" s="196"/>
      <c r="AG506" s="196"/>
      <c r="AH506" s="196"/>
      <c r="AI506" s="196"/>
      <c r="AJ506" s="196"/>
      <c r="AK506" s="196"/>
      <c r="AL506" s="196"/>
      <c r="AM506" s="196"/>
      <c r="AN506" s="196"/>
      <c r="AO506" s="196"/>
      <c r="AP506" s="196"/>
      <c r="AQ506" s="197"/>
      <c r="AR506" s="196"/>
      <c r="AS506" s="196"/>
      <c r="AT506" s="196"/>
      <c r="AU506" s="196"/>
      <c r="AV506" s="196"/>
      <c r="AW506" s="197"/>
      <c r="AX506" s="197"/>
      <c r="AY506" s="197"/>
      <c r="AZ506" s="197"/>
    </row>
    <row r="507" spans="1:52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7"/>
      <c r="N507" s="197"/>
      <c r="O507" s="198"/>
      <c r="P507" s="198"/>
      <c r="Q507" s="198"/>
      <c r="R507" s="196"/>
      <c r="S507" s="196"/>
      <c r="T507" s="196"/>
      <c r="U507" s="196"/>
      <c r="V507" s="196"/>
      <c r="W507" s="196"/>
      <c r="X507" s="197"/>
      <c r="Y507" s="197"/>
      <c r="Z507" s="197"/>
      <c r="AA507" s="196"/>
      <c r="AB507" s="196"/>
      <c r="AC507" s="196"/>
      <c r="AD507" s="196"/>
      <c r="AE507" s="196"/>
      <c r="AF507" s="196"/>
      <c r="AG507" s="196"/>
      <c r="AH507" s="196"/>
      <c r="AI507" s="196"/>
      <c r="AJ507" s="196"/>
      <c r="AK507" s="196"/>
      <c r="AL507" s="196"/>
      <c r="AM507" s="196"/>
      <c r="AN507" s="196"/>
      <c r="AO507" s="196"/>
      <c r="AP507" s="196"/>
      <c r="AQ507" s="197"/>
      <c r="AR507" s="196"/>
      <c r="AS507" s="196"/>
      <c r="AT507" s="196"/>
      <c r="AU507" s="196"/>
      <c r="AV507" s="196"/>
      <c r="AW507" s="197"/>
      <c r="AX507" s="197"/>
      <c r="AY507" s="197"/>
      <c r="AZ507" s="197"/>
    </row>
    <row r="508" spans="1:52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7"/>
      <c r="N508" s="197"/>
      <c r="O508" s="198"/>
      <c r="P508" s="198"/>
      <c r="Q508" s="198"/>
      <c r="R508" s="196"/>
      <c r="S508" s="196"/>
      <c r="T508" s="196"/>
      <c r="U508" s="196"/>
      <c r="V508" s="196"/>
      <c r="W508" s="196"/>
      <c r="X508" s="197"/>
      <c r="Y508" s="197"/>
      <c r="Z508" s="197"/>
      <c r="AA508" s="196"/>
      <c r="AB508" s="196"/>
      <c r="AC508" s="196"/>
      <c r="AD508" s="196"/>
      <c r="AE508" s="196"/>
      <c r="AF508" s="196"/>
      <c r="AG508" s="196"/>
      <c r="AH508" s="196"/>
      <c r="AI508" s="196"/>
      <c r="AJ508" s="196"/>
      <c r="AK508" s="196"/>
      <c r="AL508" s="196"/>
      <c r="AM508" s="196"/>
      <c r="AN508" s="196"/>
      <c r="AO508" s="196"/>
      <c r="AP508" s="196"/>
      <c r="AQ508" s="197"/>
      <c r="AR508" s="196"/>
      <c r="AS508" s="196"/>
      <c r="AT508" s="196"/>
      <c r="AU508" s="196"/>
      <c r="AV508" s="196"/>
      <c r="AW508" s="197"/>
      <c r="AX508" s="197"/>
      <c r="AY508" s="197"/>
      <c r="AZ508" s="197"/>
    </row>
    <row r="509" spans="1:52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7"/>
      <c r="N509" s="197"/>
      <c r="O509" s="198"/>
      <c r="P509" s="198"/>
      <c r="Q509" s="198"/>
      <c r="R509" s="196"/>
      <c r="S509" s="196"/>
      <c r="T509" s="196"/>
      <c r="U509" s="196"/>
      <c r="V509" s="196"/>
      <c r="W509" s="196"/>
      <c r="X509" s="197"/>
      <c r="Y509" s="197"/>
      <c r="Z509" s="197"/>
      <c r="AA509" s="196"/>
      <c r="AB509" s="196"/>
      <c r="AC509" s="196"/>
      <c r="AD509" s="196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  <c r="AQ509" s="197"/>
      <c r="AR509" s="196"/>
      <c r="AS509" s="196"/>
      <c r="AT509" s="196"/>
      <c r="AU509" s="196"/>
      <c r="AV509" s="196"/>
      <c r="AW509" s="197"/>
      <c r="AX509" s="197"/>
      <c r="AY509" s="197"/>
      <c r="AZ509" s="197"/>
    </row>
    <row r="510" spans="1:52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7"/>
      <c r="N510" s="197"/>
      <c r="O510" s="198"/>
      <c r="P510" s="198"/>
      <c r="Q510" s="198"/>
      <c r="R510" s="196"/>
      <c r="S510" s="196"/>
      <c r="T510" s="196"/>
      <c r="U510" s="196"/>
      <c r="V510" s="196"/>
      <c r="W510" s="196"/>
      <c r="X510" s="197"/>
      <c r="Y510" s="197"/>
      <c r="Z510" s="197"/>
      <c r="AA510" s="196"/>
      <c r="AB510" s="196"/>
      <c r="AC510" s="196"/>
      <c r="AD510" s="196"/>
      <c r="AE510" s="196"/>
      <c r="AF510" s="196"/>
      <c r="AG510" s="196"/>
      <c r="AH510" s="196"/>
      <c r="AI510" s="196"/>
      <c r="AJ510" s="196"/>
      <c r="AK510" s="196"/>
      <c r="AL510" s="196"/>
      <c r="AM510" s="196"/>
      <c r="AN510" s="196"/>
      <c r="AO510" s="196"/>
      <c r="AP510" s="196"/>
      <c r="AQ510" s="197"/>
      <c r="AR510" s="196"/>
      <c r="AS510" s="196"/>
      <c r="AT510" s="196"/>
      <c r="AU510" s="196"/>
      <c r="AV510" s="196"/>
      <c r="AW510" s="197"/>
      <c r="AX510" s="197"/>
      <c r="AY510" s="197"/>
      <c r="AZ510" s="197"/>
    </row>
    <row r="511" spans="1:52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7"/>
      <c r="N511" s="197"/>
      <c r="O511" s="198"/>
      <c r="P511" s="198"/>
      <c r="Q511" s="198"/>
      <c r="R511" s="196"/>
      <c r="S511" s="196"/>
      <c r="T511" s="196"/>
      <c r="U511" s="196"/>
      <c r="V511" s="196"/>
      <c r="W511" s="196"/>
      <c r="X511" s="197"/>
      <c r="Y511" s="197"/>
      <c r="Z511" s="197"/>
      <c r="AA511" s="196"/>
      <c r="AB511" s="196"/>
      <c r="AC511" s="196"/>
      <c r="AD511" s="196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  <c r="AP511" s="196"/>
      <c r="AQ511" s="197"/>
      <c r="AR511" s="196"/>
      <c r="AS511" s="196"/>
      <c r="AT511" s="196"/>
      <c r="AU511" s="196"/>
      <c r="AV511" s="196"/>
      <c r="AW511" s="197"/>
      <c r="AX511" s="197"/>
      <c r="AY511" s="197"/>
      <c r="AZ511" s="197"/>
    </row>
    <row r="512" spans="1:52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7"/>
      <c r="N512" s="197"/>
      <c r="O512" s="198"/>
      <c r="P512" s="198"/>
      <c r="Q512" s="198"/>
      <c r="R512" s="196"/>
      <c r="S512" s="196"/>
      <c r="T512" s="196"/>
      <c r="U512" s="196"/>
      <c r="V512" s="196"/>
      <c r="W512" s="196"/>
      <c r="X512" s="197"/>
      <c r="Y512" s="197"/>
      <c r="Z512" s="197"/>
      <c r="AA512" s="196"/>
      <c r="AB512" s="196"/>
      <c r="AC512" s="196"/>
      <c r="AD512" s="196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  <c r="AQ512" s="197"/>
      <c r="AR512" s="196"/>
      <c r="AS512" s="196"/>
      <c r="AT512" s="196"/>
      <c r="AU512" s="196"/>
      <c r="AV512" s="196"/>
      <c r="AW512" s="197"/>
      <c r="AX512" s="197"/>
      <c r="AY512" s="197"/>
      <c r="AZ512" s="197"/>
    </row>
    <row r="513" spans="1:52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7"/>
      <c r="N513" s="197"/>
      <c r="O513" s="198"/>
      <c r="P513" s="198"/>
      <c r="Q513" s="198"/>
      <c r="R513" s="196"/>
      <c r="S513" s="196"/>
      <c r="T513" s="196"/>
      <c r="U513" s="196"/>
      <c r="V513" s="196"/>
      <c r="W513" s="196"/>
      <c r="X513" s="197"/>
      <c r="Y513" s="197"/>
      <c r="Z513" s="197"/>
      <c r="AA513" s="196"/>
      <c r="AB513" s="196"/>
      <c r="AC513" s="196"/>
      <c r="AD513" s="196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  <c r="AP513" s="196"/>
      <c r="AQ513" s="197"/>
      <c r="AR513" s="196"/>
      <c r="AS513" s="196"/>
      <c r="AT513" s="196"/>
      <c r="AU513" s="196"/>
      <c r="AV513" s="196"/>
      <c r="AW513" s="197"/>
      <c r="AX513" s="197"/>
      <c r="AY513" s="197"/>
      <c r="AZ513" s="197"/>
    </row>
    <row r="514" spans="1:52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7"/>
      <c r="N514" s="197"/>
      <c r="O514" s="198"/>
      <c r="P514" s="198"/>
      <c r="Q514" s="198"/>
      <c r="R514" s="196"/>
      <c r="S514" s="196"/>
      <c r="T514" s="196"/>
      <c r="U514" s="196"/>
      <c r="V514" s="196"/>
      <c r="W514" s="196"/>
      <c r="X514" s="197"/>
      <c r="Y514" s="197"/>
      <c r="Z514" s="197"/>
      <c r="AA514" s="196"/>
      <c r="AB514" s="196"/>
      <c r="AC514" s="196"/>
      <c r="AD514" s="196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  <c r="AP514" s="196"/>
      <c r="AQ514" s="197"/>
      <c r="AR514" s="196"/>
      <c r="AS514" s="196"/>
      <c r="AT514" s="196"/>
      <c r="AU514" s="196"/>
      <c r="AV514" s="196"/>
      <c r="AW514" s="197"/>
      <c r="AX514" s="197"/>
      <c r="AY514" s="197"/>
      <c r="AZ514" s="197"/>
    </row>
    <row r="515" spans="1:52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7"/>
      <c r="N515" s="197"/>
      <c r="O515" s="198"/>
      <c r="P515" s="198"/>
      <c r="Q515" s="198"/>
      <c r="R515" s="196"/>
      <c r="S515" s="196"/>
      <c r="T515" s="196"/>
      <c r="U515" s="196"/>
      <c r="V515" s="196"/>
      <c r="W515" s="196"/>
      <c r="X515" s="197"/>
      <c r="Y515" s="197"/>
      <c r="Z515" s="197"/>
      <c r="AA515" s="196"/>
      <c r="AB515" s="196"/>
      <c r="AC515" s="196"/>
      <c r="AD515" s="196"/>
      <c r="AE515" s="196"/>
      <c r="AF515" s="196"/>
      <c r="AG515" s="196"/>
      <c r="AH515" s="196"/>
      <c r="AI515" s="196"/>
      <c r="AJ515" s="196"/>
      <c r="AK515" s="196"/>
      <c r="AL515" s="196"/>
      <c r="AM515" s="196"/>
      <c r="AN515" s="196"/>
      <c r="AO515" s="196"/>
      <c r="AP515" s="196"/>
      <c r="AQ515" s="197"/>
      <c r="AR515" s="196"/>
      <c r="AS515" s="196"/>
      <c r="AT515" s="196"/>
      <c r="AU515" s="196"/>
      <c r="AV515" s="196"/>
      <c r="AW515" s="197"/>
      <c r="AX515" s="197"/>
      <c r="AY515" s="197"/>
      <c r="AZ515" s="197"/>
    </row>
    <row r="516" spans="1:52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7"/>
      <c r="N516" s="197"/>
      <c r="O516" s="198"/>
      <c r="P516" s="198"/>
      <c r="Q516" s="198"/>
      <c r="R516" s="196"/>
      <c r="S516" s="196"/>
      <c r="T516" s="196"/>
      <c r="U516" s="196"/>
      <c r="V516" s="196"/>
      <c r="W516" s="196"/>
      <c r="X516" s="197"/>
      <c r="Y516" s="197"/>
      <c r="Z516" s="197"/>
      <c r="AA516" s="196"/>
      <c r="AB516" s="196"/>
      <c r="AC516" s="196"/>
      <c r="AD516" s="196"/>
      <c r="AE516" s="196"/>
      <c r="AF516" s="196"/>
      <c r="AG516" s="196"/>
      <c r="AH516" s="196"/>
      <c r="AI516" s="196"/>
      <c r="AJ516" s="196"/>
      <c r="AK516" s="196"/>
      <c r="AL516" s="196"/>
      <c r="AM516" s="196"/>
      <c r="AN516" s="196"/>
      <c r="AO516" s="196"/>
      <c r="AP516" s="196"/>
      <c r="AQ516" s="197"/>
      <c r="AR516" s="196"/>
      <c r="AS516" s="196"/>
      <c r="AT516" s="196"/>
      <c r="AU516" s="196"/>
      <c r="AV516" s="196"/>
      <c r="AW516" s="197"/>
      <c r="AX516" s="197"/>
      <c r="AY516" s="197"/>
      <c r="AZ516" s="197"/>
    </row>
    <row r="517" spans="1:52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7"/>
      <c r="N517" s="197"/>
      <c r="O517" s="198"/>
      <c r="P517" s="198"/>
      <c r="Q517" s="198"/>
      <c r="R517" s="196"/>
      <c r="S517" s="196"/>
      <c r="T517" s="196"/>
      <c r="U517" s="196"/>
      <c r="V517" s="196"/>
      <c r="W517" s="196"/>
      <c r="X517" s="197"/>
      <c r="Y517" s="197"/>
      <c r="Z517" s="197"/>
      <c r="AA517" s="196"/>
      <c r="AB517" s="196"/>
      <c r="AC517" s="196"/>
      <c r="AD517" s="196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  <c r="AP517" s="196"/>
      <c r="AQ517" s="197"/>
      <c r="AR517" s="196"/>
      <c r="AS517" s="196"/>
      <c r="AT517" s="196"/>
      <c r="AU517" s="196"/>
      <c r="AV517" s="196"/>
      <c r="AW517" s="197"/>
      <c r="AX517" s="197"/>
      <c r="AY517" s="197"/>
      <c r="AZ517" s="197"/>
    </row>
    <row r="518" spans="1:52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7"/>
      <c r="N518" s="197"/>
      <c r="O518" s="198"/>
      <c r="P518" s="198"/>
      <c r="Q518" s="198"/>
      <c r="R518" s="196"/>
      <c r="S518" s="196"/>
      <c r="T518" s="196"/>
      <c r="U518" s="196"/>
      <c r="V518" s="196"/>
      <c r="W518" s="196"/>
      <c r="X518" s="197"/>
      <c r="Y518" s="197"/>
      <c r="Z518" s="197"/>
      <c r="AA518" s="196"/>
      <c r="AB518" s="196"/>
      <c r="AC518" s="196"/>
      <c r="AD518" s="196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7"/>
      <c r="AR518" s="196"/>
      <c r="AS518" s="196"/>
      <c r="AT518" s="196"/>
      <c r="AU518" s="196"/>
      <c r="AV518" s="196"/>
      <c r="AW518" s="197"/>
      <c r="AX518" s="197"/>
      <c r="AY518" s="197"/>
      <c r="AZ518" s="197"/>
    </row>
    <row r="519" spans="1:52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7"/>
      <c r="N519" s="197"/>
      <c r="O519" s="198"/>
      <c r="P519" s="198"/>
      <c r="Q519" s="198"/>
      <c r="R519" s="196"/>
      <c r="S519" s="196"/>
      <c r="T519" s="196"/>
      <c r="U519" s="196"/>
      <c r="V519" s="196"/>
      <c r="W519" s="196"/>
      <c r="X519" s="197"/>
      <c r="Y519" s="197"/>
      <c r="Z519" s="197"/>
      <c r="AA519" s="196"/>
      <c r="AB519" s="196"/>
      <c r="AC519" s="196"/>
      <c r="AD519" s="196"/>
      <c r="AE519" s="196"/>
      <c r="AF519" s="196"/>
      <c r="AG519" s="196"/>
      <c r="AH519" s="196"/>
      <c r="AI519" s="196"/>
      <c r="AJ519" s="196"/>
      <c r="AK519" s="196"/>
      <c r="AL519" s="196"/>
      <c r="AM519" s="196"/>
      <c r="AN519" s="196"/>
      <c r="AO519" s="196"/>
      <c r="AP519" s="196"/>
      <c r="AQ519" s="197"/>
      <c r="AR519" s="196"/>
      <c r="AS519" s="196"/>
      <c r="AT519" s="196"/>
      <c r="AU519" s="196"/>
      <c r="AV519" s="196"/>
      <c r="AW519" s="197"/>
      <c r="AX519" s="197"/>
      <c r="AY519" s="197"/>
      <c r="AZ519" s="197"/>
    </row>
    <row r="520" spans="1:52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7"/>
      <c r="N520" s="197"/>
      <c r="O520" s="198"/>
      <c r="P520" s="198"/>
      <c r="Q520" s="198"/>
      <c r="R520" s="196"/>
      <c r="S520" s="196"/>
      <c r="T520" s="196"/>
      <c r="U520" s="196"/>
      <c r="V520" s="196"/>
      <c r="W520" s="196"/>
      <c r="X520" s="197"/>
      <c r="Y520" s="197"/>
      <c r="Z520" s="197"/>
      <c r="AA520" s="196"/>
      <c r="AB520" s="196"/>
      <c r="AC520" s="196"/>
      <c r="AD520" s="196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  <c r="AQ520" s="197"/>
      <c r="AR520" s="196"/>
      <c r="AS520" s="196"/>
      <c r="AT520" s="196"/>
      <c r="AU520" s="196"/>
      <c r="AV520" s="196"/>
      <c r="AW520" s="197"/>
      <c r="AX520" s="197"/>
      <c r="AY520" s="197"/>
      <c r="AZ520" s="197"/>
    </row>
    <row r="521" spans="1:52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7"/>
      <c r="N521" s="197"/>
      <c r="O521" s="198"/>
      <c r="P521" s="198"/>
      <c r="Q521" s="198"/>
      <c r="R521" s="196"/>
      <c r="S521" s="196"/>
      <c r="T521" s="196"/>
      <c r="U521" s="196"/>
      <c r="V521" s="196"/>
      <c r="W521" s="196"/>
      <c r="X521" s="197"/>
      <c r="Y521" s="197"/>
      <c r="Z521" s="197"/>
      <c r="AA521" s="196"/>
      <c r="AB521" s="196"/>
      <c r="AC521" s="196"/>
      <c r="AD521" s="196"/>
      <c r="AE521" s="196"/>
      <c r="AF521" s="196"/>
      <c r="AG521" s="196"/>
      <c r="AH521" s="196"/>
      <c r="AI521" s="196"/>
      <c r="AJ521" s="196"/>
      <c r="AK521" s="196"/>
      <c r="AL521" s="196"/>
      <c r="AM521" s="196"/>
      <c r="AN521" s="196"/>
      <c r="AO521" s="196"/>
      <c r="AP521" s="196"/>
      <c r="AQ521" s="197"/>
      <c r="AR521" s="196"/>
      <c r="AS521" s="196"/>
      <c r="AT521" s="196"/>
      <c r="AU521" s="196"/>
      <c r="AV521" s="196"/>
      <c r="AW521" s="197"/>
      <c r="AX521" s="197"/>
      <c r="AY521" s="197"/>
      <c r="AZ521" s="197"/>
    </row>
    <row r="522" spans="1:52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7"/>
      <c r="N522" s="197"/>
      <c r="O522" s="198"/>
      <c r="P522" s="198"/>
      <c r="Q522" s="198"/>
      <c r="R522" s="196"/>
      <c r="S522" s="196"/>
      <c r="T522" s="196"/>
      <c r="U522" s="196"/>
      <c r="V522" s="196"/>
      <c r="W522" s="196"/>
      <c r="X522" s="197"/>
      <c r="Y522" s="197"/>
      <c r="Z522" s="197"/>
      <c r="AA522" s="196"/>
      <c r="AB522" s="196"/>
      <c r="AC522" s="196"/>
      <c r="AD522" s="196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  <c r="AP522" s="196"/>
      <c r="AQ522" s="197"/>
      <c r="AR522" s="196"/>
      <c r="AS522" s="196"/>
      <c r="AT522" s="196"/>
      <c r="AU522" s="196"/>
      <c r="AV522" s="196"/>
      <c r="AW522" s="197"/>
      <c r="AX522" s="197"/>
      <c r="AY522" s="197"/>
      <c r="AZ522" s="197"/>
    </row>
    <row r="523" spans="1:52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7"/>
      <c r="N523" s="197"/>
      <c r="O523" s="198"/>
      <c r="P523" s="198"/>
      <c r="Q523" s="198"/>
      <c r="R523" s="196"/>
      <c r="S523" s="196"/>
      <c r="T523" s="196"/>
      <c r="U523" s="196"/>
      <c r="V523" s="196"/>
      <c r="W523" s="196"/>
      <c r="X523" s="197"/>
      <c r="Y523" s="197"/>
      <c r="Z523" s="197"/>
      <c r="AA523" s="196"/>
      <c r="AB523" s="196"/>
      <c r="AC523" s="196"/>
      <c r="AD523" s="196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  <c r="AQ523" s="197"/>
      <c r="AR523" s="196"/>
      <c r="AS523" s="196"/>
      <c r="AT523" s="196"/>
      <c r="AU523" s="196"/>
      <c r="AV523" s="196"/>
      <c r="AW523" s="197"/>
      <c r="AX523" s="197"/>
      <c r="AY523" s="197"/>
      <c r="AZ523" s="197"/>
    </row>
    <row r="524" spans="1:52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7"/>
      <c r="N524" s="197"/>
      <c r="O524" s="198"/>
      <c r="P524" s="198"/>
      <c r="Q524" s="198"/>
      <c r="R524" s="196"/>
      <c r="S524" s="196"/>
      <c r="T524" s="196"/>
      <c r="U524" s="196"/>
      <c r="V524" s="196"/>
      <c r="W524" s="196"/>
      <c r="X524" s="197"/>
      <c r="Y524" s="197"/>
      <c r="Z524" s="197"/>
      <c r="AA524" s="196"/>
      <c r="AB524" s="196"/>
      <c r="AC524" s="196"/>
      <c r="AD524" s="196"/>
      <c r="AE524" s="196"/>
      <c r="AF524" s="196"/>
      <c r="AG524" s="196"/>
      <c r="AH524" s="196"/>
      <c r="AI524" s="196"/>
      <c r="AJ524" s="196"/>
      <c r="AK524" s="196"/>
      <c r="AL524" s="196"/>
      <c r="AM524" s="196"/>
      <c r="AN524" s="196"/>
      <c r="AO524" s="196"/>
      <c r="AP524" s="196"/>
      <c r="AQ524" s="197"/>
      <c r="AR524" s="196"/>
      <c r="AS524" s="196"/>
      <c r="AT524" s="196"/>
      <c r="AU524" s="196"/>
      <c r="AV524" s="196"/>
      <c r="AW524" s="197"/>
      <c r="AX524" s="197"/>
      <c r="AY524" s="197"/>
      <c r="AZ524" s="197"/>
    </row>
    <row r="525" spans="1:52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7"/>
      <c r="N525" s="197"/>
      <c r="O525" s="198"/>
      <c r="P525" s="198"/>
      <c r="Q525" s="198"/>
      <c r="R525" s="196"/>
      <c r="S525" s="196"/>
      <c r="T525" s="196"/>
      <c r="U525" s="196"/>
      <c r="V525" s="196"/>
      <c r="W525" s="196"/>
      <c r="X525" s="197"/>
      <c r="Y525" s="197"/>
      <c r="Z525" s="197"/>
      <c r="AA525" s="196"/>
      <c r="AB525" s="196"/>
      <c r="AC525" s="196"/>
      <c r="AD525" s="196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  <c r="AP525" s="196"/>
      <c r="AQ525" s="197"/>
      <c r="AR525" s="196"/>
      <c r="AS525" s="196"/>
      <c r="AT525" s="196"/>
      <c r="AU525" s="196"/>
      <c r="AV525" s="196"/>
      <c r="AW525" s="197"/>
      <c r="AX525" s="197"/>
      <c r="AY525" s="197"/>
      <c r="AZ525" s="197"/>
    </row>
    <row r="526" spans="1:52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7"/>
      <c r="N526" s="197"/>
      <c r="O526" s="198"/>
      <c r="P526" s="198"/>
      <c r="Q526" s="198"/>
      <c r="R526" s="196"/>
      <c r="S526" s="196"/>
      <c r="T526" s="196"/>
      <c r="U526" s="196"/>
      <c r="V526" s="196"/>
      <c r="W526" s="196"/>
      <c r="X526" s="197"/>
      <c r="Y526" s="197"/>
      <c r="Z526" s="197"/>
      <c r="AA526" s="196"/>
      <c r="AB526" s="196"/>
      <c r="AC526" s="196"/>
      <c r="AD526" s="196"/>
      <c r="AE526" s="196"/>
      <c r="AF526" s="196"/>
      <c r="AG526" s="196"/>
      <c r="AH526" s="196"/>
      <c r="AI526" s="196"/>
      <c r="AJ526" s="196"/>
      <c r="AK526" s="196"/>
      <c r="AL526" s="196"/>
      <c r="AM526" s="196"/>
      <c r="AN526" s="196"/>
      <c r="AO526" s="196"/>
      <c r="AP526" s="196"/>
      <c r="AQ526" s="197"/>
      <c r="AR526" s="196"/>
      <c r="AS526" s="196"/>
      <c r="AT526" s="196"/>
      <c r="AU526" s="196"/>
      <c r="AV526" s="196"/>
      <c r="AW526" s="197"/>
      <c r="AX526" s="197"/>
      <c r="AY526" s="197"/>
      <c r="AZ526" s="197"/>
    </row>
    <row r="527" spans="1:52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7"/>
      <c r="N527" s="197"/>
      <c r="O527" s="198"/>
      <c r="P527" s="198"/>
      <c r="Q527" s="198"/>
      <c r="R527" s="196"/>
      <c r="S527" s="196"/>
      <c r="T527" s="196"/>
      <c r="U527" s="196"/>
      <c r="V527" s="196"/>
      <c r="W527" s="196"/>
      <c r="X527" s="197"/>
      <c r="Y527" s="197"/>
      <c r="Z527" s="197"/>
      <c r="AA527" s="196"/>
      <c r="AB527" s="196"/>
      <c r="AC527" s="196"/>
      <c r="AD527" s="196"/>
      <c r="AE527" s="196"/>
      <c r="AF527" s="196"/>
      <c r="AG527" s="196"/>
      <c r="AH527" s="196"/>
      <c r="AI527" s="196"/>
      <c r="AJ527" s="196"/>
      <c r="AK527" s="196"/>
      <c r="AL527" s="196"/>
      <c r="AM527" s="196"/>
      <c r="AN527" s="196"/>
      <c r="AO527" s="196"/>
      <c r="AP527" s="196"/>
      <c r="AQ527" s="197"/>
      <c r="AR527" s="196"/>
      <c r="AS527" s="196"/>
      <c r="AT527" s="196"/>
      <c r="AU527" s="196"/>
      <c r="AV527" s="196"/>
      <c r="AW527" s="197"/>
      <c r="AX527" s="197"/>
      <c r="AY527" s="197"/>
      <c r="AZ527" s="197"/>
    </row>
    <row r="528" spans="1:52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7"/>
      <c r="N528" s="197"/>
      <c r="O528" s="198"/>
      <c r="P528" s="198"/>
      <c r="Q528" s="198"/>
      <c r="R528" s="196"/>
      <c r="S528" s="196"/>
      <c r="T528" s="196"/>
      <c r="U528" s="196"/>
      <c r="V528" s="196"/>
      <c r="W528" s="196"/>
      <c r="X528" s="197"/>
      <c r="Y528" s="197"/>
      <c r="Z528" s="197"/>
      <c r="AA528" s="196"/>
      <c r="AB528" s="196"/>
      <c r="AC528" s="196"/>
      <c r="AD528" s="196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  <c r="AP528" s="196"/>
      <c r="AQ528" s="197"/>
      <c r="AR528" s="196"/>
      <c r="AS528" s="196"/>
      <c r="AT528" s="196"/>
      <c r="AU528" s="196"/>
      <c r="AV528" s="196"/>
      <c r="AW528" s="197"/>
      <c r="AX528" s="197"/>
      <c r="AY528" s="197"/>
      <c r="AZ528" s="197"/>
    </row>
    <row r="529" spans="1:52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7"/>
      <c r="N529" s="197"/>
      <c r="O529" s="198"/>
      <c r="P529" s="198"/>
      <c r="Q529" s="198"/>
      <c r="R529" s="196"/>
      <c r="S529" s="196"/>
      <c r="T529" s="196"/>
      <c r="U529" s="196"/>
      <c r="V529" s="196"/>
      <c r="W529" s="196"/>
      <c r="X529" s="197"/>
      <c r="Y529" s="197"/>
      <c r="Z529" s="197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6"/>
      <c r="AQ529" s="197"/>
      <c r="AR529" s="196"/>
      <c r="AS529" s="196"/>
      <c r="AT529" s="196"/>
      <c r="AU529" s="196"/>
      <c r="AV529" s="196"/>
      <c r="AW529" s="197"/>
      <c r="AX529" s="197"/>
      <c r="AY529" s="197"/>
      <c r="AZ529" s="197"/>
    </row>
    <row r="530" spans="1:52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7"/>
      <c r="N530" s="197"/>
      <c r="O530" s="198"/>
      <c r="P530" s="198"/>
      <c r="Q530" s="198"/>
      <c r="R530" s="196"/>
      <c r="S530" s="196"/>
      <c r="T530" s="196"/>
      <c r="U530" s="196"/>
      <c r="V530" s="196"/>
      <c r="W530" s="196"/>
      <c r="X530" s="197"/>
      <c r="Y530" s="197"/>
      <c r="Z530" s="197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  <c r="AK530" s="196"/>
      <c r="AL530" s="196"/>
      <c r="AM530" s="196"/>
      <c r="AN530" s="196"/>
      <c r="AO530" s="196"/>
      <c r="AP530" s="196"/>
      <c r="AQ530" s="197"/>
      <c r="AR530" s="196"/>
      <c r="AS530" s="196"/>
      <c r="AT530" s="196"/>
      <c r="AU530" s="196"/>
      <c r="AV530" s="196"/>
      <c r="AW530" s="197"/>
      <c r="AX530" s="197"/>
      <c r="AY530" s="197"/>
      <c r="AZ530" s="197"/>
    </row>
    <row r="531" spans="1:52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7"/>
      <c r="N531" s="197"/>
      <c r="O531" s="198"/>
      <c r="P531" s="198"/>
      <c r="Q531" s="198"/>
      <c r="R531" s="196"/>
      <c r="S531" s="196"/>
      <c r="T531" s="196"/>
      <c r="U531" s="196"/>
      <c r="V531" s="196"/>
      <c r="W531" s="196"/>
      <c r="X531" s="197"/>
      <c r="Y531" s="197"/>
      <c r="Z531" s="197"/>
      <c r="AA531" s="196"/>
      <c r="AB531" s="196"/>
      <c r="AC531" s="196"/>
      <c r="AD531" s="196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  <c r="AO531" s="196"/>
      <c r="AP531" s="196"/>
      <c r="AQ531" s="197"/>
      <c r="AR531" s="196"/>
      <c r="AS531" s="196"/>
      <c r="AT531" s="196"/>
      <c r="AU531" s="196"/>
      <c r="AV531" s="196"/>
      <c r="AW531" s="197"/>
      <c r="AX531" s="197"/>
      <c r="AY531" s="197"/>
      <c r="AZ531" s="197"/>
    </row>
    <row r="532" spans="1:52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7"/>
      <c r="N532" s="197"/>
      <c r="O532" s="198"/>
      <c r="P532" s="198"/>
      <c r="Q532" s="198"/>
      <c r="R532" s="196"/>
      <c r="S532" s="196"/>
      <c r="T532" s="196"/>
      <c r="U532" s="196"/>
      <c r="V532" s="196"/>
      <c r="W532" s="196"/>
      <c r="X532" s="197"/>
      <c r="Y532" s="197"/>
      <c r="Z532" s="197"/>
      <c r="AA532" s="196"/>
      <c r="AB532" s="196"/>
      <c r="AC532" s="196"/>
      <c r="AD532" s="196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7"/>
      <c r="AR532" s="196"/>
      <c r="AS532" s="196"/>
      <c r="AT532" s="196"/>
      <c r="AU532" s="196"/>
      <c r="AV532" s="196"/>
      <c r="AW532" s="197"/>
      <c r="AX532" s="197"/>
      <c r="AY532" s="197"/>
      <c r="AZ532" s="197"/>
    </row>
    <row r="533" spans="1:52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7"/>
      <c r="N533" s="197"/>
      <c r="O533" s="198"/>
      <c r="P533" s="198"/>
      <c r="Q533" s="198"/>
      <c r="R533" s="196"/>
      <c r="S533" s="196"/>
      <c r="T533" s="196"/>
      <c r="U533" s="196"/>
      <c r="V533" s="196"/>
      <c r="W533" s="196"/>
      <c r="X533" s="197"/>
      <c r="Y533" s="197"/>
      <c r="Z533" s="197"/>
      <c r="AA533" s="196"/>
      <c r="AB533" s="196"/>
      <c r="AC533" s="196"/>
      <c r="AD533" s="196"/>
      <c r="AE533" s="196"/>
      <c r="AF533" s="196"/>
      <c r="AG533" s="196"/>
      <c r="AH533" s="196"/>
      <c r="AI533" s="196"/>
      <c r="AJ533" s="196"/>
      <c r="AK533" s="196"/>
      <c r="AL533" s="196"/>
      <c r="AM533" s="196"/>
      <c r="AN533" s="196"/>
      <c r="AO533" s="196"/>
      <c r="AP533" s="196"/>
      <c r="AQ533" s="197"/>
      <c r="AR533" s="196"/>
      <c r="AS533" s="196"/>
      <c r="AT533" s="196"/>
      <c r="AU533" s="196"/>
      <c r="AV533" s="196"/>
      <c r="AW533" s="197"/>
      <c r="AX533" s="197"/>
      <c r="AY533" s="197"/>
      <c r="AZ533" s="197"/>
    </row>
    <row r="534" spans="1:52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7"/>
      <c r="N534" s="197"/>
      <c r="O534" s="198"/>
      <c r="P534" s="198"/>
      <c r="Q534" s="198"/>
      <c r="R534" s="196"/>
      <c r="S534" s="196"/>
      <c r="T534" s="196"/>
      <c r="U534" s="196"/>
      <c r="V534" s="196"/>
      <c r="W534" s="196"/>
      <c r="X534" s="197"/>
      <c r="Y534" s="197"/>
      <c r="Z534" s="197"/>
      <c r="AA534" s="196"/>
      <c r="AB534" s="196"/>
      <c r="AC534" s="196"/>
      <c r="AD534" s="196"/>
      <c r="AE534" s="196"/>
      <c r="AF534" s="196"/>
      <c r="AG534" s="196"/>
      <c r="AH534" s="196"/>
      <c r="AI534" s="196"/>
      <c r="AJ534" s="196"/>
      <c r="AK534" s="196"/>
      <c r="AL534" s="196"/>
      <c r="AM534" s="196"/>
      <c r="AN534" s="196"/>
      <c r="AO534" s="196"/>
      <c r="AP534" s="196"/>
      <c r="AQ534" s="197"/>
      <c r="AR534" s="196"/>
      <c r="AS534" s="196"/>
      <c r="AT534" s="196"/>
      <c r="AU534" s="196"/>
      <c r="AV534" s="196"/>
      <c r="AW534" s="197"/>
      <c r="AX534" s="197"/>
      <c r="AY534" s="197"/>
      <c r="AZ534" s="197"/>
    </row>
    <row r="535" spans="1:52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7"/>
      <c r="N535" s="197"/>
      <c r="O535" s="198"/>
      <c r="P535" s="198"/>
      <c r="Q535" s="198"/>
      <c r="R535" s="196"/>
      <c r="S535" s="196"/>
      <c r="T535" s="196"/>
      <c r="U535" s="196"/>
      <c r="V535" s="196"/>
      <c r="W535" s="196"/>
      <c r="X535" s="197"/>
      <c r="Y535" s="197"/>
      <c r="Z535" s="197"/>
      <c r="AA535" s="196"/>
      <c r="AB535" s="196"/>
      <c r="AC535" s="196"/>
      <c r="AD535" s="196"/>
      <c r="AE535" s="196"/>
      <c r="AF535" s="196"/>
      <c r="AG535" s="196"/>
      <c r="AH535" s="196"/>
      <c r="AI535" s="196"/>
      <c r="AJ535" s="196"/>
      <c r="AK535" s="196"/>
      <c r="AL535" s="196"/>
      <c r="AM535" s="196"/>
      <c r="AN535" s="196"/>
      <c r="AO535" s="196"/>
      <c r="AP535" s="196"/>
      <c r="AQ535" s="197"/>
      <c r="AR535" s="196"/>
      <c r="AS535" s="196"/>
      <c r="AT535" s="196"/>
      <c r="AU535" s="196"/>
      <c r="AV535" s="196"/>
      <c r="AW535" s="197"/>
      <c r="AX535" s="197"/>
      <c r="AY535" s="197"/>
      <c r="AZ535" s="197"/>
    </row>
    <row r="536" spans="1:52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7"/>
      <c r="N536" s="197"/>
      <c r="O536" s="198"/>
      <c r="P536" s="198"/>
      <c r="Q536" s="198"/>
      <c r="R536" s="196"/>
      <c r="S536" s="196"/>
      <c r="T536" s="196"/>
      <c r="U536" s="196"/>
      <c r="V536" s="196"/>
      <c r="W536" s="196"/>
      <c r="X536" s="197"/>
      <c r="Y536" s="197"/>
      <c r="Z536" s="197"/>
      <c r="AA536" s="196"/>
      <c r="AB536" s="196"/>
      <c r="AC536" s="196"/>
      <c r="AD536" s="196"/>
      <c r="AE536" s="196"/>
      <c r="AF536" s="196"/>
      <c r="AG536" s="196"/>
      <c r="AH536" s="196"/>
      <c r="AI536" s="196"/>
      <c r="AJ536" s="196"/>
      <c r="AK536" s="196"/>
      <c r="AL536" s="196"/>
      <c r="AM536" s="196"/>
      <c r="AN536" s="196"/>
      <c r="AO536" s="196"/>
      <c r="AP536" s="196"/>
      <c r="AQ536" s="197"/>
      <c r="AR536" s="196"/>
      <c r="AS536" s="196"/>
      <c r="AT536" s="196"/>
      <c r="AU536" s="196"/>
      <c r="AV536" s="196"/>
      <c r="AW536" s="197"/>
      <c r="AX536" s="197"/>
      <c r="AY536" s="197"/>
      <c r="AZ536" s="197"/>
    </row>
    <row r="537" spans="1:52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7"/>
      <c r="N537" s="197"/>
      <c r="O537" s="198"/>
      <c r="P537" s="198"/>
      <c r="Q537" s="198"/>
      <c r="R537" s="196"/>
      <c r="S537" s="196"/>
      <c r="T537" s="196"/>
      <c r="U537" s="196"/>
      <c r="V537" s="196"/>
      <c r="W537" s="196"/>
      <c r="X537" s="197"/>
      <c r="Y537" s="197"/>
      <c r="Z537" s="197"/>
      <c r="AA537" s="196"/>
      <c r="AB537" s="196"/>
      <c r="AC537" s="196"/>
      <c r="AD537" s="196"/>
      <c r="AE537" s="196"/>
      <c r="AF537" s="196"/>
      <c r="AG537" s="196"/>
      <c r="AH537" s="196"/>
      <c r="AI537" s="196"/>
      <c r="AJ537" s="196"/>
      <c r="AK537" s="196"/>
      <c r="AL537" s="196"/>
      <c r="AM537" s="196"/>
      <c r="AN537" s="196"/>
      <c r="AO537" s="196"/>
      <c r="AP537" s="196"/>
      <c r="AQ537" s="197"/>
      <c r="AR537" s="196"/>
      <c r="AS537" s="196"/>
      <c r="AT537" s="196"/>
      <c r="AU537" s="196"/>
      <c r="AV537" s="196"/>
      <c r="AW537" s="197"/>
      <c r="AX537" s="197"/>
      <c r="AY537" s="197"/>
      <c r="AZ537" s="197"/>
    </row>
    <row r="538" spans="1:52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7"/>
      <c r="N538" s="197"/>
      <c r="O538" s="198"/>
      <c r="P538" s="198"/>
      <c r="Q538" s="198"/>
      <c r="R538" s="196"/>
      <c r="S538" s="196"/>
      <c r="T538" s="196"/>
      <c r="U538" s="196"/>
      <c r="V538" s="196"/>
      <c r="W538" s="196"/>
      <c r="X538" s="197"/>
      <c r="Y538" s="197"/>
      <c r="Z538" s="197"/>
      <c r="AA538" s="196"/>
      <c r="AB538" s="196"/>
      <c r="AC538" s="196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  <c r="AN538" s="196"/>
      <c r="AO538" s="196"/>
      <c r="AP538" s="196"/>
      <c r="AQ538" s="197"/>
      <c r="AR538" s="196"/>
      <c r="AS538" s="196"/>
      <c r="AT538" s="196"/>
      <c r="AU538" s="196"/>
      <c r="AV538" s="196"/>
      <c r="AW538" s="197"/>
      <c r="AX538" s="197"/>
      <c r="AY538" s="197"/>
      <c r="AZ538" s="197"/>
    </row>
    <row r="539" spans="1:52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7"/>
      <c r="N539" s="197"/>
      <c r="O539" s="198"/>
      <c r="P539" s="198"/>
      <c r="Q539" s="198"/>
      <c r="R539" s="196"/>
      <c r="S539" s="196"/>
      <c r="T539" s="196"/>
      <c r="U539" s="196"/>
      <c r="V539" s="196"/>
      <c r="W539" s="196"/>
      <c r="X539" s="197"/>
      <c r="Y539" s="197"/>
      <c r="Z539" s="197"/>
      <c r="AA539" s="196"/>
      <c r="AB539" s="196"/>
      <c r="AC539" s="196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  <c r="AN539" s="196"/>
      <c r="AO539" s="196"/>
      <c r="AP539" s="196"/>
      <c r="AQ539" s="197"/>
      <c r="AR539" s="196"/>
      <c r="AS539" s="196"/>
      <c r="AT539" s="196"/>
      <c r="AU539" s="196"/>
      <c r="AV539" s="196"/>
      <c r="AW539" s="197"/>
      <c r="AX539" s="197"/>
      <c r="AY539" s="197"/>
      <c r="AZ539" s="197"/>
    </row>
    <row r="540" spans="1:52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7"/>
      <c r="N540" s="197"/>
      <c r="O540" s="198"/>
      <c r="P540" s="198"/>
      <c r="Q540" s="198"/>
      <c r="R540" s="196"/>
      <c r="S540" s="196"/>
      <c r="T540" s="196"/>
      <c r="U540" s="196"/>
      <c r="V540" s="196"/>
      <c r="W540" s="196"/>
      <c r="X540" s="197"/>
      <c r="Y540" s="197"/>
      <c r="Z540" s="197"/>
      <c r="AA540" s="196"/>
      <c r="AB540" s="196"/>
      <c r="AC540" s="196"/>
      <c r="AD540" s="196"/>
      <c r="AE540" s="196"/>
      <c r="AF540" s="196"/>
      <c r="AG540" s="196"/>
      <c r="AH540" s="196"/>
      <c r="AI540" s="196"/>
      <c r="AJ540" s="196"/>
      <c r="AK540" s="196"/>
      <c r="AL540" s="196"/>
      <c r="AM540" s="196"/>
      <c r="AN540" s="196"/>
      <c r="AO540" s="196"/>
      <c r="AP540" s="196"/>
      <c r="AQ540" s="197"/>
      <c r="AR540" s="196"/>
      <c r="AS540" s="196"/>
      <c r="AT540" s="196"/>
      <c r="AU540" s="196"/>
      <c r="AV540" s="196"/>
      <c r="AW540" s="197"/>
      <c r="AX540" s="197"/>
      <c r="AY540" s="197"/>
      <c r="AZ540" s="197"/>
    </row>
    <row r="541" spans="1:52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7"/>
      <c r="N541" s="197"/>
      <c r="O541" s="198"/>
      <c r="P541" s="198"/>
      <c r="Q541" s="198"/>
      <c r="R541" s="196"/>
      <c r="S541" s="196"/>
      <c r="T541" s="196"/>
      <c r="U541" s="196"/>
      <c r="V541" s="196"/>
      <c r="W541" s="196"/>
      <c r="X541" s="197"/>
      <c r="Y541" s="197"/>
      <c r="Z541" s="197"/>
      <c r="AA541" s="196"/>
      <c r="AB541" s="196"/>
      <c r="AC541" s="196"/>
      <c r="AD541" s="196"/>
      <c r="AE541" s="196"/>
      <c r="AF541" s="196"/>
      <c r="AG541" s="196"/>
      <c r="AH541" s="196"/>
      <c r="AI541" s="196"/>
      <c r="AJ541" s="196"/>
      <c r="AK541" s="196"/>
      <c r="AL541" s="196"/>
      <c r="AM541" s="196"/>
      <c r="AN541" s="196"/>
      <c r="AO541" s="196"/>
      <c r="AP541" s="196"/>
      <c r="AQ541" s="197"/>
      <c r="AR541" s="196"/>
      <c r="AS541" s="196"/>
      <c r="AT541" s="196"/>
      <c r="AU541" s="196"/>
      <c r="AV541" s="196"/>
      <c r="AW541" s="197"/>
      <c r="AX541" s="197"/>
      <c r="AY541" s="197"/>
      <c r="AZ541" s="197"/>
    </row>
    <row r="542" spans="1:52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7"/>
      <c r="N542" s="197"/>
      <c r="O542" s="198"/>
      <c r="P542" s="198"/>
      <c r="Q542" s="198"/>
      <c r="R542" s="196"/>
      <c r="S542" s="196"/>
      <c r="T542" s="196"/>
      <c r="U542" s="196"/>
      <c r="V542" s="196"/>
      <c r="W542" s="196"/>
      <c r="X542" s="197"/>
      <c r="Y542" s="197"/>
      <c r="Z542" s="197"/>
      <c r="AA542" s="196"/>
      <c r="AB542" s="196"/>
      <c r="AC542" s="196"/>
      <c r="AD542" s="196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  <c r="AQ542" s="197"/>
      <c r="AR542" s="196"/>
      <c r="AS542" s="196"/>
      <c r="AT542" s="196"/>
      <c r="AU542" s="196"/>
      <c r="AV542" s="196"/>
      <c r="AW542" s="197"/>
      <c r="AX542" s="197"/>
      <c r="AY542" s="197"/>
      <c r="AZ542" s="197"/>
    </row>
    <row r="543" spans="1:52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7"/>
      <c r="N543" s="197"/>
      <c r="O543" s="198"/>
      <c r="P543" s="198"/>
      <c r="Q543" s="198"/>
      <c r="R543" s="196"/>
      <c r="S543" s="196"/>
      <c r="T543" s="196"/>
      <c r="U543" s="196"/>
      <c r="V543" s="196"/>
      <c r="W543" s="196"/>
      <c r="X543" s="197"/>
      <c r="Y543" s="197"/>
      <c r="Z543" s="197"/>
      <c r="AA543" s="196"/>
      <c r="AB543" s="196"/>
      <c r="AC543" s="196"/>
      <c r="AD543" s="196"/>
      <c r="AE543" s="196"/>
      <c r="AF543" s="196"/>
      <c r="AG543" s="196"/>
      <c r="AH543" s="196"/>
      <c r="AI543" s="196"/>
      <c r="AJ543" s="196"/>
      <c r="AK543" s="196"/>
      <c r="AL543" s="196"/>
      <c r="AM543" s="196"/>
      <c r="AN543" s="196"/>
      <c r="AO543" s="196"/>
      <c r="AP543" s="196"/>
      <c r="AQ543" s="197"/>
      <c r="AR543" s="196"/>
      <c r="AS543" s="196"/>
      <c r="AT543" s="196"/>
      <c r="AU543" s="196"/>
      <c r="AV543" s="196"/>
      <c r="AW543" s="197"/>
      <c r="AX543" s="197"/>
      <c r="AY543" s="197"/>
      <c r="AZ543" s="197"/>
    </row>
    <row r="544" spans="1:52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7"/>
      <c r="N544" s="197"/>
      <c r="O544" s="198"/>
      <c r="P544" s="198"/>
      <c r="Q544" s="198"/>
      <c r="R544" s="196"/>
      <c r="S544" s="196"/>
      <c r="T544" s="196"/>
      <c r="U544" s="196"/>
      <c r="V544" s="196"/>
      <c r="W544" s="196"/>
      <c r="X544" s="197"/>
      <c r="Y544" s="197"/>
      <c r="Z544" s="197"/>
      <c r="AA544" s="196"/>
      <c r="AB544" s="196"/>
      <c r="AC544" s="196"/>
      <c r="AD544" s="196"/>
      <c r="AE544" s="196"/>
      <c r="AF544" s="196"/>
      <c r="AG544" s="196"/>
      <c r="AH544" s="196"/>
      <c r="AI544" s="196"/>
      <c r="AJ544" s="196"/>
      <c r="AK544" s="196"/>
      <c r="AL544" s="196"/>
      <c r="AM544" s="196"/>
      <c r="AN544" s="196"/>
      <c r="AO544" s="196"/>
      <c r="AP544" s="196"/>
      <c r="AQ544" s="197"/>
      <c r="AR544" s="196"/>
      <c r="AS544" s="196"/>
      <c r="AT544" s="196"/>
      <c r="AU544" s="196"/>
      <c r="AV544" s="196"/>
      <c r="AW544" s="197"/>
      <c r="AX544" s="197"/>
      <c r="AY544" s="197"/>
      <c r="AZ544" s="197"/>
    </row>
    <row r="545" spans="1:52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7"/>
      <c r="N545" s="197"/>
      <c r="O545" s="198"/>
      <c r="P545" s="198"/>
      <c r="Q545" s="198"/>
      <c r="R545" s="196"/>
      <c r="S545" s="196"/>
      <c r="T545" s="196"/>
      <c r="U545" s="196"/>
      <c r="V545" s="196"/>
      <c r="W545" s="196"/>
      <c r="X545" s="197"/>
      <c r="Y545" s="197"/>
      <c r="Z545" s="197"/>
      <c r="AA545" s="196"/>
      <c r="AB545" s="196"/>
      <c r="AC545" s="196"/>
      <c r="AD545" s="196"/>
      <c r="AE545" s="196"/>
      <c r="AF545" s="196"/>
      <c r="AG545" s="196"/>
      <c r="AH545" s="196"/>
      <c r="AI545" s="196"/>
      <c r="AJ545" s="196"/>
      <c r="AK545" s="196"/>
      <c r="AL545" s="196"/>
      <c r="AM545" s="196"/>
      <c r="AN545" s="196"/>
      <c r="AO545" s="196"/>
      <c r="AP545" s="196"/>
      <c r="AQ545" s="197"/>
      <c r="AR545" s="196"/>
      <c r="AS545" s="196"/>
      <c r="AT545" s="196"/>
      <c r="AU545" s="196"/>
      <c r="AV545" s="196"/>
      <c r="AW545" s="197"/>
      <c r="AX545" s="197"/>
      <c r="AY545" s="197"/>
      <c r="AZ545" s="197"/>
    </row>
    <row r="546" spans="1:52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7"/>
      <c r="N546" s="197"/>
      <c r="O546" s="198"/>
      <c r="P546" s="198"/>
      <c r="Q546" s="198"/>
      <c r="R546" s="196"/>
      <c r="S546" s="196"/>
      <c r="T546" s="196"/>
      <c r="U546" s="196"/>
      <c r="V546" s="196"/>
      <c r="W546" s="196"/>
      <c r="X546" s="197"/>
      <c r="Y546" s="197"/>
      <c r="Z546" s="197"/>
      <c r="AA546" s="196"/>
      <c r="AB546" s="196"/>
      <c r="AC546" s="196"/>
      <c r="AD546" s="196"/>
      <c r="AE546" s="196"/>
      <c r="AF546" s="196"/>
      <c r="AG546" s="196"/>
      <c r="AH546" s="196"/>
      <c r="AI546" s="196"/>
      <c r="AJ546" s="196"/>
      <c r="AK546" s="196"/>
      <c r="AL546" s="196"/>
      <c r="AM546" s="196"/>
      <c r="AN546" s="196"/>
      <c r="AO546" s="196"/>
      <c r="AP546" s="196"/>
      <c r="AQ546" s="197"/>
      <c r="AR546" s="196"/>
      <c r="AS546" s="196"/>
      <c r="AT546" s="196"/>
      <c r="AU546" s="196"/>
      <c r="AV546" s="196"/>
      <c r="AW546" s="197"/>
      <c r="AX546" s="197"/>
      <c r="AY546" s="197"/>
      <c r="AZ546" s="197"/>
    </row>
    <row r="547" spans="1:52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7"/>
      <c r="N547" s="197"/>
      <c r="O547" s="198"/>
      <c r="P547" s="198"/>
      <c r="Q547" s="198"/>
      <c r="R547" s="196"/>
      <c r="S547" s="196"/>
      <c r="T547" s="196"/>
      <c r="U547" s="196"/>
      <c r="V547" s="196"/>
      <c r="W547" s="196"/>
      <c r="X547" s="197"/>
      <c r="Y547" s="197"/>
      <c r="Z547" s="197"/>
      <c r="AA547" s="196"/>
      <c r="AB547" s="196"/>
      <c r="AC547" s="196"/>
      <c r="AD547" s="196"/>
      <c r="AE547" s="196"/>
      <c r="AF547" s="196"/>
      <c r="AG547" s="196"/>
      <c r="AH547" s="196"/>
      <c r="AI547" s="196"/>
      <c r="AJ547" s="196"/>
      <c r="AK547" s="196"/>
      <c r="AL547" s="196"/>
      <c r="AM547" s="196"/>
      <c r="AN547" s="196"/>
      <c r="AO547" s="196"/>
      <c r="AP547" s="196"/>
      <c r="AQ547" s="197"/>
      <c r="AR547" s="196"/>
      <c r="AS547" s="196"/>
      <c r="AT547" s="196"/>
      <c r="AU547" s="196"/>
      <c r="AV547" s="196"/>
      <c r="AW547" s="197"/>
      <c r="AX547" s="197"/>
      <c r="AY547" s="197"/>
      <c r="AZ547" s="197"/>
    </row>
    <row r="548" spans="1:52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7"/>
      <c r="N548" s="197"/>
      <c r="O548" s="198"/>
      <c r="P548" s="198"/>
      <c r="Q548" s="198"/>
      <c r="R548" s="196"/>
      <c r="S548" s="196"/>
      <c r="T548" s="196"/>
      <c r="U548" s="196"/>
      <c r="V548" s="196"/>
      <c r="W548" s="196"/>
      <c r="X548" s="197"/>
      <c r="Y548" s="197"/>
      <c r="Z548" s="197"/>
      <c r="AA548" s="196"/>
      <c r="AB548" s="196"/>
      <c r="AC548" s="196"/>
      <c r="AD548" s="196"/>
      <c r="AE548" s="196"/>
      <c r="AF548" s="196"/>
      <c r="AG548" s="196"/>
      <c r="AH548" s="196"/>
      <c r="AI548" s="196"/>
      <c r="AJ548" s="196"/>
      <c r="AK548" s="196"/>
      <c r="AL548" s="196"/>
      <c r="AM548" s="196"/>
      <c r="AN548" s="196"/>
      <c r="AO548" s="196"/>
      <c r="AP548" s="196"/>
      <c r="AQ548" s="197"/>
      <c r="AR548" s="196"/>
      <c r="AS548" s="196"/>
      <c r="AT548" s="196"/>
      <c r="AU548" s="196"/>
      <c r="AV548" s="196"/>
      <c r="AW548" s="197"/>
      <c r="AX548" s="197"/>
      <c r="AY548" s="197"/>
      <c r="AZ548" s="197"/>
    </row>
    <row r="549" spans="1:52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7"/>
      <c r="N549" s="197"/>
      <c r="O549" s="198"/>
      <c r="P549" s="198"/>
      <c r="Q549" s="198"/>
      <c r="R549" s="196"/>
      <c r="S549" s="196"/>
      <c r="T549" s="196"/>
      <c r="U549" s="196"/>
      <c r="V549" s="196"/>
      <c r="W549" s="196"/>
      <c r="X549" s="197"/>
      <c r="Y549" s="197"/>
      <c r="Z549" s="197"/>
      <c r="AA549" s="196"/>
      <c r="AB549" s="196"/>
      <c r="AC549" s="196"/>
      <c r="AD549" s="196"/>
      <c r="AE549" s="196"/>
      <c r="AF549" s="196"/>
      <c r="AG549" s="196"/>
      <c r="AH549" s="196"/>
      <c r="AI549" s="196"/>
      <c r="AJ549" s="196"/>
      <c r="AK549" s="196"/>
      <c r="AL549" s="196"/>
      <c r="AM549" s="196"/>
      <c r="AN549" s="196"/>
      <c r="AO549" s="196"/>
      <c r="AP549" s="196"/>
      <c r="AQ549" s="197"/>
      <c r="AR549" s="196"/>
      <c r="AS549" s="196"/>
      <c r="AT549" s="196"/>
      <c r="AU549" s="196"/>
      <c r="AV549" s="196"/>
      <c r="AW549" s="197"/>
      <c r="AX549" s="197"/>
      <c r="AY549" s="197"/>
      <c r="AZ549" s="197"/>
    </row>
    <row r="550" spans="1:52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7"/>
      <c r="N550" s="197"/>
      <c r="O550" s="198"/>
      <c r="P550" s="198"/>
      <c r="Q550" s="198"/>
      <c r="R550" s="196"/>
      <c r="S550" s="196"/>
      <c r="T550" s="196"/>
      <c r="U550" s="196"/>
      <c r="V550" s="196"/>
      <c r="W550" s="196"/>
      <c r="X550" s="197"/>
      <c r="Y550" s="197"/>
      <c r="Z550" s="197"/>
      <c r="AA550" s="196"/>
      <c r="AB550" s="196"/>
      <c r="AC550" s="196"/>
      <c r="AD550" s="196"/>
      <c r="AE550" s="196"/>
      <c r="AF550" s="196"/>
      <c r="AG550" s="196"/>
      <c r="AH550" s="196"/>
      <c r="AI550" s="196"/>
      <c r="AJ550" s="196"/>
      <c r="AK550" s="196"/>
      <c r="AL550" s="196"/>
      <c r="AM550" s="196"/>
      <c r="AN550" s="196"/>
      <c r="AO550" s="196"/>
      <c r="AP550" s="196"/>
      <c r="AQ550" s="197"/>
      <c r="AR550" s="196"/>
      <c r="AS550" s="196"/>
      <c r="AT550" s="196"/>
      <c r="AU550" s="196"/>
      <c r="AV550" s="196"/>
      <c r="AW550" s="197"/>
      <c r="AX550" s="197"/>
      <c r="AY550" s="197"/>
      <c r="AZ550" s="197"/>
    </row>
    <row r="551" spans="1:52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7"/>
      <c r="N551" s="197"/>
      <c r="O551" s="198"/>
      <c r="P551" s="198"/>
      <c r="Q551" s="198"/>
      <c r="R551" s="196"/>
      <c r="S551" s="196"/>
      <c r="T551" s="196"/>
      <c r="U551" s="196"/>
      <c r="V551" s="196"/>
      <c r="W551" s="196"/>
      <c r="X551" s="197"/>
      <c r="Y551" s="197"/>
      <c r="Z551" s="197"/>
      <c r="AA551" s="196"/>
      <c r="AB551" s="196"/>
      <c r="AC551" s="196"/>
      <c r="AD551" s="196"/>
      <c r="AE551" s="196"/>
      <c r="AF551" s="196"/>
      <c r="AG551" s="196"/>
      <c r="AH551" s="196"/>
      <c r="AI551" s="196"/>
      <c r="AJ551" s="196"/>
      <c r="AK551" s="196"/>
      <c r="AL551" s="196"/>
      <c r="AM551" s="196"/>
      <c r="AN551" s="196"/>
      <c r="AO551" s="196"/>
      <c r="AP551" s="196"/>
      <c r="AQ551" s="197"/>
      <c r="AR551" s="196"/>
      <c r="AS551" s="196"/>
      <c r="AT551" s="196"/>
      <c r="AU551" s="196"/>
      <c r="AV551" s="196"/>
      <c r="AW551" s="197"/>
      <c r="AX551" s="197"/>
      <c r="AY551" s="197"/>
      <c r="AZ551" s="197"/>
    </row>
    <row r="552" spans="1:52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7"/>
      <c r="N552" s="197"/>
      <c r="O552" s="198"/>
      <c r="P552" s="198"/>
      <c r="Q552" s="198"/>
      <c r="R552" s="196"/>
      <c r="S552" s="196"/>
      <c r="T552" s="196"/>
      <c r="U552" s="196"/>
      <c r="V552" s="196"/>
      <c r="W552" s="196"/>
      <c r="X552" s="197"/>
      <c r="Y552" s="197"/>
      <c r="Z552" s="197"/>
      <c r="AA552" s="196"/>
      <c r="AB552" s="196"/>
      <c r="AC552" s="196"/>
      <c r="AD552" s="196"/>
      <c r="AE552" s="196"/>
      <c r="AF552" s="196"/>
      <c r="AG552" s="196"/>
      <c r="AH552" s="196"/>
      <c r="AI552" s="196"/>
      <c r="AJ552" s="196"/>
      <c r="AK552" s="196"/>
      <c r="AL552" s="196"/>
      <c r="AM552" s="196"/>
      <c r="AN552" s="196"/>
      <c r="AO552" s="196"/>
      <c r="AP552" s="196"/>
      <c r="AQ552" s="197"/>
      <c r="AR552" s="196"/>
      <c r="AS552" s="196"/>
      <c r="AT552" s="196"/>
      <c r="AU552" s="196"/>
      <c r="AV552" s="196"/>
      <c r="AW552" s="197"/>
      <c r="AX552" s="197"/>
      <c r="AY552" s="197"/>
      <c r="AZ552" s="197"/>
    </row>
    <row r="553" spans="1:52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7"/>
      <c r="N553" s="197"/>
      <c r="O553" s="198"/>
      <c r="P553" s="198"/>
      <c r="Q553" s="198"/>
      <c r="R553" s="196"/>
      <c r="S553" s="196"/>
      <c r="T553" s="196"/>
      <c r="U553" s="196"/>
      <c r="V553" s="196"/>
      <c r="W553" s="196"/>
      <c r="X553" s="197"/>
      <c r="Y553" s="197"/>
      <c r="Z553" s="197"/>
      <c r="AA553" s="196"/>
      <c r="AB553" s="196"/>
      <c r="AC553" s="196"/>
      <c r="AD553" s="196"/>
      <c r="AE553" s="196"/>
      <c r="AF553" s="196"/>
      <c r="AG553" s="196"/>
      <c r="AH553" s="196"/>
      <c r="AI553" s="196"/>
      <c r="AJ553" s="196"/>
      <c r="AK553" s="196"/>
      <c r="AL553" s="196"/>
      <c r="AM553" s="196"/>
      <c r="AN553" s="196"/>
      <c r="AO553" s="196"/>
      <c r="AP553" s="196"/>
      <c r="AQ553" s="197"/>
      <c r="AR553" s="196"/>
      <c r="AS553" s="196"/>
      <c r="AT553" s="196"/>
      <c r="AU553" s="196"/>
      <c r="AV553" s="196"/>
      <c r="AW553" s="197"/>
      <c r="AX553" s="197"/>
      <c r="AY553" s="197"/>
      <c r="AZ553" s="197"/>
    </row>
    <row r="554" spans="1:52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7"/>
      <c r="N554" s="197"/>
      <c r="O554" s="198"/>
      <c r="P554" s="198"/>
      <c r="Q554" s="198"/>
      <c r="R554" s="196"/>
      <c r="S554" s="196"/>
      <c r="T554" s="196"/>
      <c r="U554" s="196"/>
      <c r="V554" s="196"/>
      <c r="W554" s="196"/>
      <c r="X554" s="197"/>
      <c r="Y554" s="197"/>
      <c r="Z554" s="197"/>
      <c r="AA554" s="196"/>
      <c r="AB554" s="196"/>
      <c r="AC554" s="196"/>
      <c r="AD554" s="196"/>
      <c r="AE554" s="196"/>
      <c r="AF554" s="196"/>
      <c r="AG554" s="196"/>
      <c r="AH554" s="196"/>
      <c r="AI554" s="196"/>
      <c r="AJ554" s="196"/>
      <c r="AK554" s="196"/>
      <c r="AL554" s="196"/>
      <c r="AM554" s="196"/>
      <c r="AN554" s="196"/>
      <c r="AO554" s="196"/>
      <c r="AP554" s="196"/>
      <c r="AQ554" s="197"/>
      <c r="AR554" s="196"/>
      <c r="AS554" s="196"/>
      <c r="AT554" s="196"/>
      <c r="AU554" s="196"/>
      <c r="AV554" s="196"/>
      <c r="AW554" s="197"/>
      <c r="AX554" s="197"/>
      <c r="AY554" s="197"/>
      <c r="AZ554" s="197"/>
    </row>
    <row r="555" spans="1:52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7"/>
      <c r="N555" s="197"/>
      <c r="O555" s="198"/>
      <c r="P555" s="198"/>
      <c r="Q555" s="198"/>
      <c r="R555" s="196"/>
      <c r="S555" s="196"/>
      <c r="T555" s="196"/>
      <c r="U555" s="196"/>
      <c r="V555" s="196"/>
      <c r="W555" s="196"/>
      <c r="X555" s="197"/>
      <c r="Y555" s="197"/>
      <c r="Z555" s="197"/>
      <c r="AA555" s="196"/>
      <c r="AB555" s="196"/>
      <c r="AC555" s="196"/>
      <c r="AD555" s="196"/>
      <c r="AE555" s="196"/>
      <c r="AF555" s="196"/>
      <c r="AG555" s="196"/>
      <c r="AH555" s="196"/>
      <c r="AI555" s="196"/>
      <c r="AJ555" s="196"/>
      <c r="AK555" s="196"/>
      <c r="AL555" s="196"/>
      <c r="AM555" s="196"/>
      <c r="AN555" s="196"/>
      <c r="AO555" s="196"/>
      <c r="AP555" s="196"/>
      <c r="AQ555" s="197"/>
      <c r="AR555" s="196"/>
      <c r="AS555" s="196"/>
      <c r="AT555" s="196"/>
      <c r="AU555" s="196"/>
      <c r="AV555" s="196"/>
      <c r="AW555" s="197"/>
      <c r="AX555" s="197"/>
      <c r="AY555" s="197"/>
      <c r="AZ555" s="197"/>
    </row>
    <row r="556" spans="1:52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7"/>
      <c r="N556" s="197"/>
      <c r="O556" s="198"/>
      <c r="P556" s="198"/>
      <c r="Q556" s="198"/>
      <c r="R556" s="196"/>
      <c r="S556" s="196"/>
      <c r="T556" s="196"/>
      <c r="U556" s="196"/>
      <c r="V556" s="196"/>
      <c r="W556" s="196"/>
      <c r="X556" s="197"/>
      <c r="Y556" s="197"/>
      <c r="Z556" s="197"/>
      <c r="AA556" s="196"/>
      <c r="AB556" s="196"/>
      <c r="AC556" s="196"/>
      <c r="AD556" s="196"/>
      <c r="AE556" s="196"/>
      <c r="AF556" s="196"/>
      <c r="AG556" s="196"/>
      <c r="AH556" s="196"/>
      <c r="AI556" s="196"/>
      <c r="AJ556" s="196"/>
      <c r="AK556" s="196"/>
      <c r="AL556" s="196"/>
      <c r="AM556" s="196"/>
      <c r="AN556" s="196"/>
      <c r="AO556" s="196"/>
      <c r="AP556" s="196"/>
      <c r="AQ556" s="197"/>
      <c r="AR556" s="196"/>
      <c r="AS556" s="196"/>
      <c r="AT556" s="196"/>
      <c r="AU556" s="196"/>
      <c r="AV556" s="196"/>
      <c r="AW556" s="197"/>
      <c r="AX556" s="197"/>
      <c r="AY556" s="197"/>
      <c r="AZ556" s="197"/>
    </row>
    <row r="557" spans="1:52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7"/>
      <c r="N557" s="197"/>
      <c r="O557" s="198"/>
      <c r="P557" s="198"/>
      <c r="Q557" s="198"/>
      <c r="R557" s="196"/>
      <c r="S557" s="196"/>
      <c r="T557" s="196"/>
      <c r="U557" s="196"/>
      <c r="V557" s="196"/>
      <c r="W557" s="196"/>
      <c r="X557" s="197"/>
      <c r="Y557" s="197"/>
      <c r="Z557" s="197"/>
      <c r="AA557" s="196"/>
      <c r="AB557" s="196"/>
      <c r="AC557" s="196"/>
      <c r="AD557" s="196"/>
      <c r="AE557" s="196"/>
      <c r="AF557" s="196"/>
      <c r="AG557" s="196"/>
      <c r="AH557" s="196"/>
      <c r="AI557" s="196"/>
      <c r="AJ557" s="196"/>
      <c r="AK557" s="196"/>
      <c r="AL557" s="196"/>
      <c r="AM557" s="196"/>
      <c r="AN557" s="196"/>
      <c r="AO557" s="196"/>
      <c r="AP557" s="196"/>
      <c r="AQ557" s="197"/>
      <c r="AR557" s="196"/>
      <c r="AS557" s="196"/>
      <c r="AT557" s="196"/>
      <c r="AU557" s="196"/>
      <c r="AV557" s="196"/>
      <c r="AW557" s="197"/>
      <c r="AX557" s="197"/>
      <c r="AY557" s="197"/>
      <c r="AZ557" s="197"/>
    </row>
    <row r="558" spans="1:52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7"/>
      <c r="N558" s="197"/>
      <c r="O558" s="198"/>
      <c r="P558" s="198"/>
      <c r="Q558" s="198"/>
      <c r="R558" s="196"/>
      <c r="S558" s="196"/>
      <c r="T558" s="196"/>
      <c r="U558" s="196"/>
      <c r="V558" s="196"/>
      <c r="W558" s="196"/>
      <c r="X558" s="197"/>
      <c r="Y558" s="197"/>
      <c r="Z558" s="197"/>
      <c r="AA558" s="196"/>
      <c r="AB558" s="196"/>
      <c r="AC558" s="196"/>
      <c r="AD558" s="196"/>
      <c r="AE558" s="196"/>
      <c r="AF558" s="196"/>
      <c r="AG558" s="196"/>
      <c r="AH558" s="196"/>
      <c r="AI558" s="196"/>
      <c r="AJ558" s="196"/>
      <c r="AK558" s="196"/>
      <c r="AL558" s="196"/>
      <c r="AM558" s="196"/>
      <c r="AN558" s="196"/>
      <c r="AO558" s="196"/>
      <c r="AP558" s="196"/>
      <c r="AQ558" s="197"/>
      <c r="AR558" s="196"/>
      <c r="AS558" s="196"/>
      <c r="AT558" s="196"/>
      <c r="AU558" s="196"/>
      <c r="AV558" s="196"/>
      <c r="AW558" s="197"/>
      <c r="AX558" s="197"/>
      <c r="AY558" s="197"/>
      <c r="AZ558" s="197"/>
    </row>
    <row r="559" spans="1:52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7"/>
      <c r="N559" s="197"/>
      <c r="O559" s="198"/>
      <c r="P559" s="198"/>
      <c r="Q559" s="198"/>
      <c r="R559" s="196"/>
      <c r="S559" s="196"/>
      <c r="T559" s="196"/>
      <c r="U559" s="196"/>
      <c r="V559" s="196"/>
      <c r="W559" s="196"/>
      <c r="X559" s="197"/>
      <c r="Y559" s="197"/>
      <c r="Z559" s="197"/>
      <c r="AA559" s="196"/>
      <c r="AB559" s="196"/>
      <c r="AC559" s="196"/>
      <c r="AD559" s="196"/>
      <c r="AE559" s="196"/>
      <c r="AF559" s="196"/>
      <c r="AG559" s="196"/>
      <c r="AH559" s="196"/>
      <c r="AI559" s="196"/>
      <c r="AJ559" s="196"/>
      <c r="AK559" s="196"/>
      <c r="AL559" s="196"/>
      <c r="AM559" s="196"/>
      <c r="AN559" s="196"/>
      <c r="AO559" s="196"/>
      <c r="AP559" s="196"/>
      <c r="AQ559" s="197"/>
      <c r="AR559" s="196"/>
      <c r="AS559" s="196"/>
      <c r="AT559" s="196"/>
      <c r="AU559" s="196"/>
      <c r="AV559" s="196"/>
      <c r="AW559" s="197"/>
      <c r="AX559" s="197"/>
      <c r="AY559" s="197"/>
      <c r="AZ559" s="197"/>
    </row>
    <row r="560" spans="1:52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7"/>
      <c r="N560" s="197"/>
      <c r="O560" s="198"/>
      <c r="P560" s="198"/>
      <c r="Q560" s="198"/>
      <c r="R560" s="196"/>
      <c r="S560" s="196"/>
      <c r="T560" s="196"/>
      <c r="U560" s="196"/>
      <c r="V560" s="196"/>
      <c r="W560" s="196"/>
      <c r="X560" s="197"/>
      <c r="Y560" s="197"/>
      <c r="Z560" s="197"/>
      <c r="AA560" s="196"/>
      <c r="AB560" s="196"/>
      <c r="AC560" s="196"/>
      <c r="AD560" s="196"/>
      <c r="AE560" s="196"/>
      <c r="AF560" s="196"/>
      <c r="AG560" s="196"/>
      <c r="AH560" s="196"/>
      <c r="AI560" s="196"/>
      <c r="AJ560" s="196"/>
      <c r="AK560" s="196"/>
      <c r="AL560" s="196"/>
      <c r="AM560" s="196"/>
      <c r="AN560" s="196"/>
      <c r="AO560" s="196"/>
      <c r="AP560" s="196"/>
      <c r="AQ560" s="197"/>
      <c r="AR560" s="196"/>
      <c r="AS560" s="196"/>
      <c r="AT560" s="196"/>
      <c r="AU560" s="196"/>
      <c r="AV560" s="196"/>
      <c r="AW560" s="197"/>
      <c r="AX560" s="197"/>
      <c r="AY560" s="197"/>
      <c r="AZ560" s="197"/>
    </row>
    <row r="561" spans="1:52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7"/>
      <c r="N561" s="197"/>
      <c r="O561" s="198"/>
      <c r="P561" s="198"/>
      <c r="Q561" s="198"/>
      <c r="R561" s="196"/>
      <c r="S561" s="196"/>
      <c r="T561" s="196"/>
      <c r="U561" s="196"/>
      <c r="V561" s="196"/>
      <c r="W561" s="196"/>
      <c r="X561" s="197"/>
      <c r="Y561" s="197"/>
      <c r="Z561" s="197"/>
      <c r="AA561" s="196"/>
      <c r="AB561" s="196"/>
      <c r="AC561" s="196"/>
      <c r="AD561" s="196"/>
      <c r="AE561" s="196"/>
      <c r="AF561" s="196"/>
      <c r="AG561" s="196"/>
      <c r="AH561" s="196"/>
      <c r="AI561" s="196"/>
      <c r="AJ561" s="196"/>
      <c r="AK561" s="196"/>
      <c r="AL561" s="196"/>
      <c r="AM561" s="196"/>
      <c r="AN561" s="196"/>
      <c r="AO561" s="196"/>
      <c r="AP561" s="196"/>
      <c r="AQ561" s="197"/>
      <c r="AR561" s="196"/>
      <c r="AS561" s="196"/>
      <c r="AT561" s="196"/>
      <c r="AU561" s="196"/>
      <c r="AV561" s="196"/>
      <c r="AW561" s="197"/>
      <c r="AX561" s="197"/>
      <c r="AY561" s="197"/>
      <c r="AZ561" s="197"/>
    </row>
    <row r="562" spans="1:52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7"/>
      <c r="N562" s="197"/>
      <c r="O562" s="198"/>
      <c r="P562" s="198"/>
      <c r="Q562" s="198"/>
      <c r="R562" s="196"/>
      <c r="S562" s="196"/>
      <c r="T562" s="196"/>
      <c r="U562" s="196"/>
      <c r="V562" s="196"/>
      <c r="W562" s="196"/>
      <c r="X562" s="197"/>
      <c r="Y562" s="197"/>
      <c r="Z562" s="197"/>
      <c r="AA562" s="196"/>
      <c r="AB562" s="196"/>
      <c r="AC562" s="196"/>
      <c r="AD562" s="196"/>
      <c r="AE562" s="196"/>
      <c r="AF562" s="196"/>
      <c r="AG562" s="196"/>
      <c r="AH562" s="196"/>
      <c r="AI562" s="196"/>
      <c r="AJ562" s="196"/>
      <c r="AK562" s="196"/>
      <c r="AL562" s="196"/>
      <c r="AM562" s="196"/>
      <c r="AN562" s="196"/>
      <c r="AO562" s="196"/>
      <c r="AP562" s="196"/>
      <c r="AQ562" s="197"/>
      <c r="AR562" s="196"/>
      <c r="AS562" s="196"/>
      <c r="AT562" s="196"/>
      <c r="AU562" s="196"/>
      <c r="AV562" s="196"/>
      <c r="AW562" s="197"/>
      <c r="AX562" s="197"/>
      <c r="AY562" s="197"/>
      <c r="AZ562" s="197"/>
    </row>
    <row r="563" spans="1:52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7"/>
      <c r="N563" s="197"/>
      <c r="O563" s="198"/>
      <c r="P563" s="198"/>
      <c r="Q563" s="198"/>
      <c r="R563" s="196"/>
      <c r="S563" s="196"/>
      <c r="T563" s="196"/>
      <c r="U563" s="196"/>
      <c r="V563" s="196"/>
      <c r="W563" s="196"/>
      <c r="X563" s="197"/>
      <c r="Y563" s="197"/>
      <c r="Z563" s="197"/>
      <c r="AA563" s="196"/>
      <c r="AB563" s="196"/>
      <c r="AC563" s="196"/>
      <c r="AD563" s="196"/>
      <c r="AE563" s="196"/>
      <c r="AF563" s="196"/>
      <c r="AG563" s="196"/>
      <c r="AH563" s="196"/>
      <c r="AI563" s="196"/>
      <c r="AJ563" s="196"/>
      <c r="AK563" s="196"/>
      <c r="AL563" s="196"/>
      <c r="AM563" s="196"/>
      <c r="AN563" s="196"/>
      <c r="AO563" s="196"/>
      <c r="AP563" s="196"/>
      <c r="AQ563" s="197"/>
      <c r="AR563" s="196"/>
      <c r="AS563" s="196"/>
      <c r="AT563" s="196"/>
      <c r="AU563" s="196"/>
      <c r="AV563" s="196"/>
      <c r="AW563" s="197"/>
      <c r="AX563" s="197"/>
      <c r="AY563" s="197"/>
      <c r="AZ563" s="197"/>
    </row>
    <row r="564" spans="1:52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7"/>
      <c r="N564" s="197"/>
      <c r="O564" s="198"/>
      <c r="P564" s="198"/>
      <c r="Q564" s="198"/>
      <c r="R564" s="196"/>
      <c r="S564" s="196"/>
      <c r="T564" s="196"/>
      <c r="U564" s="196"/>
      <c r="V564" s="196"/>
      <c r="W564" s="196"/>
      <c r="X564" s="197"/>
      <c r="Y564" s="197"/>
      <c r="Z564" s="197"/>
      <c r="AA564" s="196"/>
      <c r="AB564" s="196"/>
      <c r="AC564" s="196"/>
      <c r="AD564" s="196"/>
      <c r="AE564" s="196"/>
      <c r="AF564" s="196"/>
      <c r="AG564" s="196"/>
      <c r="AH564" s="196"/>
      <c r="AI564" s="196"/>
      <c r="AJ564" s="196"/>
      <c r="AK564" s="196"/>
      <c r="AL564" s="196"/>
      <c r="AM564" s="196"/>
      <c r="AN564" s="196"/>
      <c r="AO564" s="196"/>
      <c r="AP564" s="196"/>
      <c r="AQ564" s="197"/>
      <c r="AR564" s="196"/>
      <c r="AS564" s="196"/>
      <c r="AT564" s="196"/>
      <c r="AU564" s="196"/>
      <c r="AV564" s="196"/>
      <c r="AW564" s="197"/>
      <c r="AX564" s="197"/>
      <c r="AY564" s="197"/>
      <c r="AZ564" s="197"/>
    </row>
    <row r="565" spans="1:52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7"/>
      <c r="N565" s="197"/>
      <c r="O565" s="198"/>
      <c r="P565" s="198"/>
      <c r="Q565" s="198"/>
      <c r="R565" s="196"/>
      <c r="S565" s="196"/>
      <c r="T565" s="196"/>
      <c r="U565" s="196"/>
      <c r="V565" s="196"/>
      <c r="W565" s="196"/>
      <c r="X565" s="197"/>
      <c r="Y565" s="197"/>
      <c r="Z565" s="197"/>
      <c r="AA565" s="196"/>
      <c r="AB565" s="196"/>
      <c r="AC565" s="196"/>
      <c r="AD565" s="196"/>
      <c r="AE565" s="196"/>
      <c r="AF565" s="196"/>
      <c r="AG565" s="196"/>
      <c r="AH565" s="196"/>
      <c r="AI565" s="196"/>
      <c r="AJ565" s="196"/>
      <c r="AK565" s="196"/>
      <c r="AL565" s="196"/>
      <c r="AM565" s="196"/>
      <c r="AN565" s="196"/>
      <c r="AO565" s="196"/>
      <c r="AP565" s="196"/>
      <c r="AQ565" s="197"/>
      <c r="AR565" s="196"/>
      <c r="AS565" s="196"/>
      <c r="AT565" s="196"/>
      <c r="AU565" s="196"/>
      <c r="AV565" s="196"/>
      <c r="AW565" s="197"/>
      <c r="AX565" s="197"/>
      <c r="AY565" s="197"/>
      <c r="AZ565" s="197"/>
    </row>
    <row r="566" spans="1:52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7"/>
      <c r="N566" s="197"/>
      <c r="O566" s="198"/>
      <c r="P566" s="198"/>
      <c r="Q566" s="198"/>
      <c r="R566" s="196"/>
      <c r="S566" s="196"/>
      <c r="T566" s="196"/>
      <c r="U566" s="196"/>
      <c r="V566" s="196"/>
      <c r="W566" s="196"/>
      <c r="X566" s="197"/>
      <c r="Y566" s="197"/>
      <c r="Z566" s="197"/>
      <c r="AA566" s="196"/>
      <c r="AB566" s="196"/>
      <c r="AC566" s="196"/>
      <c r="AD566" s="196"/>
      <c r="AE566" s="196"/>
      <c r="AF566" s="196"/>
      <c r="AG566" s="196"/>
      <c r="AH566" s="196"/>
      <c r="AI566" s="196"/>
      <c r="AJ566" s="196"/>
      <c r="AK566" s="196"/>
      <c r="AL566" s="196"/>
      <c r="AM566" s="196"/>
      <c r="AN566" s="196"/>
      <c r="AO566" s="196"/>
      <c r="AP566" s="196"/>
      <c r="AQ566" s="197"/>
      <c r="AR566" s="196"/>
      <c r="AS566" s="196"/>
      <c r="AT566" s="196"/>
      <c r="AU566" s="196"/>
      <c r="AV566" s="196"/>
      <c r="AW566" s="197"/>
      <c r="AX566" s="197"/>
      <c r="AY566" s="197"/>
      <c r="AZ566" s="197"/>
    </row>
    <row r="567" spans="1:52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7"/>
      <c r="N567" s="197"/>
      <c r="O567" s="198"/>
      <c r="P567" s="198"/>
      <c r="Q567" s="198"/>
      <c r="R567" s="196"/>
      <c r="S567" s="196"/>
      <c r="T567" s="196"/>
      <c r="U567" s="196"/>
      <c r="V567" s="196"/>
      <c r="W567" s="196"/>
      <c r="X567" s="197"/>
      <c r="Y567" s="197"/>
      <c r="Z567" s="197"/>
      <c r="AA567" s="196"/>
      <c r="AB567" s="196"/>
      <c r="AC567" s="196"/>
      <c r="AD567" s="196"/>
      <c r="AE567" s="196"/>
      <c r="AF567" s="196"/>
      <c r="AG567" s="196"/>
      <c r="AH567" s="196"/>
      <c r="AI567" s="196"/>
      <c r="AJ567" s="196"/>
      <c r="AK567" s="196"/>
      <c r="AL567" s="196"/>
      <c r="AM567" s="196"/>
      <c r="AN567" s="196"/>
      <c r="AO567" s="196"/>
      <c r="AP567" s="196"/>
      <c r="AQ567" s="197"/>
      <c r="AR567" s="196"/>
      <c r="AS567" s="196"/>
      <c r="AT567" s="196"/>
      <c r="AU567" s="196"/>
      <c r="AV567" s="196"/>
      <c r="AW567" s="197"/>
      <c r="AX567" s="197"/>
      <c r="AY567" s="197"/>
      <c r="AZ567" s="197"/>
    </row>
    <row r="568" spans="1:52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7"/>
      <c r="N568" s="197"/>
      <c r="O568" s="198"/>
      <c r="P568" s="198"/>
      <c r="Q568" s="198"/>
      <c r="R568" s="196"/>
      <c r="S568" s="196"/>
      <c r="T568" s="196"/>
      <c r="U568" s="196"/>
      <c r="V568" s="196"/>
      <c r="W568" s="196"/>
      <c r="X568" s="197"/>
      <c r="Y568" s="197"/>
      <c r="Z568" s="197"/>
      <c r="AA568" s="196"/>
      <c r="AB568" s="196"/>
      <c r="AC568" s="196"/>
      <c r="AD568" s="196"/>
      <c r="AE568" s="196"/>
      <c r="AF568" s="196"/>
      <c r="AG568" s="196"/>
      <c r="AH568" s="196"/>
      <c r="AI568" s="196"/>
      <c r="AJ568" s="196"/>
      <c r="AK568" s="196"/>
      <c r="AL568" s="196"/>
      <c r="AM568" s="196"/>
      <c r="AN568" s="196"/>
      <c r="AO568" s="196"/>
      <c r="AP568" s="196"/>
      <c r="AQ568" s="197"/>
      <c r="AR568" s="196"/>
      <c r="AS568" s="196"/>
      <c r="AT568" s="196"/>
      <c r="AU568" s="196"/>
      <c r="AV568" s="196"/>
      <c r="AW568" s="197"/>
      <c r="AX568" s="197"/>
      <c r="AY568" s="197"/>
      <c r="AZ568" s="197"/>
    </row>
    <row r="569" spans="1:52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7"/>
      <c r="N569" s="197"/>
      <c r="O569" s="198"/>
      <c r="P569" s="198"/>
      <c r="Q569" s="198"/>
      <c r="R569" s="196"/>
      <c r="S569" s="196"/>
      <c r="T569" s="196"/>
      <c r="U569" s="196"/>
      <c r="V569" s="196"/>
      <c r="W569" s="196"/>
      <c r="X569" s="197"/>
      <c r="Y569" s="197"/>
      <c r="Z569" s="197"/>
      <c r="AA569" s="196"/>
      <c r="AB569" s="196"/>
      <c r="AC569" s="196"/>
      <c r="AD569" s="196"/>
      <c r="AE569" s="196"/>
      <c r="AF569" s="196"/>
      <c r="AG569" s="196"/>
      <c r="AH569" s="196"/>
      <c r="AI569" s="196"/>
      <c r="AJ569" s="196"/>
      <c r="AK569" s="196"/>
      <c r="AL569" s="196"/>
      <c r="AM569" s="196"/>
      <c r="AN569" s="196"/>
      <c r="AO569" s="196"/>
      <c r="AP569" s="196"/>
      <c r="AQ569" s="197"/>
      <c r="AR569" s="196"/>
      <c r="AS569" s="196"/>
      <c r="AT569" s="196"/>
      <c r="AU569" s="196"/>
      <c r="AV569" s="196"/>
      <c r="AW569" s="197"/>
      <c r="AX569" s="197"/>
      <c r="AY569" s="197"/>
      <c r="AZ569" s="197"/>
    </row>
    <row r="570" spans="1:52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7"/>
      <c r="N570" s="197"/>
      <c r="O570" s="198"/>
      <c r="P570" s="198"/>
      <c r="Q570" s="198"/>
      <c r="R570" s="196"/>
      <c r="S570" s="196"/>
      <c r="T570" s="196"/>
      <c r="U570" s="196"/>
      <c r="V570" s="196"/>
      <c r="W570" s="196"/>
      <c r="X570" s="197"/>
      <c r="Y570" s="197"/>
      <c r="Z570" s="197"/>
      <c r="AA570" s="196"/>
      <c r="AB570" s="196"/>
      <c r="AC570" s="196"/>
      <c r="AD570" s="196"/>
      <c r="AE570" s="196"/>
      <c r="AF570" s="196"/>
      <c r="AG570" s="196"/>
      <c r="AH570" s="196"/>
      <c r="AI570" s="196"/>
      <c r="AJ570" s="196"/>
      <c r="AK570" s="196"/>
      <c r="AL570" s="196"/>
      <c r="AM570" s="196"/>
      <c r="AN570" s="196"/>
      <c r="AO570" s="196"/>
      <c r="AP570" s="196"/>
      <c r="AQ570" s="197"/>
      <c r="AR570" s="196"/>
      <c r="AS570" s="196"/>
      <c r="AT570" s="196"/>
      <c r="AU570" s="196"/>
      <c r="AV570" s="196"/>
      <c r="AW570" s="197"/>
      <c r="AX570" s="197"/>
      <c r="AY570" s="197"/>
      <c r="AZ570" s="197"/>
    </row>
    <row r="571" spans="1:52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7"/>
      <c r="N571" s="197"/>
      <c r="O571" s="198"/>
      <c r="P571" s="198"/>
      <c r="Q571" s="198"/>
      <c r="R571" s="196"/>
      <c r="S571" s="196"/>
      <c r="T571" s="196"/>
      <c r="U571" s="196"/>
      <c r="V571" s="196"/>
      <c r="W571" s="196"/>
      <c r="X571" s="197"/>
      <c r="Y571" s="197"/>
      <c r="Z571" s="197"/>
      <c r="AA571" s="196"/>
      <c r="AB571" s="196"/>
      <c r="AC571" s="196"/>
      <c r="AD571" s="196"/>
      <c r="AE571" s="196"/>
      <c r="AF571" s="196"/>
      <c r="AG571" s="196"/>
      <c r="AH571" s="196"/>
      <c r="AI571" s="196"/>
      <c r="AJ571" s="196"/>
      <c r="AK571" s="196"/>
      <c r="AL571" s="196"/>
      <c r="AM571" s="196"/>
      <c r="AN571" s="196"/>
      <c r="AO571" s="196"/>
      <c r="AP571" s="196"/>
      <c r="AQ571" s="197"/>
      <c r="AR571" s="196"/>
      <c r="AS571" s="196"/>
      <c r="AT571" s="196"/>
      <c r="AU571" s="196"/>
      <c r="AV571" s="196"/>
      <c r="AW571" s="197"/>
      <c r="AX571" s="197"/>
      <c r="AY571" s="197"/>
      <c r="AZ571" s="197"/>
    </row>
    <row r="572" spans="1:52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7"/>
      <c r="N572" s="197"/>
      <c r="O572" s="198"/>
      <c r="P572" s="198"/>
      <c r="Q572" s="198"/>
      <c r="R572" s="196"/>
      <c r="S572" s="196"/>
      <c r="T572" s="196"/>
      <c r="U572" s="196"/>
      <c r="V572" s="196"/>
      <c r="W572" s="196"/>
      <c r="X572" s="197"/>
      <c r="Y572" s="197"/>
      <c r="Z572" s="197"/>
      <c r="AA572" s="196"/>
      <c r="AB572" s="196"/>
      <c r="AC572" s="196"/>
      <c r="AD572" s="196"/>
      <c r="AE572" s="196"/>
      <c r="AF572" s="196"/>
      <c r="AG572" s="196"/>
      <c r="AH572" s="196"/>
      <c r="AI572" s="196"/>
      <c r="AJ572" s="196"/>
      <c r="AK572" s="196"/>
      <c r="AL572" s="196"/>
      <c r="AM572" s="196"/>
      <c r="AN572" s="196"/>
      <c r="AO572" s="196"/>
      <c r="AP572" s="196"/>
      <c r="AQ572" s="197"/>
      <c r="AR572" s="196"/>
      <c r="AS572" s="196"/>
      <c r="AT572" s="196"/>
      <c r="AU572" s="196"/>
      <c r="AV572" s="196"/>
      <c r="AW572" s="197"/>
      <c r="AX572" s="197"/>
      <c r="AY572" s="197"/>
      <c r="AZ572" s="197"/>
    </row>
    <row r="573" spans="1:52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7"/>
      <c r="N573" s="197"/>
      <c r="O573" s="198"/>
      <c r="P573" s="198"/>
      <c r="Q573" s="198"/>
      <c r="R573" s="196"/>
      <c r="S573" s="196"/>
      <c r="T573" s="196"/>
      <c r="U573" s="196"/>
      <c r="V573" s="196"/>
      <c r="W573" s="196"/>
      <c r="X573" s="197"/>
      <c r="Y573" s="197"/>
      <c r="Z573" s="197"/>
      <c r="AA573" s="196"/>
      <c r="AB573" s="196"/>
      <c r="AC573" s="196"/>
      <c r="AD573" s="196"/>
      <c r="AE573" s="196"/>
      <c r="AF573" s="196"/>
      <c r="AG573" s="196"/>
      <c r="AH573" s="196"/>
      <c r="AI573" s="196"/>
      <c r="AJ573" s="196"/>
      <c r="AK573" s="196"/>
      <c r="AL573" s="196"/>
      <c r="AM573" s="196"/>
      <c r="AN573" s="196"/>
      <c r="AO573" s="196"/>
      <c r="AP573" s="196"/>
      <c r="AQ573" s="197"/>
      <c r="AR573" s="196"/>
      <c r="AS573" s="196"/>
      <c r="AT573" s="196"/>
      <c r="AU573" s="196"/>
      <c r="AV573" s="196"/>
      <c r="AW573" s="197"/>
      <c r="AX573" s="197"/>
      <c r="AY573" s="197"/>
      <c r="AZ573" s="197"/>
    </row>
    <row r="574" spans="1:52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7"/>
      <c r="N574" s="197"/>
      <c r="O574" s="198"/>
      <c r="P574" s="198"/>
      <c r="Q574" s="198"/>
      <c r="R574" s="196"/>
      <c r="S574" s="196"/>
      <c r="T574" s="196"/>
      <c r="U574" s="196"/>
      <c r="V574" s="196"/>
      <c r="W574" s="196"/>
      <c r="X574" s="197"/>
      <c r="Y574" s="197"/>
      <c r="Z574" s="197"/>
      <c r="AA574" s="196"/>
      <c r="AB574" s="196"/>
      <c r="AC574" s="196"/>
      <c r="AD574" s="196"/>
      <c r="AE574" s="196"/>
      <c r="AF574" s="196"/>
      <c r="AG574" s="196"/>
      <c r="AH574" s="196"/>
      <c r="AI574" s="196"/>
      <c r="AJ574" s="196"/>
      <c r="AK574" s="196"/>
      <c r="AL574" s="196"/>
      <c r="AM574" s="196"/>
      <c r="AN574" s="196"/>
      <c r="AO574" s="196"/>
      <c r="AP574" s="196"/>
      <c r="AQ574" s="197"/>
      <c r="AR574" s="196"/>
      <c r="AS574" s="196"/>
      <c r="AT574" s="196"/>
      <c r="AU574" s="196"/>
      <c r="AV574" s="196"/>
      <c r="AW574" s="197"/>
      <c r="AX574" s="197"/>
      <c r="AY574" s="197"/>
      <c r="AZ574" s="197"/>
    </row>
    <row r="575" spans="1:52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7"/>
      <c r="N575" s="197"/>
      <c r="O575" s="198"/>
      <c r="P575" s="198"/>
      <c r="Q575" s="198"/>
      <c r="R575" s="196"/>
      <c r="S575" s="196"/>
      <c r="T575" s="196"/>
      <c r="U575" s="196"/>
      <c r="V575" s="196"/>
      <c r="W575" s="196"/>
      <c r="X575" s="197"/>
      <c r="Y575" s="197"/>
      <c r="Z575" s="197"/>
      <c r="AA575" s="196"/>
      <c r="AB575" s="196"/>
      <c r="AC575" s="196"/>
      <c r="AD575" s="196"/>
      <c r="AE575" s="196"/>
      <c r="AF575" s="196"/>
      <c r="AG575" s="196"/>
      <c r="AH575" s="196"/>
      <c r="AI575" s="196"/>
      <c r="AJ575" s="196"/>
      <c r="AK575" s="196"/>
      <c r="AL575" s="196"/>
      <c r="AM575" s="196"/>
      <c r="AN575" s="196"/>
      <c r="AO575" s="196"/>
      <c r="AP575" s="196"/>
      <c r="AQ575" s="197"/>
      <c r="AR575" s="196"/>
      <c r="AS575" s="196"/>
      <c r="AT575" s="196"/>
      <c r="AU575" s="196"/>
      <c r="AV575" s="196"/>
      <c r="AW575" s="197"/>
      <c r="AX575" s="197"/>
      <c r="AY575" s="197"/>
      <c r="AZ575" s="197"/>
    </row>
    <row r="576" spans="1:52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7"/>
      <c r="N576" s="197"/>
      <c r="O576" s="198"/>
      <c r="P576" s="198"/>
      <c r="Q576" s="198"/>
      <c r="R576" s="196"/>
      <c r="S576" s="196"/>
      <c r="T576" s="196"/>
      <c r="U576" s="196"/>
      <c r="V576" s="196"/>
      <c r="W576" s="196"/>
      <c r="X576" s="197"/>
      <c r="Y576" s="197"/>
      <c r="Z576" s="197"/>
      <c r="AA576" s="196"/>
      <c r="AB576" s="196"/>
      <c r="AC576" s="196"/>
      <c r="AD576" s="196"/>
      <c r="AE576" s="196"/>
      <c r="AF576" s="196"/>
      <c r="AG576" s="196"/>
      <c r="AH576" s="196"/>
      <c r="AI576" s="196"/>
      <c r="AJ576" s="196"/>
      <c r="AK576" s="196"/>
      <c r="AL576" s="196"/>
      <c r="AM576" s="196"/>
      <c r="AN576" s="196"/>
      <c r="AO576" s="196"/>
      <c r="AP576" s="196"/>
      <c r="AQ576" s="197"/>
      <c r="AR576" s="196"/>
      <c r="AS576" s="196"/>
      <c r="AT576" s="196"/>
      <c r="AU576" s="196"/>
      <c r="AV576" s="196"/>
      <c r="AW576" s="197"/>
      <c r="AX576" s="197"/>
      <c r="AY576" s="197"/>
      <c r="AZ576" s="197"/>
    </row>
    <row r="577" spans="1:52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7"/>
      <c r="N577" s="197"/>
      <c r="O577" s="198"/>
      <c r="P577" s="198"/>
      <c r="Q577" s="198"/>
      <c r="R577" s="196"/>
      <c r="S577" s="196"/>
      <c r="T577" s="196"/>
      <c r="U577" s="196"/>
      <c r="V577" s="196"/>
      <c r="W577" s="196"/>
      <c r="X577" s="197"/>
      <c r="Y577" s="197"/>
      <c r="Z577" s="197"/>
      <c r="AA577" s="196"/>
      <c r="AB577" s="196"/>
      <c r="AC577" s="196"/>
      <c r="AD577" s="196"/>
      <c r="AE577" s="196"/>
      <c r="AF577" s="196"/>
      <c r="AG577" s="196"/>
      <c r="AH577" s="196"/>
      <c r="AI577" s="196"/>
      <c r="AJ577" s="196"/>
      <c r="AK577" s="196"/>
      <c r="AL577" s="196"/>
      <c r="AM577" s="196"/>
      <c r="AN577" s="196"/>
      <c r="AO577" s="196"/>
      <c r="AP577" s="196"/>
      <c r="AQ577" s="197"/>
      <c r="AR577" s="196"/>
      <c r="AS577" s="196"/>
      <c r="AT577" s="196"/>
      <c r="AU577" s="196"/>
      <c r="AV577" s="196"/>
      <c r="AW577" s="197"/>
      <c r="AX577" s="197"/>
      <c r="AY577" s="197"/>
      <c r="AZ577" s="197"/>
    </row>
    <row r="578" spans="1:52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7"/>
      <c r="N578" s="197"/>
      <c r="O578" s="198"/>
      <c r="P578" s="198"/>
      <c r="Q578" s="198"/>
      <c r="R578" s="196"/>
      <c r="S578" s="196"/>
      <c r="T578" s="196"/>
      <c r="U578" s="196"/>
      <c r="V578" s="196"/>
      <c r="W578" s="196"/>
      <c r="X578" s="197"/>
      <c r="Y578" s="197"/>
      <c r="Z578" s="197"/>
      <c r="AA578" s="196"/>
      <c r="AB578" s="196"/>
      <c r="AC578" s="196"/>
      <c r="AD578" s="196"/>
      <c r="AE578" s="196"/>
      <c r="AF578" s="196"/>
      <c r="AG578" s="196"/>
      <c r="AH578" s="196"/>
      <c r="AI578" s="196"/>
      <c r="AJ578" s="196"/>
      <c r="AK578" s="196"/>
      <c r="AL578" s="196"/>
      <c r="AM578" s="196"/>
      <c r="AN578" s="196"/>
      <c r="AO578" s="196"/>
      <c r="AP578" s="196"/>
      <c r="AQ578" s="197"/>
      <c r="AR578" s="196"/>
      <c r="AS578" s="196"/>
      <c r="AT578" s="196"/>
      <c r="AU578" s="196"/>
      <c r="AV578" s="196"/>
      <c r="AW578" s="197"/>
      <c r="AX578" s="197"/>
      <c r="AY578" s="197"/>
      <c r="AZ578" s="197"/>
    </row>
    <row r="579" spans="1:52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7"/>
      <c r="N579" s="197"/>
      <c r="O579" s="198"/>
      <c r="P579" s="198"/>
      <c r="Q579" s="198"/>
      <c r="R579" s="196"/>
      <c r="S579" s="196"/>
      <c r="T579" s="196"/>
      <c r="U579" s="196"/>
      <c r="V579" s="196"/>
      <c r="W579" s="196"/>
      <c r="X579" s="197"/>
      <c r="Y579" s="197"/>
      <c r="Z579" s="197"/>
      <c r="AA579" s="196"/>
      <c r="AB579" s="196"/>
      <c r="AC579" s="196"/>
      <c r="AD579" s="196"/>
      <c r="AE579" s="196"/>
      <c r="AF579" s="196"/>
      <c r="AG579" s="196"/>
      <c r="AH579" s="196"/>
      <c r="AI579" s="196"/>
      <c r="AJ579" s="196"/>
      <c r="AK579" s="196"/>
      <c r="AL579" s="196"/>
      <c r="AM579" s="196"/>
      <c r="AN579" s="196"/>
      <c r="AO579" s="196"/>
      <c r="AP579" s="196"/>
      <c r="AQ579" s="197"/>
      <c r="AR579" s="196"/>
      <c r="AS579" s="196"/>
      <c r="AT579" s="196"/>
      <c r="AU579" s="196"/>
      <c r="AV579" s="196"/>
      <c r="AW579" s="197"/>
      <c r="AX579" s="197"/>
      <c r="AY579" s="197"/>
      <c r="AZ579" s="197"/>
    </row>
    <row r="580" spans="1:52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7"/>
      <c r="N580" s="197"/>
      <c r="O580" s="198"/>
      <c r="P580" s="198"/>
      <c r="Q580" s="198"/>
      <c r="R580" s="196"/>
      <c r="S580" s="196"/>
      <c r="T580" s="196"/>
      <c r="U580" s="196"/>
      <c r="V580" s="196"/>
      <c r="W580" s="196"/>
      <c r="X580" s="197"/>
      <c r="Y580" s="197"/>
      <c r="Z580" s="197"/>
      <c r="AA580" s="196"/>
      <c r="AB580" s="196"/>
      <c r="AC580" s="196"/>
      <c r="AD580" s="196"/>
      <c r="AE580" s="196"/>
      <c r="AF580" s="196"/>
      <c r="AG580" s="196"/>
      <c r="AH580" s="196"/>
      <c r="AI580" s="196"/>
      <c r="AJ580" s="196"/>
      <c r="AK580" s="196"/>
      <c r="AL580" s="196"/>
      <c r="AM580" s="196"/>
      <c r="AN580" s="196"/>
      <c r="AO580" s="196"/>
      <c r="AP580" s="196"/>
      <c r="AQ580" s="197"/>
      <c r="AR580" s="196"/>
      <c r="AS580" s="196"/>
      <c r="AT580" s="196"/>
      <c r="AU580" s="196"/>
      <c r="AV580" s="196"/>
      <c r="AW580" s="197"/>
      <c r="AX580" s="197"/>
      <c r="AY580" s="197"/>
      <c r="AZ580" s="197"/>
    </row>
    <row r="581" spans="1:52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7"/>
      <c r="N581" s="197"/>
      <c r="O581" s="198"/>
      <c r="P581" s="198"/>
      <c r="Q581" s="198"/>
      <c r="R581" s="196"/>
      <c r="S581" s="196"/>
      <c r="T581" s="196"/>
      <c r="U581" s="196"/>
      <c r="V581" s="196"/>
      <c r="W581" s="196"/>
      <c r="X581" s="197"/>
      <c r="Y581" s="197"/>
      <c r="Z581" s="197"/>
      <c r="AA581" s="196"/>
      <c r="AB581" s="196"/>
      <c r="AC581" s="196"/>
      <c r="AD581" s="196"/>
      <c r="AE581" s="196"/>
      <c r="AF581" s="196"/>
      <c r="AG581" s="196"/>
      <c r="AH581" s="196"/>
      <c r="AI581" s="196"/>
      <c r="AJ581" s="196"/>
      <c r="AK581" s="196"/>
      <c r="AL581" s="196"/>
      <c r="AM581" s="196"/>
      <c r="AN581" s="196"/>
      <c r="AO581" s="196"/>
      <c r="AP581" s="196"/>
      <c r="AQ581" s="197"/>
      <c r="AR581" s="196"/>
      <c r="AS581" s="196"/>
      <c r="AT581" s="196"/>
      <c r="AU581" s="196"/>
      <c r="AV581" s="196"/>
      <c r="AW581" s="197"/>
      <c r="AX581" s="197"/>
      <c r="AY581" s="197"/>
      <c r="AZ581" s="197"/>
    </row>
    <row r="582" spans="1:52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7"/>
      <c r="N582" s="197"/>
      <c r="O582" s="198"/>
      <c r="P582" s="198"/>
      <c r="Q582" s="198"/>
      <c r="R582" s="196"/>
      <c r="S582" s="196"/>
      <c r="T582" s="196"/>
      <c r="U582" s="196"/>
      <c r="V582" s="196"/>
      <c r="W582" s="196"/>
      <c r="X582" s="197"/>
      <c r="Y582" s="197"/>
      <c r="Z582" s="197"/>
      <c r="AA582" s="196"/>
      <c r="AB582" s="196"/>
      <c r="AC582" s="196"/>
      <c r="AD582" s="196"/>
      <c r="AE582" s="196"/>
      <c r="AF582" s="196"/>
      <c r="AG582" s="196"/>
      <c r="AH582" s="196"/>
      <c r="AI582" s="196"/>
      <c r="AJ582" s="196"/>
      <c r="AK582" s="196"/>
      <c r="AL582" s="196"/>
      <c r="AM582" s="196"/>
      <c r="AN582" s="196"/>
      <c r="AO582" s="196"/>
      <c r="AP582" s="196"/>
      <c r="AQ582" s="197"/>
      <c r="AR582" s="196"/>
      <c r="AS582" s="196"/>
      <c r="AT582" s="196"/>
      <c r="AU582" s="196"/>
      <c r="AV582" s="196"/>
      <c r="AW582" s="197"/>
      <c r="AX582" s="197"/>
      <c r="AY582" s="197"/>
      <c r="AZ582" s="197"/>
    </row>
    <row r="583" spans="1:52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7"/>
      <c r="N583" s="197"/>
      <c r="O583" s="198"/>
      <c r="P583" s="198"/>
      <c r="Q583" s="198"/>
      <c r="R583" s="196"/>
      <c r="S583" s="196"/>
      <c r="T583" s="196"/>
      <c r="U583" s="196"/>
      <c r="V583" s="196"/>
      <c r="W583" s="196"/>
      <c r="X583" s="197"/>
      <c r="Y583" s="197"/>
      <c r="Z583" s="197"/>
      <c r="AA583" s="196"/>
      <c r="AB583" s="196"/>
      <c r="AC583" s="196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  <c r="AN583" s="196"/>
      <c r="AO583" s="196"/>
      <c r="AP583" s="196"/>
      <c r="AQ583" s="197"/>
      <c r="AR583" s="196"/>
      <c r="AS583" s="196"/>
      <c r="AT583" s="196"/>
      <c r="AU583" s="196"/>
      <c r="AV583" s="196"/>
      <c r="AW583" s="197"/>
      <c r="AX583" s="197"/>
      <c r="AY583" s="197"/>
      <c r="AZ583" s="197"/>
    </row>
    <row r="584" spans="1:52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7"/>
      <c r="N584" s="197"/>
      <c r="O584" s="198"/>
      <c r="P584" s="198"/>
      <c r="Q584" s="198"/>
      <c r="R584" s="196"/>
      <c r="S584" s="196"/>
      <c r="T584" s="196"/>
      <c r="U584" s="196"/>
      <c r="V584" s="196"/>
      <c r="W584" s="196"/>
      <c r="X584" s="197"/>
      <c r="Y584" s="197"/>
      <c r="Z584" s="197"/>
      <c r="AA584" s="196"/>
      <c r="AB584" s="196"/>
      <c r="AC584" s="196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  <c r="AN584" s="196"/>
      <c r="AO584" s="196"/>
      <c r="AP584" s="196"/>
      <c r="AQ584" s="197"/>
      <c r="AR584" s="196"/>
      <c r="AS584" s="196"/>
      <c r="AT584" s="196"/>
      <c r="AU584" s="196"/>
      <c r="AV584" s="196"/>
      <c r="AW584" s="197"/>
      <c r="AX584" s="197"/>
      <c r="AY584" s="197"/>
      <c r="AZ584" s="197"/>
    </row>
    <row r="585" spans="1:52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7"/>
      <c r="N585" s="197"/>
      <c r="O585" s="198"/>
      <c r="P585" s="198"/>
      <c r="Q585" s="198"/>
      <c r="R585" s="196"/>
      <c r="S585" s="196"/>
      <c r="T585" s="196"/>
      <c r="U585" s="196"/>
      <c r="V585" s="196"/>
      <c r="W585" s="196"/>
      <c r="X585" s="197"/>
      <c r="Y585" s="197"/>
      <c r="Z585" s="197"/>
      <c r="AA585" s="196"/>
      <c r="AB585" s="196"/>
      <c r="AC585" s="196"/>
      <c r="AD585" s="196"/>
      <c r="AE585" s="196"/>
      <c r="AF585" s="196"/>
      <c r="AG585" s="196"/>
      <c r="AH585" s="196"/>
      <c r="AI585" s="196"/>
      <c r="AJ585" s="196"/>
      <c r="AK585" s="196"/>
      <c r="AL585" s="196"/>
      <c r="AM585" s="196"/>
      <c r="AN585" s="196"/>
      <c r="AO585" s="196"/>
      <c r="AP585" s="196"/>
      <c r="AQ585" s="197"/>
      <c r="AR585" s="196"/>
      <c r="AS585" s="196"/>
      <c r="AT585" s="196"/>
      <c r="AU585" s="196"/>
      <c r="AV585" s="196"/>
      <c r="AW585" s="197"/>
      <c r="AX585" s="197"/>
      <c r="AY585" s="197"/>
      <c r="AZ585" s="197"/>
    </row>
    <row r="586" spans="1:52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7"/>
      <c r="N586" s="197"/>
      <c r="O586" s="198"/>
      <c r="P586" s="198"/>
      <c r="Q586" s="198"/>
      <c r="R586" s="196"/>
      <c r="S586" s="196"/>
      <c r="T586" s="196"/>
      <c r="U586" s="196"/>
      <c r="V586" s="196"/>
      <c r="W586" s="196"/>
      <c r="X586" s="197"/>
      <c r="Y586" s="197"/>
      <c r="Z586" s="197"/>
      <c r="AA586" s="196"/>
      <c r="AB586" s="196"/>
      <c r="AC586" s="196"/>
      <c r="AD586" s="196"/>
      <c r="AE586" s="196"/>
      <c r="AF586" s="196"/>
      <c r="AG586" s="196"/>
      <c r="AH586" s="196"/>
      <c r="AI586" s="196"/>
      <c r="AJ586" s="196"/>
      <c r="AK586" s="196"/>
      <c r="AL586" s="196"/>
      <c r="AM586" s="196"/>
      <c r="AN586" s="196"/>
      <c r="AO586" s="196"/>
      <c r="AP586" s="196"/>
      <c r="AQ586" s="197"/>
      <c r="AR586" s="196"/>
      <c r="AS586" s="196"/>
      <c r="AT586" s="196"/>
      <c r="AU586" s="196"/>
      <c r="AV586" s="196"/>
      <c r="AW586" s="197"/>
      <c r="AX586" s="197"/>
      <c r="AY586" s="197"/>
      <c r="AZ586" s="197"/>
    </row>
    <row r="587" spans="1:52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7"/>
      <c r="N587" s="197"/>
      <c r="O587" s="198"/>
      <c r="P587" s="198"/>
      <c r="Q587" s="198"/>
      <c r="R587" s="196"/>
      <c r="S587" s="196"/>
      <c r="T587" s="196"/>
      <c r="U587" s="196"/>
      <c r="V587" s="196"/>
      <c r="W587" s="196"/>
      <c r="X587" s="197"/>
      <c r="Y587" s="197"/>
      <c r="Z587" s="197"/>
      <c r="AA587" s="196"/>
      <c r="AB587" s="196"/>
      <c r="AC587" s="196"/>
      <c r="AD587" s="196"/>
      <c r="AE587" s="196"/>
      <c r="AF587" s="196"/>
      <c r="AG587" s="196"/>
      <c r="AH587" s="196"/>
      <c r="AI587" s="196"/>
      <c r="AJ587" s="196"/>
      <c r="AK587" s="196"/>
      <c r="AL587" s="196"/>
      <c r="AM587" s="196"/>
      <c r="AN587" s="196"/>
      <c r="AO587" s="196"/>
      <c r="AP587" s="196"/>
      <c r="AQ587" s="197"/>
      <c r="AR587" s="196"/>
      <c r="AS587" s="196"/>
      <c r="AT587" s="196"/>
      <c r="AU587" s="196"/>
      <c r="AV587" s="196"/>
      <c r="AW587" s="197"/>
      <c r="AX587" s="197"/>
      <c r="AY587" s="197"/>
      <c r="AZ587" s="197"/>
    </row>
    <row r="588" spans="1:52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7"/>
      <c r="N588" s="197"/>
      <c r="O588" s="198"/>
      <c r="P588" s="198"/>
      <c r="Q588" s="198"/>
      <c r="R588" s="196"/>
      <c r="S588" s="196"/>
      <c r="T588" s="196"/>
      <c r="U588" s="196"/>
      <c r="V588" s="196"/>
      <c r="W588" s="196"/>
      <c r="X588" s="197"/>
      <c r="Y588" s="197"/>
      <c r="Z588" s="197"/>
      <c r="AA588" s="196"/>
      <c r="AB588" s="196"/>
      <c r="AC588" s="196"/>
      <c r="AD588" s="196"/>
      <c r="AE588" s="196"/>
      <c r="AF588" s="196"/>
      <c r="AG588" s="196"/>
      <c r="AH588" s="196"/>
      <c r="AI588" s="196"/>
      <c r="AJ588" s="196"/>
      <c r="AK588" s="196"/>
      <c r="AL588" s="196"/>
      <c r="AM588" s="196"/>
      <c r="AN588" s="196"/>
      <c r="AO588" s="196"/>
      <c r="AP588" s="196"/>
      <c r="AQ588" s="197"/>
      <c r="AR588" s="196"/>
      <c r="AS588" s="196"/>
      <c r="AT588" s="196"/>
      <c r="AU588" s="196"/>
      <c r="AV588" s="196"/>
      <c r="AW588" s="197"/>
      <c r="AX588" s="197"/>
      <c r="AY588" s="197"/>
      <c r="AZ588" s="197"/>
    </row>
    <row r="589" spans="1:52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7"/>
      <c r="N589" s="197"/>
      <c r="O589" s="198"/>
      <c r="P589" s="198"/>
      <c r="Q589" s="198"/>
      <c r="R589" s="196"/>
      <c r="S589" s="196"/>
      <c r="T589" s="196"/>
      <c r="U589" s="196"/>
      <c r="V589" s="196"/>
      <c r="W589" s="196"/>
      <c r="X589" s="197"/>
      <c r="Y589" s="197"/>
      <c r="Z589" s="197"/>
      <c r="AA589" s="196"/>
      <c r="AB589" s="196"/>
      <c r="AC589" s="196"/>
      <c r="AD589" s="196"/>
      <c r="AE589" s="196"/>
      <c r="AF589" s="196"/>
      <c r="AG589" s="196"/>
      <c r="AH589" s="196"/>
      <c r="AI589" s="196"/>
      <c r="AJ589" s="196"/>
      <c r="AK589" s="196"/>
      <c r="AL589" s="196"/>
      <c r="AM589" s="196"/>
      <c r="AN589" s="196"/>
      <c r="AO589" s="196"/>
      <c r="AP589" s="196"/>
      <c r="AQ589" s="197"/>
      <c r="AR589" s="196"/>
      <c r="AS589" s="196"/>
      <c r="AT589" s="196"/>
      <c r="AU589" s="196"/>
      <c r="AV589" s="196"/>
      <c r="AW589" s="197"/>
      <c r="AX589" s="197"/>
      <c r="AY589" s="197"/>
      <c r="AZ589" s="197"/>
    </row>
    <row r="590" spans="1:52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7"/>
      <c r="N590" s="197"/>
      <c r="O590" s="198"/>
      <c r="P590" s="198"/>
      <c r="Q590" s="198"/>
      <c r="R590" s="196"/>
      <c r="S590" s="196"/>
      <c r="T590" s="196"/>
      <c r="U590" s="196"/>
      <c r="V590" s="196"/>
      <c r="W590" s="196"/>
      <c r="X590" s="197"/>
      <c r="Y590" s="197"/>
      <c r="Z590" s="197"/>
      <c r="AA590" s="196"/>
      <c r="AB590" s="196"/>
      <c r="AC590" s="196"/>
      <c r="AD590" s="196"/>
      <c r="AE590" s="196"/>
      <c r="AF590" s="196"/>
      <c r="AG590" s="196"/>
      <c r="AH590" s="196"/>
      <c r="AI590" s="196"/>
      <c r="AJ590" s="196"/>
      <c r="AK590" s="196"/>
      <c r="AL590" s="196"/>
      <c r="AM590" s="196"/>
      <c r="AN590" s="196"/>
      <c r="AO590" s="196"/>
      <c r="AP590" s="196"/>
      <c r="AQ590" s="197"/>
      <c r="AR590" s="196"/>
      <c r="AS590" s="196"/>
      <c r="AT590" s="196"/>
      <c r="AU590" s="196"/>
      <c r="AV590" s="196"/>
      <c r="AW590" s="197"/>
      <c r="AX590" s="197"/>
      <c r="AY590" s="197"/>
      <c r="AZ590" s="197"/>
    </row>
    <row r="591" spans="1:52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7"/>
      <c r="N591" s="197"/>
      <c r="O591" s="198"/>
      <c r="P591" s="198"/>
      <c r="Q591" s="198"/>
      <c r="R591" s="196"/>
      <c r="S591" s="196"/>
      <c r="T591" s="196"/>
      <c r="U591" s="196"/>
      <c r="V591" s="196"/>
      <c r="W591" s="196"/>
      <c r="X591" s="197"/>
      <c r="Y591" s="197"/>
      <c r="Z591" s="197"/>
      <c r="AA591" s="196"/>
      <c r="AB591" s="196"/>
      <c r="AC591" s="196"/>
      <c r="AD591" s="196"/>
      <c r="AE591" s="196"/>
      <c r="AF591" s="196"/>
      <c r="AG591" s="196"/>
      <c r="AH591" s="196"/>
      <c r="AI591" s="196"/>
      <c r="AJ591" s="196"/>
      <c r="AK591" s="196"/>
      <c r="AL591" s="196"/>
      <c r="AM591" s="196"/>
      <c r="AN591" s="196"/>
      <c r="AO591" s="196"/>
      <c r="AP591" s="196"/>
      <c r="AQ591" s="197"/>
      <c r="AR591" s="196"/>
      <c r="AS591" s="196"/>
      <c r="AT591" s="196"/>
      <c r="AU591" s="196"/>
      <c r="AV591" s="196"/>
      <c r="AW591" s="197"/>
      <c r="AX591" s="197"/>
      <c r="AY591" s="197"/>
      <c r="AZ591" s="197"/>
    </row>
    <row r="592" spans="1:52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7"/>
      <c r="N592" s="197"/>
      <c r="O592" s="198"/>
      <c r="P592" s="198"/>
      <c r="Q592" s="198"/>
      <c r="R592" s="196"/>
      <c r="S592" s="196"/>
      <c r="T592" s="196"/>
      <c r="U592" s="196"/>
      <c r="V592" s="196"/>
      <c r="W592" s="196"/>
      <c r="X592" s="197"/>
      <c r="Y592" s="197"/>
      <c r="Z592" s="197"/>
      <c r="AA592" s="196"/>
      <c r="AB592" s="196"/>
      <c r="AC592" s="196"/>
      <c r="AD592" s="196"/>
      <c r="AE592" s="196"/>
      <c r="AF592" s="196"/>
      <c r="AG592" s="196"/>
      <c r="AH592" s="196"/>
      <c r="AI592" s="196"/>
      <c r="AJ592" s="196"/>
      <c r="AK592" s="196"/>
      <c r="AL592" s="196"/>
      <c r="AM592" s="196"/>
      <c r="AN592" s="196"/>
      <c r="AO592" s="196"/>
      <c r="AP592" s="196"/>
      <c r="AQ592" s="197"/>
      <c r="AR592" s="196"/>
      <c r="AS592" s="196"/>
      <c r="AT592" s="196"/>
      <c r="AU592" s="196"/>
      <c r="AV592" s="196"/>
      <c r="AW592" s="197"/>
      <c r="AX592" s="197"/>
      <c r="AY592" s="197"/>
      <c r="AZ592" s="197"/>
    </row>
    <row r="593" spans="1:52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7"/>
      <c r="N593" s="197"/>
      <c r="O593" s="198"/>
      <c r="P593" s="198"/>
      <c r="Q593" s="198"/>
      <c r="R593" s="196"/>
      <c r="S593" s="196"/>
      <c r="T593" s="196"/>
      <c r="U593" s="196"/>
      <c r="V593" s="196"/>
      <c r="W593" s="196"/>
      <c r="X593" s="197"/>
      <c r="Y593" s="197"/>
      <c r="Z593" s="197"/>
      <c r="AA593" s="196"/>
      <c r="AB593" s="196"/>
      <c r="AC593" s="196"/>
      <c r="AD593" s="196"/>
      <c r="AE593" s="196"/>
      <c r="AF593" s="196"/>
      <c r="AG593" s="196"/>
      <c r="AH593" s="196"/>
      <c r="AI593" s="196"/>
      <c r="AJ593" s="196"/>
      <c r="AK593" s="196"/>
      <c r="AL593" s="196"/>
      <c r="AM593" s="196"/>
      <c r="AN593" s="196"/>
      <c r="AO593" s="196"/>
      <c r="AP593" s="196"/>
      <c r="AQ593" s="197"/>
      <c r="AR593" s="196"/>
      <c r="AS593" s="196"/>
      <c r="AT593" s="196"/>
      <c r="AU593" s="196"/>
      <c r="AV593" s="196"/>
      <c r="AW593" s="197"/>
      <c r="AX593" s="197"/>
      <c r="AY593" s="197"/>
      <c r="AZ593" s="197"/>
    </row>
    <row r="594" spans="1:52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7"/>
      <c r="N594" s="197"/>
      <c r="O594" s="198"/>
      <c r="P594" s="198"/>
      <c r="Q594" s="198"/>
      <c r="R594" s="196"/>
      <c r="S594" s="196"/>
      <c r="T594" s="196"/>
      <c r="U594" s="196"/>
      <c r="V594" s="196"/>
      <c r="W594" s="196"/>
      <c r="X594" s="197"/>
      <c r="Y594" s="197"/>
      <c r="Z594" s="197"/>
      <c r="AA594" s="196"/>
      <c r="AB594" s="196"/>
      <c r="AC594" s="196"/>
      <c r="AD594" s="196"/>
      <c r="AE594" s="196"/>
      <c r="AF594" s="196"/>
      <c r="AG594" s="196"/>
      <c r="AH594" s="196"/>
      <c r="AI594" s="196"/>
      <c r="AJ594" s="196"/>
      <c r="AK594" s="196"/>
      <c r="AL594" s="196"/>
      <c r="AM594" s="196"/>
      <c r="AN594" s="196"/>
      <c r="AO594" s="196"/>
      <c r="AP594" s="196"/>
      <c r="AQ594" s="197"/>
      <c r="AR594" s="196"/>
      <c r="AS594" s="196"/>
      <c r="AT594" s="196"/>
      <c r="AU594" s="196"/>
      <c r="AV594" s="196"/>
      <c r="AW594" s="197"/>
      <c r="AX594" s="197"/>
      <c r="AY594" s="197"/>
      <c r="AZ594" s="197"/>
    </row>
    <row r="595" spans="1:52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7"/>
      <c r="N595" s="197"/>
      <c r="O595" s="198"/>
      <c r="P595" s="198"/>
      <c r="Q595" s="198"/>
      <c r="R595" s="196"/>
      <c r="S595" s="196"/>
      <c r="T595" s="196"/>
      <c r="U595" s="196"/>
      <c r="V595" s="196"/>
      <c r="W595" s="196"/>
      <c r="X595" s="197"/>
      <c r="Y595" s="197"/>
      <c r="Z595" s="197"/>
      <c r="AA595" s="196"/>
      <c r="AB595" s="196"/>
      <c r="AC595" s="196"/>
      <c r="AD595" s="196"/>
      <c r="AE595" s="196"/>
      <c r="AF595" s="196"/>
      <c r="AG595" s="196"/>
      <c r="AH595" s="196"/>
      <c r="AI595" s="196"/>
      <c r="AJ595" s="196"/>
      <c r="AK595" s="196"/>
      <c r="AL595" s="196"/>
      <c r="AM595" s="196"/>
      <c r="AN595" s="196"/>
      <c r="AO595" s="196"/>
      <c r="AP595" s="196"/>
      <c r="AQ595" s="197"/>
      <c r="AR595" s="196"/>
      <c r="AS595" s="196"/>
      <c r="AT595" s="196"/>
      <c r="AU595" s="196"/>
      <c r="AV595" s="196"/>
      <c r="AW595" s="197"/>
      <c r="AX595" s="197"/>
      <c r="AY595" s="197"/>
      <c r="AZ595" s="197"/>
    </row>
    <row r="596" spans="1:52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7"/>
      <c r="N596" s="197"/>
      <c r="O596" s="198"/>
      <c r="P596" s="198"/>
      <c r="Q596" s="198"/>
      <c r="R596" s="196"/>
      <c r="S596" s="196"/>
      <c r="T596" s="196"/>
      <c r="U596" s="196"/>
      <c r="V596" s="196"/>
      <c r="W596" s="196"/>
      <c r="X596" s="197"/>
      <c r="Y596" s="197"/>
      <c r="Z596" s="197"/>
      <c r="AA596" s="196"/>
      <c r="AB596" s="196"/>
      <c r="AC596" s="196"/>
      <c r="AD596" s="196"/>
      <c r="AE596" s="196"/>
      <c r="AF596" s="196"/>
      <c r="AG596" s="196"/>
      <c r="AH596" s="196"/>
      <c r="AI596" s="196"/>
      <c r="AJ596" s="196"/>
      <c r="AK596" s="196"/>
      <c r="AL596" s="196"/>
      <c r="AM596" s="196"/>
      <c r="AN596" s="196"/>
      <c r="AO596" s="196"/>
      <c r="AP596" s="196"/>
      <c r="AQ596" s="197"/>
      <c r="AR596" s="196"/>
      <c r="AS596" s="196"/>
      <c r="AT596" s="196"/>
      <c r="AU596" s="196"/>
      <c r="AV596" s="196"/>
      <c r="AW596" s="197"/>
      <c r="AX596" s="197"/>
      <c r="AY596" s="197"/>
      <c r="AZ596" s="197"/>
    </row>
    <row r="597" spans="1:52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7"/>
      <c r="N597" s="197"/>
      <c r="O597" s="198"/>
      <c r="P597" s="198"/>
      <c r="Q597" s="198"/>
      <c r="R597" s="196"/>
      <c r="S597" s="196"/>
      <c r="T597" s="196"/>
      <c r="U597" s="196"/>
      <c r="V597" s="196"/>
      <c r="W597" s="196"/>
      <c r="X597" s="197"/>
      <c r="Y597" s="197"/>
      <c r="Z597" s="197"/>
      <c r="AA597" s="196"/>
      <c r="AB597" s="196"/>
      <c r="AC597" s="196"/>
      <c r="AD597" s="196"/>
      <c r="AE597" s="196"/>
      <c r="AF597" s="196"/>
      <c r="AG597" s="196"/>
      <c r="AH597" s="196"/>
      <c r="AI597" s="196"/>
      <c r="AJ597" s="196"/>
      <c r="AK597" s="196"/>
      <c r="AL597" s="196"/>
      <c r="AM597" s="196"/>
      <c r="AN597" s="196"/>
      <c r="AO597" s="196"/>
      <c r="AP597" s="196"/>
      <c r="AQ597" s="197"/>
      <c r="AR597" s="196"/>
      <c r="AS597" s="196"/>
      <c r="AT597" s="196"/>
      <c r="AU597" s="196"/>
      <c r="AV597" s="196"/>
      <c r="AW597" s="197"/>
      <c r="AX597" s="197"/>
      <c r="AY597" s="197"/>
      <c r="AZ597" s="197"/>
    </row>
    <row r="598" spans="1:52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7"/>
      <c r="N598" s="197"/>
      <c r="O598" s="198"/>
      <c r="P598" s="198"/>
      <c r="Q598" s="198"/>
      <c r="R598" s="196"/>
      <c r="S598" s="196"/>
      <c r="T598" s="196"/>
      <c r="U598" s="196"/>
      <c r="V598" s="196"/>
      <c r="W598" s="196"/>
      <c r="X598" s="197"/>
      <c r="Y598" s="197"/>
      <c r="Z598" s="197"/>
      <c r="AA598" s="196"/>
      <c r="AB598" s="196"/>
      <c r="AC598" s="196"/>
      <c r="AD598" s="196"/>
      <c r="AE598" s="196"/>
      <c r="AF598" s="196"/>
      <c r="AG598" s="196"/>
      <c r="AH598" s="196"/>
      <c r="AI598" s="196"/>
      <c r="AJ598" s="196"/>
      <c r="AK598" s="196"/>
      <c r="AL598" s="196"/>
      <c r="AM598" s="196"/>
      <c r="AN598" s="196"/>
      <c r="AO598" s="196"/>
      <c r="AP598" s="196"/>
      <c r="AQ598" s="197"/>
      <c r="AR598" s="196"/>
      <c r="AS598" s="196"/>
      <c r="AT598" s="196"/>
      <c r="AU598" s="196"/>
      <c r="AV598" s="196"/>
      <c r="AW598" s="197"/>
      <c r="AX598" s="197"/>
      <c r="AY598" s="197"/>
      <c r="AZ598" s="197"/>
    </row>
    <row r="599" spans="1:52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7"/>
      <c r="N599" s="197"/>
      <c r="O599" s="198"/>
      <c r="P599" s="198"/>
      <c r="Q599" s="198"/>
      <c r="R599" s="196"/>
      <c r="S599" s="196"/>
      <c r="T599" s="196"/>
      <c r="U599" s="196"/>
      <c r="V599" s="196"/>
      <c r="W599" s="196"/>
      <c r="X599" s="197"/>
      <c r="Y599" s="197"/>
      <c r="Z599" s="197"/>
      <c r="AA599" s="196"/>
      <c r="AB599" s="196"/>
      <c r="AC599" s="196"/>
      <c r="AD599" s="196"/>
      <c r="AE599" s="196"/>
      <c r="AF599" s="196"/>
      <c r="AG599" s="196"/>
      <c r="AH599" s="196"/>
      <c r="AI599" s="196"/>
      <c r="AJ599" s="196"/>
      <c r="AK599" s="196"/>
      <c r="AL599" s="196"/>
      <c r="AM599" s="196"/>
      <c r="AN599" s="196"/>
      <c r="AO599" s="196"/>
      <c r="AP599" s="196"/>
      <c r="AQ599" s="197"/>
      <c r="AR599" s="196"/>
      <c r="AS599" s="196"/>
      <c r="AT599" s="196"/>
      <c r="AU599" s="196"/>
      <c r="AV599" s="196"/>
      <c r="AW599" s="197"/>
      <c r="AX599" s="197"/>
      <c r="AY599" s="197"/>
      <c r="AZ599" s="197"/>
    </row>
    <row r="600" spans="1:52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7"/>
      <c r="N600" s="197"/>
      <c r="O600" s="198"/>
      <c r="P600" s="198"/>
      <c r="Q600" s="198"/>
      <c r="R600" s="196"/>
      <c r="S600" s="196"/>
      <c r="T600" s="196"/>
      <c r="U600" s="196"/>
      <c r="V600" s="196"/>
      <c r="W600" s="196"/>
      <c r="X600" s="197"/>
      <c r="Y600" s="197"/>
      <c r="Z600" s="197"/>
      <c r="AA600" s="196"/>
      <c r="AB600" s="196"/>
      <c r="AC600" s="196"/>
      <c r="AD600" s="196"/>
      <c r="AE600" s="196"/>
      <c r="AF600" s="196"/>
      <c r="AG600" s="196"/>
      <c r="AH600" s="196"/>
      <c r="AI600" s="196"/>
      <c r="AJ600" s="196"/>
      <c r="AK600" s="196"/>
      <c r="AL600" s="196"/>
      <c r="AM600" s="196"/>
      <c r="AN600" s="196"/>
      <c r="AO600" s="196"/>
      <c r="AP600" s="196"/>
      <c r="AQ600" s="197"/>
      <c r="AR600" s="196"/>
      <c r="AS600" s="196"/>
      <c r="AT600" s="196"/>
      <c r="AU600" s="196"/>
      <c r="AV600" s="196"/>
      <c r="AW600" s="197"/>
      <c r="AX600" s="197"/>
      <c r="AY600" s="197"/>
      <c r="AZ600" s="197"/>
    </row>
    <row r="601" spans="1:52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7"/>
      <c r="N601" s="197"/>
      <c r="O601" s="198"/>
      <c r="P601" s="198"/>
      <c r="Q601" s="198"/>
      <c r="R601" s="196"/>
      <c r="S601" s="196"/>
      <c r="T601" s="196"/>
      <c r="U601" s="196"/>
      <c r="V601" s="196"/>
      <c r="W601" s="196"/>
      <c r="X601" s="197"/>
      <c r="Y601" s="197"/>
      <c r="Z601" s="197"/>
      <c r="AA601" s="196"/>
      <c r="AB601" s="196"/>
      <c r="AC601" s="196"/>
      <c r="AD601" s="196"/>
      <c r="AE601" s="196"/>
      <c r="AF601" s="196"/>
      <c r="AG601" s="196"/>
      <c r="AH601" s="196"/>
      <c r="AI601" s="196"/>
      <c r="AJ601" s="196"/>
      <c r="AK601" s="196"/>
      <c r="AL601" s="196"/>
      <c r="AM601" s="196"/>
      <c r="AN601" s="196"/>
      <c r="AO601" s="196"/>
      <c r="AP601" s="196"/>
      <c r="AQ601" s="197"/>
      <c r="AR601" s="196"/>
      <c r="AS601" s="196"/>
      <c r="AT601" s="196"/>
      <c r="AU601" s="196"/>
      <c r="AV601" s="196"/>
      <c r="AW601" s="197"/>
      <c r="AX601" s="197"/>
      <c r="AY601" s="197"/>
      <c r="AZ601" s="197"/>
    </row>
    <row r="602" spans="1:52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7"/>
      <c r="N602" s="197"/>
      <c r="O602" s="198"/>
      <c r="P602" s="198"/>
      <c r="Q602" s="198"/>
      <c r="R602" s="196"/>
      <c r="S602" s="196"/>
      <c r="T602" s="196"/>
      <c r="U602" s="196"/>
      <c r="V602" s="196"/>
      <c r="W602" s="196"/>
      <c r="X602" s="197"/>
      <c r="Y602" s="197"/>
      <c r="Z602" s="197"/>
      <c r="AA602" s="196"/>
      <c r="AB602" s="196"/>
      <c r="AC602" s="196"/>
      <c r="AD602" s="196"/>
      <c r="AE602" s="196"/>
      <c r="AF602" s="196"/>
      <c r="AG602" s="196"/>
      <c r="AH602" s="196"/>
      <c r="AI602" s="196"/>
      <c r="AJ602" s="196"/>
      <c r="AK602" s="196"/>
      <c r="AL602" s="196"/>
      <c r="AM602" s="196"/>
      <c r="AN602" s="196"/>
      <c r="AO602" s="196"/>
      <c r="AP602" s="196"/>
      <c r="AQ602" s="197"/>
      <c r="AR602" s="196"/>
      <c r="AS602" s="196"/>
      <c r="AT602" s="196"/>
      <c r="AU602" s="196"/>
      <c r="AV602" s="196"/>
      <c r="AW602" s="197"/>
      <c r="AX602" s="197"/>
      <c r="AY602" s="197"/>
      <c r="AZ602" s="197"/>
    </row>
    <row r="603" spans="1:52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7"/>
      <c r="N603" s="197"/>
      <c r="O603" s="198"/>
      <c r="P603" s="198"/>
      <c r="Q603" s="198"/>
      <c r="R603" s="196"/>
      <c r="S603" s="196"/>
      <c r="T603" s="196"/>
      <c r="U603" s="196"/>
      <c r="V603" s="196"/>
      <c r="W603" s="196"/>
      <c r="X603" s="197"/>
      <c r="Y603" s="197"/>
      <c r="Z603" s="197"/>
      <c r="AA603" s="196"/>
      <c r="AB603" s="196"/>
      <c r="AC603" s="196"/>
      <c r="AD603" s="196"/>
      <c r="AE603" s="196"/>
      <c r="AF603" s="196"/>
      <c r="AG603" s="196"/>
      <c r="AH603" s="196"/>
      <c r="AI603" s="196"/>
      <c r="AJ603" s="196"/>
      <c r="AK603" s="196"/>
      <c r="AL603" s="196"/>
      <c r="AM603" s="196"/>
      <c r="AN603" s="196"/>
      <c r="AO603" s="196"/>
      <c r="AP603" s="196"/>
      <c r="AQ603" s="197"/>
      <c r="AR603" s="196"/>
      <c r="AS603" s="196"/>
      <c r="AT603" s="196"/>
      <c r="AU603" s="196"/>
      <c r="AV603" s="196"/>
      <c r="AW603" s="197"/>
      <c r="AX603" s="197"/>
      <c r="AY603" s="197"/>
      <c r="AZ603" s="197"/>
    </row>
    <row r="604" spans="1:52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7"/>
      <c r="N604" s="197"/>
      <c r="O604" s="198"/>
      <c r="P604" s="198"/>
      <c r="Q604" s="198"/>
      <c r="R604" s="196"/>
      <c r="S604" s="196"/>
      <c r="T604" s="196"/>
      <c r="U604" s="196"/>
      <c r="V604" s="196"/>
      <c r="W604" s="196"/>
      <c r="X604" s="197"/>
      <c r="Y604" s="197"/>
      <c r="Z604" s="197"/>
      <c r="AA604" s="196"/>
      <c r="AB604" s="196"/>
      <c r="AC604" s="196"/>
      <c r="AD604" s="196"/>
      <c r="AE604" s="196"/>
      <c r="AF604" s="196"/>
      <c r="AG604" s="196"/>
      <c r="AH604" s="196"/>
      <c r="AI604" s="196"/>
      <c r="AJ604" s="196"/>
      <c r="AK604" s="196"/>
      <c r="AL604" s="196"/>
      <c r="AM604" s="196"/>
      <c r="AN604" s="196"/>
      <c r="AO604" s="196"/>
      <c r="AP604" s="196"/>
      <c r="AQ604" s="197"/>
      <c r="AR604" s="196"/>
      <c r="AS604" s="196"/>
      <c r="AT604" s="196"/>
      <c r="AU604" s="196"/>
      <c r="AV604" s="196"/>
      <c r="AW604" s="197"/>
      <c r="AX604" s="197"/>
      <c r="AY604" s="197"/>
      <c r="AZ604" s="197"/>
    </row>
    <row r="605" spans="1:52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7"/>
      <c r="N605" s="197"/>
      <c r="O605" s="198"/>
      <c r="P605" s="198"/>
      <c r="Q605" s="198"/>
      <c r="R605" s="196"/>
      <c r="S605" s="196"/>
      <c r="T605" s="196"/>
      <c r="U605" s="196"/>
      <c r="V605" s="196"/>
      <c r="W605" s="196"/>
      <c r="X605" s="197"/>
      <c r="Y605" s="197"/>
      <c r="Z605" s="197"/>
      <c r="AA605" s="196"/>
      <c r="AB605" s="196"/>
      <c r="AC605" s="196"/>
      <c r="AD605" s="196"/>
      <c r="AE605" s="196"/>
      <c r="AF605" s="196"/>
      <c r="AG605" s="196"/>
      <c r="AH605" s="196"/>
      <c r="AI605" s="196"/>
      <c r="AJ605" s="196"/>
      <c r="AK605" s="196"/>
      <c r="AL605" s="196"/>
      <c r="AM605" s="196"/>
      <c r="AN605" s="196"/>
      <c r="AO605" s="196"/>
      <c r="AP605" s="196"/>
      <c r="AQ605" s="197"/>
      <c r="AR605" s="196"/>
      <c r="AS605" s="196"/>
      <c r="AT605" s="196"/>
      <c r="AU605" s="196"/>
      <c r="AV605" s="196"/>
      <c r="AW605" s="197"/>
      <c r="AX605" s="197"/>
      <c r="AY605" s="197"/>
      <c r="AZ605" s="197"/>
    </row>
    <row r="606" spans="1:52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7"/>
      <c r="N606" s="197"/>
      <c r="O606" s="198"/>
      <c r="P606" s="198"/>
      <c r="Q606" s="198"/>
      <c r="R606" s="196"/>
      <c r="S606" s="196"/>
      <c r="T606" s="196"/>
      <c r="U606" s="196"/>
      <c r="V606" s="196"/>
      <c r="W606" s="196"/>
      <c r="X606" s="197"/>
      <c r="Y606" s="197"/>
      <c r="Z606" s="197"/>
      <c r="AA606" s="196"/>
      <c r="AB606" s="196"/>
      <c r="AC606" s="196"/>
      <c r="AD606" s="196"/>
      <c r="AE606" s="196"/>
      <c r="AF606" s="196"/>
      <c r="AG606" s="196"/>
      <c r="AH606" s="196"/>
      <c r="AI606" s="196"/>
      <c r="AJ606" s="196"/>
      <c r="AK606" s="196"/>
      <c r="AL606" s="196"/>
      <c r="AM606" s="196"/>
      <c r="AN606" s="196"/>
      <c r="AO606" s="196"/>
      <c r="AP606" s="196"/>
      <c r="AQ606" s="197"/>
      <c r="AR606" s="196"/>
      <c r="AS606" s="196"/>
      <c r="AT606" s="196"/>
      <c r="AU606" s="196"/>
      <c r="AV606" s="196"/>
      <c r="AW606" s="197"/>
      <c r="AX606" s="197"/>
      <c r="AY606" s="197"/>
      <c r="AZ606" s="197"/>
    </row>
    <row r="607" spans="1:52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7"/>
      <c r="N607" s="197"/>
      <c r="O607" s="198"/>
      <c r="P607" s="198"/>
      <c r="Q607" s="198"/>
      <c r="R607" s="196"/>
      <c r="S607" s="196"/>
      <c r="T607" s="196"/>
      <c r="U607" s="196"/>
      <c r="V607" s="196"/>
      <c r="W607" s="196"/>
      <c r="X607" s="197"/>
      <c r="Y607" s="197"/>
      <c r="Z607" s="197"/>
      <c r="AA607" s="196"/>
      <c r="AB607" s="196"/>
      <c r="AC607" s="196"/>
      <c r="AD607" s="196"/>
      <c r="AE607" s="196"/>
      <c r="AF607" s="196"/>
      <c r="AG607" s="196"/>
      <c r="AH607" s="196"/>
      <c r="AI607" s="196"/>
      <c r="AJ607" s="196"/>
      <c r="AK607" s="196"/>
      <c r="AL607" s="196"/>
      <c r="AM607" s="196"/>
      <c r="AN607" s="196"/>
      <c r="AO607" s="196"/>
      <c r="AP607" s="196"/>
      <c r="AQ607" s="197"/>
      <c r="AR607" s="196"/>
      <c r="AS607" s="196"/>
      <c r="AT607" s="196"/>
      <c r="AU607" s="196"/>
      <c r="AV607" s="196"/>
      <c r="AW607" s="197"/>
      <c r="AX607" s="197"/>
      <c r="AY607" s="197"/>
      <c r="AZ607" s="197"/>
    </row>
    <row r="608" spans="1:52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7"/>
      <c r="N608" s="197"/>
      <c r="O608" s="198"/>
      <c r="P608" s="198"/>
      <c r="Q608" s="198"/>
      <c r="R608" s="196"/>
      <c r="S608" s="196"/>
      <c r="T608" s="196"/>
      <c r="U608" s="196"/>
      <c r="V608" s="196"/>
      <c r="W608" s="196"/>
      <c r="X608" s="197"/>
      <c r="Y608" s="197"/>
      <c r="Z608" s="197"/>
      <c r="AA608" s="196"/>
      <c r="AB608" s="196"/>
      <c r="AC608" s="196"/>
      <c r="AD608" s="196"/>
      <c r="AE608" s="196"/>
      <c r="AF608" s="196"/>
      <c r="AG608" s="196"/>
      <c r="AH608" s="196"/>
      <c r="AI608" s="196"/>
      <c r="AJ608" s="196"/>
      <c r="AK608" s="196"/>
      <c r="AL608" s="196"/>
      <c r="AM608" s="196"/>
      <c r="AN608" s="196"/>
      <c r="AO608" s="196"/>
      <c r="AP608" s="196"/>
      <c r="AQ608" s="197"/>
      <c r="AR608" s="196"/>
      <c r="AS608" s="196"/>
      <c r="AT608" s="196"/>
      <c r="AU608" s="196"/>
      <c r="AV608" s="196"/>
      <c r="AW608" s="197"/>
      <c r="AX608" s="197"/>
      <c r="AY608" s="197"/>
      <c r="AZ608" s="197"/>
    </row>
    <row r="609" spans="1:52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7"/>
      <c r="N609" s="197"/>
      <c r="O609" s="198"/>
      <c r="P609" s="198"/>
      <c r="Q609" s="198"/>
      <c r="R609" s="196"/>
      <c r="S609" s="196"/>
      <c r="T609" s="196"/>
      <c r="U609" s="196"/>
      <c r="V609" s="196"/>
      <c r="W609" s="196"/>
      <c r="X609" s="197"/>
      <c r="Y609" s="197"/>
      <c r="Z609" s="197"/>
      <c r="AA609" s="196"/>
      <c r="AB609" s="196"/>
      <c r="AC609" s="196"/>
      <c r="AD609" s="196"/>
      <c r="AE609" s="196"/>
      <c r="AF609" s="196"/>
      <c r="AG609" s="196"/>
      <c r="AH609" s="196"/>
      <c r="AI609" s="196"/>
      <c r="AJ609" s="196"/>
      <c r="AK609" s="196"/>
      <c r="AL609" s="196"/>
      <c r="AM609" s="196"/>
      <c r="AN609" s="196"/>
      <c r="AO609" s="196"/>
      <c r="AP609" s="196"/>
      <c r="AQ609" s="197"/>
      <c r="AR609" s="196"/>
      <c r="AS609" s="196"/>
      <c r="AT609" s="196"/>
      <c r="AU609" s="196"/>
      <c r="AV609" s="196"/>
      <c r="AW609" s="197"/>
      <c r="AX609" s="197"/>
      <c r="AY609" s="197"/>
      <c r="AZ609" s="197"/>
    </row>
    <row r="610" spans="1:52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7"/>
      <c r="O610" s="198"/>
      <c r="P610" s="198"/>
      <c r="Q610" s="198"/>
      <c r="R610" s="196"/>
      <c r="S610" s="196"/>
      <c r="T610" s="196"/>
      <c r="U610" s="196"/>
      <c r="V610" s="196"/>
      <c r="W610" s="196"/>
      <c r="X610" s="197"/>
      <c r="Y610" s="197"/>
      <c r="Z610" s="197"/>
      <c r="AA610" s="196"/>
      <c r="AB610" s="196"/>
      <c r="AC610" s="196"/>
      <c r="AD610" s="196"/>
      <c r="AE610" s="196"/>
      <c r="AF610" s="196"/>
      <c r="AG610" s="196"/>
      <c r="AH610" s="196"/>
      <c r="AI610" s="196"/>
      <c r="AJ610" s="196"/>
      <c r="AK610" s="196"/>
      <c r="AL610" s="196"/>
      <c r="AM610" s="196"/>
      <c r="AN610" s="196"/>
      <c r="AO610" s="196"/>
      <c r="AP610" s="196"/>
      <c r="AQ610" s="197"/>
      <c r="AR610" s="196"/>
      <c r="AS610" s="196"/>
      <c r="AT610" s="196"/>
      <c r="AU610" s="196"/>
      <c r="AV610" s="196"/>
      <c r="AW610" s="197"/>
      <c r="AX610" s="197"/>
      <c r="AY610" s="197"/>
      <c r="AZ610" s="197"/>
    </row>
    <row r="611" spans="1:52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7"/>
      <c r="N611" s="197"/>
      <c r="O611" s="198"/>
      <c r="P611" s="198"/>
      <c r="Q611" s="198"/>
      <c r="R611" s="196"/>
      <c r="S611" s="196"/>
      <c r="T611" s="196"/>
      <c r="U611" s="196"/>
      <c r="V611" s="196"/>
      <c r="W611" s="196"/>
      <c r="X611" s="197"/>
      <c r="Y611" s="197"/>
      <c r="Z611" s="197"/>
      <c r="AA611" s="196"/>
      <c r="AB611" s="196"/>
      <c r="AC611" s="196"/>
      <c r="AD611" s="196"/>
      <c r="AE611" s="196"/>
      <c r="AF611" s="196"/>
      <c r="AG611" s="196"/>
      <c r="AH611" s="196"/>
      <c r="AI611" s="196"/>
      <c r="AJ611" s="196"/>
      <c r="AK611" s="196"/>
      <c r="AL611" s="196"/>
      <c r="AM611" s="196"/>
      <c r="AN611" s="196"/>
      <c r="AO611" s="196"/>
      <c r="AP611" s="196"/>
      <c r="AQ611" s="197"/>
      <c r="AR611" s="196"/>
      <c r="AS611" s="196"/>
      <c r="AT611" s="196"/>
      <c r="AU611" s="196"/>
      <c r="AV611" s="196"/>
      <c r="AW611" s="197"/>
      <c r="AX611" s="197"/>
      <c r="AY611" s="197"/>
      <c r="AZ611" s="197"/>
    </row>
    <row r="612" spans="1:52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7"/>
      <c r="N612" s="197"/>
      <c r="O612" s="198"/>
      <c r="P612" s="198"/>
      <c r="Q612" s="198"/>
      <c r="R612" s="196"/>
      <c r="S612" s="196"/>
      <c r="T612" s="196"/>
      <c r="U612" s="196"/>
      <c r="V612" s="196"/>
      <c r="W612" s="196"/>
      <c r="X612" s="197"/>
      <c r="Y612" s="197"/>
      <c r="Z612" s="197"/>
      <c r="AA612" s="196"/>
      <c r="AB612" s="196"/>
      <c r="AC612" s="196"/>
      <c r="AD612" s="196"/>
      <c r="AE612" s="196"/>
      <c r="AF612" s="196"/>
      <c r="AG612" s="196"/>
      <c r="AH612" s="196"/>
      <c r="AI612" s="196"/>
      <c r="AJ612" s="196"/>
      <c r="AK612" s="196"/>
      <c r="AL612" s="196"/>
      <c r="AM612" s="196"/>
      <c r="AN612" s="196"/>
      <c r="AO612" s="196"/>
      <c r="AP612" s="196"/>
      <c r="AQ612" s="197"/>
      <c r="AR612" s="196"/>
      <c r="AS612" s="196"/>
      <c r="AT612" s="196"/>
      <c r="AU612" s="196"/>
      <c r="AV612" s="196"/>
      <c r="AW612" s="197"/>
      <c r="AX612" s="197"/>
      <c r="AY612" s="197"/>
      <c r="AZ612" s="197"/>
    </row>
    <row r="613" spans="1:52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7"/>
      <c r="N613" s="197"/>
      <c r="O613" s="198"/>
      <c r="P613" s="198"/>
      <c r="Q613" s="198"/>
      <c r="R613" s="196"/>
      <c r="S613" s="196"/>
      <c r="T613" s="196"/>
      <c r="U613" s="196"/>
      <c r="V613" s="196"/>
      <c r="W613" s="196"/>
      <c r="X613" s="197"/>
      <c r="Y613" s="197"/>
      <c r="Z613" s="197"/>
      <c r="AA613" s="196"/>
      <c r="AB613" s="196"/>
      <c r="AC613" s="196"/>
      <c r="AD613" s="196"/>
      <c r="AE613" s="196"/>
      <c r="AF613" s="196"/>
      <c r="AG613" s="196"/>
      <c r="AH613" s="196"/>
      <c r="AI613" s="196"/>
      <c r="AJ613" s="196"/>
      <c r="AK613" s="196"/>
      <c r="AL613" s="196"/>
      <c r="AM613" s="196"/>
      <c r="AN613" s="196"/>
      <c r="AO613" s="196"/>
      <c r="AP613" s="196"/>
      <c r="AQ613" s="197"/>
      <c r="AR613" s="196"/>
      <c r="AS613" s="196"/>
      <c r="AT613" s="196"/>
      <c r="AU613" s="196"/>
      <c r="AV613" s="196"/>
      <c r="AW613" s="197"/>
      <c r="AX613" s="197"/>
      <c r="AY613" s="197"/>
      <c r="AZ613" s="197"/>
    </row>
    <row r="614" spans="1:52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7"/>
      <c r="N614" s="197"/>
      <c r="O614" s="198"/>
      <c r="P614" s="198"/>
      <c r="Q614" s="198"/>
      <c r="R614" s="196"/>
      <c r="S614" s="196"/>
      <c r="T614" s="196"/>
      <c r="U614" s="196"/>
      <c r="V614" s="196"/>
      <c r="W614" s="196"/>
      <c r="X614" s="197"/>
      <c r="Y614" s="197"/>
      <c r="Z614" s="197"/>
      <c r="AA614" s="196"/>
      <c r="AB614" s="196"/>
      <c r="AC614" s="196"/>
      <c r="AD614" s="196"/>
      <c r="AE614" s="196"/>
      <c r="AF614" s="196"/>
      <c r="AG614" s="196"/>
      <c r="AH614" s="196"/>
      <c r="AI614" s="196"/>
      <c r="AJ614" s="196"/>
      <c r="AK614" s="196"/>
      <c r="AL614" s="196"/>
      <c r="AM614" s="196"/>
      <c r="AN614" s="196"/>
      <c r="AO614" s="196"/>
      <c r="AP614" s="196"/>
      <c r="AQ614" s="197"/>
      <c r="AR614" s="196"/>
      <c r="AS614" s="196"/>
      <c r="AT614" s="196"/>
      <c r="AU614" s="196"/>
      <c r="AV614" s="196"/>
      <c r="AW614" s="197"/>
      <c r="AX614" s="197"/>
      <c r="AY614" s="197"/>
      <c r="AZ614" s="197"/>
    </row>
    <row r="615" spans="1:52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7"/>
      <c r="N615" s="197"/>
      <c r="O615" s="198"/>
      <c r="P615" s="198"/>
      <c r="Q615" s="198"/>
      <c r="R615" s="196"/>
      <c r="S615" s="196"/>
      <c r="T615" s="196"/>
      <c r="U615" s="196"/>
      <c r="V615" s="196"/>
      <c r="W615" s="196"/>
      <c r="X615" s="197"/>
      <c r="Y615" s="197"/>
      <c r="Z615" s="197"/>
      <c r="AA615" s="196"/>
      <c r="AB615" s="196"/>
      <c r="AC615" s="196"/>
      <c r="AD615" s="196"/>
      <c r="AE615" s="196"/>
      <c r="AF615" s="196"/>
      <c r="AG615" s="196"/>
      <c r="AH615" s="196"/>
      <c r="AI615" s="196"/>
      <c r="AJ615" s="196"/>
      <c r="AK615" s="196"/>
      <c r="AL615" s="196"/>
      <c r="AM615" s="196"/>
      <c r="AN615" s="196"/>
      <c r="AO615" s="196"/>
      <c r="AP615" s="196"/>
      <c r="AQ615" s="197"/>
      <c r="AR615" s="196"/>
      <c r="AS615" s="196"/>
      <c r="AT615" s="196"/>
      <c r="AU615" s="196"/>
      <c r="AV615" s="196"/>
      <c r="AW615" s="197"/>
      <c r="AX615" s="197"/>
      <c r="AY615" s="197"/>
      <c r="AZ615" s="197"/>
    </row>
    <row r="616" spans="1:52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7"/>
      <c r="N616" s="197"/>
      <c r="O616" s="198"/>
      <c r="P616" s="198"/>
      <c r="Q616" s="198"/>
      <c r="R616" s="196"/>
      <c r="S616" s="196"/>
      <c r="T616" s="196"/>
      <c r="U616" s="196"/>
      <c r="V616" s="196"/>
      <c r="W616" s="196"/>
      <c r="X616" s="197"/>
      <c r="Y616" s="197"/>
      <c r="Z616" s="197"/>
      <c r="AA616" s="196"/>
      <c r="AB616" s="196"/>
      <c r="AC616" s="196"/>
      <c r="AD616" s="196"/>
      <c r="AE616" s="196"/>
      <c r="AF616" s="196"/>
      <c r="AG616" s="196"/>
      <c r="AH616" s="196"/>
      <c r="AI616" s="196"/>
      <c r="AJ616" s="196"/>
      <c r="AK616" s="196"/>
      <c r="AL616" s="196"/>
      <c r="AM616" s="196"/>
      <c r="AN616" s="196"/>
      <c r="AO616" s="196"/>
      <c r="AP616" s="196"/>
      <c r="AQ616" s="197"/>
      <c r="AR616" s="196"/>
      <c r="AS616" s="196"/>
      <c r="AT616" s="196"/>
      <c r="AU616" s="196"/>
      <c r="AV616" s="196"/>
      <c r="AW616" s="197"/>
      <c r="AX616" s="197"/>
      <c r="AY616" s="197"/>
      <c r="AZ616" s="197"/>
    </row>
    <row r="617" spans="1:52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7"/>
      <c r="N617" s="197"/>
      <c r="O617" s="198"/>
      <c r="P617" s="198"/>
      <c r="Q617" s="198"/>
      <c r="R617" s="196"/>
      <c r="S617" s="196"/>
      <c r="T617" s="196"/>
      <c r="U617" s="196"/>
      <c r="V617" s="196"/>
      <c r="W617" s="196"/>
      <c r="X617" s="197"/>
      <c r="Y617" s="197"/>
      <c r="Z617" s="197"/>
      <c r="AA617" s="196"/>
      <c r="AB617" s="196"/>
      <c r="AC617" s="196"/>
      <c r="AD617" s="196"/>
      <c r="AE617" s="196"/>
      <c r="AF617" s="196"/>
      <c r="AG617" s="196"/>
      <c r="AH617" s="196"/>
      <c r="AI617" s="196"/>
      <c r="AJ617" s="196"/>
      <c r="AK617" s="196"/>
      <c r="AL617" s="196"/>
      <c r="AM617" s="196"/>
      <c r="AN617" s="196"/>
      <c r="AO617" s="196"/>
      <c r="AP617" s="196"/>
      <c r="AQ617" s="197"/>
      <c r="AR617" s="196"/>
      <c r="AS617" s="196"/>
      <c r="AT617" s="196"/>
      <c r="AU617" s="196"/>
      <c r="AV617" s="196"/>
      <c r="AW617" s="197"/>
      <c r="AX617" s="197"/>
      <c r="AY617" s="197"/>
      <c r="AZ617" s="197"/>
    </row>
    <row r="618" spans="1:52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7"/>
      <c r="N618" s="197"/>
      <c r="O618" s="198"/>
      <c r="P618" s="198"/>
      <c r="Q618" s="198"/>
      <c r="R618" s="196"/>
      <c r="S618" s="196"/>
      <c r="T618" s="196"/>
      <c r="U618" s="196"/>
      <c r="V618" s="196"/>
      <c r="W618" s="196"/>
      <c r="X618" s="197"/>
      <c r="Y618" s="197"/>
      <c r="Z618" s="197"/>
      <c r="AA618" s="196"/>
      <c r="AB618" s="196"/>
      <c r="AC618" s="196"/>
      <c r="AD618" s="196"/>
      <c r="AE618" s="196"/>
      <c r="AF618" s="196"/>
      <c r="AG618" s="196"/>
      <c r="AH618" s="196"/>
      <c r="AI618" s="196"/>
      <c r="AJ618" s="196"/>
      <c r="AK618" s="196"/>
      <c r="AL618" s="196"/>
      <c r="AM618" s="196"/>
      <c r="AN618" s="196"/>
      <c r="AO618" s="196"/>
      <c r="AP618" s="196"/>
      <c r="AQ618" s="197"/>
      <c r="AR618" s="196"/>
      <c r="AS618" s="196"/>
      <c r="AT618" s="196"/>
      <c r="AU618" s="196"/>
      <c r="AV618" s="196"/>
      <c r="AW618" s="197"/>
      <c r="AX618" s="197"/>
      <c r="AY618" s="197"/>
      <c r="AZ618" s="197"/>
    </row>
    <row r="619" spans="1:52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7"/>
      <c r="N619" s="197"/>
      <c r="O619" s="198"/>
      <c r="P619" s="198"/>
      <c r="Q619" s="198"/>
      <c r="R619" s="196"/>
      <c r="S619" s="196"/>
      <c r="T619" s="196"/>
      <c r="U619" s="196"/>
      <c r="V619" s="196"/>
      <c r="W619" s="196"/>
      <c r="X619" s="197"/>
      <c r="Y619" s="197"/>
      <c r="Z619" s="197"/>
      <c r="AA619" s="196"/>
      <c r="AB619" s="196"/>
      <c r="AC619" s="196"/>
      <c r="AD619" s="196"/>
      <c r="AE619" s="196"/>
      <c r="AF619" s="196"/>
      <c r="AG619" s="196"/>
      <c r="AH619" s="196"/>
      <c r="AI619" s="196"/>
      <c r="AJ619" s="196"/>
      <c r="AK619" s="196"/>
      <c r="AL619" s="196"/>
      <c r="AM619" s="196"/>
      <c r="AN619" s="196"/>
      <c r="AO619" s="196"/>
      <c r="AP619" s="196"/>
      <c r="AQ619" s="197"/>
      <c r="AR619" s="196"/>
      <c r="AS619" s="196"/>
      <c r="AT619" s="196"/>
      <c r="AU619" s="196"/>
      <c r="AV619" s="196"/>
      <c r="AW619" s="197"/>
      <c r="AX619" s="197"/>
      <c r="AY619" s="197"/>
      <c r="AZ619" s="197"/>
    </row>
    <row r="620" spans="1:52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7"/>
      <c r="N620" s="197"/>
      <c r="O620" s="198"/>
      <c r="P620" s="198"/>
      <c r="Q620" s="198"/>
      <c r="R620" s="196"/>
      <c r="S620" s="196"/>
      <c r="T620" s="196"/>
      <c r="U620" s="196"/>
      <c r="V620" s="196"/>
      <c r="W620" s="196"/>
      <c r="X620" s="197"/>
      <c r="Y620" s="197"/>
      <c r="Z620" s="197"/>
      <c r="AA620" s="196"/>
      <c r="AB620" s="196"/>
      <c r="AC620" s="196"/>
      <c r="AD620" s="196"/>
      <c r="AE620" s="196"/>
      <c r="AF620" s="196"/>
      <c r="AG620" s="196"/>
      <c r="AH620" s="196"/>
      <c r="AI620" s="196"/>
      <c r="AJ620" s="196"/>
      <c r="AK620" s="196"/>
      <c r="AL620" s="196"/>
      <c r="AM620" s="196"/>
      <c r="AN620" s="196"/>
      <c r="AO620" s="196"/>
      <c r="AP620" s="196"/>
      <c r="AQ620" s="197"/>
      <c r="AR620" s="196"/>
      <c r="AS620" s="196"/>
      <c r="AT620" s="196"/>
      <c r="AU620" s="196"/>
      <c r="AV620" s="196"/>
      <c r="AW620" s="197"/>
      <c r="AX620" s="197"/>
      <c r="AY620" s="197"/>
      <c r="AZ620" s="197"/>
    </row>
    <row r="621" spans="1:52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7"/>
      <c r="N621" s="197"/>
      <c r="O621" s="198"/>
      <c r="P621" s="198"/>
      <c r="Q621" s="198"/>
      <c r="R621" s="196"/>
      <c r="S621" s="196"/>
      <c r="T621" s="196"/>
      <c r="U621" s="196"/>
      <c r="V621" s="196"/>
      <c r="W621" s="196"/>
      <c r="X621" s="197"/>
      <c r="Y621" s="197"/>
      <c r="Z621" s="197"/>
      <c r="AA621" s="196"/>
      <c r="AB621" s="196"/>
      <c r="AC621" s="196"/>
      <c r="AD621" s="196"/>
      <c r="AE621" s="196"/>
      <c r="AF621" s="196"/>
      <c r="AG621" s="196"/>
      <c r="AH621" s="196"/>
      <c r="AI621" s="196"/>
      <c r="AJ621" s="196"/>
      <c r="AK621" s="196"/>
      <c r="AL621" s="196"/>
      <c r="AM621" s="196"/>
      <c r="AN621" s="196"/>
      <c r="AO621" s="196"/>
      <c r="AP621" s="196"/>
      <c r="AQ621" s="197"/>
      <c r="AR621" s="196"/>
      <c r="AS621" s="196"/>
      <c r="AT621" s="196"/>
      <c r="AU621" s="196"/>
      <c r="AV621" s="196"/>
      <c r="AW621" s="197"/>
      <c r="AX621" s="197"/>
      <c r="AY621" s="197"/>
      <c r="AZ621" s="197"/>
    </row>
    <row r="622" spans="1:52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7"/>
      <c r="N622" s="197"/>
      <c r="O622" s="198"/>
      <c r="P622" s="198"/>
      <c r="Q622" s="198"/>
      <c r="R622" s="196"/>
      <c r="S622" s="196"/>
      <c r="T622" s="196"/>
      <c r="U622" s="196"/>
      <c r="V622" s="196"/>
      <c r="W622" s="196"/>
      <c r="X622" s="197"/>
      <c r="Y622" s="197"/>
      <c r="Z622" s="197"/>
      <c r="AA622" s="196"/>
      <c r="AB622" s="196"/>
      <c r="AC622" s="196"/>
      <c r="AD622" s="196"/>
      <c r="AE622" s="196"/>
      <c r="AF622" s="196"/>
      <c r="AG622" s="196"/>
      <c r="AH622" s="196"/>
      <c r="AI622" s="196"/>
      <c r="AJ622" s="196"/>
      <c r="AK622" s="196"/>
      <c r="AL622" s="196"/>
      <c r="AM622" s="196"/>
      <c r="AN622" s="196"/>
      <c r="AO622" s="196"/>
      <c r="AP622" s="196"/>
      <c r="AQ622" s="197"/>
      <c r="AR622" s="196"/>
      <c r="AS622" s="196"/>
      <c r="AT622" s="196"/>
      <c r="AU622" s="196"/>
      <c r="AV622" s="196"/>
      <c r="AW622" s="197"/>
      <c r="AX622" s="197"/>
      <c r="AY622" s="197"/>
      <c r="AZ622" s="197"/>
    </row>
    <row r="623" spans="1:52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7"/>
      <c r="N623" s="197"/>
      <c r="O623" s="198"/>
      <c r="P623" s="198"/>
      <c r="Q623" s="198"/>
      <c r="R623" s="196"/>
      <c r="S623" s="196"/>
      <c r="T623" s="196"/>
      <c r="U623" s="196"/>
      <c r="V623" s="196"/>
      <c r="W623" s="196"/>
      <c r="X623" s="197"/>
      <c r="Y623" s="197"/>
      <c r="Z623" s="197"/>
      <c r="AA623" s="196"/>
      <c r="AB623" s="196"/>
      <c r="AC623" s="196"/>
      <c r="AD623" s="196"/>
      <c r="AE623" s="196"/>
      <c r="AF623" s="196"/>
      <c r="AG623" s="196"/>
      <c r="AH623" s="196"/>
      <c r="AI623" s="196"/>
      <c r="AJ623" s="196"/>
      <c r="AK623" s="196"/>
      <c r="AL623" s="196"/>
      <c r="AM623" s="196"/>
      <c r="AN623" s="196"/>
      <c r="AO623" s="196"/>
      <c r="AP623" s="196"/>
      <c r="AQ623" s="197"/>
      <c r="AR623" s="196"/>
      <c r="AS623" s="196"/>
      <c r="AT623" s="196"/>
      <c r="AU623" s="196"/>
      <c r="AV623" s="196"/>
      <c r="AW623" s="197"/>
      <c r="AX623" s="197"/>
      <c r="AY623" s="197"/>
      <c r="AZ623" s="197"/>
    </row>
    <row r="624" spans="1:52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7"/>
      <c r="N624" s="197"/>
      <c r="O624" s="198"/>
      <c r="P624" s="198"/>
      <c r="Q624" s="198"/>
      <c r="R624" s="196"/>
      <c r="S624" s="196"/>
      <c r="T624" s="196"/>
      <c r="U624" s="196"/>
      <c r="V624" s="196"/>
      <c r="W624" s="196"/>
      <c r="X624" s="197"/>
      <c r="Y624" s="197"/>
      <c r="Z624" s="197"/>
      <c r="AA624" s="196"/>
      <c r="AB624" s="196"/>
      <c r="AC624" s="196"/>
      <c r="AD624" s="196"/>
      <c r="AE624" s="196"/>
      <c r="AF624" s="196"/>
      <c r="AG624" s="196"/>
      <c r="AH624" s="196"/>
      <c r="AI624" s="196"/>
      <c r="AJ624" s="196"/>
      <c r="AK624" s="196"/>
      <c r="AL624" s="196"/>
      <c r="AM624" s="196"/>
      <c r="AN624" s="196"/>
      <c r="AO624" s="196"/>
      <c r="AP624" s="196"/>
      <c r="AQ624" s="197"/>
      <c r="AR624" s="196"/>
      <c r="AS624" s="196"/>
      <c r="AT624" s="196"/>
      <c r="AU624" s="196"/>
      <c r="AV624" s="196"/>
      <c r="AW624" s="197"/>
      <c r="AX624" s="197"/>
      <c r="AY624" s="197"/>
      <c r="AZ624" s="197"/>
    </row>
    <row r="625" spans="1:52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7"/>
      <c r="N625" s="197"/>
      <c r="O625" s="198"/>
      <c r="P625" s="198"/>
      <c r="Q625" s="198"/>
      <c r="R625" s="196"/>
      <c r="S625" s="196"/>
      <c r="T625" s="196"/>
      <c r="U625" s="196"/>
      <c r="V625" s="196"/>
      <c r="W625" s="196"/>
      <c r="X625" s="197"/>
      <c r="Y625" s="197"/>
      <c r="Z625" s="197"/>
      <c r="AA625" s="196"/>
      <c r="AB625" s="196"/>
      <c r="AC625" s="196"/>
      <c r="AD625" s="196"/>
      <c r="AE625" s="196"/>
      <c r="AF625" s="196"/>
      <c r="AG625" s="196"/>
      <c r="AH625" s="196"/>
      <c r="AI625" s="196"/>
      <c r="AJ625" s="196"/>
      <c r="AK625" s="196"/>
      <c r="AL625" s="196"/>
      <c r="AM625" s="196"/>
      <c r="AN625" s="196"/>
      <c r="AO625" s="196"/>
      <c r="AP625" s="196"/>
      <c r="AQ625" s="197"/>
      <c r="AR625" s="196"/>
      <c r="AS625" s="196"/>
      <c r="AT625" s="196"/>
      <c r="AU625" s="196"/>
      <c r="AV625" s="196"/>
      <c r="AW625" s="197"/>
      <c r="AX625" s="197"/>
      <c r="AY625" s="197"/>
      <c r="AZ625" s="197"/>
    </row>
    <row r="626" spans="1:52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7"/>
      <c r="N626" s="197"/>
      <c r="O626" s="198"/>
      <c r="P626" s="198"/>
      <c r="Q626" s="198"/>
      <c r="R626" s="196"/>
      <c r="S626" s="196"/>
      <c r="T626" s="196"/>
      <c r="U626" s="196"/>
      <c r="V626" s="196"/>
      <c r="W626" s="196"/>
      <c r="X626" s="197"/>
      <c r="Y626" s="197"/>
      <c r="Z626" s="197"/>
      <c r="AA626" s="196"/>
      <c r="AB626" s="196"/>
      <c r="AC626" s="196"/>
      <c r="AD626" s="196"/>
      <c r="AE626" s="196"/>
      <c r="AF626" s="196"/>
      <c r="AG626" s="196"/>
      <c r="AH626" s="196"/>
      <c r="AI626" s="196"/>
      <c r="AJ626" s="196"/>
      <c r="AK626" s="196"/>
      <c r="AL626" s="196"/>
      <c r="AM626" s="196"/>
      <c r="AN626" s="196"/>
      <c r="AO626" s="196"/>
      <c r="AP626" s="196"/>
      <c r="AQ626" s="197"/>
      <c r="AR626" s="196"/>
      <c r="AS626" s="196"/>
      <c r="AT626" s="196"/>
      <c r="AU626" s="196"/>
      <c r="AV626" s="196"/>
      <c r="AW626" s="197"/>
      <c r="AX626" s="197"/>
      <c r="AY626" s="197"/>
      <c r="AZ626" s="197"/>
    </row>
    <row r="627" spans="1:52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7"/>
      <c r="N627" s="197"/>
      <c r="O627" s="198"/>
      <c r="P627" s="198"/>
      <c r="Q627" s="198"/>
      <c r="R627" s="196"/>
      <c r="S627" s="196"/>
      <c r="T627" s="196"/>
      <c r="U627" s="196"/>
      <c r="V627" s="196"/>
      <c r="W627" s="196"/>
      <c r="X627" s="197"/>
      <c r="Y627" s="197"/>
      <c r="Z627" s="197"/>
      <c r="AA627" s="196"/>
      <c r="AB627" s="196"/>
      <c r="AC627" s="196"/>
      <c r="AD627" s="196"/>
      <c r="AE627" s="196"/>
      <c r="AF627" s="196"/>
      <c r="AG627" s="196"/>
      <c r="AH627" s="196"/>
      <c r="AI627" s="196"/>
      <c r="AJ627" s="196"/>
      <c r="AK627" s="196"/>
      <c r="AL627" s="196"/>
      <c r="AM627" s="196"/>
      <c r="AN627" s="196"/>
      <c r="AO627" s="196"/>
      <c r="AP627" s="196"/>
      <c r="AQ627" s="197"/>
      <c r="AR627" s="196"/>
      <c r="AS627" s="196"/>
      <c r="AT627" s="196"/>
      <c r="AU627" s="196"/>
      <c r="AV627" s="196"/>
      <c r="AW627" s="197"/>
      <c r="AX627" s="197"/>
      <c r="AY627" s="197"/>
      <c r="AZ627" s="197"/>
    </row>
    <row r="628" spans="1:52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7"/>
      <c r="N628" s="197"/>
      <c r="O628" s="198"/>
      <c r="P628" s="198"/>
      <c r="Q628" s="198"/>
      <c r="R628" s="196"/>
      <c r="S628" s="196"/>
      <c r="T628" s="196"/>
      <c r="U628" s="196"/>
      <c r="V628" s="196"/>
      <c r="W628" s="196"/>
      <c r="X628" s="197"/>
      <c r="Y628" s="197"/>
      <c r="Z628" s="197"/>
      <c r="AA628" s="196"/>
      <c r="AB628" s="196"/>
      <c r="AC628" s="196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  <c r="AN628" s="196"/>
      <c r="AO628" s="196"/>
      <c r="AP628" s="196"/>
      <c r="AQ628" s="197"/>
      <c r="AR628" s="196"/>
      <c r="AS628" s="196"/>
      <c r="AT628" s="196"/>
      <c r="AU628" s="196"/>
      <c r="AV628" s="196"/>
      <c r="AW628" s="197"/>
      <c r="AX628" s="197"/>
      <c r="AY628" s="197"/>
      <c r="AZ628" s="197"/>
    </row>
    <row r="629" spans="1:52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7"/>
      <c r="N629" s="197"/>
      <c r="O629" s="198"/>
      <c r="P629" s="198"/>
      <c r="Q629" s="198"/>
      <c r="R629" s="196"/>
      <c r="S629" s="196"/>
      <c r="T629" s="196"/>
      <c r="U629" s="196"/>
      <c r="V629" s="196"/>
      <c r="W629" s="196"/>
      <c r="X629" s="197"/>
      <c r="Y629" s="197"/>
      <c r="Z629" s="197"/>
      <c r="AA629" s="196"/>
      <c r="AB629" s="196"/>
      <c r="AC629" s="196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  <c r="AN629" s="196"/>
      <c r="AO629" s="196"/>
      <c r="AP629" s="196"/>
      <c r="AQ629" s="197"/>
      <c r="AR629" s="196"/>
      <c r="AS629" s="196"/>
      <c r="AT629" s="196"/>
      <c r="AU629" s="196"/>
      <c r="AV629" s="196"/>
      <c r="AW629" s="197"/>
      <c r="AX629" s="197"/>
      <c r="AY629" s="197"/>
      <c r="AZ629" s="197"/>
    </row>
    <row r="630" spans="1:52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7"/>
      <c r="N630" s="197"/>
      <c r="O630" s="198"/>
      <c r="P630" s="198"/>
      <c r="Q630" s="198"/>
      <c r="R630" s="196"/>
      <c r="S630" s="196"/>
      <c r="T630" s="196"/>
      <c r="U630" s="196"/>
      <c r="V630" s="196"/>
      <c r="W630" s="196"/>
      <c r="X630" s="197"/>
      <c r="Y630" s="197"/>
      <c r="Z630" s="197"/>
      <c r="AA630" s="196"/>
      <c r="AB630" s="196"/>
      <c r="AC630" s="196"/>
      <c r="AD630" s="196"/>
      <c r="AE630" s="196"/>
      <c r="AF630" s="196"/>
      <c r="AG630" s="196"/>
      <c r="AH630" s="196"/>
      <c r="AI630" s="196"/>
      <c r="AJ630" s="196"/>
      <c r="AK630" s="196"/>
      <c r="AL630" s="196"/>
      <c r="AM630" s="196"/>
      <c r="AN630" s="196"/>
      <c r="AO630" s="196"/>
      <c r="AP630" s="196"/>
      <c r="AQ630" s="197"/>
      <c r="AR630" s="196"/>
      <c r="AS630" s="196"/>
      <c r="AT630" s="196"/>
      <c r="AU630" s="196"/>
      <c r="AV630" s="196"/>
      <c r="AW630" s="197"/>
      <c r="AX630" s="197"/>
      <c r="AY630" s="197"/>
      <c r="AZ630" s="197"/>
    </row>
    <row r="631" spans="1:52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7"/>
      <c r="N631" s="197"/>
      <c r="O631" s="198"/>
      <c r="P631" s="198"/>
      <c r="Q631" s="198"/>
      <c r="R631" s="196"/>
      <c r="S631" s="196"/>
      <c r="T631" s="196"/>
      <c r="U631" s="196"/>
      <c r="V631" s="196"/>
      <c r="W631" s="196"/>
      <c r="X631" s="197"/>
      <c r="Y631" s="197"/>
      <c r="Z631" s="197"/>
      <c r="AA631" s="196"/>
      <c r="AB631" s="196"/>
      <c r="AC631" s="196"/>
      <c r="AD631" s="196"/>
      <c r="AE631" s="196"/>
      <c r="AF631" s="196"/>
      <c r="AG631" s="196"/>
      <c r="AH631" s="196"/>
      <c r="AI631" s="196"/>
      <c r="AJ631" s="196"/>
      <c r="AK631" s="196"/>
      <c r="AL631" s="196"/>
      <c r="AM631" s="196"/>
      <c r="AN631" s="196"/>
      <c r="AO631" s="196"/>
      <c r="AP631" s="196"/>
      <c r="AQ631" s="197"/>
      <c r="AR631" s="196"/>
      <c r="AS631" s="196"/>
      <c r="AT631" s="196"/>
      <c r="AU631" s="196"/>
      <c r="AV631" s="196"/>
      <c r="AW631" s="197"/>
      <c r="AX631" s="197"/>
      <c r="AY631" s="197"/>
      <c r="AZ631" s="197"/>
    </row>
    <row r="632" spans="1:52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7"/>
      <c r="N632" s="197"/>
      <c r="O632" s="198"/>
      <c r="P632" s="198"/>
      <c r="Q632" s="198"/>
      <c r="R632" s="196"/>
      <c r="S632" s="196"/>
      <c r="T632" s="196"/>
      <c r="U632" s="196"/>
      <c r="V632" s="196"/>
      <c r="W632" s="196"/>
      <c r="X632" s="197"/>
      <c r="Y632" s="197"/>
      <c r="Z632" s="197"/>
      <c r="AA632" s="196"/>
      <c r="AB632" s="196"/>
      <c r="AC632" s="196"/>
      <c r="AD632" s="196"/>
      <c r="AE632" s="196"/>
      <c r="AF632" s="196"/>
      <c r="AG632" s="196"/>
      <c r="AH632" s="196"/>
      <c r="AI632" s="196"/>
      <c r="AJ632" s="196"/>
      <c r="AK632" s="196"/>
      <c r="AL632" s="196"/>
      <c r="AM632" s="196"/>
      <c r="AN632" s="196"/>
      <c r="AO632" s="196"/>
      <c r="AP632" s="196"/>
      <c r="AQ632" s="197"/>
      <c r="AR632" s="196"/>
      <c r="AS632" s="196"/>
      <c r="AT632" s="196"/>
      <c r="AU632" s="196"/>
      <c r="AV632" s="196"/>
      <c r="AW632" s="197"/>
      <c r="AX632" s="197"/>
      <c r="AY632" s="197"/>
      <c r="AZ632" s="197"/>
    </row>
    <row r="633" spans="1:52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7"/>
      <c r="N633" s="197"/>
      <c r="O633" s="198"/>
      <c r="P633" s="198"/>
      <c r="Q633" s="198"/>
      <c r="R633" s="196"/>
      <c r="S633" s="196"/>
      <c r="T633" s="196"/>
      <c r="U633" s="196"/>
      <c r="V633" s="196"/>
      <c r="W633" s="196"/>
      <c r="X633" s="197"/>
      <c r="Y633" s="197"/>
      <c r="Z633" s="197"/>
      <c r="AA633" s="196"/>
      <c r="AB633" s="196"/>
      <c r="AC633" s="196"/>
      <c r="AD633" s="196"/>
      <c r="AE633" s="196"/>
      <c r="AF633" s="196"/>
      <c r="AG633" s="196"/>
      <c r="AH633" s="196"/>
      <c r="AI633" s="196"/>
      <c r="AJ633" s="196"/>
      <c r="AK633" s="196"/>
      <c r="AL633" s="196"/>
      <c r="AM633" s="196"/>
      <c r="AN633" s="196"/>
      <c r="AO633" s="196"/>
      <c r="AP633" s="196"/>
      <c r="AQ633" s="197"/>
      <c r="AR633" s="196"/>
      <c r="AS633" s="196"/>
      <c r="AT633" s="196"/>
      <c r="AU633" s="196"/>
      <c r="AV633" s="196"/>
      <c r="AW633" s="197"/>
      <c r="AX633" s="197"/>
      <c r="AY633" s="197"/>
      <c r="AZ633" s="197"/>
    </row>
    <row r="634" spans="1:52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7"/>
      <c r="N634" s="197"/>
      <c r="O634" s="198"/>
      <c r="P634" s="198"/>
      <c r="Q634" s="198"/>
      <c r="R634" s="196"/>
      <c r="S634" s="196"/>
      <c r="T634" s="196"/>
      <c r="U634" s="196"/>
      <c r="V634" s="196"/>
      <c r="W634" s="196"/>
      <c r="X634" s="197"/>
      <c r="Y634" s="197"/>
      <c r="Z634" s="197"/>
      <c r="AA634" s="196"/>
      <c r="AB634" s="196"/>
      <c r="AC634" s="196"/>
      <c r="AD634" s="196"/>
      <c r="AE634" s="196"/>
      <c r="AF634" s="196"/>
      <c r="AG634" s="196"/>
      <c r="AH634" s="196"/>
      <c r="AI634" s="196"/>
      <c r="AJ634" s="196"/>
      <c r="AK634" s="196"/>
      <c r="AL634" s="196"/>
      <c r="AM634" s="196"/>
      <c r="AN634" s="196"/>
      <c r="AO634" s="196"/>
      <c r="AP634" s="196"/>
      <c r="AQ634" s="197"/>
      <c r="AR634" s="196"/>
      <c r="AS634" s="196"/>
      <c r="AT634" s="196"/>
      <c r="AU634" s="196"/>
      <c r="AV634" s="196"/>
      <c r="AW634" s="197"/>
      <c r="AX634" s="197"/>
      <c r="AY634" s="197"/>
      <c r="AZ634" s="197"/>
    </row>
    <row r="635" spans="1:52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7"/>
      <c r="N635" s="197"/>
      <c r="O635" s="198"/>
      <c r="P635" s="198"/>
      <c r="Q635" s="198"/>
      <c r="R635" s="196"/>
      <c r="S635" s="196"/>
      <c r="T635" s="196"/>
      <c r="U635" s="196"/>
      <c r="V635" s="196"/>
      <c r="W635" s="196"/>
      <c r="X635" s="197"/>
      <c r="Y635" s="197"/>
      <c r="Z635" s="197"/>
      <c r="AA635" s="196"/>
      <c r="AB635" s="196"/>
      <c r="AC635" s="196"/>
      <c r="AD635" s="196"/>
      <c r="AE635" s="196"/>
      <c r="AF635" s="196"/>
      <c r="AG635" s="196"/>
      <c r="AH635" s="196"/>
      <c r="AI635" s="196"/>
      <c r="AJ635" s="196"/>
      <c r="AK635" s="196"/>
      <c r="AL635" s="196"/>
      <c r="AM635" s="196"/>
      <c r="AN635" s="196"/>
      <c r="AO635" s="196"/>
      <c r="AP635" s="196"/>
      <c r="AQ635" s="197"/>
      <c r="AR635" s="196"/>
      <c r="AS635" s="196"/>
      <c r="AT635" s="196"/>
      <c r="AU635" s="196"/>
      <c r="AV635" s="196"/>
      <c r="AW635" s="197"/>
      <c r="AX635" s="197"/>
      <c r="AY635" s="197"/>
      <c r="AZ635" s="197"/>
    </row>
    <row r="636" spans="1:52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7"/>
      <c r="N636" s="197"/>
      <c r="O636" s="198"/>
      <c r="P636" s="198"/>
      <c r="Q636" s="198"/>
      <c r="R636" s="196"/>
      <c r="S636" s="196"/>
      <c r="T636" s="196"/>
      <c r="U636" s="196"/>
      <c r="V636" s="196"/>
      <c r="W636" s="196"/>
      <c r="X636" s="197"/>
      <c r="Y636" s="197"/>
      <c r="Z636" s="197"/>
      <c r="AA636" s="196"/>
      <c r="AB636" s="196"/>
      <c r="AC636" s="196"/>
      <c r="AD636" s="196"/>
      <c r="AE636" s="196"/>
      <c r="AF636" s="196"/>
      <c r="AG636" s="196"/>
      <c r="AH636" s="196"/>
      <c r="AI636" s="196"/>
      <c r="AJ636" s="196"/>
      <c r="AK636" s="196"/>
      <c r="AL636" s="196"/>
      <c r="AM636" s="196"/>
      <c r="AN636" s="196"/>
      <c r="AO636" s="196"/>
      <c r="AP636" s="196"/>
      <c r="AQ636" s="197"/>
      <c r="AR636" s="196"/>
      <c r="AS636" s="196"/>
      <c r="AT636" s="196"/>
      <c r="AU636" s="196"/>
      <c r="AV636" s="196"/>
      <c r="AW636" s="197"/>
      <c r="AX636" s="197"/>
      <c r="AY636" s="197"/>
      <c r="AZ636" s="197"/>
    </row>
    <row r="637" spans="1:52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7"/>
      <c r="N637" s="197"/>
      <c r="O637" s="198"/>
      <c r="P637" s="198"/>
      <c r="Q637" s="198"/>
      <c r="R637" s="196"/>
      <c r="S637" s="196"/>
      <c r="T637" s="196"/>
      <c r="U637" s="196"/>
      <c r="V637" s="196"/>
      <c r="W637" s="196"/>
      <c r="X637" s="197"/>
      <c r="Y637" s="197"/>
      <c r="Z637" s="197"/>
      <c r="AA637" s="196"/>
      <c r="AB637" s="196"/>
      <c r="AC637" s="196"/>
      <c r="AD637" s="196"/>
      <c r="AE637" s="196"/>
      <c r="AF637" s="196"/>
      <c r="AG637" s="196"/>
      <c r="AH637" s="196"/>
      <c r="AI637" s="196"/>
      <c r="AJ637" s="196"/>
      <c r="AK637" s="196"/>
      <c r="AL637" s="196"/>
      <c r="AM637" s="196"/>
      <c r="AN637" s="196"/>
      <c r="AO637" s="196"/>
      <c r="AP637" s="196"/>
      <c r="AQ637" s="197"/>
      <c r="AR637" s="196"/>
      <c r="AS637" s="196"/>
      <c r="AT637" s="196"/>
      <c r="AU637" s="196"/>
      <c r="AV637" s="196"/>
      <c r="AW637" s="197"/>
      <c r="AX637" s="197"/>
      <c r="AY637" s="197"/>
      <c r="AZ637" s="197"/>
    </row>
    <row r="638" spans="1:52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7"/>
      <c r="N638" s="197"/>
      <c r="O638" s="198"/>
      <c r="P638" s="198"/>
      <c r="Q638" s="198"/>
      <c r="R638" s="196"/>
      <c r="S638" s="196"/>
      <c r="T638" s="196"/>
      <c r="U638" s="196"/>
      <c r="V638" s="196"/>
      <c r="W638" s="196"/>
      <c r="X638" s="197"/>
      <c r="Y638" s="197"/>
      <c r="Z638" s="197"/>
      <c r="AA638" s="196"/>
      <c r="AB638" s="196"/>
      <c r="AC638" s="196"/>
      <c r="AD638" s="196"/>
      <c r="AE638" s="196"/>
      <c r="AF638" s="196"/>
      <c r="AG638" s="196"/>
      <c r="AH638" s="196"/>
      <c r="AI638" s="196"/>
      <c r="AJ638" s="196"/>
      <c r="AK638" s="196"/>
      <c r="AL638" s="196"/>
      <c r="AM638" s="196"/>
      <c r="AN638" s="196"/>
      <c r="AO638" s="196"/>
      <c r="AP638" s="196"/>
      <c r="AQ638" s="197"/>
      <c r="AR638" s="196"/>
      <c r="AS638" s="196"/>
      <c r="AT638" s="196"/>
      <c r="AU638" s="196"/>
      <c r="AV638" s="196"/>
      <c r="AW638" s="197"/>
      <c r="AX638" s="197"/>
      <c r="AY638" s="197"/>
      <c r="AZ638" s="197"/>
    </row>
    <row r="639" spans="1:52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7"/>
      <c r="N639" s="197"/>
      <c r="O639" s="198"/>
      <c r="P639" s="198"/>
      <c r="Q639" s="198"/>
      <c r="R639" s="196"/>
      <c r="S639" s="196"/>
      <c r="T639" s="196"/>
      <c r="U639" s="196"/>
      <c r="V639" s="196"/>
      <c r="W639" s="196"/>
      <c r="X639" s="197"/>
      <c r="Y639" s="197"/>
      <c r="Z639" s="197"/>
      <c r="AA639" s="196"/>
      <c r="AB639" s="196"/>
      <c r="AC639" s="196"/>
      <c r="AD639" s="196"/>
      <c r="AE639" s="196"/>
      <c r="AF639" s="196"/>
      <c r="AG639" s="196"/>
      <c r="AH639" s="196"/>
      <c r="AI639" s="196"/>
      <c r="AJ639" s="196"/>
      <c r="AK639" s="196"/>
      <c r="AL639" s="196"/>
      <c r="AM639" s="196"/>
      <c r="AN639" s="196"/>
      <c r="AO639" s="196"/>
      <c r="AP639" s="196"/>
      <c r="AQ639" s="197"/>
      <c r="AR639" s="196"/>
      <c r="AS639" s="196"/>
      <c r="AT639" s="196"/>
      <c r="AU639" s="196"/>
      <c r="AV639" s="196"/>
      <c r="AW639" s="197"/>
      <c r="AX639" s="197"/>
      <c r="AY639" s="197"/>
      <c r="AZ639" s="197"/>
    </row>
    <row r="640" spans="1:52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7"/>
      <c r="N640" s="197"/>
      <c r="O640" s="198"/>
      <c r="P640" s="198"/>
      <c r="Q640" s="198"/>
      <c r="R640" s="196"/>
      <c r="S640" s="196"/>
      <c r="T640" s="196"/>
      <c r="U640" s="196"/>
      <c r="V640" s="196"/>
      <c r="W640" s="196"/>
      <c r="X640" s="197"/>
      <c r="Y640" s="197"/>
      <c r="Z640" s="197"/>
      <c r="AA640" s="196"/>
      <c r="AB640" s="196"/>
      <c r="AC640" s="196"/>
      <c r="AD640" s="196"/>
      <c r="AE640" s="196"/>
      <c r="AF640" s="196"/>
      <c r="AG640" s="196"/>
      <c r="AH640" s="196"/>
      <c r="AI640" s="196"/>
      <c r="AJ640" s="196"/>
      <c r="AK640" s="196"/>
      <c r="AL640" s="196"/>
      <c r="AM640" s="196"/>
      <c r="AN640" s="196"/>
      <c r="AO640" s="196"/>
      <c r="AP640" s="196"/>
      <c r="AQ640" s="197"/>
      <c r="AR640" s="196"/>
      <c r="AS640" s="196"/>
      <c r="AT640" s="196"/>
      <c r="AU640" s="196"/>
      <c r="AV640" s="196"/>
      <c r="AW640" s="197"/>
      <c r="AX640" s="197"/>
      <c r="AY640" s="197"/>
      <c r="AZ640" s="197"/>
    </row>
    <row r="641" spans="1:52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7"/>
      <c r="N641" s="197"/>
      <c r="O641" s="198"/>
      <c r="P641" s="198"/>
      <c r="Q641" s="198"/>
      <c r="R641" s="196"/>
      <c r="S641" s="196"/>
      <c r="T641" s="196"/>
      <c r="U641" s="196"/>
      <c r="V641" s="196"/>
      <c r="W641" s="196"/>
      <c r="X641" s="197"/>
      <c r="Y641" s="197"/>
      <c r="Z641" s="197"/>
      <c r="AA641" s="196"/>
      <c r="AB641" s="196"/>
      <c r="AC641" s="196"/>
      <c r="AD641" s="196"/>
      <c r="AE641" s="196"/>
      <c r="AF641" s="196"/>
      <c r="AG641" s="196"/>
      <c r="AH641" s="196"/>
      <c r="AI641" s="196"/>
      <c r="AJ641" s="196"/>
      <c r="AK641" s="196"/>
      <c r="AL641" s="196"/>
      <c r="AM641" s="196"/>
      <c r="AN641" s="196"/>
      <c r="AO641" s="196"/>
      <c r="AP641" s="196"/>
      <c r="AQ641" s="197"/>
      <c r="AR641" s="196"/>
      <c r="AS641" s="196"/>
      <c r="AT641" s="196"/>
      <c r="AU641" s="196"/>
      <c r="AV641" s="196"/>
      <c r="AW641" s="197"/>
      <c r="AX641" s="197"/>
      <c r="AY641" s="197"/>
      <c r="AZ641" s="197"/>
    </row>
    <row r="642" spans="1:52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7"/>
      <c r="N642" s="197"/>
      <c r="O642" s="198"/>
      <c r="P642" s="198"/>
      <c r="Q642" s="198"/>
      <c r="R642" s="196"/>
      <c r="S642" s="196"/>
      <c r="T642" s="196"/>
      <c r="U642" s="196"/>
      <c r="V642" s="196"/>
      <c r="W642" s="196"/>
      <c r="X642" s="197"/>
      <c r="Y642" s="197"/>
      <c r="Z642" s="197"/>
      <c r="AA642" s="196"/>
      <c r="AB642" s="196"/>
      <c r="AC642" s="196"/>
      <c r="AD642" s="196"/>
      <c r="AE642" s="196"/>
      <c r="AF642" s="196"/>
      <c r="AG642" s="196"/>
      <c r="AH642" s="196"/>
      <c r="AI642" s="196"/>
      <c r="AJ642" s="196"/>
      <c r="AK642" s="196"/>
      <c r="AL642" s="196"/>
      <c r="AM642" s="196"/>
      <c r="AN642" s="196"/>
      <c r="AO642" s="196"/>
      <c r="AP642" s="196"/>
      <c r="AQ642" s="197"/>
      <c r="AR642" s="196"/>
      <c r="AS642" s="196"/>
      <c r="AT642" s="196"/>
      <c r="AU642" s="196"/>
      <c r="AV642" s="196"/>
      <c r="AW642" s="197"/>
      <c r="AX642" s="197"/>
      <c r="AY642" s="197"/>
      <c r="AZ642" s="197"/>
    </row>
    <row r="643" spans="1:52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7"/>
      <c r="N643" s="197"/>
      <c r="O643" s="198"/>
      <c r="P643" s="198"/>
      <c r="Q643" s="198"/>
      <c r="R643" s="196"/>
      <c r="S643" s="196"/>
      <c r="T643" s="196"/>
      <c r="U643" s="196"/>
      <c r="V643" s="196"/>
      <c r="W643" s="196"/>
      <c r="X643" s="197"/>
      <c r="Y643" s="197"/>
      <c r="Z643" s="197"/>
      <c r="AA643" s="196"/>
      <c r="AB643" s="196"/>
      <c r="AC643" s="196"/>
      <c r="AD643" s="196"/>
      <c r="AE643" s="196"/>
      <c r="AF643" s="196"/>
      <c r="AG643" s="196"/>
      <c r="AH643" s="196"/>
      <c r="AI643" s="196"/>
      <c r="AJ643" s="196"/>
      <c r="AK643" s="196"/>
      <c r="AL643" s="196"/>
      <c r="AM643" s="196"/>
      <c r="AN643" s="196"/>
      <c r="AO643" s="196"/>
      <c r="AP643" s="196"/>
      <c r="AQ643" s="197"/>
      <c r="AR643" s="196"/>
      <c r="AS643" s="196"/>
      <c r="AT643" s="196"/>
      <c r="AU643" s="196"/>
      <c r="AV643" s="196"/>
      <c r="AW643" s="197"/>
      <c r="AX643" s="197"/>
      <c r="AY643" s="197"/>
      <c r="AZ643" s="197"/>
    </row>
    <row r="644" spans="1:52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7"/>
      <c r="N644" s="197"/>
      <c r="O644" s="198"/>
      <c r="P644" s="198"/>
      <c r="Q644" s="198"/>
      <c r="R644" s="196"/>
      <c r="S644" s="196"/>
      <c r="T644" s="196"/>
      <c r="U644" s="196"/>
      <c r="V644" s="196"/>
      <c r="W644" s="196"/>
      <c r="X644" s="197"/>
      <c r="Y644" s="197"/>
      <c r="Z644" s="197"/>
      <c r="AA644" s="196"/>
      <c r="AB644" s="196"/>
      <c r="AC644" s="196"/>
      <c r="AD644" s="196"/>
      <c r="AE644" s="196"/>
      <c r="AF644" s="196"/>
      <c r="AG644" s="196"/>
      <c r="AH644" s="196"/>
      <c r="AI644" s="196"/>
      <c r="AJ644" s="196"/>
      <c r="AK644" s="196"/>
      <c r="AL644" s="196"/>
      <c r="AM644" s="196"/>
      <c r="AN644" s="196"/>
      <c r="AO644" s="196"/>
      <c r="AP644" s="196"/>
      <c r="AQ644" s="197"/>
      <c r="AR644" s="196"/>
      <c r="AS644" s="196"/>
      <c r="AT644" s="196"/>
      <c r="AU644" s="196"/>
      <c r="AV644" s="196"/>
      <c r="AW644" s="197"/>
      <c r="AX644" s="197"/>
      <c r="AY644" s="197"/>
      <c r="AZ644" s="197"/>
    </row>
    <row r="645" spans="1:52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7"/>
      <c r="N645" s="197"/>
      <c r="O645" s="198"/>
      <c r="P645" s="198"/>
      <c r="Q645" s="198"/>
      <c r="R645" s="196"/>
      <c r="S645" s="196"/>
      <c r="T645" s="196"/>
      <c r="U645" s="196"/>
      <c r="V645" s="196"/>
      <c r="W645" s="196"/>
      <c r="X645" s="197"/>
      <c r="Y645" s="197"/>
      <c r="Z645" s="197"/>
      <c r="AA645" s="196"/>
      <c r="AB645" s="196"/>
      <c r="AC645" s="196"/>
      <c r="AD645" s="196"/>
      <c r="AE645" s="196"/>
      <c r="AF645" s="196"/>
      <c r="AG645" s="196"/>
      <c r="AH645" s="196"/>
      <c r="AI645" s="196"/>
      <c r="AJ645" s="196"/>
      <c r="AK645" s="196"/>
      <c r="AL645" s="196"/>
      <c r="AM645" s="196"/>
      <c r="AN645" s="196"/>
      <c r="AO645" s="196"/>
      <c r="AP645" s="196"/>
      <c r="AQ645" s="197"/>
      <c r="AR645" s="196"/>
      <c r="AS645" s="196"/>
      <c r="AT645" s="196"/>
      <c r="AU645" s="196"/>
      <c r="AV645" s="196"/>
      <c r="AW645" s="197"/>
      <c r="AX645" s="197"/>
      <c r="AY645" s="197"/>
      <c r="AZ645" s="197"/>
    </row>
    <row r="646" spans="1:52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7"/>
      <c r="N646" s="197"/>
      <c r="O646" s="198"/>
      <c r="P646" s="198"/>
      <c r="Q646" s="198"/>
      <c r="R646" s="196"/>
      <c r="S646" s="196"/>
      <c r="T646" s="196"/>
      <c r="U646" s="196"/>
      <c r="V646" s="196"/>
      <c r="W646" s="196"/>
      <c r="X646" s="197"/>
      <c r="Y646" s="197"/>
      <c r="Z646" s="197"/>
      <c r="AA646" s="196"/>
      <c r="AB646" s="196"/>
      <c r="AC646" s="196"/>
      <c r="AD646" s="196"/>
      <c r="AE646" s="196"/>
      <c r="AF646" s="196"/>
      <c r="AG646" s="196"/>
      <c r="AH646" s="196"/>
      <c r="AI646" s="196"/>
      <c r="AJ646" s="196"/>
      <c r="AK646" s="196"/>
      <c r="AL646" s="196"/>
      <c r="AM646" s="196"/>
      <c r="AN646" s="196"/>
      <c r="AO646" s="196"/>
      <c r="AP646" s="196"/>
      <c r="AQ646" s="197"/>
      <c r="AR646" s="196"/>
      <c r="AS646" s="196"/>
      <c r="AT646" s="196"/>
      <c r="AU646" s="196"/>
      <c r="AV646" s="196"/>
      <c r="AW646" s="197"/>
      <c r="AX646" s="197"/>
      <c r="AY646" s="197"/>
      <c r="AZ646" s="197"/>
    </row>
    <row r="647" spans="1:52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7"/>
      <c r="N647" s="197"/>
      <c r="O647" s="198"/>
      <c r="P647" s="198"/>
      <c r="Q647" s="198"/>
      <c r="R647" s="196"/>
      <c r="S647" s="196"/>
      <c r="T647" s="196"/>
      <c r="U647" s="196"/>
      <c r="V647" s="196"/>
      <c r="W647" s="196"/>
      <c r="X647" s="197"/>
      <c r="Y647" s="197"/>
      <c r="Z647" s="197"/>
      <c r="AA647" s="196"/>
      <c r="AB647" s="196"/>
      <c r="AC647" s="196"/>
      <c r="AD647" s="196"/>
      <c r="AE647" s="196"/>
      <c r="AF647" s="196"/>
      <c r="AG647" s="196"/>
      <c r="AH647" s="196"/>
      <c r="AI647" s="196"/>
      <c r="AJ647" s="196"/>
      <c r="AK647" s="196"/>
      <c r="AL647" s="196"/>
      <c r="AM647" s="196"/>
      <c r="AN647" s="196"/>
      <c r="AO647" s="196"/>
      <c r="AP647" s="196"/>
      <c r="AQ647" s="197"/>
      <c r="AR647" s="196"/>
      <c r="AS647" s="196"/>
      <c r="AT647" s="196"/>
      <c r="AU647" s="196"/>
      <c r="AV647" s="196"/>
      <c r="AW647" s="197"/>
      <c r="AX647" s="197"/>
      <c r="AY647" s="197"/>
      <c r="AZ647" s="197"/>
    </row>
    <row r="648" spans="1:52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7"/>
      <c r="N648" s="197"/>
      <c r="O648" s="198"/>
      <c r="P648" s="198"/>
      <c r="Q648" s="198"/>
      <c r="R648" s="196"/>
      <c r="S648" s="196"/>
      <c r="T648" s="196"/>
      <c r="U648" s="196"/>
      <c r="V648" s="196"/>
      <c r="W648" s="196"/>
      <c r="X648" s="197"/>
      <c r="Y648" s="197"/>
      <c r="Z648" s="197"/>
      <c r="AA648" s="196"/>
      <c r="AB648" s="196"/>
      <c r="AC648" s="196"/>
      <c r="AD648" s="196"/>
      <c r="AE648" s="196"/>
      <c r="AF648" s="196"/>
      <c r="AG648" s="196"/>
      <c r="AH648" s="196"/>
      <c r="AI648" s="196"/>
      <c r="AJ648" s="196"/>
      <c r="AK648" s="196"/>
      <c r="AL648" s="196"/>
      <c r="AM648" s="196"/>
      <c r="AN648" s="196"/>
      <c r="AO648" s="196"/>
      <c r="AP648" s="196"/>
      <c r="AQ648" s="197"/>
      <c r="AR648" s="196"/>
      <c r="AS648" s="196"/>
      <c r="AT648" s="196"/>
      <c r="AU648" s="196"/>
      <c r="AV648" s="196"/>
      <c r="AW648" s="197"/>
      <c r="AX648" s="197"/>
      <c r="AY648" s="197"/>
      <c r="AZ648" s="197"/>
    </row>
    <row r="649" spans="1:52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7"/>
      <c r="N649" s="197"/>
      <c r="O649" s="198"/>
      <c r="P649" s="198"/>
      <c r="Q649" s="198"/>
      <c r="R649" s="196"/>
      <c r="S649" s="196"/>
      <c r="T649" s="196"/>
      <c r="U649" s="196"/>
      <c r="V649" s="196"/>
      <c r="W649" s="196"/>
      <c r="X649" s="197"/>
      <c r="Y649" s="197"/>
      <c r="Z649" s="197"/>
      <c r="AA649" s="196"/>
      <c r="AB649" s="196"/>
      <c r="AC649" s="196"/>
      <c r="AD649" s="196"/>
      <c r="AE649" s="196"/>
      <c r="AF649" s="196"/>
      <c r="AG649" s="196"/>
      <c r="AH649" s="196"/>
      <c r="AI649" s="196"/>
      <c r="AJ649" s="196"/>
      <c r="AK649" s="196"/>
      <c r="AL649" s="196"/>
      <c r="AM649" s="196"/>
      <c r="AN649" s="196"/>
      <c r="AO649" s="196"/>
      <c r="AP649" s="196"/>
      <c r="AQ649" s="197"/>
      <c r="AR649" s="196"/>
      <c r="AS649" s="196"/>
      <c r="AT649" s="196"/>
      <c r="AU649" s="196"/>
      <c r="AV649" s="196"/>
      <c r="AW649" s="197"/>
      <c r="AX649" s="197"/>
      <c r="AY649" s="197"/>
      <c r="AZ649" s="197"/>
    </row>
    <row r="650" spans="1:52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7"/>
      <c r="N650" s="197"/>
      <c r="O650" s="198"/>
      <c r="P650" s="198"/>
      <c r="Q650" s="198"/>
      <c r="R650" s="196"/>
      <c r="S650" s="196"/>
      <c r="T650" s="196"/>
      <c r="U650" s="196"/>
      <c r="V650" s="196"/>
      <c r="W650" s="196"/>
      <c r="X650" s="197"/>
      <c r="Y650" s="197"/>
      <c r="Z650" s="197"/>
      <c r="AA650" s="196"/>
      <c r="AB650" s="196"/>
      <c r="AC650" s="196"/>
      <c r="AD650" s="196"/>
      <c r="AE650" s="196"/>
      <c r="AF650" s="196"/>
      <c r="AG650" s="196"/>
      <c r="AH650" s="196"/>
      <c r="AI650" s="196"/>
      <c r="AJ650" s="196"/>
      <c r="AK650" s="196"/>
      <c r="AL650" s="196"/>
      <c r="AM650" s="196"/>
      <c r="AN650" s="196"/>
      <c r="AO650" s="196"/>
      <c r="AP650" s="196"/>
      <c r="AQ650" s="197"/>
      <c r="AR650" s="196"/>
      <c r="AS650" s="196"/>
      <c r="AT650" s="196"/>
      <c r="AU650" s="196"/>
      <c r="AV650" s="196"/>
      <c r="AW650" s="197"/>
      <c r="AX650" s="197"/>
      <c r="AY650" s="197"/>
      <c r="AZ650" s="197"/>
    </row>
    <row r="651" spans="1:52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7"/>
      <c r="N651" s="197"/>
      <c r="O651" s="198"/>
      <c r="P651" s="198"/>
      <c r="Q651" s="198"/>
      <c r="R651" s="196"/>
      <c r="S651" s="196"/>
      <c r="T651" s="196"/>
      <c r="U651" s="196"/>
      <c r="V651" s="196"/>
      <c r="W651" s="196"/>
      <c r="X651" s="197"/>
      <c r="Y651" s="197"/>
      <c r="Z651" s="197"/>
      <c r="AA651" s="196"/>
      <c r="AB651" s="196"/>
      <c r="AC651" s="196"/>
      <c r="AD651" s="196"/>
      <c r="AE651" s="196"/>
      <c r="AF651" s="196"/>
      <c r="AG651" s="196"/>
      <c r="AH651" s="196"/>
      <c r="AI651" s="196"/>
      <c r="AJ651" s="196"/>
      <c r="AK651" s="196"/>
      <c r="AL651" s="196"/>
      <c r="AM651" s="196"/>
      <c r="AN651" s="196"/>
      <c r="AO651" s="196"/>
      <c r="AP651" s="196"/>
      <c r="AQ651" s="197"/>
      <c r="AR651" s="196"/>
      <c r="AS651" s="196"/>
      <c r="AT651" s="196"/>
      <c r="AU651" s="196"/>
      <c r="AV651" s="196"/>
      <c r="AW651" s="197"/>
      <c r="AX651" s="197"/>
      <c r="AY651" s="197"/>
      <c r="AZ651" s="197"/>
    </row>
    <row r="652" spans="1:52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7"/>
      <c r="N652" s="197"/>
      <c r="O652" s="198"/>
      <c r="P652" s="198"/>
      <c r="Q652" s="198"/>
      <c r="R652" s="196"/>
      <c r="S652" s="196"/>
      <c r="T652" s="196"/>
      <c r="U652" s="196"/>
      <c r="V652" s="196"/>
      <c r="W652" s="196"/>
      <c r="X652" s="197"/>
      <c r="Y652" s="197"/>
      <c r="Z652" s="197"/>
      <c r="AA652" s="196"/>
      <c r="AB652" s="196"/>
      <c r="AC652" s="196"/>
      <c r="AD652" s="196"/>
      <c r="AE652" s="196"/>
      <c r="AF652" s="196"/>
      <c r="AG652" s="196"/>
      <c r="AH652" s="196"/>
      <c r="AI652" s="196"/>
      <c r="AJ652" s="196"/>
      <c r="AK652" s="196"/>
      <c r="AL652" s="196"/>
      <c r="AM652" s="196"/>
      <c r="AN652" s="196"/>
      <c r="AO652" s="196"/>
      <c r="AP652" s="196"/>
      <c r="AQ652" s="197"/>
      <c r="AR652" s="196"/>
      <c r="AS652" s="196"/>
      <c r="AT652" s="196"/>
      <c r="AU652" s="196"/>
      <c r="AV652" s="196"/>
      <c r="AW652" s="197"/>
      <c r="AX652" s="197"/>
      <c r="AY652" s="197"/>
      <c r="AZ652" s="197"/>
    </row>
    <row r="653" spans="1:52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7"/>
      <c r="N653" s="197"/>
      <c r="O653" s="198"/>
      <c r="P653" s="198"/>
      <c r="Q653" s="198"/>
      <c r="R653" s="196"/>
      <c r="S653" s="196"/>
      <c r="T653" s="196"/>
      <c r="U653" s="196"/>
      <c r="V653" s="196"/>
      <c r="W653" s="196"/>
      <c r="X653" s="197"/>
      <c r="Y653" s="197"/>
      <c r="Z653" s="197"/>
      <c r="AA653" s="196"/>
      <c r="AB653" s="196"/>
      <c r="AC653" s="196"/>
      <c r="AD653" s="196"/>
      <c r="AE653" s="196"/>
      <c r="AF653" s="196"/>
      <c r="AG653" s="196"/>
      <c r="AH653" s="196"/>
      <c r="AI653" s="196"/>
      <c r="AJ653" s="196"/>
      <c r="AK653" s="196"/>
      <c r="AL653" s="196"/>
      <c r="AM653" s="196"/>
      <c r="AN653" s="196"/>
      <c r="AO653" s="196"/>
      <c r="AP653" s="196"/>
      <c r="AQ653" s="197"/>
      <c r="AR653" s="196"/>
      <c r="AS653" s="196"/>
      <c r="AT653" s="196"/>
      <c r="AU653" s="196"/>
      <c r="AV653" s="196"/>
      <c r="AW653" s="197"/>
      <c r="AX653" s="197"/>
      <c r="AY653" s="197"/>
      <c r="AZ653" s="197"/>
    </row>
    <row r="654" spans="1:52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7"/>
      <c r="N654" s="197"/>
      <c r="O654" s="198"/>
      <c r="P654" s="198"/>
      <c r="Q654" s="198"/>
      <c r="R654" s="196"/>
      <c r="S654" s="196"/>
      <c r="T654" s="196"/>
      <c r="U654" s="196"/>
      <c r="V654" s="196"/>
      <c r="W654" s="196"/>
      <c r="X654" s="197"/>
      <c r="Y654" s="197"/>
      <c r="Z654" s="197"/>
      <c r="AA654" s="196"/>
      <c r="AB654" s="196"/>
      <c r="AC654" s="196"/>
      <c r="AD654" s="196"/>
      <c r="AE654" s="196"/>
      <c r="AF654" s="196"/>
      <c r="AG654" s="196"/>
      <c r="AH654" s="196"/>
      <c r="AI654" s="196"/>
      <c r="AJ654" s="196"/>
      <c r="AK654" s="196"/>
      <c r="AL654" s="196"/>
      <c r="AM654" s="196"/>
      <c r="AN654" s="196"/>
      <c r="AO654" s="196"/>
      <c r="AP654" s="196"/>
      <c r="AQ654" s="197"/>
      <c r="AR654" s="196"/>
      <c r="AS654" s="196"/>
      <c r="AT654" s="196"/>
      <c r="AU654" s="196"/>
      <c r="AV654" s="196"/>
      <c r="AW654" s="197"/>
      <c r="AX654" s="197"/>
      <c r="AY654" s="197"/>
      <c r="AZ654" s="197"/>
    </row>
    <row r="655" spans="1:52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7"/>
      <c r="N655" s="197"/>
      <c r="O655" s="198"/>
      <c r="P655" s="198"/>
      <c r="Q655" s="198"/>
      <c r="R655" s="196"/>
      <c r="S655" s="196"/>
      <c r="T655" s="196"/>
      <c r="U655" s="196"/>
      <c r="V655" s="196"/>
      <c r="W655" s="196"/>
      <c r="X655" s="197"/>
      <c r="Y655" s="197"/>
      <c r="Z655" s="197"/>
      <c r="AA655" s="196"/>
      <c r="AB655" s="196"/>
      <c r="AC655" s="196"/>
      <c r="AD655" s="196"/>
      <c r="AE655" s="196"/>
      <c r="AF655" s="196"/>
      <c r="AG655" s="196"/>
      <c r="AH655" s="196"/>
      <c r="AI655" s="196"/>
      <c r="AJ655" s="196"/>
      <c r="AK655" s="196"/>
      <c r="AL655" s="196"/>
      <c r="AM655" s="196"/>
      <c r="AN655" s="196"/>
      <c r="AO655" s="196"/>
      <c r="AP655" s="196"/>
      <c r="AQ655" s="197"/>
      <c r="AR655" s="196"/>
      <c r="AS655" s="196"/>
      <c r="AT655" s="196"/>
      <c r="AU655" s="196"/>
      <c r="AV655" s="196"/>
      <c r="AW655" s="197"/>
      <c r="AX655" s="197"/>
      <c r="AY655" s="197"/>
      <c r="AZ655" s="197"/>
    </row>
    <row r="656" spans="1:52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7"/>
      <c r="N656" s="197"/>
      <c r="O656" s="198"/>
      <c r="P656" s="198"/>
      <c r="Q656" s="198"/>
      <c r="R656" s="196"/>
      <c r="S656" s="196"/>
      <c r="T656" s="196"/>
      <c r="U656" s="196"/>
      <c r="V656" s="196"/>
      <c r="W656" s="196"/>
      <c r="X656" s="197"/>
      <c r="Y656" s="197"/>
      <c r="Z656" s="197"/>
      <c r="AA656" s="196"/>
      <c r="AB656" s="196"/>
      <c r="AC656" s="196"/>
      <c r="AD656" s="196"/>
      <c r="AE656" s="196"/>
      <c r="AF656" s="196"/>
      <c r="AG656" s="196"/>
      <c r="AH656" s="196"/>
      <c r="AI656" s="196"/>
      <c r="AJ656" s="196"/>
      <c r="AK656" s="196"/>
      <c r="AL656" s="196"/>
      <c r="AM656" s="196"/>
      <c r="AN656" s="196"/>
      <c r="AO656" s="196"/>
      <c r="AP656" s="196"/>
      <c r="AQ656" s="197"/>
      <c r="AR656" s="196"/>
      <c r="AS656" s="196"/>
      <c r="AT656" s="196"/>
      <c r="AU656" s="196"/>
      <c r="AV656" s="196"/>
      <c r="AW656" s="197"/>
      <c r="AX656" s="197"/>
      <c r="AY656" s="197"/>
      <c r="AZ656" s="197"/>
    </row>
    <row r="657" spans="1:52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7"/>
      <c r="N657" s="197"/>
      <c r="O657" s="198"/>
      <c r="P657" s="198"/>
      <c r="Q657" s="198"/>
      <c r="R657" s="196"/>
      <c r="S657" s="196"/>
      <c r="T657" s="196"/>
      <c r="U657" s="196"/>
      <c r="V657" s="196"/>
      <c r="W657" s="196"/>
      <c r="X657" s="197"/>
      <c r="Y657" s="197"/>
      <c r="Z657" s="197"/>
      <c r="AA657" s="196"/>
      <c r="AB657" s="196"/>
      <c r="AC657" s="196"/>
      <c r="AD657" s="196"/>
      <c r="AE657" s="196"/>
      <c r="AF657" s="196"/>
      <c r="AG657" s="196"/>
      <c r="AH657" s="196"/>
      <c r="AI657" s="196"/>
      <c r="AJ657" s="196"/>
      <c r="AK657" s="196"/>
      <c r="AL657" s="196"/>
      <c r="AM657" s="196"/>
      <c r="AN657" s="196"/>
      <c r="AO657" s="196"/>
      <c r="AP657" s="196"/>
      <c r="AQ657" s="197"/>
      <c r="AR657" s="196"/>
      <c r="AS657" s="196"/>
      <c r="AT657" s="196"/>
      <c r="AU657" s="196"/>
      <c r="AV657" s="196"/>
      <c r="AW657" s="197"/>
      <c r="AX657" s="197"/>
      <c r="AY657" s="197"/>
      <c r="AZ657" s="197"/>
    </row>
    <row r="658" spans="1:52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7"/>
      <c r="N658" s="197"/>
      <c r="O658" s="198"/>
      <c r="P658" s="198"/>
      <c r="Q658" s="198"/>
      <c r="R658" s="196"/>
      <c r="S658" s="196"/>
      <c r="T658" s="196"/>
      <c r="U658" s="196"/>
      <c r="V658" s="196"/>
      <c r="W658" s="196"/>
      <c r="X658" s="197"/>
      <c r="Y658" s="197"/>
      <c r="Z658" s="197"/>
      <c r="AA658" s="196"/>
      <c r="AB658" s="196"/>
      <c r="AC658" s="196"/>
      <c r="AD658" s="196"/>
      <c r="AE658" s="196"/>
      <c r="AF658" s="196"/>
      <c r="AG658" s="196"/>
      <c r="AH658" s="196"/>
      <c r="AI658" s="196"/>
      <c r="AJ658" s="196"/>
      <c r="AK658" s="196"/>
      <c r="AL658" s="196"/>
      <c r="AM658" s="196"/>
      <c r="AN658" s="196"/>
      <c r="AO658" s="196"/>
      <c r="AP658" s="196"/>
      <c r="AQ658" s="197"/>
      <c r="AR658" s="196"/>
      <c r="AS658" s="196"/>
      <c r="AT658" s="196"/>
      <c r="AU658" s="196"/>
      <c r="AV658" s="196"/>
      <c r="AW658" s="197"/>
      <c r="AX658" s="197"/>
      <c r="AY658" s="197"/>
      <c r="AZ658" s="197"/>
    </row>
    <row r="659" spans="1:52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7"/>
      <c r="N659" s="197"/>
      <c r="O659" s="198"/>
      <c r="P659" s="198"/>
      <c r="Q659" s="198"/>
      <c r="R659" s="196"/>
      <c r="S659" s="196"/>
      <c r="T659" s="196"/>
      <c r="U659" s="196"/>
      <c r="V659" s="196"/>
      <c r="W659" s="196"/>
      <c r="X659" s="197"/>
      <c r="Y659" s="197"/>
      <c r="Z659" s="197"/>
      <c r="AA659" s="196"/>
      <c r="AB659" s="196"/>
      <c r="AC659" s="196"/>
      <c r="AD659" s="196"/>
      <c r="AE659" s="196"/>
      <c r="AF659" s="196"/>
      <c r="AG659" s="196"/>
      <c r="AH659" s="196"/>
      <c r="AI659" s="196"/>
      <c r="AJ659" s="196"/>
      <c r="AK659" s="196"/>
      <c r="AL659" s="196"/>
      <c r="AM659" s="196"/>
      <c r="AN659" s="196"/>
      <c r="AO659" s="196"/>
      <c r="AP659" s="196"/>
      <c r="AQ659" s="197"/>
      <c r="AR659" s="196"/>
      <c r="AS659" s="196"/>
      <c r="AT659" s="196"/>
      <c r="AU659" s="196"/>
      <c r="AV659" s="196"/>
      <c r="AW659" s="197"/>
      <c r="AX659" s="197"/>
      <c r="AY659" s="197"/>
      <c r="AZ659" s="197"/>
    </row>
    <row r="660" spans="1:52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7"/>
      <c r="N660" s="197"/>
      <c r="O660" s="198"/>
      <c r="P660" s="198"/>
      <c r="Q660" s="198"/>
      <c r="R660" s="196"/>
      <c r="S660" s="196"/>
      <c r="T660" s="196"/>
      <c r="U660" s="196"/>
      <c r="V660" s="196"/>
      <c r="W660" s="196"/>
      <c r="X660" s="197"/>
      <c r="Y660" s="197"/>
      <c r="Z660" s="197"/>
      <c r="AA660" s="196"/>
      <c r="AB660" s="196"/>
      <c r="AC660" s="196"/>
      <c r="AD660" s="196"/>
      <c r="AE660" s="196"/>
      <c r="AF660" s="196"/>
      <c r="AG660" s="196"/>
      <c r="AH660" s="196"/>
      <c r="AI660" s="196"/>
      <c r="AJ660" s="196"/>
      <c r="AK660" s="196"/>
      <c r="AL660" s="196"/>
      <c r="AM660" s="196"/>
      <c r="AN660" s="196"/>
      <c r="AO660" s="196"/>
      <c r="AP660" s="196"/>
      <c r="AQ660" s="197"/>
      <c r="AR660" s="196"/>
      <c r="AS660" s="196"/>
      <c r="AT660" s="196"/>
      <c r="AU660" s="196"/>
      <c r="AV660" s="196"/>
      <c r="AW660" s="197"/>
      <c r="AX660" s="197"/>
      <c r="AY660" s="197"/>
      <c r="AZ660" s="197"/>
    </row>
    <row r="661" spans="1:52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7"/>
      <c r="N661" s="197"/>
      <c r="O661" s="198"/>
      <c r="P661" s="198"/>
      <c r="Q661" s="198"/>
      <c r="R661" s="196"/>
      <c r="S661" s="196"/>
      <c r="T661" s="196"/>
      <c r="U661" s="196"/>
      <c r="V661" s="196"/>
      <c r="W661" s="196"/>
      <c r="X661" s="197"/>
      <c r="Y661" s="197"/>
      <c r="Z661" s="197"/>
      <c r="AA661" s="196"/>
      <c r="AB661" s="196"/>
      <c r="AC661" s="196"/>
      <c r="AD661" s="196"/>
      <c r="AE661" s="196"/>
      <c r="AF661" s="196"/>
      <c r="AG661" s="196"/>
      <c r="AH661" s="196"/>
      <c r="AI661" s="196"/>
      <c r="AJ661" s="196"/>
      <c r="AK661" s="196"/>
      <c r="AL661" s="196"/>
      <c r="AM661" s="196"/>
      <c r="AN661" s="196"/>
      <c r="AO661" s="196"/>
      <c r="AP661" s="196"/>
      <c r="AQ661" s="197"/>
      <c r="AR661" s="196"/>
      <c r="AS661" s="196"/>
      <c r="AT661" s="196"/>
      <c r="AU661" s="196"/>
      <c r="AV661" s="196"/>
      <c r="AW661" s="197"/>
      <c r="AX661" s="197"/>
      <c r="AY661" s="197"/>
      <c r="AZ661" s="197"/>
    </row>
    <row r="662" spans="1:52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7"/>
      <c r="N662" s="197"/>
      <c r="O662" s="198"/>
      <c r="P662" s="198"/>
      <c r="Q662" s="198"/>
      <c r="R662" s="196"/>
      <c r="S662" s="196"/>
      <c r="T662" s="196"/>
      <c r="U662" s="196"/>
      <c r="V662" s="196"/>
      <c r="W662" s="196"/>
      <c r="X662" s="197"/>
      <c r="Y662" s="197"/>
      <c r="Z662" s="197"/>
      <c r="AA662" s="196"/>
      <c r="AB662" s="196"/>
      <c r="AC662" s="196"/>
      <c r="AD662" s="196"/>
      <c r="AE662" s="196"/>
      <c r="AF662" s="196"/>
      <c r="AG662" s="196"/>
      <c r="AH662" s="196"/>
      <c r="AI662" s="196"/>
      <c r="AJ662" s="196"/>
      <c r="AK662" s="196"/>
      <c r="AL662" s="196"/>
      <c r="AM662" s="196"/>
      <c r="AN662" s="196"/>
      <c r="AO662" s="196"/>
      <c r="AP662" s="196"/>
      <c r="AQ662" s="197"/>
      <c r="AR662" s="196"/>
      <c r="AS662" s="196"/>
      <c r="AT662" s="196"/>
      <c r="AU662" s="196"/>
      <c r="AV662" s="196"/>
      <c r="AW662" s="197"/>
      <c r="AX662" s="197"/>
      <c r="AY662" s="197"/>
      <c r="AZ662" s="197"/>
    </row>
    <row r="663" spans="1:52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7"/>
      <c r="N663" s="197"/>
      <c r="O663" s="198"/>
      <c r="P663" s="198"/>
      <c r="Q663" s="198"/>
      <c r="R663" s="196"/>
      <c r="S663" s="196"/>
      <c r="T663" s="196"/>
      <c r="U663" s="196"/>
      <c r="V663" s="196"/>
      <c r="W663" s="196"/>
      <c r="X663" s="197"/>
      <c r="Y663" s="197"/>
      <c r="Z663" s="197"/>
      <c r="AA663" s="196"/>
      <c r="AB663" s="196"/>
      <c r="AC663" s="196"/>
      <c r="AD663" s="196"/>
      <c r="AE663" s="196"/>
      <c r="AF663" s="196"/>
      <c r="AG663" s="196"/>
      <c r="AH663" s="196"/>
      <c r="AI663" s="196"/>
      <c r="AJ663" s="196"/>
      <c r="AK663" s="196"/>
      <c r="AL663" s="196"/>
      <c r="AM663" s="196"/>
      <c r="AN663" s="196"/>
      <c r="AO663" s="196"/>
      <c r="AP663" s="196"/>
      <c r="AQ663" s="197"/>
      <c r="AR663" s="196"/>
      <c r="AS663" s="196"/>
      <c r="AT663" s="196"/>
      <c r="AU663" s="196"/>
      <c r="AV663" s="196"/>
      <c r="AW663" s="197"/>
      <c r="AX663" s="197"/>
      <c r="AY663" s="197"/>
      <c r="AZ663" s="197"/>
    </row>
    <row r="664" spans="1:52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7"/>
      <c r="N664" s="197"/>
      <c r="O664" s="198"/>
      <c r="P664" s="198"/>
      <c r="Q664" s="198"/>
      <c r="R664" s="196"/>
      <c r="S664" s="196"/>
      <c r="T664" s="196"/>
      <c r="U664" s="196"/>
      <c r="V664" s="196"/>
      <c r="W664" s="196"/>
      <c r="X664" s="197"/>
      <c r="Y664" s="197"/>
      <c r="Z664" s="197"/>
      <c r="AA664" s="196"/>
      <c r="AB664" s="196"/>
      <c r="AC664" s="196"/>
      <c r="AD664" s="196"/>
      <c r="AE664" s="196"/>
      <c r="AF664" s="196"/>
      <c r="AG664" s="196"/>
      <c r="AH664" s="196"/>
      <c r="AI664" s="196"/>
      <c r="AJ664" s="196"/>
      <c r="AK664" s="196"/>
      <c r="AL664" s="196"/>
      <c r="AM664" s="196"/>
      <c r="AN664" s="196"/>
      <c r="AO664" s="196"/>
      <c r="AP664" s="196"/>
      <c r="AQ664" s="197"/>
      <c r="AR664" s="196"/>
      <c r="AS664" s="196"/>
      <c r="AT664" s="196"/>
      <c r="AU664" s="196"/>
      <c r="AV664" s="196"/>
      <c r="AW664" s="197"/>
      <c r="AX664" s="197"/>
      <c r="AY664" s="197"/>
      <c r="AZ664" s="197"/>
    </row>
    <row r="665" spans="1:52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7"/>
      <c r="N665" s="197"/>
      <c r="O665" s="198"/>
      <c r="P665" s="198"/>
      <c r="Q665" s="198"/>
      <c r="R665" s="196"/>
      <c r="S665" s="196"/>
      <c r="T665" s="196"/>
      <c r="U665" s="196"/>
      <c r="V665" s="196"/>
      <c r="W665" s="196"/>
      <c r="X665" s="197"/>
      <c r="Y665" s="197"/>
      <c r="Z665" s="197"/>
      <c r="AA665" s="196"/>
      <c r="AB665" s="196"/>
      <c r="AC665" s="196"/>
      <c r="AD665" s="196"/>
      <c r="AE665" s="196"/>
      <c r="AF665" s="196"/>
      <c r="AG665" s="196"/>
      <c r="AH665" s="196"/>
      <c r="AI665" s="196"/>
      <c r="AJ665" s="196"/>
      <c r="AK665" s="196"/>
      <c r="AL665" s="196"/>
      <c r="AM665" s="196"/>
      <c r="AN665" s="196"/>
      <c r="AO665" s="196"/>
      <c r="AP665" s="196"/>
      <c r="AQ665" s="197"/>
      <c r="AR665" s="196"/>
      <c r="AS665" s="196"/>
      <c r="AT665" s="196"/>
      <c r="AU665" s="196"/>
      <c r="AV665" s="196"/>
      <c r="AW665" s="197"/>
      <c r="AX665" s="197"/>
      <c r="AY665" s="197"/>
      <c r="AZ665" s="197"/>
    </row>
    <row r="666" spans="1:52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7"/>
      <c r="N666" s="197"/>
      <c r="O666" s="198"/>
      <c r="P666" s="198"/>
      <c r="Q666" s="198"/>
      <c r="R666" s="196"/>
      <c r="S666" s="196"/>
      <c r="T666" s="196"/>
      <c r="U666" s="196"/>
      <c r="V666" s="196"/>
      <c r="W666" s="196"/>
      <c r="X666" s="197"/>
      <c r="Y666" s="197"/>
      <c r="Z666" s="197"/>
      <c r="AA666" s="196"/>
      <c r="AB666" s="196"/>
      <c r="AC666" s="196"/>
      <c r="AD666" s="196"/>
      <c r="AE666" s="196"/>
      <c r="AF666" s="196"/>
      <c r="AG666" s="196"/>
      <c r="AH666" s="196"/>
      <c r="AI666" s="196"/>
      <c r="AJ666" s="196"/>
      <c r="AK666" s="196"/>
      <c r="AL666" s="196"/>
      <c r="AM666" s="196"/>
      <c r="AN666" s="196"/>
      <c r="AO666" s="196"/>
      <c r="AP666" s="196"/>
      <c r="AQ666" s="197"/>
      <c r="AR666" s="196"/>
      <c r="AS666" s="196"/>
      <c r="AT666" s="196"/>
      <c r="AU666" s="196"/>
      <c r="AV666" s="196"/>
      <c r="AW666" s="197"/>
      <c r="AX666" s="197"/>
      <c r="AY666" s="197"/>
      <c r="AZ666" s="197"/>
    </row>
    <row r="667" spans="1:52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7"/>
      <c r="N667" s="197"/>
      <c r="O667" s="198"/>
      <c r="P667" s="198"/>
      <c r="Q667" s="198"/>
      <c r="R667" s="196"/>
      <c r="S667" s="196"/>
      <c r="T667" s="196"/>
      <c r="U667" s="196"/>
      <c r="V667" s="196"/>
      <c r="W667" s="196"/>
      <c r="X667" s="197"/>
      <c r="Y667" s="197"/>
      <c r="Z667" s="197"/>
      <c r="AA667" s="196"/>
      <c r="AB667" s="196"/>
      <c r="AC667" s="196"/>
      <c r="AD667" s="196"/>
      <c r="AE667" s="196"/>
      <c r="AF667" s="196"/>
      <c r="AG667" s="196"/>
      <c r="AH667" s="196"/>
      <c r="AI667" s="196"/>
      <c r="AJ667" s="196"/>
      <c r="AK667" s="196"/>
      <c r="AL667" s="196"/>
      <c r="AM667" s="196"/>
      <c r="AN667" s="196"/>
      <c r="AO667" s="196"/>
      <c r="AP667" s="196"/>
      <c r="AQ667" s="197"/>
      <c r="AR667" s="196"/>
      <c r="AS667" s="196"/>
      <c r="AT667" s="196"/>
      <c r="AU667" s="196"/>
      <c r="AV667" s="196"/>
      <c r="AW667" s="197"/>
      <c r="AX667" s="197"/>
      <c r="AY667" s="197"/>
      <c r="AZ667" s="197"/>
    </row>
    <row r="668" spans="1:52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7"/>
      <c r="N668" s="197"/>
      <c r="O668" s="198"/>
      <c r="P668" s="198"/>
      <c r="Q668" s="198"/>
      <c r="R668" s="196"/>
      <c r="S668" s="196"/>
      <c r="T668" s="196"/>
      <c r="U668" s="196"/>
      <c r="V668" s="196"/>
      <c r="W668" s="196"/>
      <c r="X668" s="197"/>
      <c r="Y668" s="197"/>
      <c r="Z668" s="197"/>
      <c r="AA668" s="196"/>
      <c r="AB668" s="196"/>
      <c r="AC668" s="196"/>
      <c r="AD668" s="196"/>
      <c r="AE668" s="196"/>
      <c r="AF668" s="196"/>
      <c r="AG668" s="196"/>
      <c r="AH668" s="196"/>
      <c r="AI668" s="196"/>
      <c r="AJ668" s="196"/>
      <c r="AK668" s="196"/>
      <c r="AL668" s="196"/>
      <c r="AM668" s="196"/>
      <c r="AN668" s="196"/>
      <c r="AO668" s="196"/>
      <c r="AP668" s="196"/>
      <c r="AQ668" s="197"/>
      <c r="AR668" s="196"/>
      <c r="AS668" s="196"/>
      <c r="AT668" s="196"/>
      <c r="AU668" s="196"/>
      <c r="AV668" s="196"/>
      <c r="AW668" s="197"/>
      <c r="AX668" s="197"/>
      <c r="AY668" s="197"/>
      <c r="AZ668" s="197"/>
    </row>
    <row r="669" spans="1:52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7"/>
      <c r="N669" s="197"/>
      <c r="O669" s="198"/>
      <c r="P669" s="198"/>
      <c r="Q669" s="198"/>
      <c r="R669" s="196"/>
      <c r="S669" s="196"/>
      <c r="T669" s="196"/>
      <c r="U669" s="196"/>
      <c r="V669" s="196"/>
      <c r="W669" s="196"/>
      <c r="X669" s="197"/>
      <c r="Y669" s="197"/>
      <c r="Z669" s="197"/>
      <c r="AA669" s="196"/>
      <c r="AB669" s="196"/>
      <c r="AC669" s="196"/>
      <c r="AD669" s="196"/>
      <c r="AE669" s="196"/>
      <c r="AF669" s="196"/>
      <c r="AG669" s="196"/>
      <c r="AH669" s="196"/>
      <c r="AI669" s="196"/>
      <c r="AJ669" s="196"/>
      <c r="AK669" s="196"/>
      <c r="AL669" s="196"/>
      <c r="AM669" s="196"/>
      <c r="AN669" s="196"/>
      <c r="AO669" s="196"/>
      <c r="AP669" s="196"/>
      <c r="AQ669" s="197"/>
      <c r="AR669" s="196"/>
      <c r="AS669" s="196"/>
      <c r="AT669" s="196"/>
      <c r="AU669" s="196"/>
      <c r="AV669" s="196"/>
      <c r="AW669" s="197"/>
      <c r="AX669" s="197"/>
      <c r="AY669" s="197"/>
      <c r="AZ669" s="197"/>
    </row>
    <row r="670" spans="1:52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7"/>
      <c r="N670" s="197"/>
      <c r="O670" s="198"/>
      <c r="P670" s="198"/>
      <c r="Q670" s="198"/>
      <c r="R670" s="196"/>
      <c r="S670" s="196"/>
      <c r="T670" s="196"/>
      <c r="U670" s="196"/>
      <c r="V670" s="196"/>
      <c r="W670" s="196"/>
      <c r="X670" s="197"/>
      <c r="Y670" s="197"/>
      <c r="Z670" s="197"/>
      <c r="AA670" s="196"/>
      <c r="AB670" s="196"/>
      <c r="AC670" s="196"/>
      <c r="AD670" s="196"/>
      <c r="AE670" s="196"/>
      <c r="AF670" s="196"/>
      <c r="AG670" s="196"/>
      <c r="AH670" s="196"/>
      <c r="AI670" s="196"/>
      <c r="AJ670" s="196"/>
      <c r="AK670" s="196"/>
      <c r="AL670" s="196"/>
      <c r="AM670" s="196"/>
      <c r="AN670" s="196"/>
      <c r="AO670" s="196"/>
      <c r="AP670" s="196"/>
      <c r="AQ670" s="197"/>
      <c r="AR670" s="196"/>
      <c r="AS670" s="196"/>
      <c r="AT670" s="196"/>
      <c r="AU670" s="196"/>
      <c r="AV670" s="196"/>
      <c r="AW670" s="197"/>
      <c r="AX670" s="197"/>
      <c r="AY670" s="197"/>
      <c r="AZ670" s="197"/>
    </row>
    <row r="671" spans="1:52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7"/>
      <c r="N671" s="197"/>
      <c r="O671" s="198"/>
      <c r="P671" s="198"/>
      <c r="Q671" s="198"/>
      <c r="R671" s="196"/>
      <c r="S671" s="196"/>
      <c r="T671" s="196"/>
      <c r="U671" s="196"/>
      <c r="V671" s="196"/>
      <c r="W671" s="196"/>
      <c r="X671" s="197"/>
      <c r="Y671" s="197"/>
      <c r="Z671" s="197"/>
      <c r="AA671" s="196"/>
      <c r="AB671" s="196"/>
      <c r="AC671" s="196"/>
      <c r="AD671" s="196"/>
      <c r="AE671" s="196"/>
      <c r="AF671" s="196"/>
      <c r="AG671" s="196"/>
      <c r="AH671" s="196"/>
      <c r="AI671" s="196"/>
      <c r="AJ671" s="196"/>
      <c r="AK671" s="196"/>
      <c r="AL671" s="196"/>
      <c r="AM671" s="196"/>
      <c r="AN671" s="196"/>
      <c r="AO671" s="196"/>
      <c r="AP671" s="196"/>
      <c r="AQ671" s="197"/>
      <c r="AR671" s="196"/>
      <c r="AS671" s="196"/>
      <c r="AT671" s="196"/>
      <c r="AU671" s="196"/>
      <c r="AV671" s="196"/>
      <c r="AW671" s="197"/>
      <c r="AX671" s="197"/>
      <c r="AY671" s="197"/>
      <c r="AZ671" s="197"/>
    </row>
    <row r="672" spans="1:52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7"/>
      <c r="N672" s="197"/>
      <c r="O672" s="198"/>
      <c r="P672" s="198"/>
      <c r="Q672" s="198"/>
      <c r="R672" s="196"/>
      <c r="S672" s="196"/>
      <c r="T672" s="196"/>
      <c r="U672" s="196"/>
      <c r="V672" s="196"/>
      <c r="W672" s="196"/>
      <c r="X672" s="197"/>
      <c r="Y672" s="197"/>
      <c r="Z672" s="197"/>
      <c r="AA672" s="196"/>
      <c r="AB672" s="196"/>
      <c r="AC672" s="196"/>
      <c r="AD672" s="196"/>
      <c r="AE672" s="196"/>
      <c r="AF672" s="196"/>
      <c r="AG672" s="196"/>
      <c r="AH672" s="196"/>
      <c r="AI672" s="196"/>
      <c r="AJ672" s="196"/>
      <c r="AK672" s="196"/>
      <c r="AL672" s="196"/>
      <c r="AM672" s="196"/>
      <c r="AN672" s="196"/>
      <c r="AO672" s="196"/>
      <c r="AP672" s="196"/>
      <c r="AQ672" s="197"/>
      <c r="AR672" s="196"/>
      <c r="AS672" s="196"/>
      <c r="AT672" s="196"/>
      <c r="AU672" s="196"/>
      <c r="AV672" s="196"/>
      <c r="AW672" s="197"/>
      <c r="AX672" s="197"/>
      <c r="AY672" s="197"/>
      <c r="AZ672" s="197"/>
    </row>
    <row r="673" spans="1:52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7"/>
      <c r="N673" s="197"/>
      <c r="O673" s="198"/>
      <c r="P673" s="198"/>
      <c r="Q673" s="198"/>
      <c r="R673" s="196"/>
      <c r="S673" s="196"/>
      <c r="T673" s="196"/>
      <c r="U673" s="196"/>
      <c r="V673" s="196"/>
      <c r="W673" s="196"/>
      <c r="X673" s="197"/>
      <c r="Y673" s="197"/>
      <c r="Z673" s="197"/>
      <c r="AA673" s="196"/>
      <c r="AB673" s="196"/>
      <c r="AC673" s="196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  <c r="AN673" s="196"/>
      <c r="AO673" s="196"/>
      <c r="AP673" s="196"/>
      <c r="AQ673" s="197"/>
      <c r="AR673" s="196"/>
      <c r="AS673" s="196"/>
      <c r="AT673" s="196"/>
      <c r="AU673" s="196"/>
      <c r="AV673" s="196"/>
      <c r="AW673" s="197"/>
      <c r="AX673" s="197"/>
      <c r="AY673" s="197"/>
      <c r="AZ673" s="197"/>
    </row>
    <row r="674" spans="1:52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7"/>
      <c r="N674" s="197"/>
      <c r="O674" s="198"/>
      <c r="P674" s="198"/>
      <c r="Q674" s="198"/>
      <c r="R674" s="196"/>
      <c r="S674" s="196"/>
      <c r="T674" s="196"/>
      <c r="U674" s="196"/>
      <c r="V674" s="196"/>
      <c r="W674" s="196"/>
      <c r="X674" s="197"/>
      <c r="Y674" s="197"/>
      <c r="Z674" s="197"/>
      <c r="AA674" s="196"/>
      <c r="AB674" s="196"/>
      <c r="AC674" s="196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  <c r="AN674" s="196"/>
      <c r="AO674" s="196"/>
      <c r="AP674" s="196"/>
      <c r="AQ674" s="197"/>
      <c r="AR674" s="196"/>
      <c r="AS674" s="196"/>
      <c r="AT674" s="196"/>
      <c r="AU674" s="196"/>
      <c r="AV674" s="196"/>
      <c r="AW674" s="197"/>
      <c r="AX674" s="197"/>
      <c r="AY674" s="197"/>
      <c r="AZ674" s="197"/>
    </row>
    <row r="675" spans="1:52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7"/>
      <c r="N675" s="197"/>
      <c r="O675" s="198"/>
      <c r="P675" s="198"/>
      <c r="Q675" s="198"/>
      <c r="R675" s="196"/>
      <c r="S675" s="196"/>
      <c r="T675" s="196"/>
      <c r="U675" s="196"/>
      <c r="V675" s="196"/>
      <c r="W675" s="196"/>
      <c r="X675" s="197"/>
      <c r="Y675" s="197"/>
      <c r="Z675" s="197"/>
      <c r="AA675" s="196"/>
      <c r="AB675" s="196"/>
      <c r="AC675" s="196"/>
      <c r="AD675" s="196"/>
      <c r="AE675" s="196"/>
      <c r="AF675" s="196"/>
      <c r="AG675" s="196"/>
      <c r="AH675" s="196"/>
      <c r="AI675" s="196"/>
      <c r="AJ675" s="196"/>
      <c r="AK675" s="196"/>
      <c r="AL675" s="196"/>
      <c r="AM675" s="196"/>
      <c r="AN675" s="196"/>
      <c r="AO675" s="196"/>
      <c r="AP675" s="196"/>
      <c r="AQ675" s="197"/>
      <c r="AR675" s="196"/>
      <c r="AS675" s="196"/>
      <c r="AT675" s="196"/>
      <c r="AU675" s="196"/>
      <c r="AV675" s="196"/>
      <c r="AW675" s="197"/>
      <c r="AX675" s="197"/>
      <c r="AY675" s="197"/>
      <c r="AZ675" s="197"/>
    </row>
    <row r="676" spans="1:52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7"/>
      <c r="N676" s="197"/>
      <c r="O676" s="198"/>
      <c r="P676" s="198"/>
      <c r="Q676" s="198"/>
      <c r="R676" s="196"/>
      <c r="S676" s="196"/>
      <c r="T676" s="196"/>
      <c r="U676" s="196"/>
      <c r="V676" s="196"/>
      <c r="W676" s="196"/>
      <c r="X676" s="197"/>
      <c r="Y676" s="197"/>
      <c r="Z676" s="197"/>
      <c r="AA676" s="196"/>
      <c r="AB676" s="196"/>
      <c r="AC676" s="196"/>
      <c r="AD676" s="196"/>
      <c r="AE676" s="196"/>
      <c r="AF676" s="196"/>
      <c r="AG676" s="196"/>
      <c r="AH676" s="196"/>
      <c r="AI676" s="196"/>
      <c r="AJ676" s="196"/>
      <c r="AK676" s="196"/>
      <c r="AL676" s="196"/>
      <c r="AM676" s="196"/>
      <c r="AN676" s="196"/>
      <c r="AO676" s="196"/>
      <c r="AP676" s="196"/>
      <c r="AQ676" s="197"/>
      <c r="AR676" s="196"/>
      <c r="AS676" s="196"/>
      <c r="AT676" s="196"/>
      <c r="AU676" s="196"/>
      <c r="AV676" s="196"/>
      <c r="AW676" s="197"/>
      <c r="AX676" s="197"/>
      <c r="AY676" s="197"/>
      <c r="AZ676" s="197"/>
    </row>
    <row r="677" spans="1:52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7"/>
      <c r="N677" s="197"/>
      <c r="O677" s="198"/>
      <c r="P677" s="198"/>
      <c r="Q677" s="198"/>
      <c r="R677" s="196"/>
      <c r="S677" s="196"/>
      <c r="T677" s="196"/>
      <c r="U677" s="196"/>
      <c r="V677" s="196"/>
      <c r="W677" s="196"/>
      <c r="X677" s="197"/>
      <c r="Y677" s="197"/>
      <c r="Z677" s="197"/>
      <c r="AA677" s="196"/>
      <c r="AB677" s="196"/>
      <c r="AC677" s="196"/>
      <c r="AD677" s="196"/>
      <c r="AE677" s="196"/>
      <c r="AF677" s="196"/>
      <c r="AG677" s="196"/>
      <c r="AH677" s="196"/>
      <c r="AI677" s="196"/>
      <c r="AJ677" s="196"/>
      <c r="AK677" s="196"/>
      <c r="AL677" s="196"/>
      <c r="AM677" s="196"/>
      <c r="AN677" s="196"/>
      <c r="AO677" s="196"/>
      <c r="AP677" s="196"/>
      <c r="AQ677" s="197"/>
      <c r="AR677" s="196"/>
      <c r="AS677" s="196"/>
      <c r="AT677" s="196"/>
      <c r="AU677" s="196"/>
      <c r="AV677" s="196"/>
      <c r="AW677" s="197"/>
      <c r="AX677" s="197"/>
      <c r="AY677" s="197"/>
      <c r="AZ677" s="197"/>
    </row>
    <row r="678" spans="1:52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7"/>
      <c r="N678" s="197"/>
      <c r="O678" s="198"/>
      <c r="P678" s="198"/>
      <c r="Q678" s="198"/>
      <c r="R678" s="196"/>
      <c r="S678" s="196"/>
      <c r="T678" s="196"/>
      <c r="U678" s="196"/>
      <c r="V678" s="196"/>
      <c r="W678" s="196"/>
      <c r="X678" s="197"/>
      <c r="Y678" s="197"/>
      <c r="Z678" s="197"/>
      <c r="AA678" s="196"/>
      <c r="AB678" s="196"/>
      <c r="AC678" s="196"/>
      <c r="AD678" s="196"/>
      <c r="AE678" s="196"/>
      <c r="AF678" s="196"/>
      <c r="AG678" s="196"/>
      <c r="AH678" s="196"/>
      <c r="AI678" s="196"/>
      <c r="AJ678" s="196"/>
      <c r="AK678" s="196"/>
      <c r="AL678" s="196"/>
      <c r="AM678" s="196"/>
      <c r="AN678" s="196"/>
      <c r="AO678" s="196"/>
      <c r="AP678" s="196"/>
      <c r="AQ678" s="197"/>
      <c r="AR678" s="196"/>
      <c r="AS678" s="196"/>
      <c r="AT678" s="196"/>
      <c r="AU678" s="196"/>
      <c r="AV678" s="196"/>
      <c r="AW678" s="197"/>
      <c r="AX678" s="197"/>
      <c r="AY678" s="197"/>
      <c r="AZ678" s="197"/>
    </row>
    <row r="679" spans="1:52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7"/>
      <c r="N679" s="197"/>
      <c r="O679" s="198"/>
      <c r="P679" s="198"/>
      <c r="Q679" s="198"/>
      <c r="R679" s="196"/>
      <c r="S679" s="196"/>
      <c r="T679" s="196"/>
      <c r="U679" s="196"/>
      <c r="V679" s="196"/>
      <c r="W679" s="196"/>
      <c r="X679" s="197"/>
      <c r="Y679" s="197"/>
      <c r="Z679" s="197"/>
      <c r="AA679" s="196"/>
      <c r="AB679" s="196"/>
      <c r="AC679" s="196"/>
      <c r="AD679" s="196"/>
      <c r="AE679" s="196"/>
      <c r="AF679" s="196"/>
      <c r="AG679" s="196"/>
      <c r="AH679" s="196"/>
      <c r="AI679" s="196"/>
      <c r="AJ679" s="196"/>
      <c r="AK679" s="196"/>
      <c r="AL679" s="196"/>
      <c r="AM679" s="196"/>
      <c r="AN679" s="196"/>
      <c r="AO679" s="196"/>
      <c r="AP679" s="196"/>
      <c r="AQ679" s="197"/>
      <c r="AR679" s="196"/>
      <c r="AS679" s="196"/>
      <c r="AT679" s="196"/>
      <c r="AU679" s="196"/>
      <c r="AV679" s="196"/>
      <c r="AW679" s="197"/>
      <c r="AX679" s="197"/>
      <c r="AY679" s="197"/>
      <c r="AZ679" s="197"/>
    </row>
    <row r="680" spans="1:52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7"/>
      <c r="N680" s="197"/>
      <c r="O680" s="198"/>
      <c r="P680" s="198"/>
      <c r="Q680" s="198"/>
      <c r="R680" s="196"/>
      <c r="S680" s="196"/>
      <c r="T680" s="196"/>
      <c r="U680" s="196"/>
      <c r="V680" s="196"/>
      <c r="W680" s="196"/>
      <c r="X680" s="197"/>
      <c r="Y680" s="197"/>
      <c r="Z680" s="197"/>
      <c r="AA680" s="196"/>
      <c r="AB680" s="196"/>
      <c r="AC680" s="196"/>
      <c r="AD680" s="196"/>
      <c r="AE680" s="196"/>
      <c r="AF680" s="196"/>
      <c r="AG680" s="196"/>
      <c r="AH680" s="196"/>
      <c r="AI680" s="196"/>
      <c r="AJ680" s="196"/>
      <c r="AK680" s="196"/>
      <c r="AL680" s="196"/>
      <c r="AM680" s="196"/>
      <c r="AN680" s="196"/>
      <c r="AO680" s="196"/>
      <c r="AP680" s="196"/>
      <c r="AQ680" s="197"/>
      <c r="AR680" s="196"/>
      <c r="AS680" s="196"/>
      <c r="AT680" s="196"/>
      <c r="AU680" s="196"/>
      <c r="AV680" s="196"/>
      <c r="AW680" s="197"/>
      <c r="AX680" s="197"/>
      <c r="AY680" s="197"/>
      <c r="AZ680" s="197"/>
    </row>
    <row r="681" spans="1:52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7"/>
      <c r="N681" s="197"/>
      <c r="O681" s="198"/>
      <c r="P681" s="198"/>
      <c r="Q681" s="198"/>
      <c r="R681" s="196"/>
      <c r="S681" s="196"/>
      <c r="T681" s="196"/>
      <c r="U681" s="196"/>
      <c r="V681" s="196"/>
      <c r="W681" s="196"/>
      <c r="X681" s="197"/>
      <c r="Y681" s="197"/>
      <c r="Z681" s="197"/>
      <c r="AA681" s="196"/>
      <c r="AB681" s="196"/>
      <c r="AC681" s="196"/>
      <c r="AD681" s="196"/>
      <c r="AE681" s="196"/>
      <c r="AF681" s="196"/>
      <c r="AG681" s="196"/>
      <c r="AH681" s="196"/>
      <c r="AI681" s="196"/>
      <c r="AJ681" s="196"/>
      <c r="AK681" s="196"/>
      <c r="AL681" s="196"/>
      <c r="AM681" s="196"/>
      <c r="AN681" s="196"/>
      <c r="AO681" s="196"/>
      <c r="AP681" s="196"/>
      <c r="AQ681" s="197"/>
      <c r="AR681" s="196"/>
      <c r="AS681" s="196"/>
      <c r="AT681" s="196"/>
      <c r="AU681" s="196"/>
      <c r="AV681" s="196"/>
      <c r="AW681" s="197"/>
      <c r="AX681" s="197"/>
      <c r="AY681" s="197"/>
      <c r="AZ681" s="197"/>
    </row>
    <row r="682" spans="1:52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7"/>
      <c r="N682" s="197"/>
      <c r="O682" s="198"/>
      <c r="P682" s="198"/>
      <c r="Q682" s="198"/>
      <c r="R682" s="196"/>
      <c r="S682" s="196"/>
      <c r="T682" s="196"/>
      <c r="U682" s="196"/>
      <c r="V682" s="196"/>
      <c r="W682" s="196"/>
      <c r="X682" s="197"/>
      <c r="Y682" s="197"/>
      <c r="Z682" s="197"/>
      <c r="AA682" s="196"/>
      <c r="AB682" s="196"/>
      <c r="AC682" s="196"/>
      <c r="AD682" s="196"/>
      <c r="AE682" s="196"/>
      <c r="AF682" s="196"/>
      <c r="AG682" s="196"/>
      <c r="AH682" s="196"/>
      <c r="AI682" s="196"/>
      <c r="AJ682" s="196"/>
      <c r="AK682" s="196"/>
      <c r="AL682" s="196"/>
      <c r="AM682" s="196"/>
      <c r="AN682" s="196"/>
      <c r="AO682" s="196"/>
      <c r="AP682" s="196"/>
      <c r="AQ682" s="197"/>
      <c r="AR682" s="196"/>
      <c r="AS682" s="196"/>
      <c r="AT682" s="196"/>
      <c r="AU682" s="196"/>
      <c r="AV682" s="196"/>
      <c r="AW682" s="197"/>
      <c r="AX682" s="197"/>
      <c r="AY682" s="197"/>
      <c r="AZ682" s="197"/>
    </row>
    <row r="683" spans="1:52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7"/>
      <c r="N683" s="197"/>
      <c r="O683" s="198"/>
      <c r="P683" s="198"/>
      <c r="Q683" s="198"/>
      <c r="R683" s="196"/>
      <c r="S683" s="196"/>
      <c r="T683" s="196"/>
      <c r="U683" s="196"/>
      <c r="V683" s="196"/>
      <c r="W683" s="196"/>
      <c r="X683" s="197"/>
      <c r="Y683" s="197"/>
      <c r="Z683" s="197"/>
      <c r="AA683" s="196"/>
      <c r="AB683" s="196"/>
      <c r="AC683" s="196"/>
      <c r="AD683" s="196"/>
      <c r="AE683" s="196"/>
      <c r="AF683" s="196"/>
      <c r="AG683" s="196"/>
      <c r="AH683" s="196"/>
      <c r="AI683" s="196"/>
      <c r="AJ683" s="196"/>
      <c r="AK683" s="196"/>
      <c r="AL683" s="196"/>
      <c r="AM683" s="196"/>
      <c r="AN683" s="196"/>
      <c r="AO683" s="196"/>
      <c r="AP683" s="196"/>
      <c r="AQ683" s="197"/>
      <c r="AR683" s="196"/>
      <c r="AS683" s="196"/>
      <c r="AT683" s="196"/>
      <c r="AU683" s="196"/>
      <c r="AV683" s="196"/>
      <c r="AW683" s="197"/>
      <c r="AX683" s="197"/>
      <c r="AY683" s="197"/>
      <c r="AZ683" s="197"/>
    </row>
    <row r="684" spans="1:52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7"/>
      <c r="N684" s="197"/>
      <c r="O684" s="198"/>
      <c r="P684" s="198"/>
      <c r="Q684" s="198"/>
      <c r="R684" s="196"/>
      <c r="S684" s="196"/>
      <c r="T684" s="196"/>
      <c r="U684" s="196"/>
      <c r="V684" s="196"/>
      <c r="W684" s="196"/>
      <c r="X684" s="197"/>
      <c r="Y684" s="197"/>
      <c r="Z684" s="197"/>
      <c r="AA684" s="196"/>
      <c r="AB684" s="196"/>
      <c r="AC684" s="196"/>
      <c r="AD684" s="196"/>
      <c r="AE684" s="196"/>
      <c r="AF684" s="196"/>
      <c r="AG684" s="196"/>
      <c r="AH684" s="196"/>
      <c r="AI684" s="196"/>
      <c r="AJ684" s="196"/>
      <c r="AK684" s="196"/>
      <c r="AL684" s="196"/>
      <c r="AM684" s="196"/>
      <c r="AN684" s="196"/>
      <c r="AO684" s="196"/>
      <c r="AP684" s="196"/>
      <c r="AQ684" s="197"/>
      <c r="AR684" s="196"/>
      <c r="AS684" s="196"/>
      <c r="AT684" s="196"/>
      <c r="AU684" s="196"/>
      <c r="AV684" s="196"/>
      <c r="AW684" s="197"/>
      <c r="AX684" s="197"/>
      <c r="AY684" s="197"/>
      <c r="AZ684" s="197"/>
    </row>
    <row r="685" spans="1:52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7"/>
      <c r="N685" s="197"/>
      <c r="O685" s="198"/>
      <c r="P685" s="198"/>
      <c r="Q685" s="198"/>
      <c r="R685" s="196"/>
      <c r="S685" s="196"/>
      <c r="T685" s="196"/>
      <c r="U685" s="196"/>
      <c r="V685" s="196"/>
      <c r="W685" s="196"/>
      <c r="X685" s="197"/>
      <c r="Y685" s="197"/>
      <c r="Z685" s="197"/>
      <c r="AA685" s="196"/>
      <c r="AB685" s="196"/>
      <c r="AC685" s="196"/>
      <c r="AD685" s="196"/>
      <c r="AE685" s="196"/>
      <c r="AF685" s="196"/>
      <c r="AG685" s="196"/>
      <c r="AH685" s="196"/>
      <c r="AI685" s="196"/>
      <c r="AJ685" s="196"/>
      <c r="AK685" s="196"/>
      <c r="AL685" s="196"/>
      <c r="AM685" s="196"/>
      <c r="AN685" s="196"/>
      <c r="AO685" s="196"/>
      <c r="AP685" s="196"/>
      <c r="AQ685" s="197"/>
      <c r="AR685" s="196"/>
      <c r="AS685" s="196"/>
      <c r="AT685" s="196"/>
      <c r="AU685" s="196"/>
      <c r="AV685" s="196"/>
      <c r="AW685" s="197"/>
      <c r="AX685" s="197"/>
      <c r="AY685" s="197"/>
      <c r="AZ685" s="197"/>
    </row>
    <row r="686" spans="1:52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7"/>
      <c r="N686" s="197"/>
      <c r="O686" s="198"/>
      <c r="P686" s="198"/>
      <c r="Q686" s="198"/>
      <c r="R686" s="196"/>
      <c r="S686" s="196"/>
      <c r="T686" s="196"/>
      <c r="U686" s="196"/>
      <c r="V686" s="196"/>
      <c r="W686" s="196"/>
      <c r="X686" s="197"/>
      <c r="Y686" s="197"/>
      <c r="Z686" s="197"/>
      <c r="AA686" s="196"/>
      <c r="AB686" s="196"/>
      <c r="AC686" s="196"/>
      <c r="AD686" s="196"/>
      <c r="AE686" s="196"/>
      <c r="AF686" s="196"/>
      <c r="AG686" s="196"/>
      <c r="AH686" s="196"/>
      <c r="AI686" s="196"/>
      <c r="AJ686" s="196"/>
      <c r="AK686" s="196"/>
      <c r="AL686" s="196"/>
      <c r="AM686" s="196"/>
      <c r="AN686" s="196"/>
      <c r="AO686" s="196"/>
      <c r="AP686" s="196"/>
      <c r="AQ686" s="197"/>
      <c r="AR686" s="196"/>
      <c r="AS686" s="196"/>
      <c r="AT686" s="196"/>
      <c r="AU686" s="196"/>
      <c r="AV686" s="196"/>
      <c r="AW686" s="197"/>
      <c r="AX686" s="197"/>
      <c r="AY686" s="197"/>
      <c r="AZ686" s="197"/>
    </row>
    <row r="687" spans="1:52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7"/>
      <c r="N687" s="197"/>
      <c r="O687" s="198"/>
      <c r="P687" s="198"/>
      <c r="Q687" s="198"/>
      <c r="R687" s="196"/>
      <c r="S687" s="196"/>
      <c r="T687" s="196"/>
      <c r="U687" s="196"/>
      <c r="V687" s="196"/>
      <c r="W687" s="196"/>
      <c r="X687" s="197"/>
      <c r="Y687" s="197"/>
      <c r="Z687" s="197"/>
      <c r="AA687" s="196"/>
      <c r="AB687" s="196"/>
      <c r="AC687" s="196"/>
      <c r="AD687" s="196"/>
      <c r="AE687" s="196"/>
      <c r="AF687" s="196"/>
      <c r="AG687" s="196"/>
      <c r="AH687" s="196"/>
      <c r="AI687" s="196"/>
      <c r="AJ687" s="196"/>
      <c r="AK687" s="196"/>
      <c r="AL687" s="196"/>
      <c r="AM687" s="196"/>
      <c r="AN687" s="196"/>
      <c r="AO687" s="196"/>
      <c r="AP687" s="196"/>
      <c r="AQ687" s="197"/>
      <c r="AR687" s="196"/>
      <c r="AS687" s="196"/>
      <c r="AT687" s="196"/>
      <c r="AU687" s="196"/>
      <c r="AV687" s="196"/>
      <c r="AW687" s="197"/>
      <c r="AX687" s="197"/>
      <c r="AY687" s="197"/>
      <c r="AZ687" s="197"/>
    </row>
    <row r="688" spans="1:52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7"/>
      <c r="N688" s="197"/>
      <c r="O688" s="198"/>
      <c r="P688" s="198"/>
      <c r="Q688" s="198"/>
      <c r="R688" s="196"/>
      <c r="S688" s="196"/>
      <c r="T688" s="196"/>
      <c r="U688" s="196"/>
      <c r="V688" s="196"/>
      <c r="W688" s="196"/>
      <c r="X688" s="197"/>
      <c r="Y688" s="197"/>
      <c r="Z688" s="197"/>
      <c r="AA688" s="196"/>
      <c r="AB688" s="196"/>
      <c r="AC688" s="196"/>
      <c r="AD688" s="196"/>
      <c r="AE688" s="196"/>
      <c r="AF688" s="196"/>
      <c r="AG688" s="196"/>
      <c r="AH688" s="196"/>
      <c r="AI688" s="196"/>
      <c r="AJ688" s="196"/>
      <c r="AK688" s="196"/>
      <c r="AL688" s="196"/>
      <c r="AM688" s="196"/>
      <c r="AN688" s="196"/>
      <c r="AO688" s="196"/>
      <c r="AP688" s="196"/>
      <c r="AQ688" s="197"/>
      <c r="AR688" s="196"/>
      <c r="AS688" s="196"/>
      <c r="AT688" s="196"/>
      <c r="AU688" s="196"/>
      <c r="AV688" s="196"/>
      <c r="AW688" s="197"/>
      <c r="AX688" s="197"/>
      <c r="AY688" s="197"/>
      <c r="AZ688" s="197"/>
    </row>
    <row r="689" spans="1:52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7"/>
      <c r="N689" s="197"/>
      <c r="O689" s="198"/>
      <c r="P689" s="198"/>
      <c r="Q689" s="198"/>
      <c r="R689" s="196"/>
      <c r="S689" s="196"/>
      <c r="T689" s="196"/>
      <c r="U689" s="196"/>
      <c r="V689" s="196"/>
      <c r="W689" s="196"/>
      <c r="X689" s="197"/>
      <c r="Y689" s="197"/>
      <c r="Z689" s="197"/>
      <c r="AA689" s="196"/>
      <c r="AB689" s="196"/>
      <c r="AC689" s="196"/>
      <c r="AD689" s="196"/>
      <c r="AE689" s="196"/>
      <c r="AF689" s="196"/>
      <c r="AG689" s="196"/>
      <c r="AH689" s="196"/>
      <c r="AI689" s="196"/>
      <c r="AJ689" s="196"/>
      <c r="AK689" s="196"/>
      <c r="AL689" s="196"/>
      <c r="AM689" s="196"/>
      <c r="AN689" s="196"/>
      <c r="AO689" s="196"/>
      <c r="AP689" s="196"/>
      <c r="AQ689" s="197"/>
      <c r="AR689" s="196"/>
      <c r="AS689" s="196"/>
      <c r="AT689" s="196"/>
      <c r="AU689" s="196"/>
      <c r="AV689" s="196"/>
      <c r="AW689" s="197"/>
      <c r="AX689" s="197"/>
      <c r="AY689" s="197"/>
      <c r="AZ689" s="197"/>
    </row>
    <row r="690" spans="1:52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7"/>
      <c r="N690" s="197"/>
      <c r="O690" s="198"/>
      <c r="P690" s="198"/>
      <c r="Q690" s="198"/>
      <c r="R690" s="196"/>
      <c r="S690" s="196"/>
      <c r="T690" s="196"/>
      <c r="U690" s="196"/>
      <c r="V690" s="196"/>
      <c r="W690" s="196"/>
      <c r="X690" s="197"/>
      <c r="Y690" s="197"/>
      <c r="Z690" s="197"/>
      <c r="AA690" s="196"/>
      <c r="AB690" s="196"/>
      <c r="AC690" s="196"/>
      <c r="AD690" s="196"/>
      <c r="AE690" s="196"/>
      <c r="AF690" s="196"/>
      <c r="AG690" s="196"/>
      <c r="AH690" s="196"/>
      <c r="AI690" s="196"/>
      <c r="AJ690" s="196"/>
      <c r="AK690" s="196"/>
      <c r="AL690" s="196"/>
      <c r="AM690" s="196"/>
      <c r="AN690" s="196"/>
      <c r="AO690" s="196"/>
      <c r="AP690" s="196"/>
      <c r="AQ690" s="197"/>
      <c r="AR690" s="196"/>
      <c r="AS690" s="196"/>
      <c r="AT690" s="196"/>
      <c r="AU690" s="196"/>
      <c r="AV690" s="196"/>
      <c r="AW690" s="197"/>
      <c r="AX690" s="197"/>
      <c r="AY690" s="197"/>
      <c r="AZ690" s="197"/>
    </row>
    <row r="691" spans="1:52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7"/>
      <c r="N691" s="197"/>
      <c r="O691" s="198"/>
      <c r="P691" s="198"/>
      <c r="Q691" s="198"/>
      <c r="R691" s="196"/>
      <c r="S691" s="196"/>
      <c r="T691" s="196"/>
      <c r="U691" s="196"/>
      <c r="V691" s="196"/>
      <c r="W691" s="196"/>
      <c r="X691" s="197"/>
      <c r="Y691" s="197"/>
      <c r="Z691" s="197"/>
      <c r="AA691" s="196"/>
      <c r="AB691" s="196"/>
      <c r="AC691" s="196"/>
      <c r="AD691" s="196"/>
      <c r="AE691" s="196"/>
      <c r="AF691" s="196"/>
      <c r="AG691" s="196"/>
      <c r="AH691" s="196"/>
      <c r="AI691" s="196"/>
      <c r="AJ691" s="196"/>
      <c r="AK691" s="196"/>
      <c r="AL691" s="196"/>
      <c r="AM691" s="196"/>
      <c r="AN691" s="196"/>
      <c r="AO691" s="196"/>
      <c r="AP691" s="196"/>
      <c r="AQ691" s="197"/>
      <c r="AR691" s="196"/>
      <c r="AS691" s="196"/>
      <c r="AT691" s="196"/>
      <c r="AU691" s="196"/>
      <c r="AV691" s="196"/>
      <c r="AW691" s="197"/>
      <c r="AX691" s="197"/>
      <c r="AY691" s="197"/>
      <c r="AZ691" s="197"/>
    </row>
    <row r="692" spans="1:52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7"/>
      <c r="N692" s="197"/>
      <c r="O692" s="198"/>
      <c r="P692" s="198"/>
      <c r="Q692" s="198"/>
      <c r="R692" s="196"/>
      <c r="S692" s="196"/>
      <c r="T692" s="196"/>
      <c r="U692" s="196"/>
      <c r="V692" s="196"/>
      <c r="W692" s="196"/>
      <c r="X692" s="197"/>
      <c r="Y692" s="197"/>
      <c r="Z692" s="197"/>
      <c r="AA692" s="196"/>
      <c r="AB692" s="196"/>
      <c r="AC692" s="196"/>
      <c r="AD692" s="196"/>
      <c r="AE692" s="196"/>
      <c r="AF692" s="196"/>
      <c r="AG692" s="196"/>
      <c r="AH692" s="196"/>
      <c r="AI692" s="196"/>
      <c r="AJ692" s="196"/>
      <c r="AK692" s="196"/>
      <c r="AL692" s="196"/>
      <c r="AM692" s="196"/>
      <c r="AN692" s="196"/>
      <c r="AO692" s="196"/>
      <c r="AP692" s="196"/>
      <c r="AQ692" s="197"/>
      <c r="AR692" s="196"/>
      <c r="AS692" s="196"/>
      <c r="AT692" s="196"/>
      <c r="AU692" s="196"/>
      <c r="AV692" s="196"/>
      <c r="AW692" s="197"/>
      <c r="AX692" s="197"/>
      <c r="AY692" s="197"/>
      <c r="AZ692" s="197"/>
    </row>
    <row r="693" spans="1:52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7"/>
      <c r="N693" s="197"/>
      <c r="O693" s="198"/>
      <c r="P693" s="198"/>
      <c r="Q693" s="198"/>
      <c r="R693" s="196"/>
      <c r="S693" s="196"/>
      <c r="T693" s="196"/>
      <c r="U693" s="196"/>
      <c r="V693" s="196"/>
      <c r="W693" s="196"/>
      <c r="X693" s="197"/>
      <c r="Y693" s="197"/>
      <c r="Z693" s="197"/>
      <c r="AA693" s="196"/>
      <c r="AB693" s="196"/>
      <c r="AC693" s="196"/>
      <c r="AD693" s="196"/>
      <c r="AE693" s="196"/>
      <c r="AF693" s="196"/>
      <c r="AG693" s="196"/>
      <c r="AH693" s="196"/>
      <c r="AI693" s="196"/>
      <c r="AJ693" s="196"/>
      <c r="AK693" s="196"/>
      <c r="AL693" s="196"/>
      <c r="AM693" s="196"/>
      <c r="AN693" s="196"/>
      <c r="AO693" s="196"/>
      <c r="AP693" s="196"/>
      <c r="AQ693" s="197"/>
      <c r="AR693" s="196"/>
      <c r="AS693" s="196"/>
      <c r="AT693" s="196"/>
      <c r="AU693" s="196"/>
      <c r="AV693" s="196"/>
      <c r="AW693" s="197"/>
      <c r="AX693" s="197"/>
      <c r="AY693" s="197"/>
      <c r="AZ693" s="197"/>
    </row>
    <row r="694" spans="1:52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7"/>
      <c r="N694" s="197"/>
      <c r="O694" s="198"/>
      <c r="P694" s="198"/>
      <c r="Q694" s="198"/>
      <c r="R694" s="196"/>
      <c r="S694" s="196"/>
      <c r="T694" s="196"/>
      <c r="U694" s="196"/>
      <c r="V694" s="196"/>
      <c r="W694" s="196"/>
      <c r="X694" s="197"/>
      <c r="Y694" s="197"/>
      <c r="Z694" s="197"/>
      <c r="AA694" s="196"/>
      <c r="AB694" s="196"/>
      <c r="AC694" s="196"/>
      <c r="AD694" s="196"/>
      <c r="AE694" s="196"/>
      <c r="AF694" s="196"/>
      <c r="AG694" s="196"/>
      <c r="AH694" s="196"/>
      <c r="AI694" s="196"/>
      <c r="AJ694" s="196"/>
      <c r="AK694" s="196"/>
      <c r="AL694" s="196"/>
      <c r="AM694" s="196"/>
      <c r="AN694" s="196"/>
      <c r="AO694" s="196"/>
      <c r="AP694" s="196"/>
      <c r="AQ694" s="197"/>
      <c r="AR694" s="196"/>
      <c r="AS694" s="196"/>
      <c r="AT694" s="196"/>
      <c r="AU694" s="196"/>
      <c r="AV694" s="196"/>
      <c r="AW694" s="197"/>
      <c r="AX694" s="197"/>
      <c r="AY694" s="197"/>
      <c r="AZ694" s="197"/>
    </row>
    <row r="695" spans="1:52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7"/>
      <c r="N695" s="197"/>
      <c r="O695" s="198"/>
      <c r="P695" s="198"/>
      <c r="Q695" s="198"/>
      <c r="R695" s="196"/>
      <c r="S695" s="196"/>
      <c r="T695" s="196"/>
      <c r="U695" s="196"/>
      <c r="V695" s="196"/>
      <c r="W695" s="196"/>
      <c r="X695" s="197"/>
      <c r="Y695" s="197"/>
      <c r="Z695" s="197"/>
      <c r="AA695" s="196"/>
      <c r="AB695" s="196"/>
      <c r="AC695" s="196"/>
      <c r="AD695" s="196"/>
      <c r="AE695" s="196"/>
      <c r="AF695" s="196"/>
      <c r="AG695" s="196"/>
      <c r="AH695" s="196"/>
      <c r="AI695" s="196"/>
      <c r="AJ695" s="196"/>
      <c r="AK695" s="196"/>
      <c r="AL695" s="196"/>
      <c r="AM695" s="196"/>
      <c r="AN695" s="196"/>
      <c r="AO695" s="196"/>
      <c r="AP695" s="196"/>
      <c r="AQ695" s="197"/>
      <c r="AR695" s="196"/>
      <c r="AS695" s="196"/>
      <c r="AT695" s="196"/>
      <c r="AU695" s="196"/>
      <c r="AV695" s="196"/>
      <c r="AW695" s="197"/>
      <c r="AX695" s="197"/>
      <c r="AY695" s="197"/>
      <c r="AZ695" s="197"/>
    </row>
    <row r="696" spans="1:52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7"/>
      <c r="N696" s="197"/>
      <c r="O696" s="198"/>
      <c r="P696" s="198"/>
      <c r="Q696" s="198"/>
      <c r="R696" s="196"/>
      <c r="S696" s="196"/>
      <c r="T696" s="196"/>
      <c r="U696" s="196"/>
      <c r="V696" s="196"/>
      <c r="W696" s="196"/>
      <c r="X696" s="197"/>
      <c r="Y696" s="197"/>
      <c r="Z696" s="197"/>
      <c r="AA696" s="196"/>
      <c r="AB696" s="196"/>
      <c r="AC696" s="196"/>
      <c r="AD696" s="196"/>
      <c r="AE696" s="196"/>
      <c r="AF696" s="196"/>
      <c r="AG696" s="196"/>
      <c r="AH696" s="196"/>
      <c r="AI696" s="196"/>
      <c r="AJ696" s="196"/>
      <c r="AK696" s="196"/>
      <c r="AL696" s="196"/>
      <c r="AM696" s="196"/>
      <c r="AN696" s="196"/>
      <c r="AO696" s="196"/>
      <c r="AP696" s="196"/>
      <c r="AQ696" s="197"/>
      <c r="AR696" s="196"/>
      <c r="AS696" s="196"/>
      <c r="AT696" s="196"/>
      <c r="AU696" s="196"/>
      <c r="AV696" s="196"/>
      <c r="AW696" s="197"/>
      <c r="AX696" s="197"/>
      <c r="AY696" s="197"/>
      <c r="AZ696" s="197"/>
    </row>
    <row r="697" spans="1:52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7"/>
      <c r="N697" s="197"/>
      <c r="O697" s="198"/>
      <c r="P697" s="198"/>
      <c r="Q697" s="198"/>
      <c r="R697" s="196"/>
      <c r="S697" s="196"/>
      <c r="T697" s="196"/>
      <c r="U697" s="196"/>
      <c r="V697" s="196"/>
      <c r="W697" s="196"/>
      <c r="X697" s="197"/>
      <c r="Y697" s="197"/>
      <c r="Z697" s="197"/>
      <c r="AA697" s="196"/>
      <c r="AB697" s="196"/>
      <c r="AC697" s="196"/>
      <c r="AD697" s="196"/>
      <c r="AE697" s="196"/>
      <c r="AF697" s="196"/>
      <c r="AG697" s="196"/>
      <c r="AH697" s="196"/>
      <c r="AI697" s="196"/>
      <c r="AJ697" s="196"/>
      <c r="AK697" s="196"/>
      <c r="AL697" s="196"/>
      <c r="AM697" s="196"/>
      <c r="AN697" s="196"/>
      <c r="AO697" s="196"/>
      <c r="AP697" s="196"/>
      <c r="AQ697" s="197"/>
      <c r="AR697" s="196"/>
      <c r="AS697" s="196"/>
      <c r="AT697" s="196"/>
      <c r="AU697" s="196"/>
      <c r="AV697" s="196"/>
      <c r="AW697" s="197"/>
      <c r="AX697" s="197"/>
      <c r="AY697" s="197"/>
      <c r="AZ697" s="197"/>
    </row>
    <row r="698" spans="1:52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7"/>
      <c r="N698" s="197"/>
      <c r="O698" s="198"/>
      <c r="P698" s="198"/>
      <c r="Q698" s="198"/>
      <c r="R698" s="196"/>
      <c r="S698" s="196"/>
      <c r="T698" s="196"/>
      <c r="U698" s="196"/>
      <c r="V698" s="196"/>
      <c r="W698" s="196"/>
      <c r="X698" s="197"/>
      <c r="Y698" s="197"/>
      <c r="Z698" s="197"/>
      <c r="AA698" s="196"/>
      <c r="AB698" s="196"/>
      <c r="AC698" s="196"/>
      <c r="AD698" s="196"/>
      <c r="AE698" s="196"/>
      <c r="AF698" s="196"/>
      <c r="AG698" s="196"/>
      <c r="AH698" s="196"/>
      <c r="AI698" s="196"/>
      <c r="AJ698" s="196"/>
      <c r="AK698" s="196"/>
      <c r="AL698" s="196"/>
      <c r="AM698" s="196"/>
      <c r="AN698" s="196"/>
      <c r="AO698" s="196"/>
      <c r="AP698" s="196"/>
      <c r="AQ698" s="197"/>
      <c r="AR698" s="196"/>
      <c r="AS698" s="196"/>
      <c r="AT698" s="196"/>
      <c r="AU698" s="196"/>
      <c r="AV698" s="196"/>
      <c r="AW698" s="197"/>
      <c r="AX698" s="197"/>
      <c r="AY698" s="197"/>
      <c r="AZ698" s="197"/>
    </row>
    <row r="699" spans="1:52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7"/>
      <c r="N699" s="197"/>
      <c r="O699" s="198"/>
      <c r="P699" s="198"/>
      <c r="Q699" s="198"/>
      <c r="R699" s="196"/>
      <c r="S699" s="196"/>
      <c r="T699" s="196"/>
      <c r="U699" s="196"/>
      <c r="V699" s="196"/>
      <c r="W699" s="196"/>
      <c r="X699" s="197"/>
      <c r="Y699" s="197"/>
      <c r="Z699" s="197"/>
      <c r="AA699" s="196"/>
      <c r="AB699" s="196"/>
      <c r="AC699" s="196"/>
      <c r="AD699" s="196"/>
      <c r="AE699" s="196"/>
      <c r="AF699" s="196"/>
      <c r="AG699" s="196"/>
      <c r="AH699" s="196"/>
      <c r="AI699" s="196"/>
      <c r="AJ699" s="196"/>
      <c r="AK699" s="196"/>
      <c r="AL699" s="196"/>
      <c r="AM699" s="196"/>
      <c r="AN699" s="196"/>
      <c r="AO699" s="196"/>
      <c r="AP699" s="196"/>
      <c r="AQ699" s="197"/>
      <c r="AR699" s="196"/>
      <c r="AS699" s="196"/>
      <c r="AT699" s="196"/>
      <c r="AU699" s="196"/>
      <c r="AV699" s="196"/>
      <c r="AW699" s="197"/>
      <c r="AX699" s="197"/>
      <c r="AY699" s="197"/>
      <c r="AZ699" s="197"/>
    </row>
    <row r="700" spans="1:52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7"/>
      <c r="N700" s="197"/>
      <c r="O700" s="198"/>
      <c r="P700" s="198"/>
      <c r="Q700" s="198"/>
      <c r="R700" s="196"/>
      <c r="S700" s="196"/>
      <c r="T700" s="196"/>
      <c r="U700" s="196"/>
      <c r="V700" s="196"/>
      <c r="W700" s="196"/>
      <c r="X700" s="197"/>
      <c r="Y700" s="197"/>
      <c r="Z700" s="197"/>
      <c r="AA700" s="196"/>
      <c r="AB700" s="196"/>
      <c r="AC700" s="196"/>
      <c r="AD700" s="196"/>
      <c r="AE700" s="196"/>
      <c r="AF700" s="196"/>
      <c r="AG700" s="196"/>
      <c r="AH700" s="196"/>
      <c r="AI700" s="196"/>
      <c r="AJ700" s="196"/>
      <c r="AK700" s="196"/>
      <c r="AL700" s="196"/>
      <c r="AM700" s="196"/>
      <c r="AN700" s="196"/>
      <c r="AO700" s="196"/>
      <c r="AP700" s="196"/>
      <c r="AQ700" s="197"/>
      <c r="AR700" s="196"/>
      <c r="AS700" s="196"/>
      <c r="AT700" s="196"/>
      <c r="AU700" s="196"/>
      <c r="AV700" s="196"/>
      <c r="AW700" s="197"/>
      <c r="AX700" s="197"/>
      <c r="AY700" s="197"/>
      <c r="AZ700" s="197"/>
    </row>
    <row r="701" spans="1:52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7"/>
      <c r="N701" s="197"/>
      <c r="O701" s="198"/>
      <c r="P701" s="198"/>
      <c r="Q701" s="198"/>
      <c r="R701" s="196"/>
      <c r="S701" s="196"/>
      <c r="T701" s="196"/>
      <c r="U701" s="196"/>
      <c r="V701" s="196"/>
      <c r="W701" s="196"/>
      <c r="X701" s="197"/>
      <c r="Y701" s="197"/>
      <c r="Z701" s="197"/>
      <c r="AA701" s="196"/>
      <c r="AB701" s="196"/>
      <c r="AC701" s="196"/>
      <c r="AD701" s="196"/>
      <c r="AE701" s="196"/>
      <c r="AF701" s="196"/>
      <c r="AG701" s="196"/>
      <c r="AH701" s="196"/>
      <c r="AI701" s="196"/>
      <c r="AJ701" s="196"/>
      <c r="AK701" s="196"/>
      <c r="AL701" s="196"/>
      <c r="AM701" s="196"/>
      <c r="AN701" s="196"/>
      <c r="AO701" s="196"/>
      <c r="AP701" s="196"/>
      <c r="AQ701" s="197"/>
      <c r="AR701" s="196"/>
      <c r="AS701" s="196"/>
      <c r="AT701" s="196"/>
      <c r="AU701" s="196"/>
      <c r="AV701" s="196"/>
      <c r="AW701" s="197"/>
      <c r="AX701" s="197"/>
      <c r="AY701" s="197"/>
      <c r="AZ701" s="197"/>
    </row>
    <row r="702" spans="1:52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7"/>
      <c r="N702" s="197"/>
      <c r="O702" s="198"/>
      <c r="P702" s="198"/>
      <c r="Q702" s="198"/>
      <c r="R702" s="196"/>
      <c r="S702" s="196"/>
      <c r="T702" s="196"/>
      <c r="U702" s="196"/>
      <c r="V702" s="196"/>
      <c r="W702" s="196"/>
      <c r="X702" s="197"/>
      <c r="Y702" s="197"/>
      <c r="Z702" s="197"/>
      <c r="AA702" s="196"/>
      <c r="AB702" s="196"/>
      <c r="AC702" s="196"/>
      <c r="AD702" s="196"/>
      <c r="AE702" s="196"/>
      <c r="AF702" s="196"/>
      <c r="AG702" s="196"/>
      <c r="AH702" s="196"/>
      <c r="AI702" s="196"/>
      <c r="AJ702" s="196"/>
      <c r="AK702" s="196"/>
      <c r="AL702" s="196"/>
      <c r="AM702" s="196"/>
      <c r="AN702" s="196"/>
      <c r="AO702" s="196"/>
      <c r="AP702" s="196"/>
      <c r="AQ702" s="197"/>
      <c r="AR702" s="196"/>
      <c r="AS702" s="196"/>
      <c r="AT702" s="196"/>
      <c r="AU702" s="196"/>
      <c r="AV702" s="196"/>
      <c r="AW702" s="197"/>
      <c r="AX702" s="197"/>
      <c r="AY702" s="197"/>
      <c r="AZ702" s="197"/>
    </row>
    <row r="703" spans="1:52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7"/>
      <c r="N703" s="197"/>
      <c r="O703" s="198"/>
      <c r="P703" s="198"/>
      <c r="Q703" s="198"/>
      <c r="R703" s="196"/>
      <c r="S703" s="196"/>
      <c r="T703" s="196"/>
      <c r="U703" s="196"/>
      <c r="V703" s="196"/>
      <c r="W703" s="196"/>
      <c r="X703" s="197"/>
      <c r="Y703" s="197"/>
      <c r="Z703" s="197"/>
      <c r="AA703" s="196"/>
      <c r="AB703" s="196"/>
      <c r="AC703" s="196"/>
      <c r="AD703" s="196"/>
      <c r="AE703" s="196"/>
      <c r="AF703" s="196"/>
      <c r="AG703" s="196"/>
      <c r="AH703" s="196"/>
      <c r="AI703" s="196"/>
      <c r="AJ703" s="196"/>
      <c r="AK703" s="196"/>
      <c r="AL703" s="196"/>
      <c r="AM703" s="196"/>
      <c r="AN703" s="196"/>
      <c r="AO703" s="196"/>
      <c r="AP703" s="196"/>
      <c r="AQ703" s="197"/>
      <c r="AR703" s="196"/>
      <c r="AS703" s="196"/>
      <c r="AT703" s="196"/>
      <c r="AU703" s="196"/>
      <c r="AV703" s="196"/>
      <c r="AW703" s="197"/>
      <c r="AX703" s="197"/>
      <c r="AY703" s="197"/>
      <c r="AZ703" s="197"/>
    </row>
    <row r="704" spans="1:52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7"/>
      <c r="N704" s="197"/>
      <c r="O704" s="198"/>
      <c r="P704" s="198"/>
      <c r="Q704" s="198"/>
      <c r="R704" s="196"/>
      <c r="S704" s="196"/>
      <c r="T704" s="196"/>
      <c r="U704" s="196"/>
      <c r="V704" s="196"/>
      <c r="W704" s="196"/>
      <c r="X704" s="197"/>
      <c r="Y704" s="197"/>
      <c r="Z704" s="197"/>
      <c r="AA704" s="196"/>
      <c r="AB704" s="196"/>
      <c r="AC704" s="196"/>
      <c r="AD704" s="196"/>
      <c r="AE704" s="196"/>
      <c r="AF704" s="196"/>
      <c r="AG704" s="196"/>
      <c r="AH704" s="196"/>
      <c r="AI704" s="196"/>
      <c r="AJ704" s="196"/>
      <c r="AK704" s="196"/>
      <c r="AL704" s="196"/>
      <c r="AM704" s="196"/>
      <c r="AN704" s="196"/>
      <c r="AO704" s="196"/>
      <c r="AP704" s="196"/>
      <c r="AQ704" s="197"/>
      <c r="AR704" s="196"/>
      <c r="AS704" s="196"/>
      <c r="AT704" s="196"/>
      <c r="AU704" s="196"/>
      <c r="AV704" s="196"/>
      <c r="AW704" s="197"/>
      <c r="AX704" s="197"/>
      <c r="AY704" s="197"/>
      <c r="AZ704" s="197"/>
    </row>
    <row r="705" spans="1:52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7"/>
      <c r="N705" s="197"/>
      <c r="O705" s="198"/>
      <c r="P705" s="198"/>
      <c r="Q705" s="198"/>
      <c r="R705" s="196"/>
      <c r="S705" s="196"/>
      <c r="T705" s="196"/>
      <c r="U705" s="196"/>
      <c r="V705" s="196"/>
      <c r="W705" s="196"/>
      <c r="X705" s="197"/>
      <c r="Y705" s="197"/>
      <c r="Z705" s="197"/>
      <c r="AA705" s="196"/>
      <c r="AB705" s="196"/>
      <c r="AC705" s="196"/>
      <c r="AD705" s="196"/>
      <c r="AE705" s="196"/>
      <c r="AF705" s="196"/>
      <c r="AG705" s="196"/>
      <c r="AH705" s="196"/>
      <c r="AI705" s="196"/>
      <c r="AJ705" s="196"/>
      <c r="AK705" s="196"/>
      <c r="AL705" s="196"/>
      <c r="AM705" s="196"/>
      <c r="AN705" s="196"/>
      <c r="AO705" s="196"/>
      <c r="AP705" s="196"/>
      <c r="AQ705" s="197"/>
      <c r="AR705" s="196"/>
      <c r="AS705" s="196"/>
      <c r="AT705" s="196"/>
      <c r="AU705" s="196"/>
      <c r="AV705" s="196"/>
      <c r="AW705" s="197"/>
      <c r="AX705" s="197"/>
      <c r="AY705" s="197"/>
      <c r="AZ705" s="197"/>
    </row>
    <row r="706" spans="1:52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7"/>
      <c r="N706" s="197"/>
      <c r="O706" s="198"/>
      <c r="P706" s="198"/>
      <c r="Q706" s="198"/>
      <c r="R706" s="196"/>
      <c r="S706" s="196"/>
      <c r="T706" s="196"/>
      <c r="U706" s="196"/>
      <c r="V706" s="196"/>
      <c r="W706" s="196"/>
      <c r="X706" s="197"/>
      <c r="Y706" s="197"/>
      <c r="Z706" s="197"/>
      <c r="AA706" s="196"/>
      <c r="AB706" s="196"/>
      <c r="AC706" s="196"/>
      <c r="AD706" s="196"/>
      <c r="AE706" s="196"/>
      <c r="AF706" s="196"/>
      <c r="AG706" s="196"/>
      <c r="AH706" s="196"/>
      <c r="AI706" s="196"/>
      <c r="AJ706" s="196"/>
      <c r="AK706" s="196"/>
      <c r="AL706" s="196"/>
      <c r="AM706" s="196"/>
      <c r="AN706" s="196"/>
      <c r="AO706" s="196"/>
      <c r="AP706" s="196"/>
      <c r="AQ706" s="197"/>
      <c r="AR706" s="196"/>
      <c r="AS706" s="196"/>
      <c r="AT706" s="196"/>
      <c r="AU706" s="196"/>
      <c r="AV706" s="196"/>
      <c r="AW706" s="197"/>
      <c r="AX706" s="197"/>
      <c r="AY706" s="197"/>
      <c r="AZ706" s="197"/>
    </row>
    <row r="707" spans="1:52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7"/>
      <c r="N707" s="197"/>
      <c r="O707" s="198"/>
      <c r="P707" s="198"/>
      <c r="Q707" s="198"/>
      <c r="R707" s="196"/>
      <c r="S707" s="196"/>
      <c r="T707" s="196"/>
      <c r="U707" s="196"/>
      <c r="V707" s="196"/>
      <c r="W707" s="196"/>
      <c r="X707" s="197"/>
      <c r="Y707" s="197"/>
      <c r="Z707" s="197"/>
      <c r="AA707" s="196"/>
      <c r="AB707" s="196"/>
      <c r="AC707" s="196"/>
      <c r="AD707" s="196"/>
      <c r="AE707" s="196"/>
      <c r="AF707" s="196"/>
      <c r="AG707" s="196"/>
      <c r="AH707" s="196"/>
      <c r="AI707" s="196"/>
      <c r="AJ707" s="196"/>
      <c r="AK707" s="196"/>
      <c r="AL707" s="196"/>
      <c r="AM707" s="196"/>
      <c r="AN707" s="196"/>
      <c r="AO707" s="196"/>
      <c r="AP707" s="196"/>
      <c r="AQ707" s="197"/>
      <c r="AR707" s="196"/>
      <c r="AS707" s="196"/>
      <c r="AT707" s="196"/>
      <c r="AU707" s="196"/>
      <c r="AV707" s="196"/>
      <c r="AW707" s="197"/>
      <c r="AX707" s="197"/>
      <c r="AY707" s="197"/>
      <c r="AZ707" s="197"/>
    </row>
    <row r="708" spans="1:52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7"/>
      <c r="N708" s="197"/>
      <c r="O708" s="198"/>
      <c r="P708" s="198"/>
      <c r="Q708" s="198"/>
      <c r="R708" s="196"/>
      <c r="S708" s="196"/>
      <c r="T708" s="196"/>
      <c r="U708" s="196"/>
      <c r="V708" s="196"/>
      <c r="W708" s="196"/>
      <c r="X708" s="197"/>
      <c r="Y708" s="197"/>
      <c r="Z708" s="197"/>
      <c r="AA708" s="196"/>
      <c r="AB708" s="196"/>
      <c r="AC708" s="196"/>
      <c r="AD708" s="196"/>
      <c r="AE708" s="196"/>
      <c r="AF708" s="196"/>
      <c r="AG708" s="196"/>
      <c r="AH708" s="196"/>
      <c r="AI708" s="196"/>
      <c r="AJ708" s="196"/>
      <c r="AK708" s="196"/>
      <c r="AL708" s="196"/>
      <c r="AM708" s="196"/>
      <c r="AN708" s="196"/>
      <c r="AO708" s="196"/>
      <c r="AP708" s="196"/>
      <c r="AQ708" s="197"/>
      <c r="AR708" s="196"/>
      <c r="AS708" s="196"/>
      <c r="AT708" s="196"/>
      <c r="AU708" s="196"/>
      <c r="AV708" s="196"/>
      <c r="AW708" s="197"/>
      <c r="AX708" s="197"/>
      <c r="AY708" s="197"/>
      <c r="AZ708" s="197"/>
    </row>
    <row r="709" spans="1:52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7"/>
      <c r="N709" s="197"/>
      <c r="O709" s="198"/>
      <c r="P709" s="198"/>
      <c r="Q709" s="198"/>
      <c r="R709" s="196"/>
      <c r="S709" s="196"/>
      <c r="T709" s="196"/>
      <c r="U709" s="196"/>
      <c r="V709" s="196"/>
      <c r="W709" s="196"/>
      <c r="X709" s="197"/>
      <c r="Y709" s="197"/>
      <c r="Z709" s="197"/>
      <c r="AA709" s="196"/>
      <c r="AB709" s="196"/>
      <c r="AC709" s="196"/>
      <c r="AD709" s="196"/>
      <c r="AE709" s="196"/>
      <c r="AF709" s="196"/>
      <c r="AG709" s="196"/>
      <c r="AH709" s="196"/>
      <c r="AI709" s="196"/>
      <c r="AJ709" s="196"/>
      <c r="AK709" s="196"/>
      <c r="AL709" s="196"/>
      <c r="AM709" s="196"/>
      <c r="AN709" s="196"/>
      <c r="AO709" s="196"/>
      <c r="AP709" s="196"/>
      <c r="AQ709" s="197"/>
      <c r="AR709" s="196"/>
      <c r="AS709" s="196"/>
      <c r="AT709" s="196"/>
      <c r="AU709" s="196"/>
      <c r="AV709" s="196"/>
      <c r="AW709" s="197"/>
      <c r="AX709" s="197"/>
      <c r="AY709" s="197"/>
      <c r="AZ709" s="197"/>
    </row>
    <row r="710" spans="1:52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7"/>
      <c r="N710" s="197"/>
      <c r="O710" s="198"/>
      <c r="P710" s="198"/>
      <c r="Q710" s="198"/>
      <c r="R710" s="196"/>
      <c r="S710" s="196"/>
      <c r="T710" s="196"/>
      <c r="U710" s="196"/>
      <c r="V710" s="196"/>
      <c r="W710" s="196"/>
      <c r="X710" s="197"/>
      <c r="Y710" s="197"/>
      <c r="Z710" s="197"/>
      <c r="AA710" s="196"/>
      <c r="AB710" s="196"/>
      <c r="AC710" s="196"/>
      <c r="AD710" s="196"/>
      <c r="AE710" s="196"/>
      <c r="AF710" s="196"/>
      <c r="AG710" s="196"/>
      <c r="AH710" s="196"/>
      <c r="AI710" s="196"/>
      <c r="AJ710" s="196"/>
      <c r="AK710" s="196"/>
      <c r="AL710" s="196"/>
      <c r="AM710" s="196"/>
      <c r="AN710" s="196"/>
      <c r="AO710" s="196"/>
      <c r="AP710" s="196"/>
      <c r="AQ710" s="197"/>
      <c r="AR710" s="196"/>
      <c r="AS710" s="196"/>
      <c r="AT710" s="196"/>
      <c r="AU710" s="196"/>
      <c r="AV710" s="196"/>
      <c r="AW710" s="197"/>
      <c r="AX710" s="197"/>
      <c r="AY710" s="197"/>
      <c r="AZ710" s="197"/>
    </row>
    <row r="711" spans="1:52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7"/>
      <c r="N711" s="197"/>
      <c r="O711" s="198"/>
      <c r="P711" s="198"/>
      <c r="Q711" s="198"/>
      <c r="R711" s="196"/>
      <c r="S711" s="196"/>
      <c r="T711" s="196"/>
      <c r="U711" s="196"/>
      <c r="V711" s="196"/>
      <c r="W711" s="196"/>
      <c r="X711" s="197"/>
      <c r="Y711" s="197"/>
      <c r="Z711" s="197"/>
      <c r="AA711" s="196"/>
      <c r="AB711" s="196"/>
      <c r="AC711" s="196"/>
      <c r="AD711" s="196"/>
      <c r="AE711" s="196"/>
      <c r="AF711" s="196"/>
      <c r="AG711" s="196"/>
      <c r="AH711" s="196"/>
      <c r="AI711" s="196"/>
      <c r="AJ711" s="196"/>
      <c r="AK711" s="196"/>
      <c r="AL711" s="196"/>
      <c r="AM711" s="196"/>
      <c r="AN711" s="196"/>
      <c r="AO711" s="196"/>
      <c r="AP711" s="196"/>
      <c r="AQ711" s="197"/>
      <c r="AR711" s="196"/>
      <c r="AS711" s="196"/>
      <c r="AT711" s="196"/>
      <c r="AU711" s="196"/>
      <c r="AV711" s="196"/>
      <c r="AW711" s="197"/>
      <c r="AX711" s="197"/>
      <c r="AY711" s="197"/>
      <c r="AZ711" s="197"/>
    </row>
    <row r="712" spans="1:52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7"/>
      <c r="N712" s="197"/>
      <c r="O712" s="198"/>
      <c r="P712" s="198"/>
      <c r="Q712" s="198"/>
      <c r="R712" s="196"/>
      <c r="S712" s="196"/>
      <c r="T712" s="196"/>
      <c r="U712" s="196"/>
      <c r="V712" s="196"/>
      <c r="W712" s="196"/>
      <c r="X712" s="197"/>
      <c r="Y712" s="197"/>
      <c r="Z712" s="197"/>
      <c r="AA712" s="196"/>
      <c r="AB712" s="196"/>
      <c r="AC712" s="196"/>
      <c r="AD712" s="196"/>
      <c r="AE712" s="196"/>
      <c r="AF712" s="196"/>
      <c r="AG712" s="196"/>
      <c r="AH712" s="196"/>
      <c r="AI712" s="196"/>
      <c r="AJ712" s="196"/>
      <c r="AK712" s="196"/>
      <c r="AL712" s="196"/>
      <c r="AM712" s="196"/>
      <c r="AN712" s="196"/>
      <c r="AO712" s="196"/>
      <c r="AP712" s="196"/>
      <c r="AQ712" s="197"/>
      <c r="AR712" s="196"/>
      <c r="AS712" s="196"/>
      <c r="AT712" s="196"/>
      <c r="AU712" s="196"/>
      <c r="AV712" s="196"/>
      <c r="AW712" s="197"/>
      <c r="AX712" s="197"/>
      <c r="AY712" s="197"/>
      <c r="AZ712" s="197"/>
    </row>
    <row r="713" spans="1:52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7"/>
      <c r="N713" s="197"/>
      <c r="O713" s="198"/>
      <c r="P713" s="198"/>
      <c r="Q713" s="198"/>
      <c r="R713" s="196"/>
      <c r="S713" s="196"/>
      <c r="T713" s="196"/>
      <c r="U713" s="196"/>
      <c r="V713" s="196"/>
      <c r="W713" s="196"/>
      <c r="X713" s="197"/>
      <c r="Y713" s="197"/>
      <c r="Z713" s="197"/>
      <c r="AA713" s="196"/>
      <c r="AB713" s="196"/>
      <c r="AC713" s="196"/>
      <c r="AD713" s="196"/>
      <c r="AE713" s="196"/>
      <c r="AF713" s="196"/>
      <c r="AG713" s="196"/>
      <c r="AH713" s="196"/>
      <c r="AI713" s="196"/>
      <c r="AJ713" s="196"/>
      <c r="AK713" s="196"/>
      <c r="AL713" s="196"/>
      <c r="AM713" s="196"/>
      <c r="AN713" s="196"/>
      <c r="AO713" s="196"/>
      <c r="AP713" s="196"/>
      <c r="AQ713" s="197"/>
      <c r="AR713" s="196"/>
      <c r="AS713" s="196"/>
      <c r="AT713" s="196"/>
      <c r="AU713" s="196"/>
      <c r="AV713" s="196"/>
      <c r="AW713" s="197"/>
      <c r="AX713" s="197"/>
      <c r="AY713" s="197"/>
      <c r="AZ713" s="197"/>
    </row>
    <row r="714" spans="1:52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7"/>
      <c r="N714" s="197"/>
      <c r="O714" s="198"/>
      <c r="P714" s="198"/>
      <c r="Q714" s="198"/>
      <c r="R714" s="196"/>
      <c r="S714" s="196"/>
      <c r="T714" s="196"/>
      <c r="U714" s="196"/>
      <c r="V714" s="196"/>
      <c r="W714" s="196"/>
      <c r="X714" s="197"/>
      <c r="Y714" s="197"/>
      <c r="Z714" s="197"/>
      <c r="AA714" s="196"/>
      <c r="AB714" s="196"/>
      <c r="AC714" s="196"/>
      <c r="AD714" s="196"/>
      <c r="AE714" s="196"/>
      <c r="AF714" s="196"/>
      <c r="AG714" s="196"/>
      <c r="AH714" s="196"/>
      <c r="AI714" s="196"/>
      <c r="AJ714" s="196"/>
      <c r="AK714" s="196"/>
      <c r="AL714" s="196"/>
      <c r="AM714" s="196"/>
      <c r="AN714" s="196"/>
      <c r="AO714" s="196"/>
      <c r="AP714" s="196"/>
      <c r="AQ714" s="197"/>
      <c r="AR714" s="196"/>
      <c r="AS714" s="196"/>
      <c r="AT714" s="196"/>
      <c r="AU714" s="196"/>
      <c r="AV714" s="196"/>
      <c r="AW714" s="197"/>
      <c r="AX714" s="197"/>
      <c r="AY714" s="197"/>
      <c r="AZ714" s="197"/>
    </row>
    <row r="715" spans="1:52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7"/>
      <c r="N715" s="197"/>
      <c r="O715" s="198"/>
      <c r="P715" s="198"/>
      <c r="Q715" s="198"/>
      <c r="R715" s="196"/>
      <c r="S715" s="196"/>
      <c r="T715" s="196"/>
      <c r="U715" s="196"/>
      <c r="V715" s="196"/>
      <c r="W715" s="196"/>
      <c r="X715" s="197"/>
      <c r="Y715" s="197"/>
      <c r="Z715" s="197"/>
      <c r="AA715" s="196"/>
      <c r="AB715" s="196"/>
      <c r="AC715" s="196"/>
      <c r="AD715" s="196"/>
      <c r="AE715" s="196"/>
      <c r="AF715" s="196"/>
      <c r="AG715" s="196"/>
      <c r="AH715" s="196"/>
      <c r="AI715" s="196"/>
      <c r="AJ715" s="196"/>
      <c r="AK715" s="196"/>
      <c r="AL715" s="196"/>
      <c r="AM715" s="196"/>
      <c r="AN715" s="196"/>
      <c r="AO715" s="196"/>
      <c r="AP715" s="196"/>
      <c r="AQ715" s="197"/>
      <c r="AR715" s="196"/>
      <c r="AS715" s="196"/>
      <c r="AT715" s="196"/>
      <c r="AU715" s="196"/>
      <c r="AV715" s="196"/>
      <c r="AW715" s="197"/>
      <c r="AX715" s="197"/>
      <c r="AY715" s="197"/>
      <c r="AZ715" s="197"/>
    </row>
    <row r="716" spans="1:52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7"/>
      <c r="N716" s="197"/>
      <c r="O716" s="198"/>
      <c r="P716" s="198"/>
      <c r="Q716" s="198"/>
      <c r="R716" s="196"/>
      <c r="S716" s="196"/>
      <c r="T716" s="196"/>
      <c r="U716" s="196"/>
      <c r="V716" s="196"/>
      <c r="W716" s="196"/>
      <c r="X716" s="197"/>
      <c r="Y716" s="197"/>
      <c r="Z716" s="197"/>
      <c r="AA716" s="196"/>
      <c r="AB716" s="196"/>
      <c r="AC716" s="196"/>
      <c r="AD716" s="196"/>
      <c r="AE716" s="196"/>
      <c r="AF716" s="196"/>
      <c r="AG716" s="196"/>
      <c r="AH716" s="196"/>
      <c r="AI716" s="196"/>
      <c r="AJ716" s="196"/>
      <c r="AK716" s="196"/>
      <c r="AL716" s="196"/>
      <c r="AM716" s="196"/>
      <c r="AN716" s="196"/>
      <c r="AO716" s="196"/>
      <c r="AP716" s="196"/>
      <c r="AQ716" s="197"/>
      <c r="AR716" s="196"/>
      <c r="AS716" s="196"/>
      <c r="AT716" s="196"/>
      <c r="AU716" s="196"/>
      <c r="AV716" s="196"/>
      <c r="AW716" s="197"/>
      <c r="AX716" s="197"/>
      <c r="AY716" s="197"/>
      <c r="AZ716" s="197"/>
    </row>
    <row r="717" spans="1:52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7"/>
      <c r="N717" s="197"/>
      <c r="O717" s="198"/>
      <c r="P717" s="198"/>
      <c r="Q717" s="198"/>
      <c r="R717" s="196"/>
      <c r="S717" s="196"/>
      <c r="T717" s="196"/>
      <c r="U717" s="196"/>
      <c r="V717" s="196"/>
      <c r="W717" s="196"/>
      <c r="X717" s="197"/>
      <c r="Y717" s="197"/>
      <c r="Z717" s="197"/>
      <c r="AA717" s="196"/>
      <c r="AB717" s="196"/>
      <c r="AC717" s="196"/>
      <c r="AD717" s="196"/>
      <c r="AE717" s="196"/>
      <c r="AF717" s="196"/>
      <c r="AG717" s="196"/>
      <c r="AH717" s="196"/>
      <c r="AI717" s="196"/>
      <c r="AJ717" s="196"/>
      <c r="AK717" s="196"/>
      <c r="AL717" s="196"/>
      <c r="AM717" s="196"/>
      <c r="AN717" s="196"/>
      <c r="AO717" s="196"/>
      <c r="AP717" s="196"/>
      <c r="AQ717" s="197"/>
      <c r="AR717" s="196"/>
      <c r="AS717" s="196"/>
      <c r="AT717" s="196"/>
      <c r="AU717" s="196"/>
      <c r="AV717" s="196"/>
      <c r="AW717" s="197"/>
      <c r="AX717" s="197"/>
      <c r="AY717" s="197"/>
      <c r="AZ717" s="197"/>
    </row>
    <row r="718" spans="1:52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7"/>
      <c r="N718" s="197"/>
      <c r="O718" s="198"/>
      <c r="P718" s="198"/>
      <c r="Q718" s="198"/>
      <c r="R718" s="196"/>
      <c r="S718" s="196"/>
      <c r="T718" s="196"/>
      <c r="U718" s="196"/>
      <c r="V718" s="196"/>
      <c r="W718" s="196"/>
      <c r="X718" s="197"/>
      <c r="Y718" s="197"/>
      <c r="Z718" s="197"/>
      <c r="AA718" s="196"/>
      <c r="AB718" s="196"/>
      <c r="AC718" s="196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  <c r="AN718" s="196"/>
      <c r="AO718" s="196"/>
      <c r="AP718" s="196"/>
      <c r="AQ718" s="197"/>
      <c r="AR718" s="196"/>
      <c r="AS718" s="196"/>
      <c r="AT718" s="196"/>
      <c r="AU718" s="196"/>
      <c r="AV718" s="196"/>
      <c r="AW718" s="197"/>
      <c r="AX718" s="197"/>
      <c r="AY718" s="197"/>
      <c r="AZ718" s="197"/>
    </row>
    <row r="719" spans="1:52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7"/>
      <c r="N719" s="197"/>
      <c r="O719" s="198"/>
      <c r="P719" s="198"/>
      <c r="Q719" s="198"/>
      <c r="R719" s="196"/>
      <c r="S719" s="196"/>
      <c r="T719" s="196"/>
      <c r="U719" s="196"/>
      <c r="V719" s="196"/>
      <c r="W719" s="196"/>
      <c r="X719" s="197"/>
      <c r="Y719" s="197"/>
      <c r="Z719" s="197"/>
      <c r="AA719" s="196"/>
      <c r="AB719" s="196"/>
      <c r="AC719" s="196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  <c r="AN719" s="196"/>
      <c r="AO719" s="196"/>
      <c r="AP719" s="196"/>
      <c r="AQ719" s="197"/>
      <c r="AR719" s="196"/>
      <c r="AS719" s="196"/>
      <c r="AT719" s="196"/>
      <c r="AU719" s="196"/>
      <c r="AV719" s="196"/>
      <c r="AW719" s="197"/>
      <c r="AX719" s="197"/>
      <c r="AY719" s="197"/>
      <c r="AZ719" s="197"/>
    </row>
    <row r="720" spans="1:52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7"/>
      <c r="N720" s="197"/>
      <c r="O720" s="198"/>
      <c r="P720" s="198"/>
      <c r="Q720" s="198"/>
      <c r="R720" s="196"/>
      <c r="S720" s="196"/>
      <c r="T720" s="196"/>
      <c r="U720" s="196"/>
      <c r="V720" s="196"/>
      <c r="W720" s="196"/>
      <c r="X720" s="197"/>
      <c r="Y720" s="197"/>
      <c r="Z720" s="197"/>
      <c r="AA720" s="196"/>
      <c r="AB720" s="196"/>
      <c r="AC720" s="196"/>
      <c r="AD720" s="196"/>
      <c r="AE720" s="196"/>
      <c r="AF720" s="196"/>
      <c r="AG720" s="196"/>
      <c r="AH720" s="196"/>
      <c r="AI720" s="196"/>
      <c r="AJ720" s="196"/>
      <c r="AK720" s="196"/>
      <c r="AL720" s="196"/>
      <c r="AM720" s="196"/>
      <c r="AN720" s="196"/>
      <c r="AO720" s="196"/>
      <c r="AP720" s="196"/>
      <c r="AQ720" s="197"/>
      <c r="AR720" s="196"/>
      <c r="AS720" s="196"/>
      <c r="AT720" s="196"/>
      <c r="AU720" s="196"/>
      <c r="AV720" s="196"/>
      <c r="AW720" s="197"/>
      <c r="AX720" s="197"/>
      <c r="AY720" s="197"/>
      <c r="AZ720" s="197"/>
    </row>
    <row r="721" spans="1:52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7"/>
      <c r="N721" s="197"/>
      <c r="O721" s="198"/>
      <c r="P721" s="198"/>
      <c r="Q721" s="198"/>
      <c r="R721" s="196"/>
      <c r="S721" s="196"/>
      <c r="T721" s="196"/>
      <c r="U721" s="196"/>
      <c r="V721" s="196"/>
      <c r="W721" s="196"/>
      <c r="X721" s="197"/>
      <c r="Y721" s="197"/>
      <c r="Z721" s="197"/>
      <c r="AA721" s="196"/>
      <c r="AB721" s="196"/>
      <c r="AC721" s="196"/>
      <c r="AD721" s="196"/>
      <c r="AE721" s="196"/>
      <c r="AF721" s="196"/>
      <c r="AG721" s="196"/>
      <c r="AH721" s="196"/>
      <c r="AI721" s="196"/>
      <c r="AJ721" s="196"/>
      <c r="AK721" s="196"/>
      <c r="AL721" s="196"/>
      <c r="AM721" s="196"/>
      <c r="AN721" s="196"/>
      <c r="AO721" s="196"/>
      <c r="AP721" s="196"/>
      <c r="AQ721" s="197"/>
      <c r="AR721" s="196"/>
      <c r="AS721" s="196"/>
      <c r="AT721" s="196"/>
      <c r="AU721" s="196"/>
      <c r="AV721" s="196"/>
      <c r="AW721" s="197"/>
      <c r="AX721" s="197"/>
      <c r="AY721" s="197"/>
      <c r="AZ721" s="197"/>
    </row>
    <row r="722" spans="1:52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7"/>
      <c r="N722" s="197"/>
      <c r="O722" s="198"/>
      <c r="P722" s="198"/>
      <c r="Q722" s="198"/>
      <c r="R722" s="196"/>
      <c r="S722" s="196"/>
      <c r="T722" s="196"/>
      <c r="U722" s="196"/>
      <c r="V722" s="196"/>
      <c r="W722" s="196"/>
      <c r="X722" s="197"/>
      <c r="Y722" s="197"/>
      <c r="Z722" s="197"/>
      <c r="AA722" s="196"/>
      <c r="AB722" s="196"/>
      <c r="AC722" s="196"/>
      <c r="AD722" s="196"/>
      <c r="AE722" s="196"/>
      <c r="AF722" s="196"/>
      <c r="AG722" s="196"/>
      <c r="AH722" s="196"/>
      <c r="AI722" s="196"/>
      <c r="AJ722" s="196"/>
      <c r="AK722" s="196"/>
      <c r="AL722" s="196"/>
      <c r="AM722" s="196"/>
      <c r="AN722" s="196"/>
      <c r="AO722" s="196"/>
      <c r="AP722" s="196"/>
      <c r="AQ722" s="197"/>
      <c r="AR722" s="196"/>
      <c r="AS722" s="196"/>
      <c r="AT722" s="196"/>
      <c r="AU722" s="196"/>
      <c r="AV722" s="196"/>
      <c r="AW722" s="197"/>
      <c r="AX722" s="197"/>
      <c r="AY722" s="197"/>
      <c r="AZ722" s="197"/>
    </row>
    <row r="723" spans="1:52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7"/>
      <c r="N723" s="197"/>
      <c r="O723" s="198"/>
      <c r="P723" s="198"/>
      <c r="Q723" s="198"/>
      <c r="R723" s="196"/>
      <c r="S723" s="196"/>
      <c r="T723" s="196"/>
      <c r="U723" s="196"/>
      <c r="V723" s="196"/>
      <c r="W723" s="196"/>
      <c r="X723" s="197"/>
      <c r="Y723" s="197"/>
      <c r="Z723" s="197"/>
      <c r="AA723" s="196"/>
      <c r="AB723" s="196"/>
      <c r="AC723" s="196"/>
      <c r="AD723" s="196"/>
      <c r="AE723" s="196"/>
      <c r="AF723" s="196"/>
      <c r="AG723" s="196"/>
      <c r="AH723" s="196"/>
      <c r="AI723" s="196"/>
      <c r="AJ723" s="196"/>
      <c r="AK723" s="196"/>
      <c r="AL723" s="196"/>
      <c r="AM723" s="196"/>
      <c r="AN723" s="196"/>
      <c r="AO723" s="196"/>
      <c r="AP723" s="196"/>
      <c r="AQ723" s="197"/>
      <c r="AR723" s="196"/>
      <c r="AS723" s="196"/>
      <c r="AT723" s="196"/>
      <c r="AU723" s="196"/>
      <c r="AV723" s="196"/>
      <c r="AW723" s="197"/>
      <c r="AX723" s="197"/>
      <c r="AY723" s="197"/>
      <c r="AZ723" s="197"/>
    </row>
    <row r="724" spans="1:52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7"/>
      <c r="N724" s="197"/>
      <c r="O724" s="198"/>
      <c r="P724" s="198"/>
      <c r="Q724" s="198"/>
      <c r="R724" s="196"/>
      <c r="S724" s="196"/>
      <c r="T724" s="196"/>
      <c r="U724" s="196"/>
      <c r="V724" s="196"/>
      <c r="W724" s="196"/>
      <c r="X724" s="197"/>
      <c r="Y724" s="197"/>
      <c r="Z724" s="197"/>
      <c r="AA724" s="196"/>
      <c r="AB724" s="196"/>
      <c r="AC724" s="196"/>
      <c r="AD724" s="196"/>
      <c r="AE724" s="196"/>
      <c r="AF724" s="196"/>
      <c r="AG724" s="196"/>
      <c r="AH724" s="196"/>
      <c r="AI724" s="196"/>
      <c r="AJ724" s="196"/>
      <c r="AK724" s="196"/>
      <c r="AL724" s="196"/>
      <c r="AM724" s="196"/>
      <c r="AN724" s="196"/>
      <c r="AO724" s="196"/>
      <c r="AP724" s="196"/>
      <c r="AQ724" s="197"/>
      <c r="AR724" s="196"/>
      <c r="AS724" s="196"/>
      <c r="AT724" s="196"/>
      <c r="AU724" s="196"/>
      <c r="AV724" s="196"/>
      <c r="AW724" s="197"/>
      <c r="AX724" s="197"/>
      <c r="AY724" s="197"/>
      <c r="AZ724" s="197"/>
    </row>
    <row r="725" spans="1:52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7"/>
      <c r="N725" s="197"/>
      <c r="O725" s="198"/>
      <c r="P725" s="198"/>
      <c r="Q725" s="198"/>
      <c r="R725" s="196"/>
      <c r="S725" s="196"/>
      <c r="T725" s="196"/>
      <c r="U725" s="196"/>
      <c r="V725" s="196"/>
      <c r="W725" s="196"/>
      <c r="X725" s="197"/>
      <c r="Y725" s="197"/>
      <c r="Z725" s="197"/>
      <c r="AA725" s="196"/>
      <c r="AB725" s="196"/>
      <c r="AC725" s="196"/>
      <c r="AD725" s="196"/>
      <c r="AE725" s="196"/>
      <c r="AF725" s="196"/>
      <c r="AG725" s="196"/>
      <c r="AH725" s="196"/>
      <c r="AI725" s="196"/>
      <c r="AJ725" s="196"/>
      <c r="AK725" s="196"/>
      <c r="AL725" s="196"/>
      <c r="AM725" s="196"/>
      <c r="AN725" s="196"/>
      <c r="AO725" s="196"/>
      <c r="AP725" s="196"/>
      <c r="AQ725" s="197"/>
      <c r="AR725" s="196"/>
      <c r="AS725" s="196"/>
      <c r="AT725" s="196"/>
      <c r="AU725" s="196"/>
      <c r="AV725" s="196"/>
      <c r="AW725" s="197"/>
      <c r="AX725" s="197"/>
      <c r="AY725" s="197"/>
      <c r="AZ725" s="197"/>
    </row>
    <row r="726" spans="1:52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7"/>
      <c r="N726" s="197"/>
      <c r="O726" s="198"/>
      <c r="P726" s="198"/>
      <c r="Q726" s="198"/>
      <c r="R726" s="196"/>
      <c r="S726" s="196"/>
      <c r="T726" s="196"/>
      <c r="U726" s="196"/>
      <c r="V726" s="196"/>
      <c r="W726" s="196"/>
      <c r="X726" s="197"/>
      <c r="Y726" s="197"/>
      <c r="Z726" s="197"/>
      <c r="AA726" s="196"/>
      <c r="AB726" s="196"/>
      <c r="AC726" s="196"/>
      <c r="AD726" s="196"/>
      <c r="AE726" s="196"/>
      <c r="AF726" s="196"/>
      <c r="AG726" s="196"/>
      <c r="AH726" s="196"/>
      <c r="AI726" s="196"/>
      <c r="AJ726" s="196"/>
      <c r="AK726" s="196"/>
      <c r="AL726" s="196"/>
      <c r="AM726" s="196"/>
      <c r="AN726" s="196"/>
      <c r="AO726" s="196"/>
      <c r="AP726" s="196"/>
      <c r="AQ726" s="197"/>
      <c r="AR726" s="196"/>
      <c r="AS726" s="196"/>
      <c r="AT726" s="196"/>
      <c r="AU726" s="196"/>
      <c r="AV726" s="196"/>
      <c r="AW726" s="197"/>
      <c r="AX726" s="197"/>
      <c r="AY726" s="197"/>
      <c r="AZ726" s="197"/>
    </row>
    <row r="727" spans="1:52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7"/>
      <c r="N727" s="197"/>
      <c r="O727" s="198"/>
      <c r="P727" s="198"/>
      <c r="Q727" s="198"/>
      <c r="R727" s="196"/>
      <c r="S727" s="196"/>
      <c r="T727" s="196"/>
      <c r="U727" s="196"/>
      <c r="V727" s="196"/>
      <c r="W727" s="196"/>
      <c r="X727" s="197"/>
      <c r="Y727" s="197"/>
      <c r="Z727" s="197"/>
      <c r="AA727" s="196"/>
      <c r="AB727" s="196"/>
      <c r="AC727" s="196"/>
      <c r="AD727" s="196"/>
      <c r="AE727" s="196"/>
      <c r="AF727" s="196"/>
      <c r="AG727" s="196"/>
      <c r="AH727" s="196"/>
      <c r="AI727" s="196"/>
      <c r="AJ727" s="196"/>
      <c r="AK727" s="196"/>
      <c r="AL727" s="196"/>
      <c r="AM727" s="196"/>
      <c r="AN727" s="196"/>
      <c r="AO727" s="196"/>
      <c r="AP727" s="196"/>
      <c r="AQ727" s="197"/>
      <c r="AR727" s="196"/>
      <c r="AS727" s="196"/>
      <c r="AT727" s="196"/>
      <c r="AU727" s="196"/>
      <c r="AV727" s="196"/>
      <c r="AW727" s="197"/>
      <c r="AX727" s="197"/>
      <c r="AY727" s="197"/>
      <c r="AZ727" s="197"/>
    </row>
    <row r="728" spans="1:52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7"/>
      <c r="N728" s="197"/>
      <c r="O728" s="198"/>
      <c r="P728" s="198"/>
      <c r="Q728" s="198"/>
      <c r="R728" s="196"/>
      <c r="S728" s="196"/>
      <c r="T728" s="196"/>
      <c r="U728" s="196"/>
      <c r="V728" s="196"/>
      <c r="W728" s="196"/>
      <c r="X728" s="197"/>
      <c r="Y728" s="197"/>
      <c r="Z728" s="197"/>
      <c r="AA728" s="196"/>
      <c r="AB728" s="196"/>
      <c r="AC728" s="196"/>
      <c r="AD728" s="196"/>
      <c r="AE728" s="196"/>
      <c r="AF728" s="196"/>
      <c r="AG728" s="196"/>
      <c r="AH728" s="196"/>
      <c r="AI728" s="196"/>
      <c r="AJ728" s="196"/>
      <c r="AK728" s="196"/>
      <c r="AL728" s="196"/>
      <c r="AM728" s="196"/>
      <c r="AN728" s="196"/>
      <c r="AO728" s="196"/>
      <c r="AP728" s="196"/>
      <c r="AQ728" s="197"/>
      <c r="AR728" s="196"/>
      <c r="AS728" s="196"/>
      <c r="AT728" s="196"/>
      <c r="AU728" s="196"/>
      <c r="AV728" s="196"/>
      <c r="AW728" s="197"/>
      <c r="AX728" s="197"/>
      <c r="AY728" s="197"/>
      <c r="AZ728" s="197"/>
    </row>
    <row r="729" spans="1:52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7"/>
      <c r="N729" s="197"/>
      <c r="O729" s="198"/>
      <c r="P729" s="198"/>
      <c r="Q729" s="198"/>
      <c r="R729" s="196"/>
      <c r="S729" s="196"/>
      <c r="T729" s="196"/>
      <c r="U729" s="196"/>
      <c r="V729" s="196"/>
      <c r="W729" s="196"/>
      <c r="X729" s="197"/>
      <c r="Y729" s="197"/>
      <c r="Z729" s="197"/>
      <c r="AA729" s="196"/>
      <c r="AB729" s="196"/>
      <c r="AC729" s="196"/>
      <c r="AD729" s="196"/>
      <c r="AE729" s="196"/>
      <c r="AF729" s="196"/>
      <c r="AG729" s="196"/>
      <c r="AH729" s="196"/>
      <c r="AI729" s="196"/>
      <c r="AJ729" s="196"/>
      <c r="AK729" s="196"/>
      <c r="AL729" s="196"/>
      <c r="AM729" s="196"/>
      <c r="AN729" s="196"/>
      <c r="AO729" s="196"/>
      <c r="AP729" s="196"/>
      <c r="AQ729" s="197"/>
      <c r="AR729" s="196"/>
      <c r="AS729" s="196"/>
      <c r="AT729" s="196"/>
      <c r="AU729" s="196"/>
      <c r="AV729" s="196"/>
      <c r="AW729" s="197"/>
      <c r="AX729" s="197"/>
      <c r="AY729" s="197"/>
      <c r="AZ729" s="197"/>
    </row>
    <row r="730" spans="1:52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7"/>
      <c r="N730" s="197"/>
      <c r="O730" s="198"/>
      <c r="P730" s="198"/>
      <c r="Q730" s="198"/>
      <c r="R730" s="196"/>
      <c r="S730" s="196"/>
      <c r="T730" s="196"/>
      <c r="U730" s="196"/>
      <c r="V730" s="196"/>
      <c r="W730" s="196"/>
      <c r="X730" s="197"/>
      <c r="Y730" s="197"/>
      <c r="Z730" s="197"/>
      <c r="AA730" s="196"/>
      <c r="AB730" s="196"/>
      <c r="AC730" s="196"/>
      <c r="AD730" s="196"/>
      <c r="AE730" s="196"/>
      <c r="AF730" s="196"/>
      <c r="AG730" s="196"/>
      <c r="AH730" s="196"/>
      <c r="AI730" s="196"/>
      <c r="AJ730" s="196"/>
      <c r="AK730" s="196"/>
      <c r="AL730" s="196"/>
      <c r="AM730" s="196"/>
      <c r="AN730" s="196"/>
      <c r="AO730" s="196"/>
      <c r="AP730" s="196"/>
      <c r="AQ730" s="197"/>
      <c r="AR730" s="196"/>
      <c r="AS730" s="196"/>
      <c r="AT730" s="196"/>
      <c r="AU730" s="196"/>
      <c r="AV730" s="196"/>
      <c r="AW730" s="197"/>
      <c r="AX730" s="197"/>
      <c r="AY730" s="197"/>
      <c r="AZ730" s="197"/>
    </row>
    <row r="731" spans="1:52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7"/>
      <c r="N731" s="197"/>
      <c r="O731" s="198"/>
      <c r="P731" s="198"/>
      <c r="Q731" s="198"/>
      <c r="R731" s="196"/>
      <c r="S731" s="196"/>
      <c r="T731" s="196"/>
      <c r="U731" s="196"/>
      <c r="V731" s="196"/>
      <c r="W731" s="196"/>
      <c r="X731" s="197"/>
      <c r="Y731" s="197"/>
      <c r="Z731" s="197"/>
      <c r="AA731" s="196"/>
      <c r="AB731" s="196"/>
      <c r="AC731" s="196"/>
      <c r="AD731" s="196"/>
      <c r="AE731" s="196"/>
      <c r="AF731" s="196"/>
      <c r="AG731" s="196"/>
      <c r="AH731" s="196"/>
      <c r="AI731" s="196"/>
      <c r="AJ731" s="196"/>
      <c r="AK731" s="196"/>
      <c r="AL731" s="196"/>
      <c r="AM731" s="196"/>
      <c r="AN731" s="196"/>
      <c r="AO731" s="196"/>
      <c r="AP731" s="196"/>
      <c r="AQ731" s="197"/>
      <c r="AR731" s="196"/>
      <c r="AS731" s="196"/>
      <c r="AT731" s="196"/>
      <c r="AU731" s="196"/>
      <c r="AV731" s="196"/>
      <c r="AW731" s="197"/>
      <c r="AX731" s="197"/>
      <c r="AY731" s="197"/>
      <c r="AZ731" s="197"/>
    </row>
    <row r="732" spans="1:52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7"/>
      <c r="N732" s="197"/>
      <c r="O732" s="198"/>
      <c r="P732" s="198"/>
      <c r="Q732" s="198"/>
      <c r="R732" s="196"/>
      <c r="S732" s="196"/>
      <c r="T732" s="196"/>
      <c r="U732" s="196"/>
      <c r="V732" s="196"/>
      <c r="W732" s="196"/>
      <c r="X732" s="197"/>
      <c r="Y732" s="197"/>
      <c r="Z732" s="197"/>
      <c r="AA732" s="196"/>
      <c r="AB732" s="196"/>
      <c r="AC732" s="196"/>
      <c r="AD732" s="196"/>
      <c r="AE732" s="196"/>
      <c r="AF732" s="196"/>
      <c r="AG732" s="196"/>
      <c r="AH732" s="196"/>
      <c r="AI732" s="196"/>
      <c r="AJ732" s="196"/>
      <c r="AK732" s="196"/>
      <c r="AL732" s="196"/>
      <c r="AM732" s="196"/>
      <c r="AN732" s="196"/>
      <c r="AO732" s="196"/>
      <c r="AP732" s="196"/>
      <c r="AQ732" s="197"/>
      <c r="AR732" s="196"/>
      <c r="AS732" s="196"/>
      <c r="AT732" s="196"/>
      <c r="AU732" s="196"/>
      <c r="AV732" s="196"/>
      <c r="AW732" s="197"/>
      <c r="AX732" s="197"/>
      <c r="AY732" s="197"/>
      <c r="AZ732" s="197"/>
    </row>
    <row r="733" spans="1:52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7"/>
      <c r="N733" s="197"/>
      <c r="O733" s="198"/>
      <c r="P733" s="198"/>
      <c r="Q733" s="198"/>
      <c r="R733" s="196"/>
      <c r="S733" s="196"/>
      <c r="T733" s="196"/>
      <c r="U733" s="196"/>
      <c r="V733" s="196"/>
      <c r="W733" s="196"/>
      <c r="X733" s="197"/>
      <c r="Y733" s="197"/>
      <c r="Z733" s="197"/>
      <c r="AA733" s="196"/>
      <c r="AB733" s="196"/>
      <c r="AC733" s="196"/>
      <c r="AD733" s="196"/>
      <c r="AE733" s="196"/>
      <c r="AF733" s="196"/>
      <c r="AG733" s="196"/>
      <c r="AH733" s="196"/>
      <c r="AI733" s="196"/>
      <c r="AJ733" s="196"/>
      <c r="AK733" s="196"/>
      <c r="AL733" s="196"/>
      <c r="AM733" s="196"/>
      <c r="AN733" s="196"/>
      <c r="AO733" s="196"/>
      <c r="AP733" s="196"/>
      <c r="AQ733" s="197"/>
      <c r="AR733" s="196"/>
      <c r="AS733" s="196"/>
      <c r="AT733" s="196"/>
      <c r="AU733" s="196"/>
      <c r="AV733" s="196"/>
      <c r="AW733" s="197"/>
      <c r="AX733" s="197"/>
      <c r="AY733" s="197"/>
      <c r="AZ733" s="197"/>
    </row>
    <row r="734" spans="1:52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7"/>
      <c r="N734" s="197"/>
      <c r="O734" s="198"/>
      <c r="P734" s="198"/>
      <c r="Q734" s="198"/>
      <c r="R734" s="196"/>
      <c r="S734" s="196"/>
      <c r="T734" s="196"/>
      <c r="U734" s="196"/>
      <c r="V734" s="196"/>
      <c r="W734" s="196"/>
      <c r="X734" s="197"/>
      <c r="Y734" s="197"/>
      <c r="Z734" s="197"/>
      <c r="AA734" s="196"/>
      <c r="AB734" s="196"/>
      <c r="AC734" s="196"/>
      <c r="AD734" s="196"/>
      <c r="AE734" s="196"/>
      <c r="AF734" s="196"/>
      <c r="AG734" s="196"/>
      <c r="AH734" s="196"/>
      <c r="AI734" s="196"/>
      <c r="AJ734" s="196"/>
      <c r="AK734" s="196"/>
      <c r="AL734" s="196"/>
      <c r="AM734" s="196"/>
      <c r="AN734" s="196"/>
      <c r="AO734" s="196"/>
      <c r="AP734" s="196"/>
      <c r="AQ734" s="197"/>
      <c r="AR734" s="196"/>
      <c r="AS734" s="196"/>
      <c r="AT734" s="196"/>
      <c r="AU734" s="196"/>
      <c r="AV734" s="196"/>
      <c r="AW734" s="197"/>
      <c r="AX734" s="197"/>
      <c r="AY734" s="197"/>
      <c r="AZ734" s="197"/>
    </row>
    <row r="735" spans="1:52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7"/>
      <c r="N735" s="197"/>
      <c r="O735" s="198"/>
      <c r="P735" s="198"/>
      <c r="Q735" s="198"/>
      <c r="R735" s="196"/>
      <c r="S735" s="196"/>
      <c r="T735" s="196"/>
      <c r="U735" s="196"/>
      <c r="V735" s="196"/>
      <c r="W735" s="196"/>
      <c r="X735" s="197"/>
      <c r="Y735" s="197"/>
      <c r="Z735" s="197"/>
      <c r="AA735" s="196"/>
      <c r="AB735" s="196"/>
      <c r="AC735" s="196"/>
      <c r="AD735" s="196"/>
      <c r="AE735" s="196"/>
      <c r="AF735" s="196"/>
      <c r="AG735" s="196"/>
      <c r="AH735" s="196"/>
      <c r="AI735" s="196"/>
      <c r="AJ735" s="196"/>
      <c r="AK735" s="196"/>
      <c r="AL735" s="196"/>
      <c r="AM735" s="196"/>
      <c r="AN735" s="196"/>
      <c r="AO735" s="196"/>
      <c r="AP735" s="196"/>
      <c r="AQ735" s="197"/>
      <c r="AR735" s="196"/>
      <c r="AS735" s="196"/>
      <c r="AT735" s="196"/>
      <c r="AU735" s="196"/>
      <c r="AV735" s="196"/>
      <c r="AW735" s="197"/>
      <c r="AX735" s="197"/>
      <c r="AY735" s="197"/>
      <c r="AZ735" s="197"/>
    </row>
    <row r="736" spans="1:52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7"/>
      <c r="N736" s="197"/>
      <c r="O736" s="198"/>
      <c r="P736" s="198"/>
      <c r="Q736" s="198"/>
      <c r="R736" s="196"/>
      <c r="S736" s="196"/>
      <c r="T736" s="196"/>
      <c r="U736" s="196"/>
      <c r="V736" s="196"/>
      <c r="W736" s="196"/>
      <c r="X736" s="197"/>
      <c r="Y736" s="197"/>
      <c r="Z736" s="197"/>
      <c r="AA736" s="196"/>
      <c r="AB736" s="196"/>
      <c r="AC736" s="196"/>
      <c r="AD736" s="196"/>
      <c r="AE736" s="196"/>
      <c r="AF736" s="196"/>
      <c r="AG736" s="196"/>
      <c r="AH736" s="196"/>
      <c r="AI736" s="196"/>
      <c r="AJ736" s="196"/>
      <c r="AK736" s="196"/>
      <c r="AL736" s="196"/>
      <c r="AM736" s="196"/>
      <c r="AN736" s="196"/>
      <c r="AO736" s="196"/>
      <c r="AP736" s="196"/>
      <c r="AQ736" s="197"/>
      <c r="AR736" s="196"/>
      <c r="AS736" s="196"/>
      <c r="AT736" s="196"/>
      <c r="AU736" s="196"/>
      <c r="AV736" s="196"/>
      <c r="AW736" s="197"/>
      <c r="AX736" s="197"/>
      <c r="AY736" s="197"/>
      <c r="AZ736" s="197"/>
    </row>
    <row r="737" spans="1:52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7"/>
      <c r="N737" s="197"/>
      <c r="O737" s="198"/>
      <c r="P737" s="198"/>
      <c r="Q737" s="198"/>
      <c r="R737" s="196"/>
      <c r="S737" s="196"/>
      <c r="T737" s="196"/>
      <c r="U737" s="196"/>
      <c r="V737" s="196"/>
      <c r="W737" s="196"/>
      <c r="X737" s="197"/>
      <c r="Y737" s="197"/>
      <c r="Z737" s="197"/>
      <c r="AA737" s="196"/>
      <c r="AB737" s="196"/>
      <c r="AC737" s="196"/>
      <c r="AD737" s="196"/>
      <c r="AE737" s="196"/>
      <c r="AF737" s="196"/>
      <c r="AG737" s="196"/>
      <c r="AH737" s="196"/>
      <c r="AI737" s="196"/>
      <c r="AJ737" s="196"/>
      <c r="AK737" s="196"/>
      <c r="AL737" s="196"/>
      <c r="AM737" s="196"/>
      <c r="AN737" s="196"/>
      <c r="AO737" s="196"/>
      <c r="AP737" s="196"/>
      <c r="AQ737" s="197"/>
      <c r="AR737" s="196"/>
      <c r="AS737" s="196"/>
      <c r="AT737" s="196"/>
      <c r="AU737" s="196"/>
      <c r="AV737" s="196"/>
      <c r="AW737" s="197"/>
      <c r="AX737" s="197"/>
      <c r="AY737" s="197"/>
      <c r="AZ737" s="197"/>
    </row>
    <row r="738" spans="1:52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7"/>
      <c r="N738" s="197"/>
      <c r="O738" s="198"/>
      <c r="P738" s="198"/>
      <c r="Q738" s="198"/>
      <c r="R738" s="196"/>
      <c r="S738" s="196"/>
      <c r="T738" s="196"/>
      <c r="U738" s="196"/>
      <c r="V738" s="196"/>
      <c r="W738" s="196"/>
      <c r="X738" s="197"/>
      <c r="Y738" s="197"/>
      <c r="Z738" s="197"/>
      <c r="AA738" s="196"/>
      <c r="AB738" s="196"/>
      <c r="AC738" s="196"/>
      <c r="AD738" s="196"/>
      <c r="AE738" s="196"/>
      <c r="AF738" s="196"/>
      <c r="AG738" s="196"/>
      <c r="AH738" s="196"/>
      <c r="AI738" s="196"/>
      <c r="AJ738" s="196"/>
      <c r="AK738" s="196"/>
      <c r="AL738" s="196"/>
      <c r="AM738" s="196"/>
      <c r="AN738" s="196"/>
      <c r="AO738" s="196"/>
      <c r="AP738" s="196"/>
      <c r="AQ738" s="197"/>
      <c r="AR738" s="196"/>
      <c r="AS738" s="196"/>
      <c r="AT738" s="196"/>
      <c r="AU738" s="196"/>
      <c r="AV738" s="196"/>
      <c r="AW738" s="197"/>
      <c r="AX738" s="197"/>
      <c r="AY738" s="197"/>
      <c r="AZ738" s="197"/>
    </row>
    <row r="739" spans="1:52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7"/>
      <c r="N739" s="197"/>
      <c r="O739" s="198"/>
      <c r="P739" s="198"/>
      <c r="Q739" s="198"/>
      <c r="R739" s="196"/>
      <c r="S739" s="196"/>
      <c r="T739" s="196"/>
      <c r="U739" s="196"/>
      <c r="V739" s="196"/>
      <c r="W739" s="196"/>
      <c r="X739" s="197"/>
      <c r="Y739" s="197"/>
      <c r="Z739" s="197"/>
      <c r="AA739" s="196"/>
      <c r="AB739" s="196"/>
      <c r="AC739" s="196"/>
      <c r="AD739" s="196"/>
      <c r="AE739" s="196"/>
      <c r="AF739" s="196"/>
      <c r="AG739" s="196"/>
      <c r="AH739" s="196"/>
      <c r="AI739" s="196"/>
      <c r="AJ739" s="196"/>
      <c r="AK739" s="196"/>
      <c r="AL739" s="196"/>
      <c r="AM739" s="196"/>
      <c r="AN739" s="196"/>
      <c r="AO739" s="196"/>
      <c r="AP739" s="196"/>
      <c r="AQ739" s="197"/>
      <c r="AR739" s="196"/>
      <c r="AS739" s="196"/>
      <c r="AT739" s="196"/>
      <c r="AU739" s="196"/>
      <c r="AV739" s="196"/>
      <c r="AW739" s="197"/>
      <c r="AX739" s="197"/>
      <c r="AY739" s="197"/>
      <c r="AZ739" s="197"/>
    </row>
    <row r="740" spans="1:52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7"/>
      <c r="N740" s="197"/>
      <c r="O740" s="198"/>
      <c r="P740" s="198"/>
      <c r="Q740" s="198"/>
      <c r="R740" s="196"/>
      <c r="S740" s="196"/>
      <c r="T740" s="196"/>
      <c r="U740" s="196"/>
      <c r="V740" s="196"/>
      <c r="W740" s="196"/>
      <c r="X740" s="197"/>
      <c r="Y740" s="197"/>
      <c r="Z740" s="197"/>
      <c r="AA740" s="196"/>
      <c r="AB740" s="196"/>
      <c r="AC740" s="196"/>
      <c r="AD740" s="196"/>
      <c r="AE740" s="196"/>
      <c r="AF740" s="196"/>
      <c r="AG740" s="196"/>
      <c r="AH740" s="196"/>
      <c r="AI740" s="196"/>
      <c r="AJ740" s="196"/>
      <c r="AK740" s="196"/>
      <c r="AL740" s="196"/>
      <c r="AM740" s="196"/>
      <c r="AN740" s="196"/>
      <c r="AO740" s="196"/>
      <c r="AP740" s="196"/>
      <c r="AQ740" s="197"/>
      <c r="AR740" s="196"/>
      <c r="AS740" s="196"/>
      <c r="AT740" s="196"/>
      <c r="AU740" s="196"/>
      <c r="AV740" s="196"/>
      <c r="AW740" s="197"/>
      <c r="AX740" s="197"/>
      <c r="AY740" s="197"/>
      <c r="AZ740" s="197"/>
    </row>
    <row r="741" spans="1:52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7"/>
      <c r="N741" s="197"/>
      <c r="O741" s="198"/>
      <c r="P741" s="198"/>
      <c r="Q741" s="198"/>
      <c r="R741" s="196"/>
      <c r="S741" s="196"/>
      <c r="T741" s="196"/>
      <c r="U741" s="196"/>
      <c r="V741" s="196"/>
      <c r="W741" s="196"/>
      <c r="X741" s="197"/>
      <c r="Y741" s="197"/>
      <c r="Z741" s="197"/>
      <c r="AA741" s="196"/>
      <c r="AB741" s="196"/>
      <c r="AC741" s="196"/>
      <c r="AD741" s="196"/>
      <c r="AE741" s="196"/>
      <c r="AF741" s="196"/>
      <c r="AG741" s="196"/>
      <c r="AH741" s="196"/>
      <c r="AI741" s="196"/>
      <c r="AJ741" s="196"/>
      <c r="AK741" s="196"/>
      <c r="AL741" s="196"/>
      <c r="AM741" s="196"/>
      <c r="AN741" s="196"/>
      <c r="AO741" s="196"/>
      <c r="AP741" s="196"/>
      <c r="AQ741" s="197"/>
      <c r="AR741" s="196"/>
      <c r="AS741" s="196"/>
      <c r="AT741" s="196"/>
      <c r="AU741" s="196"/>
      <c r="AV741" s="196"/>
      <c r="AW741" s="197"/>
      <c r="AX741" s="197"/>
      <c r="AY741" s="197"/>
      <c r="AZ741" s="197"/>
    </row>
    <row r="742" spans="1:52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7"/>
      <c r="N742" s="197"/>
      <c r="O742" s="198"/>
      <c r="P742" s="198"/>
      <c r="Q742" s="198"/>
      <c r="R742" s="196"/>
      <c r="S742" s="196"/>
      <c r="T742" s="196"/>
      <c r="U742" s="196"/>
      <c r="V742" s="196"/>
      <c r="W742" s="196"/>
      <c r="X742" s="197"/>
      <c r="Y742" s="197"/>
      <c r="Z742" s="197"/>
      <c r="AA742" s="196"/>
      <c r="AB742" s="196"/>
      <c r="AC742" s="196"/>
      <c r="AD742" s="196"/>
      <c r="AE742" s="196"/>
      <c r="AF742" s="196"/>
      <c r="AG742" s="196"/>
      <c r="AH742" s="196"/>
      <c r="AI742" s="196"/>
      <c r="AJ742" s="196"/>
      <c r="AK742" s="196"/>
      <c r="AL742" s="196"/>
      <c r="AM742" s="196"/>
      <c r="AN742" s="196"/>
      <c r="AO742" s="196"/>
      <c r="AP742" s="196"/>
      <c r="AQ742" s="197"/>
      <c r="AR742" s="196"/>
      <c r="AS742" s="196"/>
      <c r="AT742" s="196"/>
      <c r="AU742" s="196"/>
      <c r="AV742" s="196"/>
      <c r="AW742" s="197"/>
      <c r="AX742" s="197"/>
      <c r="AY742" s="197"/>
      <c r="AZ742" s="197"/>
    </row>
    <row r="743" spans="1:52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7"/>
      <c r="N743" s="197"/>
      <c r="O743" s="198"/>
      <c r="P743" s="198"/>
      <c r="Q743" s="198"/>
      <c r="R743" s="196"/>
      <c r="S743" s="196"/>
      <c r="T743" s="196"/>
      <c r="U743" s="196"/>
      <c r="V743" s="196"/>
      <c r="W743" s="196"/>
      <c r="X743" s="197"/>
      <c r="Y743" s="197"/>
      <c r="Z743" s="197"/>
      <c r="AA743" s="196"/>
      <c r="AB743" s="196"/>
      <c r="AC743" s="196"/>
      <c r="AD743" s="196"/>
      <c r="AE743" s="196"/>
      <c r="AF743" s="196"/>
      <c r="AG743" s="196"/>
      <c r="AH743" s="196"/>
      <c r="AI743" s="196"/>
      <c r="AJ743" s="196"/>
      <c r="AK743" s="196"/>
      <c r="AL743" s="196"/>
      <c r="AM743" s="196"/>
      <c r="AN743" s="196"/>
      <c r="AO743" s="196"/>
      <c r="AP743" s="196"/>
      <c r="AQ743" s="197"/>
      <c r="AR743" s="196"/>
      <c r="AS743" s="196"/>
      <c r="AT743" s="196"/>
      <c r="AU743" s="196"/>
      <c r="AV743" s="196"/>
      <c r="AW743" s="197"/>
      <c r="AX743" s="197"/>
      <c r="AY743" s="197"/>
      <c r="AZ743" s="197"/>
    </row>
    <row r="744" spans="1:52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7"/>
      <c r="N744" s="197"/>
      <c r="O744" s="198"/>
      <c r="P744" s="198"/>
      <c r="Q744" s="198"/>
      <c r="R744" s="196"/>
      <c r="S744" s="196"/>
      <c r="T744" s="196"/>
      <c r="U744" s="196"/>
      <c r="V744" s="196"/>
      <c r="W744" s="196"/>
      <c r="X744" s="197"/>
      <c r="Y744" s="197"/>
      <c r="Z744" s="197"/>
      <c r="AA744" s="196"/>
      <c r="AB744" s="196"/>
      <c r="AC744" s="196"/>
      <c r="AD744" s="196"/>
      <c r="AE744" s="196"/>
      <c r="AF744" s="196"/>
      <c r="AG744" s="196"/>
      <c r="AH744" s="196"/>
      <c r="AI744" s="196"/>
      <c r="AJ744" s="196"/>
      <c r="AK744" s="196"/>
      <c r="AL744" s="196"/>
      <c r="AM744" s="196"/>
      <c r="AN744" s="196"/>
      <c r="AO744" s="196"/>
      <c r="AP744" s="196"/>
      <c r="AQ744" s="197"/>
      <c r="AR744" s="196"/>
      <c r="AS744" s="196"/>
      <c r="AT744" s="196"/>
      <c r="AU744" s="196"/>
      <c r="AV744" s="196"/>
      <c r="AW744" s="197"/>
      <c r="AX744" s="197"/>
      <c r="AY744" s="197"/>
      <c r="AZ744" s="197"/>
    </row>
    <row r="745" spans="1:52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7"/>
      <c r="N745" s="197"/>
      <c r="O745" s="198"/>
      <c r="P745" s="198"/>
      <c r="Q745" s="198"/>
      <c r="R745" s="196"/>
      <c r="S745" s="196"/>
      <c r="T745" s="196"/>
      <c r="U745" s="196"/>
      <c r="V745" s="196"/>
      <c r="W745" s="196"/>
      <c r="X745" s="197"/>
      <c r="Y745" s="197"/>
      <c r="Z745" s="197"/>
      <c r="AA745" s="196"/>
      <c r="AB745" s="196"/>
      <c r="AC745" s="196"/>
      <c r="AD745" s="196"/>
      <c r="AE745" s="196"/>
      <c r="AF745" s="196"/>
      <c r="AG745" s="196"/>
      <c r="AH745" s="196"/>
      <c r="AI745" s="196"/>
      <c r="AJ745" s="196"/>
      <c r="AK745" s="196"/>
      <c r="AL745" s="196"/>
      <c r="AM745" s="196"/>
      <c r="AN745" s="196"/>
      <c r="AO745" s="196"/>
      <c r="AP745" s="196"/>
      <c r="AQ745" s="197"/>
      <c r="AR745" s="196"/>
      <c r="AS745" s="196"/>
      <c r="AT745" s="196"/>
      <c r="AU745" s="196"/>
      <c r="AV745" s="196"/>
      <c r="AW745" s="197"/>
      <c r="AX745" s="197"/>
      <c r="AY745" s="197"/>
      <c r="AZ745" s="197"/>
    </row>
    <row r="746" spans="1:52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7"/>
      <c r="N746" s="197"/>
      <c r="O746" s="198"/>
      <c r="P746" s="198"/>
      <c r="Q746" s="198"/>
      <c r="R746" s="196"/>
      <c r="S746" s="196"/>
      <c r="T746" s="196"/>
      <c r="U746" s="196"/>
      <c r="V746" s="196"/>
      <c r="W746" s="196"/>
      <c r="X746" s="197"/>
      <c r="Y746" s="197"/>
      <c r="Z746" s="197"/>
      <c r="AA746" s="196"/>
      <c r="AB746" s="196"/>
      <c r="AC746" s="196"/>
      <c r="AD746" s="196"/>
      <c r="AE746" s="196"/>
      <c r="AF746" s="196"/>
      <c r="AG746" s="196"/>
      <c r="AH746" s="196"/>
      <c r="AI746" s="196"/>
      <c r="AJ746" s="196"/>
      <c r="AK746" s="196"/>
      <c r="AL746" s="196"/>
      <c r="AM746" s="196"/>
      <c r="AN746" s="196"/>
      <c r="AO746" s="196"/>
      <c r="AP746" s="196"/>
      <c r="AQ746" s="197"/>
      <c r="AR746" s="196"/>
      <c r="AS746" s="196"/>
      <c r="AT746" s="196"/>
      <c r="AU746" s="196"/>
      <c r="AV746" s="196"/>
      <c r="AW746" s="197"/>
      <c r="AX746" s="197"/>
      <c r="AY746" s="197"/>
      <c r="AZ746" s="197"/>
    </row>
    <row r="747" spans="1:52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7"/>
      <c r="N747" s="197"/>
      <c r="O747" s="198"/>
      <c r="P747" s="198"/>
      <c r="Q747" s="198"/>
      <c r="R747" s="196"/>
      <c r="S747" s="196"/>
      <c r="T747" s="196"/>
      <c r="U747" s="196"/>
      <c r="V747" s="196"/>
      <c r="W747" s="196"/>
      <c r="X747" s="197"/>
      <c r="Y747" s="197"/>
      <c r="Z747" s="197"/>
      <c r="AA747" s="196"/>
      <c r="AB747" s="196"/>
      <c r="AC747" s="196"/>
      <c r="AD747" s="196"/>
      <c r="AE747" s="196"/>
      <c r="AF747" s="196"/>
      <c r="AG747" s="196"/>
      <c r="AH747" s="196"/>
      <c r="AI747" s="196"/>
      <c r="AJ747" s="196"/>
      <c r="AK747" s="196"/>
      <c r="AL747" s="196"/>
      <c r="AM747" s="196"/>
      <c r="AN747" s="196"/>
      <c r="AO747" s="196"/>
      <c r="AP747" s="196"/>
      <c r="AQ747" s="197"/>
      <c r="AR747" s="196"/>
      <c r="AS747" s="196"/>
      <c r="AT747" s="196"/>
      <c r="AU747" s="196"/>
      <c r="AV747" s="196"/>
      <c r="AW747" s="197"/>
      <c r="AX747" s="197"/>
      <c r="AY747" s="197"/>
      <c r="AZ747" s="197"/>
    </row>
    <row r="748" spans="1:52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7"/>
      <c r="N748" s="197"/>
      <c r="O748" s="198"/>
      <c r="P748" s="198"/>
      <c r="Q748" s="198"/>
      <c r="R748" s="196"/>
      <c r="S748" s="196"/>
      <c r="T748" s="196"/>
      <c r="U748" s="196"/>
      <c r="V748" s="196"/>
      <c r="W748" s="196"/>
      <c r="X748" s="197"/>
      <c r="Y748" s="197"/>
      <c r="Z748" s="197"/>
      <c r="AA748" s="196"/>
      <c r="AB748" s="196"/>
      <c r="AC748" s="196"/>
      <c r="AD748" s="196"/>
      <c r="AE748" s="196"/>
      <c r="AF748" s="196"/>
      <c r="AG748" s="196"/>
      <c r="AH748" s="196"/>
      <c r="AI748" s="196"/>
      <c r="AJ748" s="196"/>
      <c r="AK748" s="196"/>
      <c r="AL748" s="196"/>
      <c r="AM748" s="196"/>
      <c r="AN748" s="196"/>
      <c r="AO748" s="196"/>
      <c r="AP748" s="196"/>
      <c r="AQ748" s="197"/>
      <c r="AR748" s="196"/>
      <c r="AS748" s="196"/>
      <c r="AT748" s="196"/>
      <c r="AU748" s="196"/>
      <c r="AV748" s="196"/>
      <c r="AW748" s="197"/>
      <c r="AX748" s="197"/>
      <c r="AY748" s="197"/>
      <c r="AZ748" s="197"/>
    </row>
    <row r="749" spans="1:52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7"/>
      <c r="N749" s="197"/>
      <c r="O749" s="198"/>
      <c r="P749" s="198"/>
      <c r="Q749" s="198"/>
      <c r="R749" s="196"/>
      <c r="S749" s="196"/>
      <c r="T749" s="196"/>
      <c r="U749" s="196"/>
      <c r="V749" s="196"/>
      <c r="W749" s="196"/>
      <c r="X749" s="197"/>
      <c r="Y749" s="197"/>
      <c r="Z749" s="197"/>
      <c r="AA749" s="196"/>
      <c r="AB749" s="196"/>
      <c r="AC749" s="196"/>
      <c r="AD749" s="196"/>
      <c r="AE749" s="196"/>
      <c r="AF749" s="196"/>
      <c r="AG749" s="196"/>
      <c r="AH749" s="196"/>
      <c r="AI749" s="196"/>
      <c r="AJ749" s="196"/>
      <c r="AK749" s="196"/>
      <c r="AL749" s="196"/>
      <c r="AM749" s="196"/>
      <c r="AN749" s="196"/>
      <c r="AO749" s="196"/>
      <c r="AP749" s="196"/>
      <c r="AQ749" s="197"/>
      <c r="AR749" s="196"/>
      <c r="AS749" s="196"/>
      <c r="AT749" s="196"/>
      <c r="AU749" s="196"/>
      <c r="AV749" s="196"/>
      <c r="AW749" s="197"/>
      <c r="AX749" s="197"/>
      <c r="AY749" s="197"/>
      <c r="AZ749" s="197"/>
    </row>
    <row r="750" spans="1:52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7"/>
      <c r="N750" s="197"/>
      <c r="O750" s="198"/>
      <c r="P750" s="198"/>
      <c r="Q750" s="198"/>
      <c r="R750" s="196"/>
      <c r="S750" s="196"/>
      <c r="T750" s="196"/>
      <c r="U750" s="196"/>
      <c r="V750" s="196"/>
      <c r="W750" s="196"/>
      <c r="X750" s="197"/>
      <c r="Y750" s="197"/>
      <c r="Z750" s="197"/>
      <c r="AA750" s="196"/>
      <c r="AB750" s="196"/>
      <c r="AC750" s="196"/>
      <c r="AD750" s="196"/>
      <c r="AE750" s="196"/>
      <c r="AF750" s="196"/>
      <c r="AG750" s="196"/>
      <c r="AH750" s="196"/>
      <c r="AI750" s="196"/>
      <c r="AJ750" s="196"/>
      <c r="AK750" s="196"/>
      <c r="AL750" s="196"/>
      <c r="AM750" s="196"/>
      <c r="AN750" s="196"/>
      <c r="AO750" s="196"/>
      <c r="AP750" s="196"/>
      <c r="AQ750" s="197"/>
      <c r="AR750" s="196"/>
      <c r="AS750" s="196"/>
      <c r="AT750" s="196"/>
      <c r="AU750" s="196"/>
      <c r="AV750" s="196"/>
      <c r="AW750" s="197"/>
      <c r="AX750" s="197"/>
      <c r="AY750" s="197"/>
      <c r="AZ750" s="197"/>
    </row>
    <row r="751" spans="1:52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7"/>
      <c r="N751" s="197"/>
      <c r="O751" s="198"/>
      <c r="P751" s="198"/>
      <c r="Q751" s="198"/>
      <c r="R751" s="196"/>
      <c r="S751" s="196"/>
      <c r="T751" s="196"/>
      <c r="U751" s="196"/>
      <c r="V751" s="196"/>
      <c r="W751" s="196"/>
      <c r="X751" s="197"/>
      <c r="Y751" s="197"/>
      <c r="Z751" s="197"/>
      <c r="AA751" s="196"/>
      <c r="AB751" s="196"/>
      <c r="AC751" s="196"/>
      <c r="AD751" s="196"/>
      <c r="AE751" s="196"/>
      <c r="AF751" s="196"/>
      <c r="AG751" s="196"/>
      <c r="AH751" s="196"/>
      <c r="AI751" s="196"/>
      <c r="AJ751" s="196"/>
      <c r="AK751" s="196"/>
      <c r="AL751" s="196"/>
      <c r="AM751" s="196"/>
      <c r="AN751" s="196"/>
      <c r="AO751" s="196"/>
      <c r="AP751" s="196"/>
      <c r="AQ751" s="197"/>
      <c r="AR751" s="196"/>
      <c r="AS751" s="196"/>
      <c r="AT751" s="196"/>
      <c r="AU751" s="196"/>
      <c r="AV751" s="196"/>
      <c r="AW751" s="197"/>
      <c r="AX751" s="197"/>
      <c r="AY751" s="197"/>
      <c r="AZ751" s="197"/>
    </row>
    <row r="752" spans="1:52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7"/>
      <c r="N752" s="197"/>
      <c r="O752" s="198"/>
      <c r="P752" s="198"/>
      <c r="Q752" s="198"/>
      <c r="R752" s="196"/>
      <c r="S752" s="196"/>
      <c r="T752" s="196"/>
      <c r="U752" s="196"/>
      <c r="V752" s="196"/>
      <c r="W752" s="196"/>
      <c r="X752" s="197"/>
      <c r="Y752" s="197"/>
      <c r="Z752" s="197"/>
      <c r="AA752" s="196"/>
      <c r="AB752" s="196"/>
      <c r="AC752" s="196"/>
      <c r="AD752" s="196"/>
      <c r="AE752" s="196"/>
      <c r="AF752" s="196"/>
      <c r="AG752" s="196"/>
      <c r="AH752" s="196"/>
      <c r="AI752" s="196"/>
      <c r="AJ752" s="196"/>
      <c r="AK752" s="196"/>
      <c r="AL752" s="196"/>
      <c r="AM752" s="196"/>
      <c r="AN752" s="196"/>
      <c r="AO752" s="196"/>
      <c r="AP752" s="196"/>
      <c r="AQ752" s="197"/>
      <c r="AR752" s="196"/>
      <c r="AS752" s="196"/>
      <c r="AT752" s="196"/>
      <c r="AU752" s="196"/>
      <c r="AV752" s="196"/>
      <c r="AW752" s="197"/>
      <c r="AX752" s="197"/>
      <c r="AY752" s="197"/>
      <c r="AZ752" s="197"/>
    </row>
    <row r="753" spans="1:52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7"/>
      <c r="N753" s="197"/>
      <c r="O753" s="198"/>
      <c r="P753" s="198"/>
      <c r="Q753" s="198"/>
      <c r="R753" s="196"/>
      <c r="S753" s="196"/>
      <c r="T753" s="196"/>
      <c r="U753" s="196"/>
      <c r="V753" s="196"/>
      <c r="W753" s="196"/>
      <c r="X753" s="197"/>
      <c r="Y753" s="197"/>
      <c r="Z753" s="197"/>
      <c r="AA753" s="196"/>
      <c r="AB753" s="196"/>
      <c r="AC753" s="196"/>
      <c r="AD753" s="196"/>
      <c r="AE753" s="196"/>
      <c r="AF753" s="196"/>
      <c r="AG753" s="196"/>
      <c r="AH753" s="196"/>
      <c r="AI753" s="196"/>
      <c r="AJ753" s="196"/>
      <c r="AK753" s="196"/>
      <c r="AL753" s="196"/>
      <c r="AM753" s="196"/>
      <c r="AN753" s="196"/>
      <c r="AO753" s="196"/>
      <c r="AP753" s="196"/>
      <c r="AQ753" s="197"/>
      <c r="AR753" s="196"/>
      <c r="AS753" s="196"/>
      <c r="AT753" s="196"/>
      <c r="AU753" s="196"/>
      <c r="AV753" s="196"/>
      <c r="AW753" s="197"/>
      <c r="AX753" s="197"/>
      <c r="AY753" s="197"/>
      <c r="AZ753" s="197"/>
    </row>
    <row r="754" spans="1:52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7"/>
      <c r="N754" s="197"/>
      <c r="O754" s="198"/>
      <c r="P754" s="198"/>
      <c r="Q754" s="198"/>
      <c r="R754" s="196"/>
      <c r="S754" s="196"/>
      <c r="T754" s="196"/>
      <c r="U754" s="196"/>
      <c r="V754" s="196"/>
      <c r="W754" s="196"/>
      <c r="X754" s="197"/>
      <c r="Y754" s="197"/>
      <c r="Z754" s="197"/>
      <c r="AA754" s="196"/>
      <c r="AB754" s="196"/>
      <c r="AC754" s="196"/>
      <c r="AD754" s="196"/>
      <c r="AE754" s="196"/>
      <c r="AF754" s="196"/>
      <c r="AG754" s="196"/>
      <c r="AH754" s="196"/>
      <c r="AI754" s="196"/>
      <c r="AJ754" s="196"/>
      <c r="AK754" s="196"/>
      <c r="AL754" s="196"/>
      <c r="AM754" s="196"/>
      <c r="AN754" s="196"/>
      <c r="AO754" s="196"/>
      <c r="AP754" s="196"/>
      <c r="AQ754" s="197"/>
      <c r="AR754" s="196"/>
      <c r="AS754" s="196"/>
      <c r="AT754" s="196"/>
      <c r="AU754" s="196"/>
      <c r="AV754" s="196"/>
      <c r="AW754" s="197"/>
      <c r="AX754" s="197"/>
      <c r="AY754" s="197"/>
      <c r="AZ754" s="197"/>
    </row>
    <row r="755" spans="1:52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7"/>
      <c r="N755" s="197"/>
      <c r="O755" s="198"/>
      <c r="P755" s="198"/>
      <c r="Q755" s="198"/>
      <c r="R755" s="196"/>
      <c r="S755" s="196"/>
      <c r="T755" s="196"/>
      <c r="U755" s="196"/>
      <c r="V755" s="196"/>
      <c r="W755" s="196"/>
      <c r="X755" s="197"/>
      <c r="Y755" s="197"/>
      <c r="Z755" s="197"/>
      <c r="AA755" s="196"/>
      <c r="AB755" s="196"/>
      <c r="AC755" s="196"/>
      <c r="AD755" s="196"/>
      <c r="AE755" s="196"/>
      <c r="AF755" s="196"/>
      <c r="AG755" s="196"/>
      <c r="AH755" s="196"/>
      <c r="AI755" s="196"/>
      <c r="AJ755" s="196"/>
      <c r="AK755" s="196"/>
      <c r="AL755" s="196"/>
      <c r="AM755" s="196"/>
      <c r="AN755" s="196"/>
      <c r="AO755" s="196"/>
      <c r="AP755" s="196"/>
      <c r="AQ755" s="197"/>
      <c r="AR755" s="196"/>
      <c r="AS755" s="196"/>
      <c r="AT755" s="196"/>
      <c r="AU755" s="196"/>
      <c r="AV755" s="196"/>
      <c r="AW755" s="197"/>
      <c r="AX755" s="197"/>
      <c r="AY755" s="197"/>
      <c r="AZ755" s="197"/>
    </row>
    <row r="756" spans="1:52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7"/>
      <c r="N756" s="197"/>
      <c r="O756" s="198"/>
      <c r="P756" s="198"/>
      <c r="Q756" s="198"/>
      <c r="R756" s="196"/>
      <c r="S756" s="196"/>
      <c r="T756" s="196"/>
      <c r="U756" s="196"/>
      <c r="V756" s="196"/>
      <c r="W756" s="196"/>
      <c r="X756" s="197"/>
      <c r="Y756" s="197"/>
      <c r="Z756" s="197"/>
      <c r="AA756" s="196"/>
      <c r="AB756" s="196"/>
      <c r="AC756" s="196"/>
      <c r="AD756" s="196"/>
      <c r="AE756" s="196"/>
      <c r="AF756" s="196"/>
      <c r="AG756" s="196"/>
      <c r="AH756" s="196"/>
      <c r="AI756" s="196"/>
      <c r="AJ756" s="196"/>
      <c r="AK756" s="196"/>
      <c r="AL756" s="196"/>
      <c r="AM756" s="196"/>
      <c r="AN756" s="196"/>
      <c r="AO756" s="196"/>
      <c r="AP756" s="196"/>
      <c r="AQ756" s="197"/>
      <c r="AR756" s="196"/>
      <c r="AS756" s="196"/>
      <c r="AT756" s="196"/>
      <c r="AU756" s="196"/>
      <c r="AV756" s="196"/>
      <c r="AW756" s="197"/>
      <c r="AX756" s="197"/>
      <c r="AY756" s="197"/>
      <c r="AZ756" s="197"/>
    </row>
    <row r="757" spans="1:52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7"/>
      <c r="N757" s="197"/>
      <c r="O757" s="198"/>
      <c r="P757" s="198"/>
      <c r="Q757" s="198"/>
      <c r="R757" s="196"/>
      <c r="S757" s="196"/>
      <c r="T757" s="196"/>
      <c r="U757" s="196"/>
      <c r="V757" s="196"/>
      <c r="W757" s="196"/>
      <c r="X757" s="197"/>
      <c r="Y757" s="197"/>
      <c r="Z757" s="197"/>
      <c r="AA757" s="196"/>
      <c r="AB757" s="196"/>
      <c r="AC757" s="196"/>
      <c r="AD757" s="196"/>
      <c r="AE757" s="196"/>
      <c r="AF757" s="196"/>
      <c r="AG757" s="196"/>
      <c r="AH757" s="196"/>
      <c r="AI757" s="196"/>
      <c r="AJ757" s="196"/>
      <c r="AK757" s="196"/>
      <c r="AL757" s="196"/>
      <c r="AM757" s="196"/>
      <c r="AN757" s="196"/>
      <c r="AO757" s="196"/>
      <c r="AP757" s="196"/>
      <c r="AQ757" s="197"/>
      <c r="AR757" s="196"/>
      <c r="AS757" s="196"/>
      <c r="AT757" s="196"/>
      <c r="AU757" s="196"/>
      <c r="AV757" s="196"/>
      <c r="AW757" s="197"/>
      <c r="AX757" s="197"/>
      <c r="AY757" s="197"/>
      <c r="AZ757" s="197"/>
    </row>
    <row r="758" spans="1:52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7"/>
      <c r="N758" s="197"/>
      <c r="O758" s="198"/>
      <c r="P758" s="198"/>
      <c r="Q758" s="198"/>
      <c r="R758" s="196"/>
      <c r="S758" s="196"/>
      <c r="T758" s="196"/>
      <c r="U758" s="196"/>
      <c r="V758" s="196"/>
      <c r="W758" s="196"/>
      <c r="X758" s="197"/>
      <c r="Y758" s="197"/>
      <c r="Z758" s="197"/>
      <c r="AA758" s="196"/>
      <c r="AB758" s="196"/>
      <c r="AC758" s="196"/>
      <c r="AD758" s="196"/>
      <c r="AE758" s="196"/>
      <c r="AF758" s="196"/>
      <c r="AG758" s="196"/>
      <c r="AH758" s="196"/>
      <c r="AI758" s="196"/>
      <c r="AJ758" s="196"/>
      <c r="AK758" s="196"/>
      <c r="AL758" s="196"/>
      <c r="AM758" s="196"/>
      <c r="AN758" s="196"/>
      <c r="AO758" s="196"/>
      <c r="AP758" s="196"/>
      <c r="AQ758" s="197"/>
      <c r="AR758" s="196"/>
      <c r="AS758" s="196"/>
      <c r="AT758" s="196"/>
      <c r="AU758" s="196"/>
      <c r="AV758" s="196"/>
      <c r="AW758" s="197"/>
      <c r="AX758" s="197"/>
      <c r="AY758" s="197"/>
      <c r="AZ758" s="197"/>
    </row>
    <row r="759" spans="1:52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7"/>
      <c r="N759" s="197"/>
      <c r="O759" s="198"/>
      <c r="P759" s="198"/>
      <c r="Q759" s="198"/>
      <c r="R759" s="196"/>
      <c r="S759" s="196"/>
      <c r="T759" s="196"/>
      <c r="U759" s="196"/>
      <c r="V759" s="196"/>
      <c r="W759" s="196"/>
      <c r="X759" s="197"/>
      <c r="Y759" s="197"/>
      <c r="Z759" s="197"/>
      <c r="AA759" s="196"/>
      <c r="AB759" s="196"/>
      <c r="AC759" s="196"/>
      <c r="AD759" s="196"/>
      <c r="AE759" s="196"/>
      <c r="AF759" s="196"/>
      <c r="AG759" s="196"/>
      <c r="AH759" s="196"/>
      <c r="AI759" s="196"/>
      <c r="AJ759" s="196"/>
      <c r="AK759" s="196"/>
      <c r="AL759" s="196"/>
      <c r="AM759" s="196"/>
      <c r="AN759" s="196"/>
      <c r="AO759" s="196"/>
      <c r="AP759" s="196"/>
      <c r="AQ759" s="197"/>
      <c r="AR759" s="196"/>
      <c r="AS759" s="196"/>
      <c r="AT759" s="196"/>
      <c r="AU759" s="196"/>
      <c r="AV759" s="196"/>
      <c r="AW759" s="197"/>
      <c r="AX759" s="197"/>
      <c r="AY759" s="197"/>
      <c r="AZ759" s="197"/>
    </row>
    <row r="760" spans="1:52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7"/>
      <c r="N760" s="197"/>
      <c r="O760" s="198"/>
      <c r="P760" s="198"/>
      <c r="Q760" s="198"/>
      <c r="R760" s="196"/>
      <c r="S760" s="196"/>
      <c r="T760" s="196"/>
      <c r="U760" s="196"/>
      <c r="V760" s="196"/>
      <c r="W760" s="196"/>
      <c r="X760" s="197"/>
      <c r="Y760" s="197"/>
      <c r="Z760" s="197"/>
      <c r="AA760" s="196"/>
      <c r="AB760" s="196"/>
      <c r="AC760" s="196"/>
      <c r="AD760" s="196"/>
      <c r="AE760" s="196"/>
      <c r="AF760" s="196"/>
      <c r="AG760" s="196"/>
      <c r="AH760" s="196"/>
      <c r="AI760" s="196"/>
      <c r="AJ760" s="196"/>
      <c r="AK760" s="196"/>
      <c r="AL760" s="196"/>
      <c r="AM760" s="196"/>
      <c r="AN760" s="196"/>
      <c r="AO760" s="196"/>
      <c r="AP760" s="196"/>
      <c r="AQ760" s="197"/>
      <c r="AR760" s="196"/>
      <c r="AS760" s="196"/>
      <c r="AT760" s="196"/>
      <c r="AU760" s="196"/>
      <c r="AV760" s="196"/>
      <c r="AW760" s="197"/>
      <c r="AX760" s="197"/>
      <c r="AY760" s="197"/>
      <c r="AZ760" s="197"/>
    </row>
    <row r="761" spans="1:52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7"/>
      <c r="N761" s="197"/>
      <c r="O761" s="198"/>
      <c r="P761" s="198"/>
      <c r="Q761" s="198"/>
      <c r="R761" s="196"/>
      <c r="S761" s="196"/>
      <c r="T761" s="196"/>
      <c r="U761" s="196"/>
      <c r="V761" s="196"/>
      <c r="W761" s="196"/>
      <c r="X761" s="197"/>
      <c r="Y761" s="197"/>
      <c r="Z761" s="197"/>
      <c r="AA761" s="196"/>
      <c r="AB761" s="196"/>
      <c r="AC761" s="196"/>
      <c r="AD761" s="196"/>
      <c r="AE761" s="196"/>
      <c r="AF761" s="196"/>
      <c r="AG761" s="196"/>
      <c r="AH761" s="196"/>
      <c r="AI761" s="196"/>
      <c r="AJ761" s="196"/>
      <c r="AK761" s="196"/>
      <c r="AL761" s="196"/>
      <c r="AM761" s="196"/>
      <c r="AN761" s="196"/>
      <c r="AO761" s="196"/>
      <c r="AP761" s="196"/>
      <c r="AQ761" s="197"/>
      <c r="AR761" s="196"/>
      <c r="AS761" s="196"/>
      <c r="AT761" s="196"/>
      <c r="AU761" s="196"/>
      <c r="AV761" s="196"/>
      <c r="AW761" s="197"/>
      <c r="AX761" s="197"/>
      <c r="AY761" s="197"/>
      <c r="AZ761" s="197"/>
    </row>
    <row r="762" spans="1:52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7"/>
      <c r="N762" s="197"/>
      <c r="O762" s="198"/>
      <c r="P762" s="198"/>
      <c r="Q762" s="198"/>
      <c r="R762" s="196"/>
      <c r="S762" s="196"/>
      <c r="T762" s="196"/>
      <c r="U762" s="196"/>
      <c r="V762" s="196"/>
      <c r="W762" s="196"/>
      <c r="X762" s="197"/>
      <c r="Y762" s="197"/>
      <c r="Z762" s="197"/>
      <c r="AA762" s="196"/>
      <c r="AB762" s="196"/>
      <c r="AC762" s="196"/>
      <c r="AD762" s="196"/>
      <c r="AE762" s="196"/>
      <c r="AF762" s="196"/>
      <c r="AG762" s="196"/>
      <c r="AH762" s="196"/>
      <c r="AI762" s="196"/>
      <c r="AJ762" s="196"/>
      <c r="AK762" s="196"/>
      <c r="AL762" s="196"/>
      <c r="AM762" s="196"/>
      <c r="AN762" s="196"/>
      <c r="AO762" s="196"/>
      <c r="AP762" s="196"/>
      <c r="AQ762" s="197"/>
      <c r="AR762" s="196"/>
      <c r="AS762" s="196"/>
      <c r="AT762" s="196"/>
      <c r="AU762" s="196"/>
      <c r="AV762" s="196"/>
      <c r="AW762" s="197"/>
      <c r="AX762" s="197"/>
      <c r="AY762" s="197"/>
      <c r="AZ762" s="197"/>
    </row>
    <row r="763" spans="1:52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7"/>
      <c r="N763" s="197"/>
      <c r="O763" s="198"/>
      <c r="P763" s="198"/>
      <c r="Q763" s="198"/>
      <c r="R763" s="196"/>
      <c r="S763" s="196"/>
      <c r="T763" s="196"/>
      <c r="U763" s="196"/>
      <c r="V763" s="196"/>
      <c r="W763" s="196"/>
      <c r="X763" s="197"/>
      <c r="Y763" s="197"/>
      <c r="Z763" s="197"/>
      <c r="AA763" s="196"/>
      <c r="AB763" s="196"/>
      <c r="AC763" s="196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  <c r="AN763" s="196"/>
      <c r="AO763" s="196"/>
      <c r="AP763" s="196"/>
      <c r="AQ763" s="197"/>
      <c r="AR763" s="196"/>
      <c r="AS763" s="196"/>
      <c r="AT763" s="196"/>
      <c r="AU763" s="196"/>
      <c r="AV763" s="196"/>
      <c r="AW763" s="197"/>
      <c r="AX763" s="197"/>
      <c r="AY763" s="197"/>
      <c r="AZ763" s="197"/>
    </row>
    <row r="764" spans="1:52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7"/>
      <c r="N764" s="197"/>
      <c r="O764" s="198"/>
      <c r="P764" s="198"/>
      <c r="Q764" s="198"/>
      <c r="R764" s="196"/>
      <c r="S764" s="196"/>
      <c r="T764" s="196"/>
      <c r="U764" s="196"/>
      <c r="V764" s="196"/>
      <c r="W764" s="196"/>
      <c r="X764" s="197"/>
      <c r="Y764" s="197"/>
      <c r="Z764" s="197"/>
      <c r="AA764" s="196"/>
      <c r="AB764" s="196"/>
      <c r="AC764" s="196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  <c r="AN764" s="196"/>
      <c r="AO764" s="196"/>
      <c r="AP764" s="196"/>
      <c r="AQ764" s="197"/>
      <c r="AR764" s="196"/>
      <c r="AS764" s="196"/>
      <c r="AT764" s="196"/>
      <c r="AU764" s="196"/>
      <c r="AV764" s="196"/>
      <c r="AW764" s="197"/>
      <c r="AX764" s="197"/>
      <c r="AY764" s="197"/>
      <c r="AZ764" s="197"/>
    </row>
    <row r="765" spans="1:52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7"/>
      <c r="N765" s="197"/>
      <c r="O765" s="198"/>
      <c r="P765" s="198"/>
      <c r="Q765" s="198"/>
      <c r="R765" s="196"/>
      <c r="S765" s="196"/>
      <c r="T765" s="196"/>
      <c r="U765" s="196"/>
      <c r="V765" s="196"/>
      <c r="W765" s="196"/>
      <c r="X765" s="197"/>
      <c r="Y765" s="197"/>
      <c r="Z765" s="197"/>
      <c r="AA765" s="196"/>
      <c r="AB765" s="196"/>
      <c r="AC765" s="196"/>
      <c r="AD765" s="196"/>
      <c r="AE765" s="196"/>
      <c r="AF765" s="196"/>
      <c r="AG765" s="196"/>
      <c r="AH765" s="196"/>
      <c r="AI765" s="196"/>
      <c r="AJ765" s="196"/>
      <c r="AK765" s="196"/>
      <c r="AL765" s="196"/>
      <c r="AM765" s="196"/>
      <c r="AN765" s="196"/>
      <c r="AO765" s="196"/>
      <c r="AP765" s="196"/>
      <c r="AQ765" s="197"/>
      <c r="AR765" s="196"/>
      <c r="AS765" s="196"/>
      <c r="AT765" s="196"/>
      <c r="AU765" s="196"/>
      <c r="AV765" s="196"/>
      <c r="AW765" s="197"/>
      <c r="AX765" s="197"/>
      <c r="AY765" s="197"/>
      <c r="AZ765" s="197"/>
    </row>
    <row r="766" spans="1:52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7"/>
      <c r="N766" s="197"/>
      <c r="O766" s="198"/>
      <c r="P766" s="198"/>
      <c r="Q766" s="198"/>
      <c r="R766" s="196"/>
      <c r="S766" s="196"/>
      <c r="T766" s="196"/>
      <c r="U766" s="196"/>
      <c r="V766" s="196"/>
      <c r="W766" s="196"/>
      <c r="X766" s="197"/>
      <c r="Y766" s="197"/>
      <c r="Z766" s="197"/>
      <c r="AA766" s="196"/>
      <c r="AB766" s="196"/>
      <c r="AC766" s="196"/>
      <c r="AD766" s="196"/>
      <c r="AE766" s="196"/>
      <c r="AF766" s="196"/>
      <c r="AG766" s="196"/>
      <c r="AH766" s="196"/>
      <c r="AI766" s="196"/>
      <c r="AJ766" s="196"/>
      <c r="AK766" s="196"/>
      <c r="AL766" s="196"/>
      <c r="AM766" s="196"/>
      <c r="AN766" s="196"/>
      <c r="AO766" s="196"/>
      <c r="AP766" s="196"/>
      <c r="AQ766" s="197"/>
      <c r="AR766" s="196"/>
      <c r="AS766" s="196"/>
      <c r="AT766" s="196"/>
      <c r="AU766" s="196"/>
      <c r="AV766" s="196"/>
      <c r="AW766" s="197"/>
      <c r="AX766" s="197"/>
      <c r="AY766" s="197"/>
      <c r="AZ766" s="197"/>
    </row>
    <row r="767" spans="1:52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7"/>
      <c r="N767" s="197"/>
      <c r="O767" s="198"/>
      <c r="P767" s="198"/>
      <c r="Q767" s="198"/>
      <c r="R767" s="196"/>
      <c r="S767" s="196"/>
      <c r="T767" s="196"/>
      <c r="U767" s="196"/>
      <c r="V767" s="196"/>
      <c r="W767" s="196"/>
      <c r="X767" s="197"/>
      <c r="Y767" s="197"/>
      <c r="Z767" s="197"/>
      <c r="AA767" s="196"/>
      <c r="AB767" s="196"/>
      <c r="AC767" s="196"/>
      <c r="AD767" s="196"/>
      <c r="AE767" s="196"/>
      <c r="AF767" s="196"/>
      <c r="AG767" s="196"/>
      <c r="AH767" s="196"/>
      <c r="AI767" s="196"/>
      <c r="AJ767" s="196"/>
      <c r="AK767" s="196"/>
      <c r="AL767" s="196"/>
      <c r="AM767" s="196"/>
      <c r="AN767" s="196"/>
      <c r="AO767" s="196"/>
      <c r="AP767" s="196"/>
      <c r="AQ767" s="197"/>
      <c r="AR767" s="196"/>
      <c r="AS767" s="196"/>
      <c r="AT767" s="196"/>
      <c r="AU767" s="196"/>
      <c r="AV767" s="196"/>
      <c r="AW767" s="197"/>
      <c r="AX767" s="197"/>
      <c r="AY767" s="197"/>
      <c r="AZ767" s="197"/>
    </row>
    <row r="768" spans="1:52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7"/>
      <c r="N768" s="197"/>
      <c r="O768" s="198"/>
      <c r="P768" s="198"/>
      <c r="Q768" s="198"/>
      <c r="R768" s="196"/>
      <c r="S768" s="196"/>
      <c r="T768" s="196"/>
      <c r="U768" s="196"/>
      <c r="V768" s="196"/>
      <c r="W768" s="196"/>
      <c r="X768" s="197"/>
      <c r="Y768" s="197"/>
      <c r="Z768" s="197"/>
      <c r="AA768" s="196"/>
      <c r="AB768" s="196"/>
      <c r="AC768" s="196"/>
      <c r="AD768" s="196"/>
      <c r="AE768" s="196"/>
      <c r="AF768" s="196"/>
      <c r="AG768" s="196"/>
      <c r="AH768" s="196"/>
      <c r="AI768" s="196"/>
      <c r="AJ768" s="196"/>
      <c r="AK768" s="196"/>
      <c r="AL768" s="196"/>
      <c r="AM768" s="196"/>
      <c r="AN768" s="196"/>
      <c r="AO768" s="196"/>
      <c r="AP768" s="196"/>
      <c r="AQ768" s="197"/>
      <c r="AR768" s="196"/>
      <c r="AS768" s="196"/>
      <c r="AT768" s="196"/>
      <c r="AU768" s="196"/>
      <c r="AV768" s="196"/>
      <c r="AW768" s="197"/>
      <c r="AX768" s="197"/>
      <c r="AY768" s="197"/>
      <c r="AZ768" s="197"/>
    </row>
    <row r="769" spans="1:52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7"/>
      <c r="N769" s="197"/>
      <c r="O769" s="198"/>
      <c r="P769" s="198"/>
      <c r="Q769" s="198"/>
      <c r="R769" s="196"/>
      <c r="S769" s="196"/>
      <c r="T769" s="196"/>
      <c r="U769" s="196"/>
      <c r="V769" s="196"/>
      <c r="W769" s="196"/>
      <c r="X769" s="197"/>
      <c r="Y769" s="197"/>
      <c r="Z769" s="197"/>
      <c r="AA769" s="196"/>
      <c r="AB769" s="196"/>
      <c r="AC769" s="196"/>
      <c r="AD769" s="196"/>
      <c r="AE769" s="196"/>
      <c r="AF769" s="196"/>
      <c r="AG769" s="196"/>
      <c r="AH769" s="196"/>
      <c r="AI769" s="196"/>
      <c r="AJ769" s="196"/>
      <c r="AK769" s="196"/>
      <c r="AL769" s="196"/>
      <c r="AM769" s="196"/>
      <c r="AN769" s="196"/>
      <c r="AO769" s="196"/>
      <c r="AP769" s="196"/>
      <c r="AQ769" s="197"/>
      <c r="AR769" s="196"/>
      <c r="AS769" s="196"/>
      <c r="AT769" s="196"/>
      <c r="AU769" s="196"/>
      <c r="AV769" s="196"/>
      <c r="AW769" s="197"/>
      <c r="AX769" s="197"/>
      <c r="AY769" s="197"/>
      <c r="AZ769" s="197"/>
    </row>
    <row r="770" spans="1:52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7"/>
      <c r="N770" s="197"/>
      <c r="O770" s="198"/>
      <c r="P770" s="198"/>
      <c r="Q770" s="198"/>
      <c r="R770" s="196"/>
      <c r="S770" s="196"/>
      <c r="T770" s="196"/>
      <c r="U770" s="196"/>
      <c r="V770" s="196"/>
      <c r="W770" s="196"/>
      <c r="X770" s="197"/>
      <c r="Y770" s="197"/>
      <c r="Z770" s="197"/>
      <c r="AA770" s="196"/>
      <c r="AB770" s="196"/>
      <c r="AC770" s="196"/>
      <c r="AD770" s="196"/>
      <c r="AE770" s="196"/>
      <c r="AF770" s="196"/>
      <c r="AG770" s="196"/>
      <c r="AH770" s="196"/>
      <c r="AI770" s="196"/>
      <c r="AJ770" s="196"/>
      <c r="AK770" s="196"/>
      <c r="AL770" s="196"/>
      <c r="AM770" s="196"/>
      <c r="AN770" s="196"/>
      <c r="AO770" s="196"/>
      <c r="AP770" s="196"/>
      <c r="AQ770" s="197"/>
      <c r="AR770" s="196"/>
      <c r="AS770" s="196"/>
      <c r="AT770" s="196"/>
      <c r="AU770" s="196"/>
      <c r="AV770" s="196"/>
      <c r="AW770" s="197"/>
      <c r="AX770" s="197"/>
      <c r="AY770" s="197"/>
      <c r="AZ770" s="197"/>
    </row>
    <row r="771" spans="1:52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7"/>
      <c r="N771" s="197"/>
      <c r="O771" s="198"/>
      <c r="P771" s="198"/>
      <c r="Q771" s="198"/>
      <c r="R771" s="196"/>
      <c r="S771" s="196"/>
      <c r="T771" s="196"/>
      <c r="U771" s="196"/>
      <c r="V771" s="196"/>
      <c r="W771" s="196"/>
      <c r="X771" s="197"/>
      <c r="Y771" s="197"/>
      <c r="Z771" s="197"/>
      <c r="AA771" s="196"/>
      <c r="AB771" s="196"/>
      <c r="AC771" s="196"/>
      <c r="AD771" s="196"/>
      <c r="AE771" s="196"/>
      <c r="AF771" s="196"/>
      <c r="AG771" s="196"/>
      <c r="AH771" s="196"/>
      <c r="AI771" s="196"/>
      <c r="AJ771" s="196"/>
      <c r="AK771" s="196"/>
      <c r="AL771" s="196"/>
      <c r="AM771" s="196"/>
      <c r="AN771" s="196"/>
      <c r="AO771" s="196"/>
      <c r="AP771" s="196"/>
      <c r="AQ771" s="197"/>
      <c r="AR771" s="196"/>
      <c r="AS771" s="196"/>
      <c r="AT771" s="196"/>
      <c r="AU771" s="196"/>
      <c r="AV771" s="196"/>
      <c r="AW771" s="197"/>
      <c r="AX771" s="197"/>
      <c r="AY771" s="197"/>
      <c r="AZ771" s="197"/>
    </row>
    <row r="772" spans="1:52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7"/>
      <c r="N772" s="197"/>
      <c r="O772" s="198"/>
      <c r="P772" s="198"/>
      <c r="Q772" s="198"/>
      <c r="R772" s="196"/>
      <c r="S772" s="196"/>
      <c r="T772" s="196"/>
      <c r="U772" s="196"/>
      <c r="V772" s="196"/>
      <c r="W772" s="196"/>
      <c r="X772" s="197"/>
      <c r="Y772" s="197"/>
      <c r="Z772" s="197"/>
      <c r="AA772" s="196"/>
      <c r="AB772" s="196"/>
      <c r="AC772" s="196"/>
      <c r="AD772" s="196"/>
      <c r="AE772" s="196"/>
      <c r="AF772" s="196"/>
      <c r="AG772" s="196"/>
      <c r="AH772" s="196"/>
      <c r="AI772" s="196"/>
      <c r="AJ772" s="196"/>
      <c r="AK772" s="196"/>
      <c r="AL772" s="196"/>
      <c r="AM772" s="196"/>
      <c r="AN772" s="196"/>
      <c r="AO772" s="196"/>
      <c r="AP772" s="196"/>
      <c r="AQ772" s="197"/>
      <c r="AR772" s="196"/>
      <c r="AS772" s="196"/>
      <c r="AT772" s="196"/>
      <c r="AU772" s="196"/>
      <c r="AV772" s="196"/>
      <c r="AW772" s="197"/>
      <c r="AX772" s="197"/>
      <c r="AY772" s="197"/>
      <c r="AZ772" s="197"/>
    </row>
    <row r="773" spans="1:52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7"/>
      <c r="N773" s="197"/>
      <c r="O773" s="198"/>
      <c r="P773" s="198"/>
      <c r="Q773" s="198"/>
      <c r="R773" s="196"/>
      <c r="S773" s="196"/>
      <c r="T773" s="196"/>
      <c r="U773" s="196"/>
      <c r="V773" s="196"/>
      <c r="W773" s="196"/>
      <c r="X773" s="197"/>
      <c r="Y773" s="197"/>
      <c r="Z773" s="197"/>
      <c r="AA773" s="196"/>
      <c r="AB773" s="196"/>
      <c r="AC773" s="196"/>
      <c r="AD773" s="196"/>
      <c r="AE773" s="196"/>
      <c r="AF773" s="196"/>
      <c r="AG773" s="196"/>
      <c r="AH773" s="196"/>
      <c r="AI773" s="196"/>
      <c r="AJ773" s="196"/>
      <c r="AK773" s="196"/>
      <c r="AL773" s="196"/>
      <c r="AM773" s="196"/>
      <c r="AN773" s="196"/>
      <c r="AO773" s="196"/>
      <c r="AP773" s="196"/>
      <c r="AQ773" s="197"/>
      <c r="AR773" s="196"/>
      <c r="AS773" s="196"/>
      <c r="AT773" s="196"/>
      <c r="AU773" s="196"/>
      <c r="AV773" s="196"/>
      <c r="AW773" s="197"/>
      <c r="AX773" s="197"/>
      <c r="AY773" s="197"/>
      <c r="AZ773" s="197"/>
    </row>
    <row r="774" spans="1:52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7"/>
      <c r="N774" s="197"/>
      <c r="O774" s="198"/>
      <c r="P774" s="198"/>
      <c r="Q774" s="198"/>
      <c r="R774" s="196"/>
      <c r="S774" s="196"/>
      <c r="T774" s="196"/>
      <c r="U774" s="196"/>
      <c r="V774" s="196"/>
      <c r="W774" s="196"/>
      <c r="X774" s="197"/>
      <c r="Y774" s="197"/>
      <c r="Z774" s="197"/>
      <c r="AA774" s="196"/>
      <c r="AB774" s="196"/>
      <c r="AC774" s="196"/>
      <c r="AD774" s="196"/>
      <c r="AE774" s="196"/>
      <c r="AF774" s="196"/>
      <c r="AG774" s="196"/>
      <c r="AH774" s="196"/>
      <c r="AI774" s="196"/>
      <c r="AJ774" s="196"/>
      <c r="AK774" s="196"/>
      <c r="AL774" s="196"/>
      <c r="AM774" s="196"/>
      <c r="AN774" s="196"/>
      <c r="AO774" s="196"/>
      <c r="AP774" s="196"/>
      <c r="AQ774" s="197"/>
      <c r="AR774" s="196"/>
      <c r="AS774" s="196"/>
      <c r="AT774" s="196"/>
      <c r="AU774" s="196"/>
      <c r="AV774" s="196"/>
      <c r="AW774" s="197"/>
      <c r="AX774" s="197"/>
      <c r="AY774" s="197"/>
      <c r="AZ774" s="197"/>
    </row>
    <row r="775" spans="1:52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7"/>
      <c r="N775" s="197"/>
      <c r="O775" s="198"/>
      <c r="P775" s="198"/>
      <c r="Q775" s="198"/>
      <c r="R775" s="196"/>
      <c r="S775" s="196"/>
      <c r="T775" s="196"/>
      <c r="U775" s="196"/>
      <c r="V775" s="196"/>
      <c r="W775" s="196"/>
      <c r="X775" s="197"/>
      <c r="Y775" s="197"/>
      <c r="Z775" s="197"/>
      <c r="AA775" s="196"/>
      <c r="AB775" s="196"/>
      <c r="AC775" s="196"/>
      <c r="AD775" s="196"/>
      <c r="AE775" s="196"/>
      <c r="AF775" s="196"/>
      <c r="AG775" s="196"/>
      <c r="AH775" s="196"/>
      <c r="AI775" s="196"/>
      <c r="AJ775" s="196"/>
      <c r="AK775" s="196"/>
      <c r="AL775" s="196"/>
      <c r="AM775" s="196"/>
      <c r="AN775" s="196"/>
      <c r="AO775" s="196"/>
      <c r="AP775" s="196"/>
      <c r="AQ775" s="197"/>
      <c r="AR775" s="196"/>
      <c r="AS775" s="196"/>
      <c r="AT775" s="196"/>
      <c r="AU775" s="196"/>
      <c r="AV775" s="196"/>
      <c r="AW775" s="197"/>
      <c r="AX775" s="197"/>
      <c r="AY775" s="197"/>
      <c r="AZ775" s="197"/>
    </row>
    <row r="776" spans="1:52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7"/>
      <c r="N776" s="197"/>
      <c r="O776" s="198"/>
      <c r="P776" s="198"/>
      <c r="Q776" s="198"/>
      <c r="R776" s="196"/>
      <c r="S776" s="196"/>
      <c r="T776" s="196"/>
      <c r="U776" s="196"/>
      <c r="V776" s="196"/>
      <c r="W776" s="196"/>
      <c r="X776" s="197"/>
      <c r="Y776" s="197"/>
      <c r="Z776" s="197"/>
      <c r="AA776" s="196"/>
      <c r="AB776" s="196"/>
      <c r="AC776" s="196"/>
      <c r="AD776" s="196"/>
      <c r="AE776" s="196"/>
      <c r="AF776" s="196"/>
      <c r="AG776" s="196"/>
      <c r="AH776" s="196"/>
      <c r="AI776" s="196"/>
      <c r="AJ776" s="196"/>
      <c r="AK776" s="196"/>
      <c r="AL776" s="196"/>
      <c r="AM776" s="196"/>
      <c r="AN776" s="196"/>
      <c r="AO776" s="196"/>
      <c r="AP776" s="196"/>
      <c r="AQ776" s="197"/>
      <c r="AR776" s="196"/>
      <c r="AS776" s="196"/>
      <c r="AT776" s="196"/>
      <c r="AU776" s="196"/>
      <c r="AV776" s="196"/>
      <c r="AW776" s="197"/>
      <c r="AX776" s="197"/>
      <c r="AY776" s="197"/>
      <c r="AZ776" s="197"/>
    </row>
    <row r="777" spans="1:52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7"/>
      <c r="N777" s="197"/>
      <c r="O777" s="198"/>
      <c r="P777" s="198"/>
      <c r="Q777" s="198"/>
      <c r="R777" s="196"/>
      <c r="S777" s="196"/>
      <c r="T777" s="196"/>
      <c r="U777" s="196"/>
      <c r="V777" s="196"/>
      <c r="W777" s="196"/>
      <c r="X777" s="197"/>
      <c r="Y777" s="197"/>
      <c r="Z777" s="197"/>
      <c r="AA777" s="196"/>
      <c r="AB777" s="196"/>
      <c r="AC777" s="196"/>
      <c r="AD777" s="196"/>
      <c r="AE777" s="196"/>
      <c r="AF777" s="196"/>
      <c r="AG777" s="196"/>
      <c r="AH777" s="196"/>
      <c r="AI777" s="196"/>
      <c r="AJ777" s="196"/>
      <c r="AK777" s="196"/>
      <c r="AL777" s="196"/>
      <c r="AM777" s="196"/>
      <c r="AN777" s="196"/>
      <c r="AO777" s="196"/>
      <c r="AP777" s="196"/>
      <c r="AQ777" s="197"/>
      <c r="AR777" s="196"/>
      <c r="AS777" s="196"/>
      <c r="AT777" s="196"/>
      <c r="AU777" s="196"/>
      <c r="AV777" s="196"/>
      <c r="AW777" s="197"/>
      <c r="AX777" s="197"/>
      <c r="AY777" s="197"/>
      <c r="AZ777" s="197"/>
    </row>
    <row r="778" spans="1:52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7"/>
      <c r="N778" s="197"/>
      <c r="O778" s="198"/>
      <c r="P778" s="198"/>
      <c r="Q778" s="198"/>
      <c r="R778" s="196"/>
      <c r="S778" s="196"/>
      <c r="T778" s="196"/>
      <c r="U778" s="196"/>
      <c r="V778" s="196"/>
      <c r="W778" s="196"/>
      <c r="X778" s="197"/>
      <c r="Y778" s="197"/>
      <c r="Z778" s="197"/>
      <c r="AA778" s="196"/>
      <c r="AB778" s="196"/>
      <c r="AC778" s="196"/>
      <c r="AD778" s="196"/>
      <c r="AE778" s="196"/>
      <c r="AF778" s="196"/>
      <c r="AG778" s="196"/>
      <c r="AH778" s="196"/>
      <c r="AI778" s="196"/>
      <c r="AJ778" s="196"/>
      <c r="AK778" s="196"/>
      <c r="AL778" s="196"/>
      <c r="AM778" s="196"/>
      <c r="AN778" s="196"/>
      <c r="AO778" s="196"/>
      <c r="AP778" s="196"/>
      <c r="AQ778" s="197"/>
      <c r="AR778" s="196"/>
      <c r="AS778" s="196"/>
      <c r="AT778" s="196"/>
      <c r="AU778" s="196"/>
      <c r="AV778" s="196"/>
      <c r="AW778" s="197"/>
      <c r="AX778" s="197"/>
      <c r="AY778" s="197"/>
      <c r="AZ778" s="197"/>
    </row>
    <row r="779" spans="1:52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7"/>
      <c r="N779" s="197"/>
      <c r="O779" s="198"/>
      <c r="P779" s="198"/>
      <c r="Q779" s="198"/>
      <c r="R779" s="196"/>
      <c r="S779" s="196"/>
      <c r="T779" s="196"/>
      <c r="U779" s="196"/>
      <c r="V779" s="196"/>
      <c r="W779" s="196"/>
      <c r="X779" s="197"/>
      <c r="Y779" s="197"/>
      <c r="Z779" s="197"/>
      <c r="AA779" s="196"/>
      <c r="AB779" s="196"/>
      <c r="AC779" s="196"/>
      <c r="AD779" s="196"/>
      <c r="AE779" s="196"/>
      <c r="AF779" s="196"/>
      <c r="AG779" s="196"/>
      <c r="AH779" s="196"/>
      <c r="AI779" s="196"/>
      <c r="AJ779" s="196"/>
      <c r="AK779" s="196"/>
      <c r="AL779" s="196"/>
      <c r="AM779" s="196"/>
      <c r="AN779" s="196"/>
      <c r="AO779" s="196"/>
      <c r="AP779" s="196"/>
      <c r="AQ779" s="197"/>
      <c r="AR779" s="196"/>
      <c r="AS779" s="196"/>
      <c r="AT779" s="196"/>
      <c r="AU779" s="196"/>
      <c r="AV779" s="196"/>
      <c r="AW779" s="197"/>
      <c r="AX779" s="197"/>
      <c r="AY779" s="197"/>
      <c r="AZ779" s="197"/>
    </row>
    <row r="780" spans="1:52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7"/>
      <c r="N780" s="197"/>
      <c r="O780" s="198"/>
      <c r="P780" s="198"/>
      <c r="Q780" s="198"/>
      <c r="R780" s="196"/>
      <c r="S780" s="196"/>
      <c r="T780" s="196"/>
      <c r="U780" s="196"/>
      <c r="V780" s="196"/>
      <c r="W780" s="196"/>
      <c r="X780" s="197"/>
      <c r="Y780" s="197"/>
      <c r="Z780" s="197"/>
      <c r="AA780" s="196"/>
      <c r="AB780" s="196"/>
      <c r="AC780" s="196"/>
      <c r="AD780" s="196"/>
      <c r="AE780" s="196"/>
      <c r="AF780" s="196"/>
      <c r="AG780" s="196"/>
      <c r="AH780" s="196"/>
      <c r="AI780" s="196"/>
      <c r="AJ780" s="196"/>
      <c r="AK780" s="196"/>
      <c r="AL780" s="196"/>
      <c r="AM780" s="196"/>
      <c r="AN780" s="196"/>
      <c r="AO780" s="196"/>
      <c r="AP780" s="196"/>
      <c r="AQ780" s="197"/>
      <c r="AR780" s="196"/>
      <c r="AS780" s="196"/>
      <c r="AT780" s="196"/>
      <c r="AU780" s="196"/>
      <c r="AV780" s="196"/>
      <c r="AW780" s="197"/>
      <c r="AX780" s="197"/>
      <c r="AY780" s="197"/>
      <c r="AZ780" s="197"/>
    </row>
    <row r="781" spans="1:52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7"/>
      <c r="N781" s="197"/>
      <c r="O781" s="198"/>
      <c r="P781" s="198"/>
      <c r="Q781" s="198"/>
      <c r="R781" s="196"/>
      <c r="S781" s="196"/>
      <c r="T781" s="196"/>
      <c r="U781" s="196"/>
      <c r="V781" s="196"/>
      <c r="W781" s="196"/>
      <c r="X781" s="197"/>
      <c r="Y781" s="197"/>
      <c r="Z781" s="197"/>
      <c r="AA781" s="196"/>
      <c r="AB781" s="196"/>
      <c r="AC781" s="196"/>
      <c r="AD781" s="196"/>
      <c r="AE781" s="196"/>
      <c r="AF781" s="196"/>
      <c r="AG781" s="196"/>
      <c r="AH781" s="196"/>
      <c r="AI781" s="196"/>
      <c r="AJ781" s="196"/>
      <c r="AK781" s="196"/>
      <c r="AL781" s="196"/>
      <c r="AM781" s="196"/>
      <c r="AN781" s="196"/>
      <c r="AO781" s="196"/>
      <c r="AP781" s="196"/>
      <c r="AQ781" s="197"/>
      <c r="AR781" s="196"/>
      <c r="AS781" s="196"/>
      <c r="AT781" s="196"/>
      <c r="AU781" s="196"/>
      <c r="AV781" s="196"/>
      <c r="AW781" s="197"/>
      <c r="AX781" s="197"/>
      <c r="AY781" s="197"/>
      <c r="AZ781" s="197"/>
    </row>
    <row r="782" spans="1:52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7"/>
      <c r="N782" s="197"/>
      <c r="O782" s="198"/>
      <c r="P782" s="198"/>
      <c r="Q782" s="198"/>
      <c r="R782" s="196"/>
      <c r="S782" s="196"/>
      <c r="T782" s="196"/>
      <c r="U782" s="196"/>
      <c r="V782" s="196"/>
      <c r="W782" s="196"/>
      <c r="X782" s="197"/>
      <c r="Y782" s="197"/>
      <c r="Z782" s="197"/>
      <c r="AA782" s="196"/>
      <c r="AB782" s="196"/>
      <c r="AC782" s="196"/>
      <c r="AD782" s="196"/>
      <c r="AE782" s="196"/>
      <c r="AF782" s="196"/>
      <c r="AG782" s="196"/>
      <c r="AH782" s="196"/>
      <c r="AI782" s="196"/>
      <c r="AJ782" s="196"/>
      <c r="AK782" s="196"/>
      <c r="AL782" s="196"/>
      <c r="AM782" s="196"/>
      <c r="AN782" s="196"/>
      <c r="AO782" s="196"/>
      <c r="AP782" s="196"/>
      <c r="AQ782" s="197"/>
      <c r="AR782" s="196"/>
      <c r="AS782" s="196"/>
      <c r="AT782" s="196"/>
      <c r="AU782" s="196"/>
      <c r="AV782" s="196"/>
      <c r="AW782" s="197"/>
      <c r="AX782" s="197"/>
      <c r="AY782" s="197"/>
      <c r="AZ782" s="197"/>
    </row>
    <row r="783" spans="1:52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7"/>
      <c r="N783" s="197"/>
      <c r="O783" s="198"/>
      <c r="P783" s="198"/>
      <c r="Q783" s="198"/>
      <c r="R783" s="196"/>
      <c r="S783" s="196"/>
      <c r="T783" s="196"/>
      <c r="U783" s="196"/>
      <c r="V783" s="196"/>
      <c r="W783" s="196"/>
      <c r="X783" s="197"/>
      <c r="Y783" s="197"/>
      <c r="Z783" s="197"/>
      <c r="AA783" s="196"/>
      <c r="AB783" s="196"/>
      <c r="AC783" s="196"/>
      <c r="AD783" s="196"/>
      <c r="AE783" s="196"/>
      <c r="AF783" s="196"/>
      <c r="AG783" s="196"/>
      <c r="AH783" s="196"/>
      <c r="AI783" s="196"/>
      <c r="AJ783" s="196"/>
      <c r="AK783" s="196"/>
      <c r="AL783" s="196"/>
      <c r="AM783" s="196"/>
      <c r="AN783" s="196"/>
      <c r="AO783" s="196"/>
      <c r="AP783" s="196"/>
      <c r="AQ783" s="197"/>
      <c r="AR783" s="196"/>
      <c r="AS783" s="196"/>
      <c r="AT783" s="196"/>
      <c r="AU783" s="196"/>
      <c r="AV783" s="196"/>
      <c r="AW783" s="197"/>
      <c r="AX783" s="197"/>
      <c r="AY783" s="197"/>
      <c r="AZ783" s="197"/>
    </row>
    <row r="784" spans="1:52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7"/>
      <c r="N784" s="197"/>
      <c r="O784" s="198"/>
      <c r="P784" s="198"/>
      <c r="Q784" s="198"/>
      <c r="R784" s="196"/>
      <c r="S784" s="196"/>
      <c r="T784" s="196"/>
      <c r="U784" s="196"/>
      <c r="V784" s="196"/>
      <c r="W784" s="196"/>
      <c r="X784" s="197"/>
      <c r="Y784" s="197"/>
      <c r="Z784" s="197"/>
      <c r="AA784" s="196"/>
      <c r="AB784" s="196"/>
      <c r="AC784" s="196"/>
      <c r="AD784" s="196"/>
      <c r="AE784" s="196"/>
      <c r="AF784" s="196"/>
      <c r="AG784" s="196"/>
      <c r="AH784" s="196"/>
      <c r="AI784" s="196"/>
      <c r="AJ784" s="196"/>
      <c r="AK784" s="196"/>
      <c r="AL784" s="196"/>
      <c r="AM784" s="196"/>
      <c r="AN784" s="196"/>
      <c r="AO784" s="196"/>
      <c r="AP784" s="196"/>
      <c r="AQ784" s="197"/>
      <c r="AR784" s="196"/>
      <c r="AS784" s="196"/>
      <c r="AT784" s="196"/>
      <c r="AU784" s="196"/>
      <c r="AV784" s="196"/>
      <c r="AW784" s="197"/>
      <c r="AX784" s="197"/>
      <c r="AY784" s="197"/>
      <c r="AZ784" s="197"/>
    </row>
    <row r="785" spans="1:52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7"/>
      <c r="N785" s="197"/>
      <c r="O785" s="198"/>
      <c r="P785" s="198"/>
      <c r="Q785" s="198"/>
      <c r="R785" s="196"/>
      <c r="S785" s="196"/>
      <c r="T785" s="196"/>
      <c r="U785" s="196"/>
      <c r="V785" s="196"/>
      <c r="W785" s="196"/>
      <c r="X785" s="197"/>
      <c r="Y785" s="197"/>
      <c r="Z785" s="197"/>
      <c r="AA785" s="196"/>
      <c r="AB785" s="196"/>
      <c r="AC785" s="196"/>
      <c r="AD785" s="196"/>
      <c r="AE785" s="196"/>
      <c r="AF785" s="196"/>
      <c r="AG785" s="196"/>
      <c r="AH785" s="196"/>
      <c r="AI785" s="196"/>
      <c r="AJ785" s="196"/>
      <c r="AK785" s="196"/>
      <c r="AL785" s="196"/>
      <c r="AM785" s="196"/>
      <c r="AN785" s="196"/>
      <c r="AO785" s="196"/>
      <c r="AP785" s="196"/>
      <c r="AQ785" s="197"/>
      <c r="AR785" s="196"/>
      <c r="AS785" s="196"/>
      <c r="AT785" s="196"/>
      <c r="AU785" s="196"/>
      <c r="AV785" s="196"/>
      <c r="AW785" s="197"/>
      <c r="AX785" s="197"/>
      <c r="AY785" s="197"/>
      <c r="AZ785" s="197"/>
    </row>
    <row r="786" spans="1:52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7"/>
      <c r="N786" s="197"/>
      <c r="O786" s="198"/>
      <c r="P786" s="198"/>
      <c r="Q786" s="198"/>
      <c r="R786" s="196"/>
      <c r="S786" s="196"/>
      <c r="T786" s="196"/>
      <c r="U786" s="196"/>
      <c r="V786" s="196"/>
      <c r="W786" s="196"/>
      <c r="X786" s="197"/>
      <c r="Y786" s="197"/>
      <c r="Z786" s="197"/>
      <c r="AA786" s="196"/>
      <c r="AB786" s="196"/>
      <c r="AC786" s="196"/>
      <c r="AD786" s="196"/>
      <c r="AE786" s="196"/>
      <c r="AF786" s="196"/>
      <c r="AG786" s="196"/>
      <c r="AH786" s="196"/>
      <c r="AI786" s="196"/>
      <c r="AJ786" s="196"/>
      <c r="AK786" s="196"/>
      <c r="AL786" s="196"/>
      <c r="AM786" s="196"/>
      <c r="AN786" s="196"/>
      <c r="AO786" s="196"/>
      <c r="AP786" s="196"/>
      <c r="AQ786" s="197"/>
      <c r="AR786" s="196"/>
      <c r="AS786" s="196"/>
      <c r="AT786" s="196"/>
      <c r="AU786" s="196"/>
      <c r="AV786" s="196"/>
      <c r="AW786" s="197"/>
      <c r="AX786" s="197"/>
      <c r="AY786" s="197"/>
      <c r="AZ786" s="197"/>
    </row>
    <row r="787" spans="1:52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7"/>
      <c r="N787" s="197"/>
      <c r="O787" s="198"/>
      <c r="P787" s="198"/>
      <c r="Q787" s="198"/>
      <c r="R787" s="196"/>
      <c r="S787" s="196"/>
      <c r="T787" s="196"/>
      <c r="U787" s="196"/>
      <c r="V787" s="196"/>
      <c r="W787" s="196"/>
      <c r="X787" s="197"/>
      <c r="Y787" s="197"/>
      <c r="Z787" s="197"/>
      <c r="AA787" s="196"/>
      <c r="AB787" s="196"/>
      <c r="AC787" s="196"/>
      <c r="AD787" s="196"/>
      <c r="AE787" s="196"/>
      <c r="AF787" s="196"/>
      <c r="AG787" s="196"/>
      <c r="AH787" s="196"/>
      <c r="AI787" s="196"/>
      <c r="AJ787" s="196"/>
      <c r="AK787" s="196"/>
      <c r="AL787" s="196"/>
      <c r="AM787" s="196"/>
      <c r="AN787" s="196"/>
      <c r="AO787" s="196"/>
      <c r="AP787" s="196"/>
      <c r="AQ787" s="197"/>
      <c r="AR787" s="196"/>
      <c r="AS787" s="196"/>
      <c r="AT787" s="196"/>
      <c r="AU787" s="196"/>
      <c r="AV787" s="196"/>
      <c r="AW787" s="197"/>
      <c r="AX787" s="197"/>
      <c r="AY787" s="197"/>
      <c r="AZ787" s="197"/>
    </row>
    <row r="788" spans="1:52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7"/>
      <c r="N788" s="197"/>
      <c r="O788" s="198"/>
      <c r="P788" s="198"/>
      <c r="Q788" s="198"/>
      <c r="R788" s="196"/>
      <c r="S788" s="196"/>
      <c r="T788" s="196"/>
      <c r="U788" s="196"/>
      <c r="V788" s="196"/>
      <c r="W788" s="196"/>
      <c r="X788" s="197"/>
      <c r="Y788" s="197"/>
      <c r="Z788" s="197"/>
      <c r="AA788" s="196"/>
      <c r="AB788" s="196"/>
      <c r="AC788" s="196"/>
      <c r="AD788" s="196"/>
      <c r="AE788" s="196"/>
      <c r="AF788" s="196"/>
      <c r="AG788" s="196"/>
      <c r="AH788" s="196"/>
      <c r="AI788" s="196"/>
      <c r="AJ788" s="196"/>
      <c r="AK788" s="196"/>
      <c r="AL788" s="196"/>
      <c r="AM788" s="196"/>
      <c r="AN788" s="196"/>
      <c r="AO788" s="196"/>
      <c r="AP788" s="196"/>
      <c r="AQ788" s="197"/>
      <c r="AR788" s="196"/>
      <c r="AS788" s="196"/>
      <c r="AT788" s="196"/>
      <c r="AU788" s="196"/>
      <c r="AV788" s="196"/>
      <c r="AW788" s="197"/>
      <c r="AX788" s="197"/>
      <c r="AY788" s="197"/>
      <c r="AZ788" s="197"/>
    </row>
    <row r="789" spans="1:52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7"/>
      <c r="N789" s="197"/>
      <c r="O789" s="198"/>
      <c r="P789" s="198"/>
      <c r="Q789" s="198"/>
      <c r="R789" s="196"/>
      <c r="S789" s="196"/>
      <c r="T789" s="196"/>
      <c r="U789" s="196"/>
      <c r="V789" s="196"/>
      <c r="W789" s="196"/>
      <c r="X789" s="197"/>
      <c r="Y789" s="197"/>
      <c r="Z789" s="197"/>
      <c r="AA789" s="196"/>
      <c r="AB789" s="196"/>
      <c r="AC789" s="196"/>
      <c r="AD789" s="196"/>
      <c r="AE789" s="196"/>
      <c r="AF789" s="196"/>
      <c r="AG789" s="196"/>
      <c r="AH789" s="196"/>
      <c r="AI789" s="196"/>
      <c r="AJ789" s="196"/>
      <c r="AK789" s="196"/>
      <c r="AL789" s="196"/>
      <c r="AM789" s="196"/>
      <c r="AN789" s="196"/>
      <c r="AO789" s="196"/>
      <c r="AP789" s="196"/>
      <c r="AQ789" s="197"/>
      <c r="AR789" s="196"/>
      <c r="AS789" s="196"/>
      <c r="AT789" s="196"/>
      <c r="AU789" s="196"/>
      <c r="AV789" s="196"/>
      <c r="AW789" s="197"/>
      <c r="AX789" s="197"/>
      <c r="AY789" s="197"/>
      <c r="AZ789" s="197"/>
    </row>
    <row r="790" spans="1:52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7"/>
      <c r="N790" s="197"/>
      <c r="O790" s="198"/>
      <c r="P790" s="198"/>
      <c r="Q790" s="198"/>
      <c r="R790" s="196"/>
      <c r="S790" s="196"/>
      <c r="T790" s="196"/>
      <c r="U790" s="196"/>
      <c r="V790" s="196"/>
      <c r="W790" s="196"/>
      <c r="X790" s="197"/>
      <c r="Y790" s="197"/>
      <c r="Z790" s="197"/>
      <c r="AA790" s="196"/>
      <c r="AB790" s="196"/>
      <c r="AC790" s="196"/>
      <c r="AD790" s="196"/>
      <c r="AE790" s="196"/>
      <c r="AF790" s="196"/>
      <c r="AG790" s="196"/>
      <c r="AH790" s="196"/>
      <c r="AI790" s="196"/>
      <c r="AJ790" s="196"/>
      <c r="AK790" s="196"/>
      <c r="AL790" s="196"/>
      <c r="AM790" s="196"/>
      <c r="AN790" s="196"/>
      <c r="AO790" s="196"/>
      <c r="AP790" s="196"/>
      <c r="AQ790" s="197"/>
      <c r="AR790" s="196"/>
      <c r="AS790" s="196"/>
      <c r="AT790" s="196"/>
      <c r="AU790" s="196"/>
      <c r="AV790" s="196"/>
      <c r="AW790" s="197"/>
      <c r="AX790" s="197"/>
      <c r="AY790" s="197"/>
      <c r="AZ790" s="197"/>
    </row>
    <row r="791" spans="1:52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7"/>
      <c r="N791" s="197"/>
      <c r="O791" s="198"/>
      <c r="P791" s="198"/>
      <c r="Q791" s="198"/>
      <c r="R791" s="196"/>
      <c r="S791" s="196"/>
      <c r="T791" s="196"/>
      <c r="U791" s="196"/>
      <c r="V791" s="196"/>
      <c r="W791" s="196"/>
      <c r="X791" s="197"/>
      <c r="Y791" s="197"/>
      <c r="Z791" s="197"/>
      <c r="AA791" s="196"/>
      <c r="AB791" s="196"/>
      <c r="AC791" s="196"/>
      <c r="AD791" s="196"/>
      <c r="AE791" s="196"/>
      <c r="AF791" s="196"/>
      <c r="AG791" s="196"/>
      <c r="AH791" s="196"/>
      <c r="AI791" s="196"/>
      <c r="AJ791" s="196"/>
      <c r="AK791" s="196"/>
      <c r="AL791" s="196"/>
      <c r="AM791" s="196"/>
      <c r="AN791" s="196"/>
      <c r="AO791" s="196"/>
      <c r="AP791" s="196"/>
      <c r="AQ791" s="197"/>
      <c r="AR791" s="196"/>
      <c r="AS791" s="196"/>
      <c r="AT791" s="196"/>
      <c r="AU791" s="196"/>
      <c r="AV791" s="196"/>
      <c r="AW791" s="197"/>
      <c r="AX791" s="197"/>
      <c r="AY791" s="197"/>
      <c r="AZ791" s="197"/>
    </row>
    <row r="792" spans="1:52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7"/>
      <c r="N792" s="197"/>
      <c r="O792" s="198"/>
      <c r="P792" s="198"/>
      <c r="Q792" s="198"/>
      <c r="R792" s="196"/>
      <c r="S792" s="196"/>
      <c r="T792" s="196"/>
      <c r="U792" s="196"/>
      <c r="V792" s="196"/>
      <c r="W792" s="196"/>
      <c r="X792" s="197"/>
      <c r="Y792" s="197"/>
      <c r="Z792" s="197"/>
      <c r="AA792" s="196"/>
      <c r="AB792" s="196"/>
      <c r="AC792" s="196"/>
      <c r="AD792" s="196"/>
      <c r="AE792" s="196"/>
      <c r="AF792" s="196"/>
      <c r="AG792" s="196"/>
      <c r="AH792" s="196"/>
      <c r="AI792" s="196"/>
      <c r="AJ792" s="196"/>
      <c r="AK792" s="196"/>
      <c r="AL792" s="196"/>
      <c r="AM792" s="196"/>
      <c r="AN792" s="196"/>
      <c r="AO792" s="196"/>
      <c r="AP792" s="196"/>
      <c r="AQ792" s="197"/>
      <c r="AR792" s="196"/>
      <c r="AS792" s="196"/>
      <c r="AT792" s="196"/>
      <c r="AU792" s="196"/>
      <c r="AV792" s="196"/>
      <c r="AW792" s="197"/>
      <c r="AX792" s="197"/>
      <c r="AY792" s="197"/>
      <c r="AZ792" s="197"/>
    </row>
    <row r="793" spans="1:52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7"/>
      <c r="N793" s="197"/>
      <c r="O793" s="198"/>
      <c r="P793" s="198"/>
      <c r="Q793" s="198"/>
      <c r="R793" s="196"/>
      <c r="S793" s="196"/>
      <c r="T793" s="196"/>
      <c r="U793" s="196"/>
      <c r="V793" s="196"/>
      <c r="W793" s="196"/>
      <c r="X793" s="197"/>
      <c r="Y793" s="197"/>
      <c r="Z793" s="197"/>
      <c r="AA793" s="196"/>
      <c r="AB793" s="196"/>
      <c r="AC793" s="196"/>
      <c r="AD793" s="196"/>
      <c r="AE793" s="196"/>
      <c r="AF793" s="196"/>
      <c r="AG793" s="196"/>
      <c r="AH793" s="196"/>
      <c r="AI793" s="196"/>
      <c r="AJ793" s="196"/>
      <c r="AK793" s="196"/>
      <c r="AL793" s="196"/>
      <c r="AM793" s="196"/>
      <c r="AN793" s="196"/>
      <c r="AO793" s="196"/>
      <c r="AP793" s="196"/>
      <c r="AQ793" s="197"/>
      <c r="AR793" s="196"/>
      <c r="AS793" s="196"/>
      <c r="AT793" s="196"/>
      <c r="AU793" s="196"/>
      <c r="AV793" s="196"/>
      <c r="AW793" s="197"/>
      <c r="AX793" s="197"/>
      <c r="AY793" s="197"/>
      <c r="AZ793" s="197"/>
    </row>
    <row r="794" spans="1:52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7"/>
      <c r="N794" s="197"/>
      <c r="O794" s="198"/>
      <c r="P794" s="198"/>
      <c r="Q794" s="198"/>
      <c r="R794" s="196"/>
      <c r="S794" s="196"/>
      <c r="T794" s="196"/>
      <c r="U794" s="196"/>
      <c r="V794" s="196"/>
      <c r="W794" s="196"/>
      <c r="X794" s="197"/>
      <c r="Y794" s="197"/>
      <c r="Z794" s="197"/>
      <c r="AA794" s="196"/>
      <c r="AB794" s="196"/>
      <c r="AC794" s="196"/>
      <c r="AD794" s="196"/>
      <c r="AE794" s="196"/>
      <c r="AF794" s="196"/>
      <c r="AG794" s="196"/>
      <c r="AH794" s="196"/>
      <c r="AI794" s="196"/>
      <c r="AJ794" s="196"/>
      <c r="AK794" s="196"/>
      <c r="AL794" s="196"/>
      <c r="AM794" s="196"/>
      <c r="AN794" s="196"/>
      <c r="AO794" s="196"/>
      <c r="AP794" s="196"/>
      <c r="AQ794" s="197"/>
      <c r="AR794" s="196"/>
      <c r="AS794" s="196"/>
      <c r="AT794" s="196"/>
      <c r="AU794" s="196"/>
      <c r="AV794" s="196"/>
      <c r="AW794" s="197"/>
      <c r="AX794" s="197"/>
      <c r="AY794" s="197"/>
      <c r="AZ794" s="197"/>
    </row>
    <row r="795" spans="1:52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7"/>
      <c r="N795" s="197"/>
      <c r="O795" s="198"/>
      <c r="P795" s="198"/>
      <c r="Q795" s="198"/>
      <c r="R795" s="196"/>
      <c r="S795" s="196"/>
      <c r="T795" s="196"/>
      <c r="U795" s="196"/>
      <c r="V795" s="196"/>
      <c r="W795" s="196"/>
      <c r="X795" s="197"/>
      <c r="Y795" s="197"/>
      <c r="Z795" s="197"/>
      <c r="AA795" s="196"/>
      <c r="AB795" s="196"/>
      <c r="AC795" s="196"/>
      <c r="AD795" s="196"/>
      <c r="AE795" s="196"/>
      <c r="AF795" s="196"/>
      <c r="AG795" s="196"/>
      <c r="AH795" s="196"/>
      <c r="AI795" s="196"/>
      <c r="AJ795" s="196"/>
      <c r="AK795" s="196"/>
      <c r="AL795" s="196"/>
      <c r="AM795" s="196"/>
      <c r="AN795" s="196"/>
      <c r="AO795" s="196"/>
      <c r="AP795" s="196"/>
      <c r="AQ795" s="197"/>
      <c r="AR795" s="196"/>
      <c r="AS795" s="196"/>
      <c r="AT795" s="196"/>
      <c r="AU795" s="196"/>
      <c r="AV795" s="196"/>
      <c r="AW795" s="197"/>
      <c r="AX795" s="197"/>
      <c r="AY795" s="197"/>
      <c r="AZ795" s="197"/>
    </row>
    <row r="796" spans="1:52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7"/>
      <c r="N796" s="197"/>
      <c r="O796" s="198"/>
      <c r="P796" s="198"/>
      <c r="Q796" s="198"/>
      <c r="R796" s="196"/>
      <c r="S796" s="196"/>
      <c r="T796" s="196"/>
      <c r="U796" s="196"/>
      <c r="V796" s="196"/>
      <c r="W796" s="196"/>
      <c r="X796" s="197"/>
      <c r="Y796" s="197"/>
      <c r="Z796" s="197"/>
      <c r="AA796" s="196"/>
      <c r="AB796" s="196"/>
      <c r="AC796" s="196"/>
      <c r="AD796" s="196"/>
      <c r="AE796" s="196"/>
      <c r="AF796" s="196"/>
      <c r="AG796" s="196"/>
      <c r="AH796" s="196"/>
      <c r="AI796" s="196"/>
      <c r="AJ796" s="196"/>
      <c r="AK796" s="196"/>
      <c r="AL796" s="196"/>
      <c r="AM796" s="196"/>
      <c r="AN796" s="196"/>
      <c r="AO796" s="196"/>
      <c r="AP796" s="196"/>
      <c r="AQ796" s="197"/>
      <c r="AR796" s="196"/>
      <c r="AS796" s="196"/>
      <c r="AT796" s="196"/>
      <c r="AU796" s="196"/>
      <c r="AV796" s="196"/>
      <c r="AW796" s="197"/>
      <c r="AX796" s="197"/>
      <c r="AY796" s="197"/>
      <c r="AZ796" s="197"/>
    </row>
    <row r="797" spans="1:52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7"/>
      <c r="N797" s="197"/>
      <c r="O797" s="198"/>
      <c r="P797" s="198"/>
      <c r="Q797" s="198"/>
      <c r="R797" s="196"/>
      <c r="S797" s="196"/>
      <c r="T797" s="196"/>
      <c r="U797" s="196"/>
      <c r="V797" s="196"/>
      <c r="W797" s="196"/>
      <c r="X797" s="197"/>
      <c r="Y797" s="197"/>
      <c r="Z797" s="197"/>
      <c r="AA797" s="196"/>
      <c r="AB797" s="196"/>
      <c r="AC797" s="196"/>
      <c r="AD797" s="196"/>
      <c r="AE797" s="196"/>
      <c r="AF797" s="196"/>
      <c r="AG797" s="196"/>
      <c r="AH797" s="196"/>
      <c r="AI797" s="196"/>
      <c r="AJ797" s="196"/>
      <c r="AK797" s="196"/>
      <c r="AL797" s="196"/>
      <c r="AM797" s="196"/>
      <c r="AN797" s="196"/>
      <c r="AO797" s="196"/>
      <c r="AP797" s="196"/>
      <c r="AQ797" s="197"/>
      <c r="AR797" s="196"/>
      <c r="AS797" s="196"/>
      <c r="AT797" s="196"/>
      <c r="AU797" s="196"/>
      <c r="AV797" s="196"/>
      <c r="AW797" s="197"/>
      <c r="AX797" s="197"/>
      <c r="AY797" s="197"/>
      <c r="AZ797" s="197"/>
    </row>
    <row r="798" spans="1:52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7"/>
      <c r="N798" s="197"/>
      <c r="O798" s="198"/>
      <c r="P798" s="198"/>
      <c r="Q798" s="198"/>
      <c r="R798" s="196"/>
      <c r="S798" s="196"/>
      <c r="T798" s="196"/>
      <c r="U798" s="196"/>
      <c r="V798" s="196"/>
      <c r="W798" s="196"/>
      <c r="X798" s="197"/>
      <c r="Y798" s="197"/>
      <c r="Z798" s="197"/>
      <c r="AA798" s="196"/>
      <c r="AB798" s="196"/>
      <c r="AC798" s="196"/>
      <c r="AD798" s="196"/>
      <c r="AE798" s="196"/>
      <c r="AF798" s="196"/>
      <c r="AG798" s="196"/>
      <c r="AH798" s="196"/>
      <c r="AI798" s="196"/>
      <c r="AJ798" s="196"/>
      <c r="AK798" s="196"/>
      <c r="AL798" s="196"/>
      <c r="AM798" s="196"/>
      <c r="AN798" s="196"/>
      <c r="AO798" s="196"/>
      <c r="AP798" s="196"/>
      <c r="AQ798" s="197"/>
      <c r="AR798" s="196"/>
      <c r="AS798" s="196"/>
      <c r="AT798" s="196"/>
      <c r="AU798" s="196"/>
      <c r="AV798" s="196"/>
      <c r="AW798" s="197"/>
      <c r="AX798" s="197"/>
      <c r="AY798" s="197"/>
      <c r="AZ798" s="197"/>
    </row>
    <row r="799" spans="1:52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7"/>
      <c r="N799" s="197"/>
      <c r="O799" s="198"/>
      <c r="P799" s="198"/>
      <c r="Q799" s="198"/>
      <c r="R799" s="196"/>
      <c r="S799" s="196"/>
      <c r="T799" s="196"/>
      <c r="U799" s="196"/>
      <c r="V799" s="196"/>
      <c r="W799" s="196"/>
      <c r="X799" s="197"/>
      <c r="Y799" s="197"/>
      <c r="Z799" s="197"/>
      <c r="AA799" s="196"/>
      <c r="AB799" s="196"/>
      <c r="AC799" s="196"/>
      <c r="AD799" s="196"/>
      <c r="AE799" s="196"/>
      <c r="AF799" s="196"/>
      <c r="AG799" s="196"/>
      <c r="AH799" s="196"/>
      <c r="AI799" s="196"/>
      <c r="AJ799" s="196"/>
      <c r="AK799" s="196"/>
      <c r="AL799" s="196"/>
      <c r="AM799" s="196"/>
      <c r="AN799" s="196"/>
      <c r="AO799" s="196"/>
      <c r="AP799" s="196"/>
      <c r="AQ799" s="197"/>
      <c r="AR799" s="196"/>
      <c r="AS799" s="196"/>
      <c r="AT799" s="196"/>
      <c r="AU799" s="196"/>
      <c r="AV799" s="196"/>
      <c r="AW799" s="197"/>
      <c r="AX799" s="197"/>
      <c r="AY799" s="197"/>
      <c r="AZ799" s="197"/>
    </row>
    <row r="800" spans="1:52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7"/>
      <c r="N800" s="197"/>
      <c r="O800" s="198"/>
      <c r="P800" s="198"/>
      <c r="Q800" s="198"/>
      <c r="R800" s="196"/>
      <c r="S800" s="196"/>
      <c r="T800" s="196"/>
      <c r="U800" s="196"/>
      <c r="V800" s="196"/>
      <c r="W800" s="196"/>
      <c r="X800" s="197"/>
      <c r="Y800" s="197"/>
      <c r="Z800" s="197"/>
      <c r="AA800" s="196"/>
      <c r="AB800" s="196"/>
      <c r="AC800" s="196"/>
      <c r="AD800" s="196"/>
      <c r="AE800" s="196"/>
      <c r="AF800" s="196"/>
      <c r="AG800" s="196"/>
      <c r="AH800" s="196"/>
      <c r="AI800" s="196"/>
      <c r="AJ800" s="196"/>
      <c r="AK800" s="196"/>
      <c r="AL800" s="196"/>
      <c r="AM800" s="196"/>
      <c r="AN800" s="196"/>
      <c r="AO800" s="196"/>
      <c r="AP800" s="196"/>
      <c r="AQ800" s="197"/>
      <c r="AR800" s="196"/>
      <c r="AS800" s="196"/>
      <c r="AT800" s="196"/>
      <c r="AU800" s="196"/>
      <c r="AV800" s="196"/>
      <c r="AW800" s="197"/>
      <c r="AX800" s="197"/>
      <c r="AY800" s="197"/>
      <c r="AZ800" s="197"/>
    </row>
    <row r="801" spans="1:52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7"/>
      <c r="N801" s="197"/>
      <c r="O801" s="198"/>
      <c r="P801" s="198"/>
      <c r="Q801" s="198"/>
      <c r="R801" s="196"/>
      <c r="S801" s="196"/>
      <c r="T801" s="196"/>
      <c r="U801" s="196"/>
      <c r="V801" s="196"/>
      <c r="W801" s="196"/>
      <c r="X801" s="197"/>
      <c r="Y801" s="197"/>
      <c r="Z801" s="197"/>
      <c r="AA801" s="196"/>
      <c r="AB801" s="196"/>
      <c r="AC801" s="196"/>
      <c r="AD801" s="196"/>
      <c r="AE801" s="196"/>
      <c r="AF801" s="196"/>
      <c r="AG801" s="196"/>
      <c r="AH801" s="196"/>
      <c r="AI801" s="196"/>
      <c r="AJ801" s="196"/>
      <c r="AK801" s="196"/>
      <c r="AL801" s="196"/>
      <c r="AM801" s="196"/>
      <c r="AN801" s="196"/>
      <c r="AO801" s="196"/>
      <c r="AP801" s="196"/>
      <c r="AQ801" s="197"/>
      <c r="AR801" s="196"/>
      <c r="AS801" s="196"/>
      <c r="AT801" s="196"/>
      <c r="AU801" s="196"/>
      <c r="AV801" s="196"/>
      <c r="AW801" s="197"/>
      <c r="AX801" s="197"/>
      <c r="AY801" s="197"/>
      <c r="AZ801" s="197"/>
    </row>
    <row r="802" spans="1:52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7"/>
      <c r="N802" s="197"/>
      <c r="O802" s="198"/>
      <c r="P802" s="198"/>
      <c r="Q802" s="198"/>
      <c r="R802" s="196"/>
      <c r="S802" s="196"/>
      <c r="T802" s="196"/>
      <c r="U802" s="196"/>
      <c r="V802" s="196"/>
      <c r="W802" s="196"/>
      <c r="X802" s="197"/>
      <c r="Y802" s="197"/>
      <c r="Z802" s="197"/>
      <c r="AA802" s="196"/>
      <c r="AB802" s="196"/>
      <c r="AC802" s="196"/>
      <c r="AD802" s="196"/>
      <c r="AE802" s="196"/>
      <c r="AF802" s="196"/>
      <c r="AG802" s="196"/>
      <c r="AH802" s="196"/>
      <c r="AI802" s="196"/>
      <c r="AJ802" s="196"/>
      <c r="AK802" s="196"/>
      <c r="AL802" s="196"/>
      <c r="AM802" s="196"/>
      <c r="AN802" s="196"/>
      <c r="AO802" s="196"/>
      <c r="AP802" s="196"/>
      <c r="AQ802" s="197"/>
      <c r="AR802" s="196"/>
      <c r="AS802" s="196"/>
      <c r="AT802" s="196"/>
      <c r="AU802" s="196"/>
      <c r="AV802" s="196"/>
      <c r="AW802" s="197"/>
      <c r="AX802" s="197"/>
      <c r="AY802" s="197"/>
      <c r="AZ802" s="197"/>
    </row>
    <row r="803" spans="1:52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7"/>
      <c r="N803" s="197"/>
      <c r="O803" s="198"/>
      <c r="P803" s="198"/>
      <c r="Q803" s="198"/>
      <c r="R803" s="196"/>
      <c r="S803" s="196"/>
      <c r="T803" s="196"/>
      <c r="U803" s="196"/>
      <c r="V803" s="196"/>
      <c r="W803" s="196"/>
      <c r="X803" s="197"/>
      <c r="Y803" s="197"/>
      <c r="Z803" s="197"/>
      <c r="AA803" s="196"/>
      <c r="AB803" s="196"/>
      <c r="AC803" s="196"/>
      <c r="AD803" s="196"/>
      <c r="AE803" s="196"/>
      <c r="AF803" s="196"/>
      <c r="AG803" s="196"/>
      <c r="AH803" s="196"/>
      <c r="AI803" s="196"/>
      <c r="AJ803" s="196"/>
      <c r="AK803" s="196"/>
      <c r="AL803" s="196"/>
      <c r="AM803" s="196"/>
      <c r="AN803" s="196"/>
      <c r="AO803" s="196"/>
      <c r="AP803" s="196"/>
      <c r="AQ803" s="197"/>
      <c r="AR803" s="196"/>
      <c r="AS803" s="196"/>
      <c r="AT803" s="196"/>
      <c r="AU803" s="196"/>
      <c r="AV803" s="196"/>
      <c r="AW803" s="197"/>
      <c r="AX803" s="197"/>
      <c r="AY803" s="197"/>
      <c r="AZ803" s="197"/>
    </row>
    <row r="804" spans="1:52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7"/>
      <c r="N804" s="197"/>
      <c r="O804" s="198"/>
      <c r="P804" s="198"/>
      <c r="Q804" s="198"/>
      <c r="R804" s="196"/>
      <c r="S804" s="196"/>
      <c r="T804" s="196"/>
      <c r="U804" s="196"/>
      <c r="V804" s="196"/>
      <c r="W804" s="196"/>
      <c r="X804" s="197"/>
      <c r="Y804" s="197"/>
      <c r="Z804" s="197"/>
      <c r="AA804" s="196"/>
      <c r="AB804" s="196"/>
      <c r="AC804" s="196"/>
      <c r="AD804" s="196"/>
      <c r="AE804" s="196"/>
      <c r="AF804" s="196"/>
      <c r="AG804" s="196"/>
      <c r="AH804" s="196"/>
      <c r="AI804" s="196"/>
      <c r="AJ804" s="196"/>
      <c r="AK804" s="196"/>
      <c r="AL804" s="196"/>
      <c r="AM804" s="196"/>
      <c r="AN804" s="196"/>
      <c r="AO804" s="196"/>
      <c r="AP804" s="196"/>
      <c r="AQ804" s="197"/>
      <c r="AR804" s="196"/>
      <c r="AS804" s="196"/>
      <c r="AT804" s="196"/>
      <c r="AU804" s="196"/>
      <c r="AV804" s="196"/>
      <c r="AW804" s="197"/>
      <c r="AX804" s="197"/>
      <c r="AY804" s="197"/>
      <c r="AZ804" s="197"/>
    </row>
    <row r="805" spans="1:52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7"/>
      <c r="N805" s="197"/>
      <c r="O805" s="198"/>
      <c r="P805" s="198"/>
      <c r="Q805" s="198"/>
      <c r="R805" s="196"/>
      <c r="S805" s="196"/>
      <c r="T805" s="196"/>
      <c r="U805" s="196"/>
      <c r="V805" s="196"/>
      <c r="W805" s="196"/>
      <c r="X805" s="197"/>
      <c r="Y805" s="197"/>
      <c r="Z805" s="197"/>
      <c r="AA805" s="196"/>
      <c r="AB805" s="196"/>
      <c r="AC805" s="196"/>
      <c r="AD805" s="196"/>
      <c r="AE805" s="196"/>
      <c r="AF805" s="196"/>
      <c r="AG805" s="196"/>
      <c r="AH805" s="196"/>
      <c r="AI805" s="196"/>
      <c r="AJ805" s="196"/>
      <c r="AK805" s="196"/>
      <c r="AL805" s="196"/>
      <c r="AM805" s="196"/>
      <c r="AN805" s="196"/>
      <c r="AO805" s="196"/>
      <c r="AP805" s="196"/>
      <c r="AQ805" s="197"/>
      <c r="AR805" s="196"/>
      <c r="AS805" s="196"/>
      <c r="AT805" s="196"/>
      <c r="AU805" s="196"/>
      <c r="AV805" s="196"/>
      <c r="AW805" s="197"/>
      <c r="AX805" s="197"/>
      <c r="AY805" s="197"/>
      <c r="AZ805" s="197"/>
    </row>
    <row r="806" spans="1:52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7"/>
      <c r="N806" s="197"/>
      <c r="O806" s="198"/>
      <c r="P806" s="198"/>
      <c r="Q806" s="198"/>
      <c r="R806" s="196"/>
      <c r="S806" s="196"/>
      <c r="T806" s="196"/>
      <c r="U806" s="196"/>
      <c r="V806" s="196"/>
      <c r="W806" s="196"/>
      <c r="X806" s="197"/>
      <c r="Y806" s="197"/>
      <c r="Z806" s="197"/>
      <c r="AA806" s="196"/>
      <c r="AB806" s="196"/>
      <c r="AC806" s="196"/>
      <c r="AD806" s="196"/>
      <c r="AE806" s="196"/>
      <c r="AF806" s="196"/>
      <c r="AG806" s="196"/>
      <c r="AH806" s="196"/>
      <c r="AI806" s="196"/>
      <c r="AJ806" s="196"/>
      <c r="AK806" s="196"/>
      <c r="AL806" s="196"/>
      <c r="AM806" s="196"/>
      <c r="AN806" s="196"/>
      <c r="AO806" s="196"/>
      <c r="AP806" s="196"/>
      <c r="AQ806" s="197"/>
      <c r="AR806" s="196"/>
      <c r="AS806" s="196"/>
      <c r="AT806" s="196"/>
      <c r="AU806" s="196"/>
      <c r="AV806" s="196"/>
      <c r="AW806" s="197"/>
      <c r="AX806" s="197"/>
      <c r="AY806" s="197"/>
      <c r="AZ806" s="197"/>
    </row>
    <row r="807" spans="1:52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7"/>
      <c r="N807" s="197"/>
      <c r="O807" s="198"/>
      <c r="P807" s="198"/>
      <c r="Q807" s="198"/>
      <c r="R807" s="196"/>
      <c r="S807" s="196"/>
      <c r="T807" s="196"/>
      <c r="U807" s="196"/>
      <c r="V807" s="196"/>
      <c r="W807" s="196"/>
      <c r="X807" s="197"/>
      <c r="Y807" s="197"/>
      <c r="Z807" s="197"/>
      <c r="AA807" s="196"/>
      <c r="AB807" s="196"/>
      <c r="AC807" s="196"/>
      <c r="AD807" s="196"/>
      <c r="AE807" s="196"/>
      <c r="AF807" s="196"/>
      <c r="AG807" s="196"/>
      <c r="AH807" s="196"/>
      <c r="AI807" s="196"/>
      <c r="AJ807" s="196"/>
      <c r="AK807" s="196"/>
      <c r="AL807" s="196"/>
      <c r="AM807" s="196"/>
      <c r="AN807" s="196"/>
      <c r="AO807" s="196"/>
      <c r="AP807" s="196"/>
      <c r="AQ807" s="197"/>
      <c r="AR807" s="196"/>
      <c r="AS807" s="196"/>
      <c r="AT807" s="196"/>
      <c r="AU807" s="196"/>
      <c r="AV807" s="196"/>
      <c r="AW807" s="197"/>
      <c r="AX807" s="197"/>
      <c r="AY807" s="197"/>
      <c r="AZ807" s="197"/>
    </row>
    <row r="808" spans="1:52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7"/>
      <c r="N808" s="197"/>
      <c r="O808" s="198"/>
      <c r="P808" s="198"/>
      <c r="Q808" s="198"/>
      <c r="R808" s="196"/>
      <c r="S808" s="196"/>
      <c r="T808" s="196"/>
      <c r="U808" s="196"/>
      <c r="V808" s="196"/>
      <c r="W808" s="196"/>
      <c r="X808" s="197"/>
      <c r="Y808" s="197"/>
      <c r="Z808" s="197"/>
      <c r="AA808" s="196"/>
      <c r="AB808" s="196"/>
      <c r="AC808" s="196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  <c r="AN808" s="196"/>
      <c r="AO808" s="196"/>
      <c r="AP808" s="196"/>
      <c r="AQ808" s="197"/>
      <c r="AR808" s="196"/>
      <c r="AS808" s="196"/>
      <c r="AT808" s="196"/>
      <c r="AU808" s="196"/>
      <c r="AV808" s="196"/>
      <c r="AW808" s="197"/>
      <c r="AX808" s="197"/>
      <c r="AY808" s="197"/>
      <c r="AZ808" s="197"/>
    </row>
    <row r="809" spans="1:52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7"/>
      <c r="N809" s="197"/>
      <c r="O809" s="198"/>
      <c r="P809" s="198"/>
      <c r="Q809" s="198"/>
      <c r="R809" s="196"/>
      <c r="S809" s="196"/>
      <c r="T809" s="196"/>
      <c r="U809" s="196"/>
      <c r="V809" s="196"/>
      <c r="W809" s="196"/>
      <c r="X809" s="197"/>
      <c r="Y809" s="197"/>
      <c r="Z809" s="197"/>
      <c r="AA809" s="196"/>
      <c r="AB809" s="196"/>
      <c r="AC809" s="196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  <c r="AN809" s="196"/>
      <c r="AO809" s="196"/>
      <c r="AP809" s="196"/>
      <c r="AQ809" s="197"/>
      <c r="AR809" s="196"/>
      <c r="AS809" s="196"/>
      <c r="AT809" s="196"/>
      <c r="AU809" s="196"/>
      <c r="AV809" s="196"/>
      <c r="AW809" s="197"/>
      <c r="AX809" s="197"/>
      <c r="AY809" s="197"/>
      <c r="AZ809" s="197"/>
    </row>
    <row r="810" spans="1:52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7"/>
      <c r="N810" s="197"/>
      <c r="O810" s="198"/>
      <c r="P810" s="198"/>
      <c r="Q810" s="198"/>
      <c r="R810" s="196"/>
      <c r="S810" s="196"/>
      <c r="T810" s="196"/>
      <c r="U810" s="196"/>
      <c r="V810" s="196"/>
      <c r="W810" s="196"/>
      <c r="X810" s="197"/>
      <c r="Y810" s="197"/>
      <c r="Z810" s="197"/>
      <c r="AA810" s="196"/>
      <c r="AB810" s="196"/>
      <c r="AC810" s="196"/>
      <c r="AD810" s="196"/>
      <c r="AE810" s="196"/>
      <c r="AF810" s="196"/>
      <c r="AG810" s="196"/>
      <c r="AH810" s="196"/>
      <c r="AI810" s="196"/>
      <c r="AJ810" s="196"/>
      <c r="AK810" s="196"/>
      <c r="AL810" s="196"/>
      <c r="AM810" s="196"/>
      <c r="AN810" s="196"/>
      <c r="AO810" s="196"/>
      <c r="AP810" s="196"/>
      <c r="AQ810" s="197"/>
      <c r="AR810" s="196"/>
      <c r="AS810" s="196"/>
      <c r="AT810" s="196"/>
      <c r="AU810" s="196"/>
      <c r="AV810" s="196"/>
      <c r="AW810" s="197"/>
      <c r="AX810" s="197"/>
      <c r="AY810" s="197"/>
      <c r="AZ810" s="197"/>
    </row>
    <row r="811" spans="1:52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7"/>
      <c r="N811" s="197"/>
      <c r="O811" s="198"/>
      <c r="P811" s="198"/>
      <c r="Q811" s="198"/>
      <c r="R811" s="196"/>
      <c r="S811" s="196"/>
      <c r="T811" s="196"/>
      <c r="U811" s="196"/>
      <c r="V811" s="196"/>
      <c r="W811" s="196"/>
      <c r="X811" s="197"/>
      <c r="Y811" s="197"/>
      <c r="Z811" s="197"/>
      <c r="AA811" s="196"/>
      <c r="AB811" s="196"/>
      <c r="AC811" s="196"/>
      <c r="AD811" s="196"/>
      <c r="AE811" s="196"/>
      <c r="AF811" s="196"/>
      <c r="AG811" s="196"/>
      <c r="AH811" s="196"/>
      <c r="AI811" s="196"/>
      <c r="AJ811" s="196"/>
      <c r="AK811" s="196"/>
      <c r="AL811" s="196"/>
      <c r="AM811" s="196"/>
      <c r="AN811" s="196"/>
      <c r="AO811" s="196"/>
      <c r="AP811" s="196"/>
      <c r="AQ811" s="197"/>
      <c r="AR811" s="196"/>
      <c r="AS811" s="196"/>
      <c r="AT811" s="196"/>
      <c r="AU811" s="196"/>
      <c r="AV811" s="196"/>
      <c r="AW811" s="197"/>
      <c r="AX811" s="197"/>
      <c r="AY811" s="197"/>
      <c r="AZ811" s="197"/>
    </row>
    <row r="812" spans="1:52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7"/>
      <c r="N812" s="197"/>
      <c r="O812" s="198"/>
      <c r="P812" s="198"/>
      <c r="Q812" s="198"/>
      <c r="R812" s="196"/>
      <c r="S812" s="196"/>
      <c r="T812" s="196"/>
      <c r="U812" s="196"/>
      <c r="V812" s="196"/>
      <c r="W812" s="196"/>
      <c r="X812" s="197"/>
      <c r="Y812" s="197"/>
      <c r="Z812" s="197"/>
      <c r="AA812" s="196"/>
      <c r="AB812" s="196"/>
      <c r="AC812" s="196"/>
      <c r="AD812" s="196"/>
      <c r="AE812" s="196"/>
      <c r="AF812" s="196"/>
      <c r="AG812" s="196"/>
      <c r="AH812" s="196"/>
      <c r="AI812" s="196"/>
      <c r="AJ812" s="196"/>
      <c r="AK812" s="196"/>
      <c r="AL812" s="196"/>
      <c r="AM812" s="196"/>
      <c r="AN812" s="196"/>
      <c r="AO812" s="196"/>
      <c r="AP812" s="196"/>
      <c r="AQ812" s="197"/>
      <c r="AR812" s="196"/>
      <c r="AS812" s="196"/>
      <c r="AT812" s="196"/>
      <c r="AU812" s="196"/>
      <c r="AV812" s="196"/>
      <c r="AW812" s="197"/>
      <c r="AX812" s="197"/>
      <c r="AY812" s="197"/>
      <c r="AZ812" s="197"/>
    </row>
    <row r="813" spans="1:52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7"/>
      <c r="N813" s="197"/>
      <c r="O813" s="198"/>
      <c r="P813" s="198"/>
      <c r="Q813" s="198"/>
      <c r="R813" s="196"/>
      <c r="S813" s="196"/>
      <c r="T813" s="196"/>
      <c r="U813" s="196"/>
      <c r="V813" s="196"/>
      <c r="W813" s="196"/>
      <c r="X813" s="197"/>
      <c r="Y813" s="197"/>
      <c r="Z813" s="197"/>
      <c r="AA813" s="196"/>
      <c r="AB813" s="196"/>
      <c r="AC813" s="196"/>
      <c r="AD813" s="196"/>
      <c r="AE813" s="196"/>
      <c r="AF813" s="196"/>
      <c r="AG813" s="196"/>
      <c r="AH813" s="196"/>
      <c r="AI813" s="196"/>
      <c r="AJ813" s="196"/>
      <c r="AK813" s="196"/>
      <c r="AL813" s="196"/>
      <c r="AM813" s="196"/>
      <c r="AN813" s="196"/>
      <c r="AO813" s="196"/>
      <c r="AP813" s="196"/>
      <c r="AQ813" s="197"/>
      <c r="AR813" s="196"/>
      <c r="AS813" s="196"/>
      <c r="AT813" s="196"/>
      <c r="AU813" s="196"/>
      <c r="AV813" s="196"/>
      <c r="AW813" s="197"/>
      <c r="AX813" s="197"/>
      <c r="AY813" s="197"/>
      <c r="AZ813" s="197"/>
    </row>
    <row r="814" spans="1:52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7"/>
      <c r="N814" s="197"/>
      <c r="O814" s="198"/>
      <c r="P814" s="198"/>
      <c r="Q814" s="198"/>
      <c r="R814" s="196"/>
      <c r="S814" s="196"/>
      <c r="T814" s="196"/>
      <c r="U814" s="196"/>
      <c r="V814" s="196"/>
      <c r="W814" s="196"/>
      <c r="X814" s="197"/>
      <c r="Y814" s="197"/>
      <c r="Z814" s="197"/>
      <c r="AA814" s="196"/>
      <c r="AB814" s="196"/>
      <c r="AC814" s="196"/>
      <c r="AD814" s="196"/>
      <c r="AE814" s="196"/>
      <c r="AF814" s="196"/>
      <c r="AG814" s="196"/>
      <c r="AH814" s="196"/>
      <c r="AI814" s="196"/>
      <c r="AJ814" s="196"/>
      <c r="AK814" s="196"/>
      <c r="AL814" s="196"/>
      <c r="AM814" s="196"/>
      <c r="AN814" s="196"/>
      <c r="AO814" s="196"/>
      <c r="AP814" s="196"/>
      <c r="AQ814" s="197"/>
      <c r="AR814" s="196"/>
      <c r="AS814" s="196"/>
      <c r="AT814" s="196"/>
      <c r="AU814" s="196"/>
      <c r="AV814" s="196"/>
      <c r="AW814" s="197"/>
      <c r="AX814" s="197"/>
      <c r="AY814" s="197"/>
      <c r="AZ814" s="197"/>
    </row>
    <row r="815" spans="1:52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7"/>
      <c r="N815" s="197"/>
      <c r="O815" s="198"/>
      <c r="P815" s="198"/>
      <c r="Q815" s="198"/>
      <c r="R815" s="196"/>
      <c r="S815" s="196"/>
      <c r="T815" s="196"/>
      <c r="U815" s="196"/>
      <c r="V815" s="196"/>
      <c r="W815" s="196"/>
      <c r="X815" s="197"/>
      <c r="Y815" s="197"/>
      <c r="Z815" s="197"/>
      <c r="AA815" s="196"/>
      <c r="AB815" s="196"/>
      <c r="AC815" s="196"/>
      <c r="AD815" s="196"/>
      <c r="AE815" s="196"/>
      <c r="AF815" s="196"/>
      <c r="AG815" s="196"/>
      <c r="AH815" s="196"/>
      <c r="AI815" s="196"/>
      <c r="AJ815" s="196"/>
      <c r="AK815" s="196"/>
      <c r="AL815" s="196"/>
      <c r="AM815" s="196"/>
      <c r="AN815" s="196"/>
      <c r="AO815" s="196"/>
      <c r="AP815" s="196"/>
      <c r="AQ815" s="197"/>
      <c r="AR815" s="196"/>
      <c r="AS815" s="196"/>
      <c r="AT815" s="196"/>
      <c r="AU815" s="196"/>
      <c r="AV815" s="196"/>
      <c r="AW815" s="197"/>
      <c r="AX815" s="197"/>
      <c r="AY815" s="197"/>
      <c r="AZ815" s="197"/>
    </row>
    <row r="816" spans="1:52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7"/>
      <c r="N816" s="197"/>
      <c r="O816" s="198"/>
      <c r="P816" s="198"/>
      <c r="Q816" s="198"/>
      <c r="R816" s="196"/>
      <c r="S816" s="196"/>
      <c r="T816" s="196"/>
      <c r="U816" s="196"/>
      <c r="V816" s="196"/>
      <c r="W816" s="196"/>
      <c r="X816" s="197"/>
      <c r="Y816" s="197"/>
      <c r="Z816" s="197"/>
      <c r="AA816" s="196"/>
      <c r="AB816" s="196"/>
      <c r="AC816" s="196"/>
      <c r="AD816" s="196"/>
      <c r="AE816" s="196"/>
      <c r="AF816" s="196"/>
      <c r="AG816" s="196"/>
      <c r="AH816" s="196"/>
      <c r="AI816" s="196"/>
      <c r="AJ816" s="196"/>
      <c r="AK816" s="196"/>
      <c r="AL816" s="196"/>
      <c r="AM816" s="196"/>
      <c r="AN816" s="196"/>
      <c r="AO816" s="196"/>
      <c r="AP816" s="196"/>
      <c r="AQ816" s="197"/>
      <c r="AR816" s="196"/>
      <c r="AS816" s="196"/>
      <c r="AT816" s="196"/>
      <c r="AU816" s="196"/>
      <c r="AV816" s="196"/>
      <c r="AW816" s="197"/>
      <c r="AX816" s="197"/>
      <c r="AY816" s="197"/>
      <c r="AZ816" s="197"/>
    </row>
    <row r="817" spans="1:52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7"/>
      <c r="N817" s="197"/>
      <c r="O817" s="198"/>
      <c r="P817" s="198"/>
      <c r="Q817" s="198"/>
      <c r="R817" s="196"/>
      <c r="S817" s="196"/>
      <c r="T817" s="196"/>
      <c r="U817" s="196"/>
      <c r="V817" s="196"/>
      <c r="W817" s="196"/>
      <c r="X817" s="197"/>
      <c r="Y817" s="197"/>
      <c r="Z817" s="197"/>
      <c r="AA817" s="196"/>
      <c r="AB817" s="196"/>
      <c r="AC817" s="196"/>
      <c r="AD817" s="196"/>
      <c r="AE817" s="196"/>
      <c r="AF817" s="196"/>
      <c r="AG817" s="196"/>
      <c r="AH817" s="196"/>
      <c r="AI817" s="196"/>
      <c r="AJ817" s="196"/>
      <c r="AK817" s="196"/>
      <c r="AL817" s="196"/>
      <c r="AM817" s="196"/>
      <c r="AN817" s="196"/>
      <c r="AO817" s="196"/>
      <c r="AP817" s="196"/>
      <c r="AQ817" s="197"/>
      <c r="AR817" s="196"/>
      <c r="AS817" s="196"/>
      <c r="AT817" s="196"/>
      <c r="AU817" s="196"/>
      <c r="AV817" s="196"/>
      <c r="AW817" s="197"/>
      <c r="AX817" s="197"/>
      <c r="AY817" s="197"/>
      <c r="AZ817" s="197"/>
    </row>
    <row r="818" spans="1:52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7"/>
      <c r="N818" s="197"/>
      <c r="O818" s="198"/>
      <c r="P818" s="198"/>
      <c r="Q818" s="198"/>
      <c r="R818" s="196"/>
      <c r="S818" s="196"/>
      <c r="T818" s="196"/>
      <c r="U818" s="196"/>
      <c r="V818" s="196"/>
      <c r="W818" s="196"/>
      <c r="X818" s="197"/>
      <c r="Y818" s="197"/>
      <c r="Z818" s="197"/>
      <c r="AA818" s="196"/>
      <c r="AB818" s="196"/>
      <c r="AC818" s="196"/>
      <c r="AD818" s="196"/>
      <c r="AE818" s="196"/>
      <c r="AF818" s="196"/>
      <c r="AG818" s="196"/>
      <c r="AH818" s="196"/>
      <c r="AI818" s="196"/>
      <c r="AJ818" s="196"/>
      <c r="AK818" s="196"/>
      <c r="AL818" s="196"/>
      <c r="AM818" s="196"/>
      <c r="AN818" s="196"/>
      <c r="AO818" s="196"/>
      <c r="AP818" s="196"/>
      <c r="AQ818" s="197"/>
      <c r="AR818" s="196"/>
      <c r="AS818" s="196"/>
      <c r="AT818" s="196"/>
      <c r="AU818" s="196"/>
      <c r="AV818" s="196"/>
      <c r="AW818" s="197"/>
      <c r="AX818" s="197"/>
      <c r="AY818" s="197"/>
      <c r="AZ818" s="197"/>
    </row>
    <row r="819" spans="1:52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7"/>
      <c r="N819" s="197"/>
      <c r="O819" s="198"/>
      <c r="P819" s="198"/>
      <c r="Q819" s="198"/>
      <c r="R819" s="196"/>
      <c r="S819" s="196"/>
      <c r="T819" s="196"/>
      <c r="U819" s="196"/>
      <c r="V819" s="196"/>
      <c r="W819" s="196"/>
      <c r="X819" s="197"/>
      <c r="Y819" s="197"/>
      <c r="Z819" s="197"/>
      <c r="AA819" s="196"/>
      <c r="AB819" s="196"/>
      <c r="AC819" s="196"/>
      <c r="AD819" s="196"/>
      <c r="AE819" s="196"/>
      <c r="AF819" s="196"/>
      <c r="AG819" s="196"/>
      <c r="AH819" s="196"/>
      <c r="AI819" s="196"/>
      <c r="AJ819" s="196"/>
      <c r="AK819" s="196"/>
      <c r="AL819" s="196"/>
      <c r="AM819" s="196"/>
      <c r="AN819" s="196"/>
      <c r="AO819" s="196"/>
      <c r="AP819" s="196"/>
      <c r="AQ819" s="197"/>
      <c r="AR819" s="196"/>
      <c r="AS819" s="196"/>
      <c r="AT819" s="196"/>
      <c r="AU819" s="196"/>
      <c r="AV819" s="196"/>
      <c r="AW819" s="197"/>
      <c r="AX819" s="197"/>
      <c r="AY819" s="197"/>
      <c r="AZ819" s="197"/>
    </row>
    <row r="820" spans="1:52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7"/>
      <c r="N820" s="197"/>
      <c r="O820" s="198"/>
      <c r="P820" s="198"/>
      <c r="Q820" s="198"/>
      <c r="R820" s="196"/>
      <c r="S820" s="196"/>
      <c r="T820" s="196"/>
      <c r="U820" s="196"/>
      <c r="V820" s="196"/>
      <c r="W820" s="196"/>
      <c r="X820" s="197"/>
      <c r="Y820" s="197"/>
      <c r="Z820" s="197"/>
      <c r="AA820" s="196"/>
      <c r="AB820" s="196"/>
      <c r="AC820" s="196"/>
      <c r="AD820" s="196"/>
      <c r="AE820" s="196"/>
      <c r="AF820" s="196"/>
      <c r="AG820" s="196"/>
      <c r="AH820" s="196"/>
      <c r="AI820" s="196"/>
      <c r="AJ820" s="196"/>
      <c r="AK820" s="196"/>
      <c r="AL820" s="196"/>
      <c r="AM820" s="196"/>
      <c r="AN820" s="196"/>
      <c r="AO820" s="196"/>
      <c r="AP820" s="196"/>
      <c r="AQ820" s="197"/>
      <c r="AR820" s="196"/>
      <c r="AS820" s="196"/>
      <c r="AT820" s="196"/>
      <c r="AU820" s="196"/>
      <c r="AV820" s="196"/>
      <c r="AW820" s="197"/>
      <c r="AX820" s="197"/>
      <c r="AY820" s="197"/>
      <c r="AZ820" s="197"/>
    </row>
    <row r="821" spans="1:52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7"/>
      <c r="N821" s="197"/>
      <c r="O821" s="198"/>
      <c r="P821" s="198"/>
      <c r="Q821" s="198"/>
      <c r="R821" s="196"/>
      <c r="S821" s="196"/>
      <c r="T821" s="196"/>
      <c r="U821" s="196"/>
      <c r="V821" s="196"/>
      <c r="W821" s="196"/>
      <c r="X821" s="197"/>
      <c r="Y821" s="197"/>
      <c r="Z821" s="197"/>
      <c r="AA821" s="196"/>
      <c r="AB821" s="196"/>
      <c r="AC821" s="196"/>
      <c r="AD821" s="196"/>
      <c r="AE821" s="196"/>
      <c r="AF821" s="196"/>
      <c r="AG821" s="196"/>
      <c r="AH821" s="196"/>
      <c r="AI821" s="196"/>
      <c r="AJ821" s="196"/>
      <c r="AK821" s="196"/>
      <c r="AL821" s="196"/>
      <c r="AM821" s="196"/>
      <c r="AN821" s="196"/>
      <c r="AO821" s="196"/>
      <c r="AP821" s="196"/>
      <c r="AQ821" s="197"/>
      <c r="AR821" s="196"/>
      <c r="AS821" s="196"/>
      <c r="AT821" s="196"/>
      <c r="AU821" s="196"/>
      <c r="AV821" s="196"/>
      <c r="AW821" s="197"/>
      <c r="AX821" s="197"/>
      <c r="AY821" s="197"/>
      <c r="AZ821" s="197"/>
    </row>
    <row r="822" spans="1:52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7"/>
      <c r="N822" s="197"/>
      <c r="O822" s="198"/>
      <c r="P822" s="198"/>
      <c r="Q822" s="198"/>
      <c r="R822" s="196"/>
      <c r="S822" s="196"/>
      <c r="T822" s="196"/>
      <c r="U822" s="196"/>
      <c r="V822" s="196"/>
      <c r="W822" s="196"/>
      <c r="X822" s="197"/>
      <c r="Y822" s="197"/>
      <c r="Z822" s="197"/>
      <c r="AA822" s="196"/>
      <c r="AB822" s="196"/>
      <c r="AC822" s="196"/>
      <c r="AD822" s="196"/>
      <c r="AE822" s="196"/>
      <c r="AF822" s="196"/>
      <c r="AG822" s="196"/>
      <c r="AH822" s="196"/>
      <c r="AI822" s="196"/>
      <c r="AJ822" s="196"/>
      <c r="AK822" s="196"/>
      <c r="AL822" s="196"/>
      <c r="AM822" s="196"/>
      <c r="AN822" s="196"/>
      <c r="AO822" s="196"/>
      <c r="AP822" s="196"/>
      <c r="AQ822" s="197"/>
      <c r="AR822" s="196"/>
      <c r="AS822" s="196"/>
      <c r="AT822" s="196"/>
      <c r="AU822" s="196"/>
      <c r="AV822" s="196"/>
      <c r="AW822" s="197"/>
      <c r="AX822" s="197"/>
      <c r="AY822" s="197"/>
      <c r="AZ822" s="197"/>
    </row>
    <row r="823" spans="1:52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7"/>
      <c r="N823" s="197"/>
      <c r="O823" s="198"/>
      <c r="P823" s="198"/>
      <c r="Q823" s="198"/>
      <c r="R823" s="196"/>
      <c r="S823" s="196"/>
      <c r="T823" s="196"/>
      <c r="U823" s="196"/>
      <c r="V823" s="196"/>
      <c r="W823" s="196"/>
      <c r="X823" s="197"/>
      <c r="Y823" s="197"/>
      <c r="Z823" s="197"/>
      <c r="AA823" s="196"/>
      <c r="AB823" s="196"/>
      <c r="AC823" s="196"/>
      <c r="AD823" s="196"/>
      <c r="AE823" s="196"/>
      <c r="AF823" s="196"/>
      <c r="AG823" s="196"/>
      <c r="AH823" s="196"/>
      <c r="AI823" s="196"/>
      <c r="AJ823" s="196"/>
      <c r="AK823" s="196"/>
      <c r="AL823" s="196"/>
      <c r="AM823" s="196"/>
      <c r="AN823" s="196"/>
      <c r="AO823" s="196"/>
      <c r="AP823" s="196"/>
      <c r="AQ823" s="197"/>
      <c r="AR823" s="196"/>
      <c r="AS823" s="196"/>
      <c r="AT823" s="196"/>
      <c r="AU823" s="196"/>
      <c r="AV823" s="196"/>
      <c r="AW823" s="197"/>
      <c r="AX823" s="197"/>
      <c r="AY823" s="197"/>
      <c r="AZ823" s="197"/>
    </row>
    <row r="824" spans="1:52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7"/>
      <c r="N824" s="197"/>
      <c r="O824" s="198"/>
      <c r="P824" s="198"/>
      <c r="Q824" s="198"/>
      <c r="R824" s="196"/>
      <c r="S824" s="196"/>
      <c r="T824" s="196"/>
      <c r="U824" s="196"/>
      <c r="V824" s="196"/>
      <c r="W824" s="196"/>
      <c r="X824" s="197"/>
      <c r="Y824" s="197"/>
      <c r="Z824" s="197"/>
      <c r="AA824" s="196"/>
      <c r="AB824" s="196"/>
      <c r="AC824" s="196"/>
      <c r="AD824" s="196"/>
      <c r="AE824" s="196"/>
      <c r="AF824" s="196"/>
      <c r="AG824" s="196"/>
      <c r="AH824" s="196"/>
      <c r="AI824" s="196"/>
      <c r="AJ824" s="196"/>
      <c r="AK824" s="196"/>
      <c r="AL824" s="196"/>
      <c r="AM824" s="196"/>
      <c r="AN824" s="196"/>
      <c r="AO824" s="196"/>
      <c r="AP824" s="196"/>
      <c r="AQ824" s="197"/>
      <c r="AR824" s="196"/>
      <c r="AS824" s="196"/>
      <c r="AT824" s="196"/>
      <c r="AU824" s="196"/>
      <c r="AV824" s="196"/>
      <c r="AW824" s="197"/>
      <c r="AX824" s="197"/>
      <c r="AY824" s="197"/>
      <c r="AZ824" s="197"/>
    </row>
    <row r="825" spans="1:52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7"/>
      <c r="N825" s="197"/>
      <c r="O825" s="198"/>
      <c r="P825" s="198"/>
      <c r="Q825" s="198"/>
      <c r="R825" s="196"/>
      <c r="S825" s="196"/>
      <c r="T825" s="196"/>
      <c r="U825" s="196"/>
      <c r="V825" s="196"/>
      <c r="W825" s="196"/>
      <c r="X825" s="197"/>
      <c r="Y825" s="197"/>
      <c r="Z825" s="197"/>
      <c r="AA825" s="196"/>
      <c r="AB825" s="196"/>
      <c r="AC825" s="196"/>
      <c r="AD825" s="196"/>
      <c r="AE825" s="196"/>
      <c r="AF825" s="196"/>
      <c r="AG825" s="196"/>
      <c r="AH825" s="196"/>
      <c r="AI825" s="196"/>
      <c r="AJ825" s="196"/>
      <c r="AK825" s="196"/>
      <c r="AL825" s="196"/>
      <c r="AM825" s="196"/>
      <c r="AN825" s="196"/>
      <c r="AO825" s="196"/>
      <c r="AP825" s="196"/>
      <c r="AQ825" s="197"/>
      <c r="AR825" s="196"/>
      <c r="AS825" s="196"/>
      <c r="AT825" s="196"/>
      <c r="AU825" s="196"/>
      <c r="AV825" s="196"/>
      <c r="AW825" s="197"/>
      <c r="AX825" s="197"/>
      <c r="AY825" s="197"/>
      <c r="AZ825" s="197"/>
    </row>
    <row r="826" spans="1:52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7"/>
      <c r="N826" s="197"/>
      <c r="O826" s="198"/>
      <c r="P826" s="198"/>
      <c r="Q826" s="198"/>
      <c r="R826" s="196"/>
      <c r="S826" s="196"/>
      <c r="T826" s="196"/>
      <c r="U826" s="196"/>
      <c r="V826" s="196"/>
      <c r="W826" s="196"/>
      <c r="X826" s="197"/>
      <c r="Y826" s="197"/>
      <c r="Z826" s="197"/>
      <c r="AA826" s="196"/>
      <c r="AB826" s="196"/>
      <c r="AC826" s="196"/>
      <c r="AD826" s="196"/>
      <c r="AE826" s="196"/>
      <c r="AF826" s="196"/>
      <c r="AG826" s="196"/>
      <c r="AH826" s="196"/>
      <c r="AI826" s="196"/>
      <c r="AJ826" s="196"/>
      <c r="AK826" s="196"/>
      <c r="AL826" s="196"/>
      <c r="AM826" s="196"/>
      <c r="AN826" s="196"/>
      <c r="AO826" s="196"/>
      <c r="AP826" s="196"/>
      <c r="AQ826" s="197"/>
      <c r="AR826" s="196"/>
      <c r="AS826" s="196"/>
      <c r="AT826" s="196"/>
      <c r="AU826" s="196"/>
      <c r="AV826" s="196"/>
      <c r="AW826" s="197"/>
      <c r="AX826" s="197"/>
      <c r="AY826" s="197"/>
      <c r="AZ826" s="197"/>
    </row>
    <row r="827" spans="1:52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7"/>
      <c r="N827" s="197"/>
      <c r="O827" s="198"/>
      <c r="P827" s="198"/>
      <c r="Q827" s="198"/>
      <c r="R827" s="196"/>
      <c r="S827" s="196"/>
      <c r="T827" s="196"/>
      <c r="U827" s="196"/>
      <c r="V827" s="196"/>
      <c r="W827" s="196"/>
      <c r="X827" s="197"/>
      <c r="Y827" s="197"/>
      <c r="Z827" s="197"/>
      <c r="AA827" s="196"/>
      <c r="AB827" s="196"/>
      <c r="AC827" s="196"/>
      <c r="AD827" s="196"/>
      <c r="AE827" s="196"/>
      <c r="AF827" s="196"/>
      <c r="AG827" s="196"/>
      <c r="AH827" s="196"/>
      <c r="AI827" s="196"/>
      <c r="AJ827" s="196"/>
      <c r="AK827" s="196"/>
      <c r="AL827" s="196"/>
      <c r="AM827" s="196"/>
      <c r="AN827" s="196"/>
      <c r="AO827" s="196"/>
      <c r="AP827" s="196"/>
      <c r="AQ827" s="197"/>
      <c r="AR827" s="196"/>
      <c r="AS827" s="196"/>
      <c r="AT827" s="196"/>
      <c r="AU827" s="196"/>
      <c r="AV827" s="196"/>
      <c r="AW827" s="197"/>
      <c r="AX827" s="197"/>
      <c r="AY827" s="197"/>
      <c r="AZ827" s="197"/>
    </row>
    <row r="828" spans="1:52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7"/>
      <c r="N828" s="197"/>
      <c r="O828" s="198"/>
      <c r="P828" s="198"/>
      <c r="Q828" s="198"/>
      <c r="R828" s="196"/>
      <c r="S828" s="196"/>
      <c r="T828" s="196"/>
      <c r="U828" s="196"/>
      <c r="V828" s="196"/>
      <c r="W828" s="196"/>
      <c r="X828" s="197"/>
      <c r="Y828" s="197"/>
      <c r="Z828" s="197"/>
      <c r="AA828" s="196"/>
      <c r="AB828" s="196"/>
      <c r="AC828" s="196"/>
      <c r="AD828" s="196"/>
      <c r="AE828" s="196"/>
      <c r="AF828" s="196"/>
      <c r="AG828" s="196"/>
      <c r="AH828" s="196"/>
      <c r="AI828" s="196"/>
      <c r="AJ828" s="196"/>
      <c r="AK828" s="196"/>
      <c r="AL828" s="196"/>
      <c r="AM828" s="196"/>
      <c r="AN828" s="196"/>
      <c r="AO828" s="196"/>
      <c r="AP828" s="196"/>
      <c r="AQ828" s="197"/>
      <c r="AR828" s="196"/>
      <c r="AS828" s="196"/>
      <c r="AT828" s="196"/>
      <c r="AU828" s="196"/>
      <c r="AV828" s="196"/>
      <c r="AW828" s="197"/>
      <c r="AX828" s="197"/>
      <c r="AY828" s="197"/>
      <c r="AZ828" s="197"/>
    </row>
    <row r="829" spans="1:52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7"/>
      <c r="N829" s="197"/>
      <c r="O829" s="198"/>
      <c r="P829" s="198"/>
      <c r="Q829" s="198"/>
      <c r="R829" s="196"/>
      <c r="S829" s="196"/>
      <c r="T829" s="196"/>
      <c r="U829" s="196"/>
      <c r="V829" s="196"/>
      <c r="W829" s="196"/>
      <c r="X829" s="197"/>
      <c r="Y829" s="197"/>
      <c r="Z829" s="197"/>
      <c r="AA829" s="196"/>
      <c r="AB829" s="196"/>
      <c r="AC829" s="196"/>
      <c r="AD829" s="196"/>
      <c r="AE829" s="196"/>
      <c r="AF829" s="196"/>
      <c r="AG829" s="196"/>
      <c r="AH829" s="196"/>
      <c r="AI829" s="196"/>
      <c r="AJ829" s="196"/>
      <c r="AK829" s="196"/>
      <c r="AL829" s="196"/>
      <c r="AM829" s="196"/>
      <c r="AN829" s="196"/>
      <c r="AO829" s="196"/>
      <c r="AP829" s="196"/>
      <c r="AQ829" s="197"/>
      <c r="AR829" s="196"/>
      <c r="AS829" s="196"/>
      <c r="AT829" s="196"/>
      <c r="AU829" s="196"/>
      <c r="AV829" s="196"/>
      <c r="AW829" s="197"/>
      <c r="AX829" s="197"/>
      <c r="AY829" s="197"/>
      <c r="AZ829" s="197"/>
    </row>
    <row r="830" spans="1:52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7"/>
      <c r="N830" s="197"/>
      <c r="O830" s="198"/>
      <c r="P830" s="198"/>
      <c r="Q830" s="198"/>
      <c r="R830" s="196"/>
      <c r="S830" s="196"/>
      <c r="T830" s="196"/>
      <c r="U830" s="196"/>
      <c r="V830" s="196"/>
      <c r="W830" s="196"/>
      <c r="X830" s="197"/>
      <c r="Y830" s="197"/>
      <c r="Z830" s="197"/>
      <c r="AA830" s="196"/>
      <c r="AB830" s="196"/>
      <c r="AC830" s="196"/>
      <c r="AD830" s="196"/>
      <c r="AE830" s="196"/>
      <c r="AF830" s="196"/>
      <c r="AG830" s="196"/>
      <c r="AH830" s="196"/>
      <c r="AI830" s="196"/>
      <c r="AJ830" s="196"/>
      <c r="AK830" s="196"/>
      <c r="AL830" s="196"/>
      <c r="AM830" s="196"/>
      <c r="AN830" s="196"/>
      <c r="AO830" s="196"/>
      <c r="AP830" s="196"/>
      <c r="AQ830" s="197"/>
      <c r="AR830" s="196"/>
      <c r="AS830" s="196"/>
      <c r="AT830" s="196"/>
      <c r="AU830" s="196"/>
      <c r="AV830" s="196"/>
      <c r="AW830" s="197"/>
      <c r="AX830" s="197"/>
      <c r="AY830" s="197"/>
      <c r="AZ830" s="197"/>
    </row>
    <row r="831" spans="1:52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7"/>
      <c r="N831" s="197"/>
      <c r="O831" s="198"/>
      <c r="P831" s="198"/>
      <c r="Q831" s="198"/>
      <c r="R831" s="196"/>
      <c r="S831" s="196"/>
      <c r="T831" s="196"/>
      <c r="U831" s="196"/>
      <c r="V831" s="196"/>
      <c r="W831" s="196"/>
      <c r="X831" s="197"/>
      <c r="Y831" s="197"/>
      <c r="Z831" s="197"/>
      <c r="AA831" s="196"/>
      <c r="AB831" s="196"/>
      <c r="AC831" s="196"/>
      <c r="AD831" s="196"/>
      <c r="AE831" s="196"/>
      <c r="AF831" s="196"/>
      <c r="AG831" s="196"/>
      <c r="AH831" s="196"/>
      <c r="AI831" s="196"/>
      <c r="AJ831" s="196"/>
      <c r="AK831" s="196"/>
      <c r="AL831" s="196"/>
      <c r="AM831" s="196"/>
      <c r="AN831" s="196"/>
      <c r="AO831" s="196"/>
      <c r="AP831" s="196"/>
      <c r="AQ831" s="197"/>
      <c r="AR831" s="196"/>
      <c r="AS831" s="196"/>
      <c r="AT831" s="196"/>
      <c r="AU831" s="196"/>
      <c r="AV831" s="196"/>
      <c r="AW831" s="197"/>
      <c r="AX831" s="197"/>
      <c r="AY831" s="197"/>
      <c r="AZ831" s="197"/>
    </row>
    <row r="832" spans="1:52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7"/>
      <c r="N832" s="197"/>
      <c r="O832" s="198"/>
      <c r="P832" s="198"/>
      <c r="Q832" s="198"/>
      <c r="R832" s="196"/>
      <c r="S832" s="196"/>
      <c r="T832" s="196"/>
      <c r="U832" s="196"/>
      <c r="V832" s="196"/>
      <c r="W832" s="196"/>
      <c r="X832" s="197"/>
      <c r="Y832" s="197"/>
      <c r="Z832" s="197"/>
      <c r="AA832" s="196"/>
      <c r="AB832" s="196"/>
      <c r="AC832" s="196"/>
      <c r="AD832" s="196"/>
      <c r="AE832" s="196"/>
      <c r="AF832" s="196"/>
      <c r="AG832" s="196"/>
      <c r="AH832" s="196"/>
      <c r="AI832" s="196"/>
      <c r="AJ832" s="196"/>
      <c r="AK832" s="196"/>
      <c r="AL832" s="196"/>
      <c r="AM832" s="196"/>
      <c r="AN832" s="196"/>
      <c r="AO832" s="196"/>
      <c r="AP832" s="196"/>
      <c r="AQ832" s="197"/>
      <c r="AR832" s="196"/>
      <c r="AS832" s="196"/>
      <c r="AT832" s="196"/>
      <c r="AU832" s="196"/>
      <c r="AV832" s="196"/>
      <c r="AW832" s="197"/>
      <c r="AX832" s="197"/>
      <c r="AY832" s="197"/>
      <c r="AZ832" s="197"/>
    </row>
    <row r="833" spans="1:52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7"/>
      <c r="N833" s="197"/>
      <c r="O833" s="198"/>
      <c r="P833" s="198"/>
      <c r="Q833" s="198"/>
      <c r="R833" s="196"/>
      <c r="S833" s="196"/>
      <c r="T833" s="196"/>
      <c r="U833" s="196"/>
      <c r="V833" s="196"/>
      <c r="W833" s="196"/>
      <c r="X833" s="197"/>
      <c r="Y833" s="197"/>
      <c r="Z833" s="197"/>
      <c r="AA833" s="196"/>
      <c r="AB833" s="196"/>
      <c r="AC833" s="196"/>
      <c r="AD833" s="196"/>
      <c r="AE833" s="196"/>
      <c r="AF833" s="196"/>
      <c r="AG833" s="196"/>
      <c r="AH833" s="196"/>
      <c r="AI833" s="196"/>
      <c r="AJ833" s="196"/>
      <c r="AK833" s="196"/>
      <c r="AL833" s="196"/>
      <c r="AM833" s="196"/>
      <c r="AN833" s="196"/>
      <c r="AO833" s="196"/>
      <c r="AP833" s="196"/>
      <c r="AQ833" s="197"/>
      <c r="AR833" s="196"/>
      <c r="AS833" s="196"/>
      <c r="AT833" s="196"/>
      <c r="AU833" s="196"/>
      <c r="AV833" s="196"/>
      <c r="AW833" s="197"/>
      <c r="AX833" s="197"/>
      <c r="AY833" s="197"/>
      <c r="AZ833" s="197"/>
    </row>
    <row r="834" spans="1:52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7"/>
      <c r="N834" s="197"/>
      <c r="O834" s="198"/>
      <c r="P834" s="198"/>
      <c r="Q834" s="198"/>
      <c r="R834" s="196"/>
      <c r="S834" s="196"/>
      <c r="T834" s="196"/>
      <c r="U834" s="196"/>
      <c r="V834" s="196"/>
      <c r="W834" s="196"/>
      <c r="X834" s="197"/>
      <c r="Y834" s="197"/>
      <c r="Z834" s="197"/>
      <c r="AA834" s="196"/>
      <c r="AB834" s="196"/>
      <c r="AC834" s="196"/>
      <c r="AD834" s="196"/>
      <c r="AE834" s="196"/>
      <c r="AF834" s="196"/>
      <c r="AG834" s="196"/>
      <c r="AH834" s="196"/>
      <c r="AI834" s="196"/>
      <c r="AJ834" s="196"/>
      <c r="AK834" s="196"/>
      <c r="AL834" s="196"/>
      <c r="AM834" s="196"/>
      <c r="AN834" s="196"/>
      <c r="AO834" s="196"/>
      <c r="AP834" s="196"/>
      <c r="AQ834" s="197"/>
      <c r="AR834" s="196"/>
      <c r="AS834" s="196"/>
      <c r="AT834" s="196"/>
      <c r="AU834" s="196"/>
      <c r="AV834" s="196"/>
      <c r="AW834" s="197"/>
      <c r="AX834" s="197"/>
      <c r="AY834" s="197"/>
      <c r="AZ834" s="197"/>
    </row>
    <row r="835" spans="1:52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7"/>
      <c r="N835" s="197"/>
      <c r="O835" s="198"/>
      <c r="P835" s="198"/>
      <c r="Q835" s="198"/>
      <c r="R835" s="196"/>
      <c r="S835" s="196"/>
      <c r="T835" s="196"/>
      <c r="U835" s="196"/>
      <c r="V835" s="196"/>
      <c r="W835" s="196"/>
      <c r="X835" s="197"/>
      <c r="Y835" s="197"/>
      <c r="Z835" s="197"/>
      <c r="AA835" s="196"/>
      <c r="AB835" s="196"/>
      <c r="AC835" s="196"/>
      <c r="AD835" s="196"/>
      <c r="AE835" s="196"/>
      <c r="AF835" s="196"/>
      <c r="AG835" s="196"/>
      <c r="AH835" s="196"/>
      <c r="AI835" s="196"/>
      <c r="AJ835" s="196"/>
      <c r="AK835" s="196"/>
      <c r="AL835" s="196"/>
      <c r="AM835" s="196"/>
      <c r="AN835" s="196"/>
      <c r="AO835" s="196"/>
      <c r="AP835" s="196"/>
      <c r="AQ835" s="197"/>
      <c r="AR835" s="196"/>
      <c r="AS835" s="196"/>
      <c r="AT835" s="196"/>
      <c r="AU835" s="196"/>
      <c r="AV835" s="196"/>
      <c r="AW835" s="197"/>
      <c r="AX835" s="197"/>
      <c r="AY835" s="197"/>
      <c r="AZ835" s="197"/>
    </row>
    <row r="836" spans="1:52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7"/>
      <c r="N836" s="197"/>
      <c r="O836" s="198"/>
      <c r="P836" s="198"/>
      <c r="Q836" s="198"/>
      <c r="R836" s="196"/>
      <c r="S836" s="196"/>
      <c r="T836" s="196"/>
      <c r="U836" s="196"/>
      <c r="V836" s="196"/>
      <c r="W836" s="196"/>
      <c r="X836" s="197"/>
      <c r="Y836" s="197"/>
      <c r="Z836" s="197"/>
      <c r="AA836" s="196"/>
      <c r="AB836" s="196"/>
      <c r="AC836" s="196"/>
      <c r="AD836" s="196"/>
      <c r="AE836" s="196"/>
      <c r="AF836" s="196"/>
      <c r="AG836" s="196"/>
      <c r="AH836" s="196"/>
      <c r="AI836" s="196"/>
      <c r="AJ836" s="196"/>
      <c r="AK836" s="196"/>
      <c r="AL836" s="196"/>
      <c r="AM836" s="196"/>
      <c r="AN836" s="196"/>
      <c r="AO836" s="196"/>
      <c r="AP836" s="196"/>
      <c r="AQ836" s="197"/>
      <c r="AR836" s="196"/>
      <c r="AS836" s="196"/>
      <c r="AT836" s="196"/>
      <c r="AU836" s="196"/>
      <c r="AV836" s="196"/>
      <c r="AW836" s="197"/>
      <c r="AX836" s="197"/>
      <c r="AY836" s="197"/>
      <c r="AZ836" s="197"/>
    </row>
    <row r="837" spans="1:52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7"/>
      <c r="N837" s="197"/>
      <c r="O837" s="198"/>
      <c r="P837" s="198"/>
      <c r="Q837" s="198"/>
      <c r="R837" s="196"/>
      <c r="S837" s="196"/>
      <c r="T837" s="196"/>
      <c r="U837" s="196"/>
      <c r="V837" s="196"/>
      <c r="W837" s="196"/>
      <c r="X837" s="197"/>
      <c r="Y837" s="197"/>
      <c r="Z837" s="197"/>
      <c r="AA837" s="196"/>
      <c r="AB837" s="196"/>
      <c r="AC837" s="196"/>
      <c r="AD837" s="196"/>
      <c r="AE837" s="196"/>
      <c r="AF837" s="196"/>
      <c r="AG837" s="196"/>
      <c r="AH837" s="196"/>
      <c r="AI837" s="196"/>
      <c r="AJ837" s="196"/>
      <c r="AK837" s="196"/>
      <c r="AL837" s="196"/>
      <c r="AM837" s="196"/>
      <c r="AN837" s="196"/>
      <c r="AO837" s="196"/>
      <c r="AP837" s="196"/>
      <c r="AQ837" s="197"/>
      <c r="AR837" s="196"/>
      <c r="AS837" s="196"/>
      <c r="AT837" s="196"/>
      <c r="AU837" s="196"/>
      <c r="AV837" s="196"/>
      <c r="AW837" s="197"/>
      <c r="AX837" s="197"/>
      <c r="AY837" s="197"/>
      <c r="AZ837" s="197"/>
    </row>
    <row r="838" spans="1:52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7"/>
      <c r="N838" s="197"/>
      <c r="O838" s="198"/>
      <c r="P838" s="198"/>
      <c r="Q838" s="198"/>
      <c r="R838" s="196"/>
      <c r="S838" s="196"/>
      <c r="T838" s="196"/>
      <c r="U838" s="196"/>
      <c r="V838" s="196"/>
      <c r="W838" s="196"/>
      <c r="X838" s="197"/>
      <c r="Y838" s="197"/>
      <c r="Z838" s="197"/>
      <c r="AA838" s="196"/>
      <c r="AB838" s="196"/>
      <c r="AC838" s="196"/>
      <c r="AD838" s="196"/>
      <c r="AE838" s="196"/>
      <c r="AF838" s="196"/>
      <c r="AG838" s="196"/>
      <c r="AH838" s="196"/>
      <c r="AI838" s="196"/>
      <c r="AJ838" s="196"/>
      <c r="AK838" s="196"/>
      <c r="AL838" s="196"/>
      <c r="AM838" s="196"/>
      <c r="AN838" s="196"/>
      <c r="AO838" s="196"/>
      <c r="AP838" s="196"/>
      <c r="AQ838" s="197"/>
      <c r="AR838" s="196"/>
      <c r="AS838" s="196"/>
      <c r="AT838" s="196"/>
      <c r="AU838" s="196"/>
      <c r="AV838" s="196"/>
      <c r="AW838" s="197"/>
      <c r="AX838" s="197"/>
      <c r="AY838" s="197"/>
      <c r="AZ838" s="197"/>
    </row>
    <row r="839" spans="1:52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7"/>
      <c r="N839" s="197"/>
      <c r="O839" s="198"/>
      <c r="P839" s="198"/>
      <c r="Q839" s="198"/>
      <c r="R839" s="196"/>
      <c r="S839" s="196"/>
      <c r="T839" s="196"/>
      <c r="U839" s="196"/>
      <c r="V839" s="196"/>
      <c r="W839" s="196"/>
      <c r="X839" s="197"/>
      <c r="Y839" s="197"/>
      <c r="Z839" s="197"/>
      <c r="AA839" s="196"/>
      <c r="AB839" s="196"/>
      <c r="AC839" s="196"/>
      <c r="AD839" s="196"/>
      <c r="AE839" s="196"/>
      <c r="AF839" s="196"/>
      <c r="AG839" s="196"/>
      <c r="AH839" s="196"/>
      <c r="AI839" s="196"/>
      <c r="AJ839" s="196"/>
      <c r="AK839" s="196"/>
      <c r="AL839" s="196"/>
      <c r="AM839" s="196"/>
      <c r="AN839" s="196"/>
      <c r="AO839" s="196"/>
      <c r="AP839" s="196"/>
      <c r="AQ839" s="197"/>
      <c r="AR839" s="196"/>
      <c r="AS839" s="196"/>
      <c r="AT839" s="196"/>
      <c r="AU839" s="196"/>
      <c r="AV839" s="196"/>
      <c r="AW839" s="197"/>
      <c r="AX839" s="197"/>
      <c r="AY839" s="197"/>
      <c r="AZ839" s="197"/>
    </row>
    <row r="840" spans="1:52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7"/>
      <c r="N840" s="197"/>
      <c r="O840" s="198"/>
      <c r="P840" s="198"/>
      <c r="Q840" s="198"/>
      <c r="R840" s="196"/>
      <c r="S840" s="196"/>
      <c r="T840" s="196"/>
      <c r="U840" s="196"/>
      <c r="V840" s="196"/>
      <c r="W840" s="196"/>
      <c r="X840" s="197"/>
      <c r="Y840" s="197"/>
      <c r="Z840" s="197"/>
      <c r="AA840" s="196"/>
      <c r="AB840" s="196"/>
      <c r="AC840" s="196"/>
      <c r="AD840" s="196"/>
      <c r="AE840" s="196"/>
      <c r="AF840" s="196"/>
      <c r="AG840" s="196"/>
      <c r="AH840" s="196"/>
      <c r="AI840" s="196"/>
      <c r="AJ840" s="196"/>
      <c r="AK840" s="196"/>
      <c r="AL840" s="196"/>
      <c r="AM840" s="196"/>
      <c r="AN840" s="196"/>
      <c r="AO840" s="196"/>
      <c r="AP840" s="196"/>
      <c r="AQ840" s="197"/>
      <c r="AR840" s="196"/>
      <c r="AS840" s="196"/>
      <c r="AT840" s="196"/>
      <c r="AU840" s="196"/>
      <c r="AV840" s="196"/>
      <c r="AW840" s="197"/>
      <c r="AX840" s="197"/>
      <c r="AY840" s="197"/>
      <c r="AZ840" s="197"/>
    </row>
    <row r="841" spans="1:52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7"/>
      <c r="N841" s="197"/>
      <c r="O841" s="198"/>
      <c r="P841" s="198"/>
      <c r="Q841" s="198"/>
      <c r="R841" s="196"/>
      <c r="S841" s="196"/>
      <c r="T841" s="196"/>
      <c r="U841" s="196"/>
      <c r="V841" s="196"/>
      <c r="W841" s="196"/>
      <c r="X841" s="197"/>
      <c r="Y841" s="197"/>
      <c r="Z841" s="197"/>
      <c r="AA841" s="196"/>
      <c r="AB841" s="196"/>
      <c r="AC841" s="196"/>
      <c r="AD841" s="196"/>
      <c r="AE841" s="196"/>
      <c r="AF841" s="196"/>
      <c r="AG841" s="196"/>
      <c r="AH841" s="196"/>
      <c r="AI841" s="196"/>
      <c r="AJ841" s="196"/>
      <c r="AK841" s="196"/>
      <c r="AL841" s="196"/>
      <c r="AM841" s="196"/>
      <c r="AN841" s="196"/>
      <c r="AO841" s="196"/>
      <c r="AP841" s="196"/>
      <c r="AQ841" s="197"/>
      <c r="AR841" s="196"/>
      <c r="AS841" s="196"/>
      <c r="AT841" s="196"/>
      <c r="AU841" s="196"/>
      <c r="AV841" s="196"/>
      <c r="AW841" s="197"/>
      <c r="AX841" s="197"/>
      <c r="AY841" s="197"/>
      <c r="AZ841" s="197"/>
    </row>
    <row r="842" spans="1:52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7"/>
      <c r="N842" s="197"/>
      <c r="O842" s="198"/>
      <c r="P842" s="198"/>
      <c r="Q842" s="198"/>
      <c r="R842" s="196"/>
      <c r="S842" s="196"/>
      <c r="T842" s="196"/>
      <c r="U842" s="196"/>
      <c r="V842" s="196"/>
      <c r="W842" s="196"/>
      <c r="X842" s="197"/>
      <c r="Y842" s="197"/>
      <c r="Z842" s="197"/>
      <c r="AA842" s="196"/>
      <c r="AB842" s="196"/>
      <c r="AC842" s="196"/>
      <c r="AD842" s="196"/>
      <c r="AE842" s="196"/>
      <c r="AF842" s="196"/>
      <c r="AG842" s="196"/>
      <c r="AH842" s="196"/>
      <c r="AI842" s="196"/>
      <c r="AJ842" s="196"/>
      <c r="AK842" s="196"/>
      <c r="AL842" s="196"/>
      <c r="AM842" s="196"/>
      <c r="AN842" s="196"/>
      <c r="AO842" s="196"/>
      <c r="AP842" s="196"/>
      <c r="AQ842" s="197"/>
      <c r="AR842" s="196"/>
      <c r="AS842" s="196"/>
      <c r="AT842" s="196"/>
      <c r="AU842" s="196"/>
      <c r="AV842" s="196"/>
      <c r="AW842" s="197"/>
      <c r="AX842" s="197"/>
      <c r="AY842" s="197"/>
      <c r="AZ842" s="197"/>
    </row>
    <row r="843" spans="1:52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7"/>
      <c r="N843" s="197"/>
      <c r="O843" s="198"/>
      <c r="P843" s="198"/>
      <c r="Q843" s="198"/>
      <c r="R843" s="196"/>
      <c r="S843" s="196"/>
      <c r="T843" s="196"/>
      <c r="U843" s="196"/>
      <c r="V843" s="196"/>
      <c r="W843" s="196"/>
      <c r="X843" s="197"/>
      <c r="Y843" s="197"/>
      <c r="Z843" s="197"/>
      <c r="AA843" s="196"/>
      <c r="AB843" s="196"/>
      <c r="AC843" s="196"/>
      <c r="AD843" s="196"/>
      <c r="AE843" s="196"/>
      <c r="AF843" s="196"/>
      <c r="AG843" s="196"/>
      <c r="AH843" s="196"/>
      <c r="AI843" s="196"/>
      <c r="AJ843" s="196"/>
      <c r="AK843" s="196"/>
      <c r="AL843" s="196"/>
      <c r="AM843" s="196"/>
      <c r="AN843" s="196"/>
      <c r="AO843" s="196"/>
      <c r="AP843" s="196"/>
      <c r="AQ843" s="197"/>
      <c r="AR843" s="196"/>
      <c r="AS843" s="196"/>
      <c r="AT843" s="196"/>
      <c r="AU843" s="196"/>
      <c r="AV843" s="196"/>
      <c r="AW843" s="197"/>
      <c r="AX843" s="197"/>
      <c r="AY843" s="197"/>
      <c r="AZ843" s="197"/>
    </row>
    <row r="844" spans="1:52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7"/>
      <c r="N844" s="197"/>
      <c r="O844" s="198"/>
      <c r="P844" s="198"/>
      <c r="Q844" s="198"/>
      <c r="R844" s="196"/>
      <c r="S844" s="196"/>
      <c r="T844" s="196"/>
      <c r="U844" s="196"/>
      <c r="V844" s="196"/>
      <c r="W844" s="196"/>
      <c r="X844" s="197"/>
      <c r="Y844" s="197"/>
      <c r="Z844" s="197"/>
      <c r="AA844" s="196"/>
      <c r="AB844" s="196"/>
      <c r="AC844" s="196"/>
      <c r="AD844" s="196"/>
      <c r="AE844" s="196"/>
      <c r="AF844" s="196"/>
      <c r="AG844" s="196"/>
      <c r="AH844" s="196"/>
      <c r="AI844" s="196"/>
      <c r="AJ844" s="196"/>
      <c r="AK844" s="196"/>
      <c r="AL844" s="196"/>
      <c r="AM844" s="196"/>
      <c r="AN844" s="196"/>
      <c r="AO844" s="196"/>
      <c r="AP844" s="196"/>
      <c r="AQ844" s="197"/>
      <c r="AR844" s="196"/>
      <c r="AS844" s="196"/>
      <c r="AT844" s="196"/>
      <c r="AU844" s="196"/>
      <c r="AV844" s="196"/>
      <c r="AW844" s="197"/>
      <c r="AX844" s="197"/>
      <c r="AY844" s="197"/>
      <c r="AZ844" s="197"/>
    </row>
    <row r="845" spans="1:52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7"/>
      <c r="N845" s="197"/>
      <c r="O845" s="198"/>
      <c r="P845" s="198"/>
      <c r="Q845" s="198"/>
      <c r="R845" s="196"/>
      <c r="S845" s="196"/>
      <c r="T845" s="196"/>
      <c r="U845" s="196"/>
      <c r="V845" s="196"/>
      <c r="W845" s="196"/>
      <c r="X845" s="197"/>
      <c r="Y845" s="197"/>
      <c r="Z845" s="197"/>
      <c r="AA845" s="196"/>
      <c r="AB845" s="196"/>
      <c r="AC845" s="196"/>
      <c r="AD845" s="196"/>
      <c r="AE845" s="196"/>
      <c r="AF845" s="196"/>
      <c r="AG845" s="196"/>
      <c r="AH845" s="196"/>
      <c r="AI845" s="196"/>
      <c r="AJ845" s="196"/>
      <c r="AK845" s="196"/>
      <c r="AL845" s="196"/>
      <c r="AM845" s="196"/>
      <c r="AN845" s="196"/>
      <c r="AO845" s="196"/>
      <c r="AP845" s="196"/>
      <c r="AQ845" s="197"/>
      <c r="AR845" s="196"/>
      <c r="AS845" s="196"/>
      <c r="AT845" s="196"/>
      <c r="AU845" s="196"/>
      <c r="AV845" s="196"/>
      <c r="AW845" s="197"/>
      <c r="AX845" s="197"/>
      <c r="AY845" s="197"/>
      <c r="AZ845" s="197"/>
    </row>
    <row r="846" spans="1:52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7"/>
      <c r="N846" s="197"/>
      <c r="O846" s="198"/>
      <c r="P846" s="198"/>
      <c r="Q846" s="198"/>
      <c r="R846" s="196"/>
      <c r="S846" s="196"/>
      <c r="T846" s="196"/>
      <c r="U846" s="196"/>
      <c r="V846" s="196"/>
      <c r="W846" s="196"/>
      <c r="X846" s="197"/>
      <c r="Y846" s="197"/>
      <c r="Z846" s="197"/>
      <c r="AA846" s="196"/>
      <c r="AB846" s="196"/>
      <c r="AC846" s="196"/>
      <c r="AD846" s="196"/>
      <c r="AE846" s="196"/>
      <c r="AF846" s="196"/>
      <c r="AG846" s="196"/>
      <c r="AH846" s="196"/>
      <c r="AI846" s="196"/>
      <c r="AJ846" s="196"/>
      <c r="AK846" s="196"/>
      <c r="AL846" s="196"/>
      <c r="AM846" s="196"/>
      <c r="AN846" s="196"/>
      <c r="AO846" s="196"/>
      <c r="AP846" s="196"/>
      <c r="AQ846" s="197"/>
      <c r="AR846" s="196"/>
      <c r="AS846" s="196"/>
      <c r="AT846" s="196"/>
      <c r="AU846" s="196"/>
      <c r="AV846" s="196"/>
      <c r="AW846" s="197"/>
      <c r="AX846" s="197"/>
      <c r="AY846" s="197"/>
      <c r="AZ846" s="197"/>
    </row>
    <row r="847" spans="1:52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7"/>
      <c r="N847" s="197"/>
      <c r="O847" s="198"/>
      <c r="P847" s="198"/>
      <c r="Q847" s="198"/>
      <c r="R847" s="196"/>
      <c r="S847" s="196"/>
      <c r="T847" s="196"/>
      <c r="U847" s="196"/>
      <c r="V847" s="196"/>
      <c r="W847" s="196"/>
      <c r="X847" s="197"/>
      <c r="Y847" s="197"/>
      <c r="Z847" s="197"/>
      <c r="AA847" s="196"/>
      <c r="AB847" s="196"/>
      <c r="AC847" s="196"/>
      <c r="AD847" s="196"/>
      <c r="AE847" s="196"/>
      <c r="AF847" s="196"/>
      <c r="AG847" s="196"/>
      <c r="AH847" s="196"/>
      <c r="AI847" s="196"/>
      <c r="AJ847" s="196"/>
      <c r="AK847" s="196"/>
      <c r="AL847" s="196"/>
      <c r="AM847" s="196"/>
      <c r="AN847" s="196"/>
      <c r="AO847" s="196"/>
      <c r="AP847" s="196"/>
      <c r="AQ847" s="197"/>
      <c r="AR847" s="196"/>
      <c r="AS847" s="196"/>
      <c r="AT847" s="196"/>
      <c r="AU847" s="196"/>
      <c r="AV847" s="196"/>
      <c r="AW847" s="197"/>
      <c r="AX847" s="197"/>
      <c r="AY847" s="197"/>
      <c r="AZ847" s="197"/>
    </row>
    <row r="848" spans="1:52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7"/>
      <c r="N848" s="197"/>
      <c r="O848" s="198"/>
      <c r="P848" s="198"/>
      <c r="Q848" s="198"/>
      <c r="R848" s="196"/>
      <c r="S848" s="196"/>
      <c r="T848" s="196"/>
      <c r="U848" s="196"/>
      <c r="V848" s="196"/>
      <c r="W848" s="196"/>
      <c r="X848" s="197"/>
      <c r="Y848" s="197"/>
      <c r="Z848" s="197"/>
      <c r="AA848" s="196"/>
      <c r="AB848" s="196"/>
      <c r="AC848" s="196"/>
      <c r="AD848" s="196"/>
      <c r="AE848" s="196"/>
      <c r="AF848" s="196"/>
      <c r="AG848" s="196"/>
      <c r="AH848" s="196"/>
      <c r="AI848" s="196"/>
      <c r="AJ848" s="196"/>
      <c r="AK848" s="196"/>
      <c r="AL848" s="196"/>
      <c r="AM848" s="196"/>
      <c r="AN848" s="196"/>
      <c r="AO848" s="196"/>
      <c r="AP848" s="196"/>
      <c r="AQ848" s="197"/>
      <c r="AR848" s="196"/>
      <c r="AS848" s="196"/>
      <c r="AT848" s="196"/>
      <c r="AU848" s="196"/>
      <c r="AV848" s="196"/>
      <c r="AW848" s="197"/>
      <c r="AX848" s="197"/>
      <c r="AY848" s="197"/>
      <c r="AZ848" s="197"/>
    </row>
    <row r="849" spans="1:52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7"/>
      <c r="N849" s="197"/>
      <c r="O849" s="198"/>
      <c r="P849" s="198"/>
      <c r="Q849" s="198"/>
      <c r="R849" s="196"/>
      <c r="S849" s="196"/>
      <c r="T849" s="196"/>
      <c r="U849" s="196"/>
      <c r="V849" s="196"/>
      <c r="W849" s="196"/>
      <c r="X849" s="197"/>
      <c r="Y849" s="197"/>
      <c r="Z849" s="197"/>
      <c r="AA849" s="196"/>
      <c r="AB849" s="196"/>
      <c r="AC849" s="196"/>
      <c r="AD849" s="196"/>
      <c r="AE849" s="196"/>
      <c r="AF849" s="196"/>
      <c r="AG849" s="196"/>
      <c r="AH849" s="196"/>
      <c r="AI849" s="196"/>
      <c r="AJ849" s="196"/>
      <c r="AK849" s="196"/>
      <c r="AL849" s="196"/>
      <c r="AM849" s="196"/>
      <c r="AN849" s="196"/>
      <c r="AO849" s="196"/>
      <c r="AP849" s="196"/>
      <c r="AQ849" s="197"/>
      <c r="AR849" s="196"/>
      <c r="AS849" s="196"/>
      <c r="AT849" s="196"/>
      <c r="AU849" s="196"/>
      <c r="AV849" s="196"/>
      <c r="AW849" s="197"/>
      <c r="AX849" s="197"/>
      <c r="AY849" s="197"/>
      <c r="AZ849" s="197"/>
    </row>
    <row r="850" spans="1:52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7"/>
      <c r="N850" s="197"/>
      <c r="O850" s="198"/>
      <c r="P850" s="198"/>
      <c r="Q850" s="198"/>
      <c r="R850" s="196"/>
      <c r="S850" s="196"/>
      <c r="T850" s="196"/>
      <c r="U850" s="196"/>
      <c r="V850" s="196"/>
      <c r="W850" s="196"/>
      <c r="X850" s="197"/>
      <c r="Y850" s="197"/>
      <c r="Z850" s="197"/>
      <c r="AA850" s="196"/>
      <c r="AB850" s="196"/>
      <c r="AC850" s="196"/>
      <c r="AD850" s="196"/>
      <c r="AE850" s="196"/>
      <c r="AF850" s="196"/>
      <c r="AG850" s="196"/>
      <c r="AH850" s="196"/>
      <c r="AI850" s="196"/>
      <c r="AJ850" s="196"/>
      <c r="AK850" s="196"/>
      <c r="AL850" s="196"/>
      <c r="AM850" s="196"/>
      <c r="AN850" s="196"/>
      <c r="AO850" s="196"/>
      <c r="AP850" s="196"/>
      <c r="AQ850" s="197"/>
      <c r="AR850" s="196"/>
      <c r="AS850" s="196"/>
      <c r="AT850" s="196"/>
      <c r="AU850" s="196"/>
      <c r="AV850" s="196"/>
      <c r="AW850" s="197"/>
      <c r="AX850" s="197"/>
      <c r="AY850" s="197"/>
      <c r="AZ850" s="197"/>
    </row>
    <row r="851" spans="1:52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7"/>
      <c r="N851" s="197"/>
      <c r="O851" s="198"/>
      <c r="P851" s="198"/>
      <c r="Q851" s="198"/>
      <c r="R851" s="196"/>
      <c r="S851" s="196"/>
      <c r="T851" s="196"/>
      <c r="U851" s="196"/>
      <c r="V851" s="196"/>
      <c r="W851" s="196"/>
      <c r="X851" s="197"/>
      <c r="Y851" s="197"/>
      <c r="Z851" s="197"/>
      <c r="AA851" s="196"/>
      <c r="AB851" s="196"/>
      <c r="AC851" s="196"/>
      <c r="AD851" s="196"/>
      <c r="AE851" s="196"/>
      <c r="AF851" s="196"/>
      <c r="AG851" s="196"/>
      <c r="AH851" s="196"/>
      <c r="AI851" s="196"/>
      <c r="AJ851" s="196"/>
      <c r="AK851" s="196"/>
      <c r="AL851" s="196"/>
      <c r="AM851" s="196"/>
      <c r="AN851" s="196"/>
      <c r="AO851" s="196"/>
      <c r="AP851" s="196"/>
      <c r="AQ851" s="197"/>
      <c r="AR851" s="196"/>
      <c r="AS851" s="196"/>
      <c r="AT851" s="196"/>
      <c r="AU851" s="196"/>
      <c r="AV851" s="196"/>
      <c r="AW851" s="197"/>
      <c r="AX851" s="197"/>
      <c r="AY851" s="197"/>
      <c r="AZ851" s="197"/>
    </row>
    <row r="852" spans="1:52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7"/>
      <c r="N852" s="197"/>
      <c r="O852" s="198"/>
      <c r="P852" s="198"/>
      <c r="Q852" s="198"/>
      <c r="R852" s="196"/>
      <c r="S852" s="196"/>
      <c r="T852" s="196"/>
      <c r="U852" s="196"/>
      <c r="V852" s="196"/>
      <c r="W852" s="196"/>
      <c r="X852" s="197"/>
      <c r="Y852" s="197"/>
      <c r="Z852" s="197"/>
      <c r="AA852" s="196"/>
      <c r="AB852" s="196"/>
      <c r="AC852" s="196"/>
      <c r="AD852" s="196"/>
      <c r="AE852" s="196"/>
      <c r="AF852" s="196"/>
      <c r="AG852" s="196"/>
      <c r="AH852" s="196"/>
      <c r="AI852" s="196"/>
      <c r="AJ852" s="196"/>
      <c r="AK852" s="196"/>
      <c r="AL852" s="196"/>
      <c r="AM852" s="196"/>
      <c r="AN852" s="196"/>
      <c r="AO852" s="196"/>
      <c r="AP852" s="196"/>
      <c r="AQ852" s="197"/>
      <c r="AR852" s="196"/>
      <c r="AS852" s="196"/>
      <c r="AT852" s="196"/>
      <c r="AU852" s="196"/>
      <c r="AV852" s="196"/>
      <c r="AW852" s="197"/>
      <c r="AX852" s="197"/>
      <c r="AY852" s="197"/>
      <c r="AZ852" s="197"/>
    </row>
    <row r="853" spans="1:52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7"/>
      <c r="N853" s="197"/>
      <c r="O853" s="198"/>
      <c r="P853" s="198"/>
      <c r="Q853" s="198"/>
      <c r="R853" s="196"/>
      <c r="S853" s="196"/>
      <c r="T853" s="196"/>
      <c r="U853" s="196"/>
      <c r="V853" s="196"/>
      <c r="W853" s="196"/>
      <c r="X853" s="197"/>
      <c r="Y853" s="197"/>
      <c r="Z853" s="197"/>
      <c r="AA853" s="196"/>
      <c r="AB853" s="196"/>
      <c r="AC853" s="196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  <c r="AN853" s="196"/>
      <c r="AO853" s="196"/>
      <c r="AP853" s="196"/>
      <c r="AQ853" s="197"/>
      <c r="AR853" s="196"/>
      <c r="AS853" s="196"/>
      <c r="AT853" s="196"/>
      <c r="AU853" s="196"/>
      <c r="AV853" s="196"/>
      <c r="AW853" s="197"/>
      <c r="AX853" s="197"/>
      <c r="AY853" s="197"/>
      <c r="AZ853" s="197"/>
    </row>
    <row r="854" spans="1:52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7"/>
      <c r="N854" s="197"/>
      <c r="O854" s="198"/>
      <c r="P854" s="198"/>
      <c r="Q854" s="198"/>
      <c r="R854" s="196"/>
      <c r="S854" s="196"/>
      <c r="T854" s="196"/>
      <c r="U854" s="196"/>
      <c r="V854" s="196"/>
      <c r="W854" s="196"/>
      <c r="X854" s="197"/>
      <c r="Y854" s="197"/>
      <c r="Z854" s="197"/>
      <c r="AA854" s="196"/>
      <c r="AB854" s="196"/>
      <c r="AC854" s="196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  <c r="AN854" s="196"/>
      <c r="AO854" s="196"/>
      <c r="AP854" s="196"/>
      <c r="AQ854" s="197"/>
      <c r="AR854" s="196"/>
      <c r="AS854" s="196"/>
      <c r="AT854" s="196"/>
      <c r="AU854" s="196"/>
      <c r="AV854" s="196"/>
      <c r="AW854" s="197"/>
      <c r="AX854" s="197"/>
      <c r="AY854" s="197"/>
      <c r="AZ854" s="197"/>
    </row>
    <row r="855" spans="1:52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7"/>
      <c r="N855" s="197"/>
      <c r="O855" s="198"/>
      <c r="P855" s="198"/>
      <c r="Q855" s="198"/>
      <c r="R855" s="196"/>
      <c r="S855" s="196"/>
      <c r="T855" s="196"/>
      <c r="U855" s="196"/>
      <c r="V855" s="196"/>
      <c r="W855" s="196"/>
      <c r="X855" s="197"/>
      <c r="Y855" s="197"/>
      <c r="Z855" s="197"/>
      <c r="AA855" s="196"/>
      <c r="AB855" s="196"/>
      <c r="AC855" s="196"/>
      <c r="AD855" s="196"/>
      <c r="AE855" s="196"/>
      <c r="AF855" s="196"/>
      <c r="AG855" s="196"/>
      <c r="AH855" s="196"/>
      <c r="AI855" s="196"/>
      <c r="AJ855" s="196"/>
      <c r="AK855" s="196"/>
      <c r="AL855" s="196"/>
      <c r="AM855" s="196"/>
      <c r="AN855" s="196"/>
      <c r="AO855" s="196"/>
      <c r="AP855" s="196"/>
      <c r="AQ855" s="197"/>
      <c r="AR855" s="196"/>
      <c r="AS855" s="196"/>
      <c r="AT855" s="196"/>
      <c r="AU855" s="196"/>
      <c r="AV855" s="196"/>
      <c r="AW855" s="197"/>
      <c r="AX855" s="197"/>
      <c r="AY855" s="197"/>
      <c r="AZ855" s="197"/>
    </row>
    <row r="856" spans="1:52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7"/>
      <c r="N856" s="197"/>
      <c r="O856" s="198"/>
      <c r="P856" s="198"/>
      <c r="Q856" s="198"/>
      <c r="R856" s="196"/>
      <c r="S856" s="196"/>
      <c r="T856" s="196"/>
      <c r="U856" s="196"/>
      <c r="V856" s="196"/>
      <c r="W856" s="196"/>
      <c r="X856" s="197"/>
      <c r="Y856" s="197"/>
      <c r="Z856" s="197"/>
      <c r="AA856" s="196"/>
      <c r="AB856" s="196"/>
      <c r="AC856" s="196"/>
      <c r="AD856" s="196"/>
      <c r="AE856" s="196"/>
      <c r="AF856" s="196"/>
      <c r="AG856" s="196"/>
      <c r="AH856" s="196"/>
      <c r="AI856" s="196"/>
      <c r="AJ856" s="196"/>
      <c r="AK856" s="196"/>
      <c r="AL856" s="196"/>
      <c r="AM856" s="196"/>
      <c r="AN856" s="196"/>
      <c r="AO856" s="196"/>
      <c r="AP856" s="196"/>
      <c r="AQ856" s="197"/>
      <c r="AR856" s="196"/>
      <c r="AS856" s="196"/>
      <c r="AT856" s="196"/>
      <c r="AU856" s="196"/>
      <c r="AV856" s="196"/>
      <c r="AW856" s="197"/>
      <c r="AX856" s="197"/>
      <c r="AY856" s="197"/>
      <c r="AZ856" s="197"/>
    </row>
    <row r="857" spans="1:52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7"/>
      <c r="N857" s="197"/>
      <c r="O857" s="198"/>
      <c r="P857" s="198"/>
      <c r="Q857" s="198"/>
      <c r="R857" s="196"/>
      <c r="S857" s="196"/>
      <c r="T857" s="196"/>
      <c r="U857" s="196"/>
      <c r="V857" s="196"/>
      <c r="W857" s="196"/>
      <c r="X857" s="197"/>
      <c r="Y857" s="197"/>
      <c r="Z857" s="197"/>
      <c r="AA857" s="196"/>
      <c r="AB857" s="196"/>
      <c r="AC857" s="196"/>
      <c r="AD857" s="196"/>
      <c r="AE857" s="196"/>
      <c r="AF857" s="196"/>
      <c r="AG857" s="196"/>
      <c r="AH857" s="196"/>
      <c r="AI857" s="196"/>
      <c r="AJ857" s="196"/>
      <c r="AK857" s="196"/>
      <c r="AL857" s="196"/>
      <c r="AM857" s="196"/>
      <c r="AN857" s="196"/>
      <c r="AO857" s="196"/>
      <c r="AP857" s="196"/>
      <c r="AQ857" s="197"/>
      <c r="AR857" s="196"/>
      <c r="AS857" s="196"/>
      <c r="AT857" s="196"/>
      <c r="AU857" s="196"/>
      <c r="AV857" s="196"/>
      <c r="AW857" s="197"/>
      <c r="AX857" s="197"/>
      <c r="AY857" s="197"/>
      <c r="AZ857" s="197"/>
    </row>
    <row r="858" spans="1:52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7"/>
      <c r="N858" s="197"/>
      <c r="O858" s="198"/>
      <c r="P858" s="198"/>
      <c r="Q858" s="198"/>
      <c r="R858" s="196"/>
      <c r="S858" s="196"/>
      <c r="T858" s="196"/>
      <c r="U858" s="196"/>
      <c r="V858" s="196"/>
      <c r="W858" s="196"/>
      <c r="X858" s="197"/>
      <c r="Y858" s="197"/>
      <c r="Z858" s="197"/>
      <c r="AA858" s="196"/>
      <c r="AB858" s="196"/>
      <c r="AC858" s="196"/>
      <c r="AD858" s="196"/>
      <c r="AE858" s="196"/>
      <c r="AF858" s="196"/>
      <c r="AG858" s="196"/>
      <c r="AH858" s="196"/>
      <c r="AI858" s="196"/>
      <c r="AJ858" s="196"/>
      <c r="AK858" s="196"/>
      <c r="AL858" s="196"/>
      <c r="AM858" s="196"/>
      <c r="AN858" s="196"/>
      <c r="AO858" s="196"/>
      <c r="AP858" s="196"/>
      <c r="AQ858" s="197"/>
      <c r="AR858" s="196"/>
      <c r="AS858" s="196"/>
      <c r="AT858" s="196"/>
      <c r="AU858" s="196"/>
      <c r="AV858" s="196"/>
      <c r="AW858" s="197"/>
      <c r="AX858" s="197"/>
      <c r="AY858" s="197"/>
      <c r="AZ858" s="197"/>
    </row>
    <row r="859" spans="1:52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7"/>
      <c r="N859" s="197"/>
      <c r="O859" s="198"/>
      <c r="P859" s="198"/>
      <c r="Q859" s="198"/>
      <c r="R859" s="196"/>
      <c r="S859" s="196"/>
      <c r="T859" s="196"/>
      <c r="U859" s="196"/>
      <c r="V859" s="196"/>
      <c r="W859" s="196"/>
      <c r="X859" s="197"/>
      <c r="Y859" s="197"/>
      <c r="Z859" s="197"/>
      <c r="AA859" s="196"/>
      <c r="AB859" s="196"/>
      <c r="AC859" s="196"/>
      <c r="AD859" s="196"/>
      <c r="AE859" s="196"/>
      <c r="AF859" s="196"/>
      <c r="AG859" s="196"/>
      <c r="AH859" s="196"/>
      <c r="AI859" s="196"/>
      <c r="AJ859" s="196"/>
      <c r="AK859" s="196"/>
      <c r="AL859" s="196"/>
      <c r="AM859" s="196"/>
      <c r="AN859" s="196"/>
      <c r="AO859" s="196"/>
      <c r="AP859" s="196"/>
      <c r="AQ859" s="197"/>
      <c r="AR859" s="196"/>
      <c r="AS859" s="196"/>
      <c r="AT859" s="196"/>
      <c r="AU859" s="196"/>
      <c r="AV859" s="196"/>
      <c r="AW859" s="197"/>
      <c r="AX859" s="197"/>
      <c r="AY859" s="197"/>
      <c r="AZ859" s="197"/>
    </row>
    <row r="860" spans="1:52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7"/>
      <c r="N860" s="197"/>
      <c r="O860" s="198"/>
      <c r="P860" s="198"/>
      <c r="Q860" s="198"/>
      <c r="R860" s="196"/>
      <c r="S860" s="196"/>
      <c r="T860" s="196"/>
      <c r="U860" s="196"/>
      <c r="V860" s="196"/>
      <c r="W860" s="196"/>
      <c r="X860" s="197"/>
      <c r="Y860" s="197"/>
      <c r="Z860" s="197"/>
      <c r="AA860" s="196"/>
      <c r="AB860" s="196"/>
      <c r="AC860" s="196"/>
      <c r="AD860" s="196"/>
      <c r="AE860" s="196"/>
      <c r="AF860" s="196"/>
      <c r="AG860" s="196"/>
      <c r="AH860" s="196"/>
      <c r="AI860" s="196"/>
      <c r="AJ860" s="196"/>
      <c r="AK860" s="196"/>
      <c r="AL860" s="196"/>
      <c r="AM860" s="196"/>
      <c r="AN860" s="196"/>
      <c r="AO860" s="196"/>
      <c r="AP860" s="196"/>
      <c r="AQ860" s="197"/>
      <c r="AR860" s="196"/>
      <c r="AS860" s="196"/>
      <c r="AT860" s="196"/>
      <c r="AU860" s="196"/>
      <c r="AV860" s="196"/>
      <c r="AW860" s="197"/>
      <c r="AX860" s="197"/>
      <c r="AY860" s="197"/>
      <c r="AZ860" s="197"/>
    </row>
    <row r="861" spans="1:52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7"/>
      <c r="N861" s="197"/>
      <c r="O861" s="198"/>
      <c r="P861" s="198"/>
      <c r="Q861" s="198"/>
      <c r="R861" s="196"/>
      <c r="S861" s="196"/>
      <c r="T861" s="196"/>
      <c r="U861" s="196"/>
      <c r="V861" s="196"/>
      <c r="W861" s="196"/>
      <c r="X861" s="197"/>
      <c r="Y861" s="197"/>
      <c r="Z861" s="197"/>
      <c r="AA861" s="196"/>
      <c r="AB861" s="196"/>
      <c r="AC861" s="196"/>
      <c r="AD861" s="196"/>
      <c r="AE861" s="196"/>
      <c r="AF861" s="196"/>
      <c r="AG861" s="196"/>
      <c r="AH861" s="196"/>
      <c r="AI861" s="196"/>
      <c r="AJ861" s="196"/>
      <c r="AK861" s="196"/>
      <c r="AL861" s="196"/>
      <c r="AM861" s="196"/>
      <c r="AN861" s="196"/>
      <c r="AO861" s="196"/>
      <c r="AP861" s="196"/>
      <c r="AQ861" s="197"/>
      <c r="AR861" s="196"/>
      <c r="AS861" s="196"/>
      <c r="AT861" s="196"/>
      <c r="AU861" s="196"/>
      <c r="AV861" s="196"/>
      <c r="AW861" s="197"/>
      <c r="AX861" s="197"/>
      <c r="AY861" s="197"/>
      <c r="AZ861" s="197"/>
    </row>
    <row r="862" spans="1:52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7"/>
      <c r="N862" s="197"/>
      <c r="O862" s="198"/>
      <c r="P862" s="198"/>
      <c r="Q862" s="198"/>
      <c r="R862" s="196"/>
      <c r="S862" s="196"/>
      <c r="T862" s="196"/>
      <c r="U862" s="196"/>
      <c r="V862" s="196"/>
      <c r="W862" s="196"/>
      <c r="X862" s="197"/>
      <c r="Y862" s="197"/>
      <c r="Z862" s="197"/>
      <c r="AA862" s="196"/>
      <c r="AB862" s="196"/>
      <c r="AC862" s="196"/>
      <c r="AD862" s="196"/>
      <c r="AE862" s="196"/>
      <c r="AF862" s="196"/>
      <c r="AG862" s="196"/>
      <c r="AH862" s="196"/>
      <c r="AI862" s="196"/>
      <c r="AJ862" s="196"/>
      <c r="AK862" s="196"/>
      <c r="AL862" s="196"/>
      <c r="AM862" s="196"/>
      <c r="AN862" s="196"/>
      <c r="AO862" s="196"/>
      <c r="AP862" s="196"/>
      <c r="AQ862" s="197"/>
      <c r="AR862" s="196"/>
      <c r="AS862" s="196"/>
      <c r="AT862" s="196"/>
      <c r="AU862" s="196"/>
      <c r="AV862" s="196"/>
      <c r="AW862" s="197"/>
      <c r="AX862" s="197"/>
      <c r="AY862" s="197"/>
      <c r="AZ862" s="197"/>
    </row>
    <row r="863" spans="1:52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7"/>
      <c r="N863" s="197"/>
      <c r="O863" s="198"/>
      <c r="P863" s="198"/>
      <c r="Q863" s="198"/>
      <c r="R863" s="196"/>
      <c r="S863" s="196"/>
      <c r="T863" s="196"/>
      <c r="U863" s="196"/>
      <c r="V863" s="196"/>
      <c r="W863" s="196"/>
      <c r="X863" s="197"/>
      <c r="Y863" s="197"/>
      <c r="Z863" s="197"/>
      <c r="AA863" s="196"/>
      <c r="AB863" s="196"/>
      <c r="AC863" s="196"/>
      <c r="AD863" s="196"/>
      <c r="AE863" s="196"/>
      <c r="AF863" s="196"/>
      <c r="AG863" s="196"/>
      <c r="AH863" s="196"/>
      <c r="AI863" s="196"/>
      <c r="AJ863" s="196"/>
      <c r="AK863" s="196"/>
      <c r="AL863" s="196"/>
      <c r="AM863" s="196"/>
      <c r="AN863" s="196"/>
      <c r="AO863" s="196"/>
      <c r="AP863" s="196"/>
      <c r="AQ863" s="197"/>
      <c r="AR863" s="196"/>
      <c r="AS863" s="196"/>
      <c r="AT863" s="196"/>
      <c r="AU863" s="196"/>
      <c r="AV863" s="196"/>
      <c r="AW863" s="197"/>
      <c r="AX863" s="197"/>
      <c r="AY863" s="197"/>
      <c r="AZ863" s="197"/>
    </row>
    <row r="864" spans="1:52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7"/>
      <c r="N864" s="197"/>
      <c r="O864" s="198"/>
      <c r="P864" s="198"/>
      <c r="Q864" s="198"/>
      <c r="R864" s="196"/>
      <c r="S864" s="196"/>
      <c r="T864" s="196"/>
      <c r="U864" s="196"/>
      <c r="V864" s="196"/>
      <c r="W864" s="196"/>
      <c r="X864" s="197"/>
      <c r="Y864" s="197"/>
      <c r="Z864" s="197"/>
      <c r="AA864" s="196"/>
      <c r="AB864" s="196"/>
      <c r="AC864" s="196"/>
      <c r="AD864" s="196"/>
      <c r="AE864" s="196"/>
      <c r="AF864" s="196"/>
      <c r="AG864" s="196"/>
      <c r="AH864" s="196"/>
      <c r="AI864" s="196"/>
      <c r="AJ864" s="196"/>
      <c r="AK864" s="196"/>
      <c r="AL864" s="196"/>
      <c r="AM864" s="196"/>
      <c r="AN864" s="196"/>
      <c r="AO864" s="196"/>
      <c r="AP864" s="196"/>
      <c r="AQ864" s="197"/>
      <c r="AR864" s="196"/>
      <c r="AS864" s="196"/>
      <c r="AT864" s="196"/>
      <c r="AU864" s="196"/>
      <c r="AV864" s="196"/>
      <c r="AW864" s="197"/>
      <c r="AX864" s="197"/>
      <c r="AY864" s="197"/>
      <c r="AZ864" s="197"/>
    </row>
    <row r="865" spans="1:52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7"/>
      <c r="N865" s="197"/>
      <c r="O865" s="198"/>
      <c r="P865" s="198"/>
      <c r="Q865" s="198"/>
      <c r="R865" s="196"/>
      <c r="S865" s="196"/>
      <c r="T865" s="196"/>
      <c r="U865" s="196"/>
      <c r="V865" s="196"/>
      <c r="W865" s="196"/>
      <c r="X865" s="197"/>
      <c r="Y865" s="197"/>
      <c r="Z865" s="197"/>
      <c r="AA865" s="196"/>
      <c r="AB865" s="196"/>
      <c r="AC865" s="196"/>
      <c r="AD865" s="196"/>
      <c r="AE865" s="196"/>
      <c r="AF865" s="196"/>
      <c r="AG865" s="196"/>
      <c r="AH865" s="196"/>
      <c r="AI865" s="196"/>
      <c r="AJ865" s="196"/>
      <c r="AK865" s="196"/>
      <c r="AL865" s="196"/>
      <c r="AM865" s="196"/>
      <c r="AN865" s="196"/>
      <c r="AO865" s="196"/>
      <c r="AP865" s="196"/>
      <c r="AQ865" s="197"/>
      <c r="AR865" s="196"/>
      <c r="AS865" s="196"/>
      <c r="AT865" s="196"/>
      <c r="AU865" s="196"/>
      <c r="AV865" s="196"/>
      <c r="AW865" s="197"/>
      <c r="AX865" s="197"/>
      <c r="AY865" s="197"/>
      <c r="AZ865" s="197"/>
    </row>
    <row r="866" spans="1:52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7"/>
      <c r="N866" s="197"/>
      <c r="O866" s="198"/>
      <c r="P866" s="198"/>
      <c r="Q866" s="198"/>
      <c r="R866" s="196"/>
      <c r="S866" s="196"/>
      <c r="T866" s="196"/>
      <c r="U866" s="196"/>
      <c r="V866" s="196"/>
      <c r="W866" s="196"/>
      <c r="X866" s="197"/>
      <c r="Y866" s="197"/>
      <c r="Z866" s="197"/>
      <c r="AA866" s="196"/>
      <c r="AB866" s="196"/>
      <c r="AC866" s="196"/>
      <c r="AD866" s="196"/>
      <c r="AE866" s="196"/>
      <c r="AF866" s="196"/>
      <c r="AG866" s="196"/>
      <c r="AH866" s="196"/>
      <c r="AI866" s="196"/>
      <c r="AJ866" s="196"/>
      <c r="AK866" s="196"/>
      <c r="AL866" s="196"/>
      <c r="AM866" s="196"/>
      <c r="AN866" s="196"/>
      <c r="AO866" s="196"/>
      <c r="AP866" s="196"/>
      <c r="AQ866" s="197"/>
      <c r="AR866" s="196"/>
      <c r="AS866" s="196"/>
      <c r="AT866" s="196"/>
      <c r="AU866" s="196"/>
      <c r="AV866" s="196"/>
      <c r="AW866" s="197"/>
      <c r="AX866" s="197"/>
      <c r="AY866" s="197"/>
      <c r="AZ866" s="197"/>
    </row>
    <row r="867" spans="1:52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7"/>
      <c r="N867" s="197"/>
      <c r="O867" s="198"/>
      <c r="P867" s="198"/>
      <c r="Q867" s="198"/>
      <c r="R867" s="196"/>
      <c r="S867" s="196"/>
      <c r="T867" s="196"/>
      <c r="U867" s="196"/>
      <c r="V867" s="196"/>
      <c r="W867" s="196"/>
      <c r="X867" s="197"/>
      <c r="Y867" s="197"/>
      <c r="Z867" s="197"/>
      <c r="AA867" s="196"/>
      <c r="AB867" s="196"/>
      <c r="AC867" s="196"/>
      <c r="AD867" s="196"/>
      <c r="AE867" s="196"/>
      <c r="AF867" s="196"/>
      <c r="AG867" s="196"/>
      <c r="AH867" s="196"/>
      <c r="AI867" s="196"/>
      <c r="AJ867" s="196"/>
      <c r="AK867" s="196"/>
      <c r="AL867" s="196"/>
      <c r="AM867" s="196"/>
      <c r="AN867" s="196"/>
      <c r="AO867" s="196"/>
      <c r="AP867" s="196"/>
      <c r="AQ867" s="197"/>
      <c r="AR867" s="196"/>
      <c r="AS867" s="196"/>
      <c r="AT867" s="196"/>
      <c r="AU867" s="196"/>
      <c r="AV867" s="196"/>
      <c r="AW867" s="197"/>
      <c r="AX867" s="197"/>
      <c r="AY867" s="197"/>
      <c r="AZ867" s="197"/>
    </row>
    <row r="868" spans="1:52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7"/>
      <c r="N868" s="197"/>
      <c r="O868" s="198"/>
      <c r="P868" s="198"/>
      <c r="Q868" s="198"/>
      <c r="R868" s="196"/>
      <c r="S868" s="196"/>
      <c r="T868" s="196"/>
      <c r="U868" s="196"/>
      <c r="V868" s="196"/>
      <c r="W868" s="196"/>
      <c r="X868" s="197"/>
      <c r="Y868" s="197"/>
      <c r="Z868" s="197"/>
      <c r="AA868" s="196"/>
      <c r="AB868" s="196"/>
      <c r="AC868" s="196"/>
      <c r="AD868" s="196"/>
      <c r="AE868" s="196"/>
      <c r="AF868" s="196"/>
      <c r="AG868" s="196"/>
      <c r="AH868" s="196"/>
      <c r="AI868" s="196"/>
      <c r="AJ868" s="196"/>
      <c r="AK868" s="196"/>
      <c r="AL868" s="196"/>
      <c r="AM868" s="196"/>
      <c r="AN868" s="196"/>
      <c r="AO868" s="196"/>
      <c r="AP868" s="196"/>
      <c r="AQ868" s="197"/>
      <c r="AR868" s="196"/>
      <c r="AS868" s="196"/>
      <c r="AT868" s="196"/>
      <c r="AU868" s="196"/>
      <c r="AV868" s="196"/>
      <c r="AW868" s="197"/>
      <c r="AX868" s="197"/>
      <c r="AY868" s="197"/>
      <c r="AZ868" s="197"/>
    </row>
    <row r="869" spans="1:52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7"/>
      <c r="N869" s="197"/>
      <c r="O869" s="198"/>
      <c r="P869" s="198"/>
      <c r="Q869" s="198"/>
      <c r="R869" s="196"/>
      <c r="S869" s="196"/>
      <c r="T869" s="196"/>
      <c r="U869" s="196"/>
      <c r="V869" s="196"/>
      <c r="W869" s="196"/>
      <c r="X869" s="197"/>
      <c r="Y869" s="197"/>
      <c r="Z869" s="197"/>
      <c r="AA869" s="196"/>
      <c r="AB869" s="196"/>
      <c r="AC869" s="196"/>
      <c r="AD869" s="196"/>
      <c r="AE869" s="196"/>
      <c r="AF869" s="196"/>
      <c r="AG869" s="196"/>
      <c r="AH869" s="196"/>
      <c r="AI869" s="196"/>
      <c r="AJ869" s="196"/>
      <c r="AK869" s="196"/>
      <c r="AL869" s="196"/>
      <c r="AM869" s="196"/>
      <c r="AN869" s="196"/>
      <c r="AO869" s="196"/>
      <c r="AP869" s="196"/>
      <c r="AQ869" s="197"/>
      <c r="AR869" s="196"/>
      <c r="AS869" s="196"/>
      <c r="AT869" s="196"/>
      <c r="AU869" s="196"/>
      <c r="AV869" s="196"/>
      <c r="AW869" s="197"/>
      <c r="AX869" s="197"/>
      <c r="AY869" s="197"/>
      <c r="AZ869" s="197"/>
    </row>
    <row r="870" spans="1:52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7"/>
      <c r="N870" s="197"/>
      <c r="O870" s="198"/>
      <c r="P870" s="198"/>
      <c r="Q870" s="198"/>
      <c r="R870" s="196"/>
      <c r="S870" s="196"/>
      <c r="T870" s="196"/>
      <c r="U870" s="196"/>
      <c r="V870" s="196"/>
      <c r="W870" s="196"/>
      <c r="X870" s="197"/>
      <c r="Y870" s="197"/>
      <c r="Z870" s="197"/>
      <c r="AA870" s="196"/>
      <c r="AB870" s="196"/>
      <c r="AC870" s="196"/>
      <c r="AD870" s="196"/>
      <c r="AE870" s="196"/>
      <c r="AF870" s="196"/>
      <c r="AG870" s="196"/>
      <c r="AH870" s="196"/>
      <c r="AI870" s="196"/>
      <c r="AJ870" s="196"/>
      <c r="AK870" s="196"/>
      <c r="AL870" s="196"/>
      <c r="AM870" s="196"/>
      <c r="AN870" s="196"/>
      <c r="AO870" s="196"/>
      <c r="AP870" s="196"/>
      <c r="AQ870" s="197"/>
      <c r="AR870" s="196"/>
      <c r="AS870" s="196"/>
      <c r="AT870" s="196"/>
      <c r="AU870" s="196"/>
      <c r="AV870" s="196"/>
      <c r="AW870" s="197"/>
      <c r="AX870" s="197"/>
      <c r="AY870" s="197"/>
      <c r="AZ870" s="197"/>
    </row>
    <row r="871" spans="1:52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7"/>
      <c r="N871" s="197"/>
      <c r="O871" s="198"/>
      <c r="P871" s="198"/>
      <c r="Q871" s="198"/>
      <c r="R871" s="196"/>
      <c r="S871" s="196"/>
      <c r="T871" s="196"/>
      <c r="U871" s="196"/>
      <c r="V871" s="196"/>
      <c r="W871" s="196"/>
      <c r="X871" s="197"/>
      <c r="Y871" s="197"/>
      <c r="Z871" s="197"/>
      <c r="AA871" s="196"/>
      <c r="AB871" s="196"/>
      <c r="AC871" s="196"/>
      <c r="AD871" s="196"/>
      <c r="AE871" s="196"/>
      <c r="AF871" s="196"/>
      <c r="AG871" s="196"/>
      <c r="AH871" s="196"/>
      <c r="AI871" s="196"/>
      <c r="AJ871" s="196"/>
      <c r="AK871" s="196"/>
      <c r="AL871" s="196"/>
      <c r="AM871" s="196"/>
      <c r="AN871" s="196"/>
      <c r="AO871" s="196"/>
      <c r="AP871" s="196"/>
      <c r="AQ871" s="197"/>
      <c r="AR871" s="196"/>
      <c r="AS871" s="196"/>
      <c r="AT871" s="196"/>
      <c r="AU871" s="196"/>
      <c r="AV871" s="196"/>
      <c r="AW871" s="197"/>
      <c r="AX871" s="197"/>
      <c r="AY871" s="197"/>
      <c r="AZ871" s="197"/>
    </row>
    <row r="872" spans="1:52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7"/>
      <c r="N872" s="197"/>
      <c r="O872" s="198"/>
      <c r="P872" s="198"/>
      <c r="Q872" s="198"/>
      <c r="R872" s="196"/>
      <c r="S872" s="196"/>
      <c r="T872" s="196"/>
      <c r="U872" s="196"/>
      <c r="V872" s="196"/>
      <c r="W872" s="196"/>
      <c r="X872" s="197"/>
      <c r="Y872" s="197"/>
      <c r="Z872" s="197"/>
      <c r="AA872" s="196"/>
      <c r="AB872" s="196"/>
      <c r="AC872" s="196"/>
      <c r="AD872" s="196"/>
      <c r="AE872" s="196"/>
      <c r="AF872" s="196"/>
      <c r="AG872" s="196"/>
      <c r="AH872" s="196"/>
      <c r="AI872" s="196"/>
      <c r="AJ872" s="196"/>
      <c r="AK872" s="196"/>
      <c r="AL872" s="196"/>
      <c r="AM872" s="196"/>
      <c r="AN872" s="196"/>
      <c r="AO872" s="196"/>
      <c r="AP872" s="196"/>
      <c r="AQ872" s="197"/>
      <c r="AR872" s="196"/>
      <c r="AS872" s="196"/>
      <c r="AT872" s="196"/>
      <c r="AU872" s="196"/>
      <c r="AV872" s="196"/>
      <c r="AW872" s="197"/>
      <c r="AX872" s="197"/>
      <c r="AY872" s="197"/>
      <c r="AZ872" s="197"/>
    </row>
    <row r="873" spans="1:52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7"/>
      <c r="N873" s="197"/>
      <c r="O873" s="198"/>
      <c r="P873" s="198"/>
      <c r="Q873" s="198"/>
      <c r="R873" s="196"/>
      <c r="S873" s="196"/>
      <c r="T873" s="196"/>
      <c r="U873" s="196"/>
      <c r="V873" s="196"/>
      <c r="W873" s="196"/>
      <c r="X873" s="197"/>
      <c r="Y873" s="197"/>
      <c r="Z873" s="197"/>
      <c r="AA873" s="196"/>
      <c r="AB873" s="196"/>
      <c r="AC873" s="196"/>
      <c r="AD873" s="196"/>
      <c r="AE873" s="196"/>
      <c r="AF873" s="196"/>
      <c r="AG873" s="196"/>
      <c r="AH873" s="196"/>
      <c r="AI873" s="196"/>
      <c r="AJ873" s="196"/>
      <c r="AK873" s="196"/>
      <c r="AL873" s="196"/>
      <c r="AM873" s="196"/>
      <c r="AN873" s="196"/>
      <c r="AO873" s="196"/>
      <c r="AP873" s="196"/>
      <c r="AQ873" s="197"/>
      <c r="AR873" s="196"/>
      <c r="AS873" s="196"/>
      <c r="AT873" s="196"/>
      <c r="AU873" s="196"/>
      <c r="AV873" s="196"/>
      <c r="AW873" s="197"/>
      <c r="AX873" s="197"/>
      <c r="AY873" s="197"/>
      <c r="AZ873" s="197"/>
    </row>
    <row r="874" spans="1:52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7"/>
      <c r="N874" s="197"/>
      <c r="O874" s="198"/>
      <c r="P874" s="198"/>
      <c r="Q874" s="198"/>
      <c r="R874" s="196"/>
      <c r="S874" s="196"/>
      <c r="T874" s="196"/>
      <c r="U874" s="196"/>
      <c r="V874" s="196"/>
      <c r="W874" s="196"/>
      <c r="X874" s="197"/>
      <c r="Y874" s="197"/>
      <c r="Z874" s="197"/>
      <c r="AA874" s="196"/>
      <c r="AB874" s="196"/>
      <c r="AC874" s="196"/>
      <c r="AD874" s="196"/>
      <c r="AE874" s="196"/>
      <c r="AF874" s="196"/>
      <c r="AG874" s="196"/>
      <c r="AH874" s="196"/>
      <c r="AI874" s="196"/>
      <c r="AJ874" s="196"/>
      <c r="AK874" s="196"/>
      <c r="AL874" s="196"/>
      <c r="AM874" s="196"/>
      <c r="AN874" s="196"/>
      <c r="AO874" s="196"/>
      <c r="AP874" s="196"/>
      <c r="AQ874" s="197"/>
      <c r="AR874" s="196"/>
      <c r="AS874" s="196"/>
      <c r="AT874" s="196"/>
      <c r="AU874" s="196"/>
      <c r="AV874" s="196"/>
      <c r="AW874" s="197"/>
      <c r="AX874" s="197"/>
      <c r="AY874" s="197"/>
      <c r="AZ874" s="197"/>
    </row>
    <row r="875" spans="1:52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7"/>
      <c r="N875" s="197"/>
      <c r="O875" s="198"/>
      <c r="P875" s="198"/>
      <c r="Q875" s="198"/>
      <c r="R875" s="196"/>
      <c r="S875" s="196"/>
      <c r="T875" s="196"/>
      <c r="U875" s="196"/>
      <c r="V875" s="196"/>
      <c r="W875" s="196"/>
      <c r="X875" s="197"/>
      <c r="Y875" s="197"/>
      <c r="Z875" s="197"/>
      <c r="AA875" s="196"/>
      <c r="AB875" s="196"/>
      <c r="AC875" s="196"/>
      <c r="AD875" s="196"/>
      <c r="AE875" s="196"/>
      <c r="AF875" s="196"/>
      <c r="AG875" s="196"/>
      <c r="AH875" s="196"/>
      <c r="AI875" s="196"/>
      <c r="AJ875" s="196"/>
      <c r="AK875" s="196"/>
      <c r="AL875" s="196"/>
      <c r="AM875" s="196"/>
      <c r="AN875" s="196"/>
      <c r="AO875" s="196"/>
      <c r="AP875" s="196"/>
      <c r="AQ875" s="197"/>
      <c r="AR875" s="196"/>
      <c r="AS875" s="196"/>
      <c r="AT875" s="196"/>
      <c r="AU875" s="196"/>
      <c r="AV875" s="196"/>
      <c r="AW875" s="197"/>
      <c r="AX875" s="197"/>
      <c r="AY875" s="197"/>
      <c r="AZ875" s="197"/>
    </row>
    <row r="876" spans="1:52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7"/>
      <c r="N876" s="197"/>
      <c r="O876" s="198"/>
      <c r="P876" s="198"/>
      <c r="Q876" s="198"/>
      <c r="R876" s="196"/>
      <c r="S876" s="196"/>
      <c r="T876" s="196"/>
      <c r="U876" s="196"/>
      <c r="V876" s="196"/>
      <c r="W876" s="196"/>
      <c r="X876" s="197"/>
      <c r="Y876" s="197"/>
      <c r="Z876" s="197"/>
      <c r="AA876" s="196"/>
      <c r="AB876" s="196"/>
      <c r="AC876" s="196"/>
      <c r="AD876" s="196"/>
      <c r="AE876" s="196"/>
      <c r="AF876" s="196"/>
      <c r="AG876" s="196"/>
      <c r="AH876" s="196"/>
      <c r="AI876" s="196"/>
      <c r="AJ876" s="196"/>
      <c r="AK876" s="196"/>
      <c r="AL876" s="196"/>
      <c r="AM876" s="196"/>
      <c r="AN876" s="196"/>
      <c r="AO876" s="196"/>
      <c r="AP876" s="196"/>
      <c r="AQ876" s="197"/>
      <c r="AR876" s="196"/>
      <c r="AS876" s="196"/>
      <c r="AT876" s="196"/>
      <c r="AU876" s="196"/>
      <c r="AV876" s="196"/>
      <c r="AW876" s="197"/>
      <c r="AX876" s="197"/>
      <c r="AY876" s="197"/>
      <c r="AZ876" s="197"/>
    </row>
    <row r="877" spans="1:52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7"/>
      <c r="N877" s="197"/>
      <c r="O877" s="198"/>
      <c r="P877" s="198"/>
      <c r="Q877" s="198"/>
      <c r="R877" s="196"/>
      <c r="S877" s="196"/>
      <c r="T877" s="196"/>
      <c r="U877" s="196"/>
      <c r="V877" s="196"/>
      <c r="W877" s="196"/>
      <c r="X877" s="197"/>
      <c r="Y877" s="197"/>
      <c r="Z877" s="197"/>
      <c r="AA877" s="196"/>
      <c r="AB877" s="196"/>
      <c r="AC877" s="196"/>
      <c r="AD877" s="196"/>
      <c r="AE877" s="196"/>
      <c r="AF877" s="196"/>
      <c r="AG877" s="196"/>
      <c r="AH877" s="196"/>
      <c r="AI877" s="196"/>
      <c r="AJ877" s="196"/>
      <c r="AK877" s="196"/>
      <c r="AL877" s="196"/>
      <c r="AM877" s="196"/>
      <c r="AN877" s="196"/>
      <c r="AO877" s="196"/>
      <c r="AP877" s="196"/>
      <c r="AQ877" s="197"/>
      <c r="AR877" s="196"/>
      <c r="AS877" s="196"/>
      <c r="AT877" s="196"/>
      <c r="AU877" s="196"/>
      <c r="AV877" s="196"/>
      <c r="AW877" s="197"/>
      <c r="AX877" s="197"/>
      <c r="AY877" s="197"/>
      <c r="AZ877" s="197"/>
    </row>
    <row r="878" spans="1:52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7"/>
      <c r="N878" s="197"/>
      <c r="O878" s="198"/>
      <c r="P878" s="198"/>
      <c r="Q878" s="198"/>
      <c r="R878" s="196"/>
      <c r="S878" s="196"/>
      <c r="T878" s="196"/>
      <c r="U878" s="196"/>
      <c r="V878" s="196"/>
      <c r="W878" s="196"/>
      <c r="X878" s="197"/>
      <c r="Y878" s="197"/>
      <c r="Z878" s="197"/>
      <c r="AA878" s="196"/>
      <c r="AB878" s="196"/>
      <c r="AC878" s="196"/>
      <c r="AD878" s="196"/>
      <c r="AE878" s="196"/>
      <c r="AF878" s="196"/>
      <c r="AG878" s="196"/>
      <c r="AH878" s="196"/>
      <c r="AI878" s="196"/>
      <c r="AJ878" s="196"/>
      <c r="AK878" s="196"/>
      <c r="AL878" s="196"/>
      <c r="AM878" s="196"/>
      <c r="AN878" s="196"/>
      <c r="AO878" s="196"/>
      <c r="AP878" s="196"/>
      <c r="AQ878" s="197"/>
      <c r="AR878" s="196"/>
      <c r="AS878" s="196"/>
      <c r="AT878" s="196"/>
      <c r="AU878" s="196"/>
      <c r="AV878" s="196"/>
      <c r="AW878" s="197"/>
      <c r="AX878" s="197"/>
      <c r="AY878" s="197"/>
      <c r="AZ878" s="197"/>
    </row>
    <row r="879" spans="1:52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7"/>
      <c r="N879" s="197"/>
      <c r="O879" s="198"/>
      <c r="P879" s="198"/>
      <c r="Q879" s="198"/>
      <c r="R879" s="196"/>
      <c r="S879" s="196"/>
      <c r="T879" s="196"/>
      <c r="U879" s="196"/>
      <c r="V879" s="196"/>
      <c r="W879" s="196"/>
      <c r="X879" s="197"/>
      <c r="Y879" s="197"/>
      <c r="Z879" s="197"/>
      <c r="AA879" s="196"/>
      <c r="AB879" s="196"/>
      <c r="AC879" s="196"/>
      <c r="AD879" s="196"/>
      <c r="AE879" s="196"/>
      <c r="AF879" s="196"/>
      <c r="AG879" s="196"/>
      <c r="AH879" s="196"/>
      <c r="AI879" s="196"/>
      <c r="AJ879" s="196"/>
      <c r="AK879" s="196"/>
      <c r="AL879" s="196"/>
      <c r="AM879" s="196"/>
      <c r="AN879" s="196"/>
      <c r="AO879" s="196"/>
      <c r="AP879" s="196"/>
      <c r="AQ879" s="197"/>
      <c r="AR879" s="196"/>
      <c r="AS879" s="196"/>
      <c r="AT879" s="196"/>
      <c r="AU879" s="196"/>
      <c r="AV879" s="196"/>
      <c r="AW879" s="197"/>
      <c r="AX879" s="197"/>
      <c r="AY879" s="197"/>
      <c r="AZ879" s="197"/>
    </row>
    <row r="880" spans="1:52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7"/>
      <c r="N880" s="197"/>
      <c r="O880" s="198"/>
      <c r="P880" s="198"/>
      <c r="Q880" s="198"/>
      <c r="R880" s="196"/>
      <c r="S880" s="196"/>
      <c r="T880" s="196"/>
      <c r="U880" s="196"/>
      <c r="V880" s="196"/>
      <c r="W880" s="196"/>
      <c r="X880" s="197"/>
      <c r="Y880" s="197"/>
      <c r="Z880" s="197"/>
      <c r="AA880" s="196"/>
      <c r="AB880" s="196"/>
      <c r="AC880" s="196"/>
      <c r="AD880" s="196"/>
      <c r="AE880" s="196"/>
      <c r="AF880" s="196"/>
      <c r="AG880" s="196"/>
      <c r="AH880" s="196"/>
      <c r="AI880" s="196"/>
      <c r="AJ880" s="196"/>
      <c r="AK880" s="196"/>
      <c r="AL880" s="196"/>
      <c r="AM880" s="196"/>
      <c r="AN880" s="196"/>
      <c r="AO880" s="196"/>
      <c r="AP880" s="196"/>
      <c r="AQ880" s="197"/>
      <c r="AR880" s="196"/>
      <c r="AS880" s="196"/>
      <c r="AT880" s="196"/>
      <c r="AU880" s="196"/>
      <c r="AV880" s="196"/>
      <c r="AW880" s="197"/>
      <c r="AX880" s="197"/>
      <c r="AY880" s="197"/>
      <c r="AZ880" s="197"/>
    </row>
    <row r="881" spans="1:52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7"/>
      <c r="N881" s="197"/>
      <c r="O881" s="198"/>
      <c r="P881" s="198"/>
      <c r="Q881" s="198"/>
      <c r="R881" s="196"/>
      <c r="S881" s="196"/>
      <c r="T881" s="196"/>
      <c r="U881" s="196"/>
      <c r="V881" s="196"/>
      <c r="W881" s="196"/>
      <c r="X881" s="197"/>
      <c r="Y881" s="197"/>
      <c r="Z881" s="197"/>
      <c r="AA881" s="196"/>
      <c r="AB881" s="196"/>
      <c r="AC881" s="196"/>
      <c r="AD881" s="196"/>
      <c r="AE881" s="196"/>
      <c r="AF881" s="196"/>
      <c r="AG881" s="196"/>
      <c r="AH881" s="196"/>
      <c r="AI881" s="196"/>
      <c r="AJ881" s="196"/>
      <c r="AK881" s="196"/>
      <c r="AL881" s="196"/>
      <c r="AM881" s="196"/>
      <c r="AN881" s="196"/>
      <c r="AO881" s="196"/>
      <c r="AP881" s="196"/>
      <c r="AQ881" s="197"/>
      <c r="AR881" s="196"/>
      <c r="AS881" s="196"/>
      <c r="AT881" s="196"/>
      <c r="AU881" s="196"/>
      <c r="AV881" s="196"/>
      <c r="AW881" s="197"/>
      <c r="AX881" s="197"/>
      <c r="AY881" s="197"/>
      <c r="AZ881" s="197"/>
    </row>
    <row r="882" spans="1:52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7"/>
      <c r="N882" s="197"/>
      <c r="O882" s="198"/>
      <c r="P882" s="198"/>
      <c r="Q882" s="198"/>
      <c r="R882" s="196"/>
      <c r="S882" s="196"/>
      <c r="T882" s="196"/>
      <c r="U882" s="196"/>
      <c r="V882" s="196"/>
      <c r="W882" s="196"/>
      <c r="X882" s="197"/>
      <c r="Y882" s="197"/>
      <c r="Z882" s="197"/>
      <c r="AA882" s="196"/>
      <c r="AB882" s="196"/>
      <c r="AC882" s="196"/>
      <c r="AD882" s="196"/>
      <c r="AE882" s="196"/>
      <c r="AF882" s="196"/>
      <c r="AG882" s="196"/>
      <c r="AH882" s="196"/>
      <c r="AI882" s="196"/>
      <c r="AJ882" s="196"/>
      <c r="AK882" s="196"/>
      <c r="AL882" s="196"/>
      <c r="AM882" s="196"/>
      <c r="AN882" s="196"/>
      <c r="AO882" s="196"/>
      <c r="AP882" s="196"/>
      <c r="AQ882" s="197"/>
      <c r="AR882" s="196"/>
      <c r="AS882" s="196"/>
      <c r="AT882" s="196"/>
      <c r="AU882" s="196"/>
      <c r="AV882" s="196"/>
      <c r="AW882" s="197"/>
      <c r="AX882" s="197"/>
      <c r="AY882" s="197"/>
      <c r="AZ882" s="197"/>
    </row>
    <row r="883" spans="1:52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7"/>
      <c r="N883" s="197"/>
      <c r="O883" s="198"/>
      <c r="P883" s="198"/>
      <c r="Q883" s="198"/>
      <c r="R883" s="196"/>
      <c r="S883" s="196"/>
      <c r="T883" s="196"/>
      <c r="U883" s="196"/>
      <c r="V883" s="196"/>
      <c r="W883" s="196"/>
      <c r="X883" s="197"/>
      <c r="Y883" s="197"/>
      <c r="Z883" s="197"/>
      <c r="AA883" s="196"/>
      <c r="AB883" s="196"/>
      <c r="AC883" s="196"/>
      <c r="AD883" s="196"/>
      <c r="AE883" s="196"/>
      <c r="AF883" s="196"/>
      <c r="AG883" s="196"/>
      <c r="AH883" s="196"/>
      <c r="AI883" s="196"/>
      <c r="AJ883" s="196"/>
      <c r="AK883" s="196"/>
      <c r="AL883" s="196"/>
      <c r="AM883" s="196"/>
      <c r="AN883" s="196"/>
      <c r="AO883" s="196"/>
      <c r="AP883" s="196"/>
      <c r="AQ883" s="197"/>
      <c r="AR883" s="196"/>
      <c r="AS883" s="196"/>
      <c r="AT883" s="196"/>
      <c r="AU883" s="196"/>
      <c r="AV883" s="196"/>
      <c r="AW883" s="197"/>
      <c r="AX883" s="197"/>
      <c r="AY883" s="197"/>
      <c r="AZ883" s="197"/>
    </row>
    <row r="884" spans="1:52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7"/>
      <c r="N884" s="197"/>
      <c r="O884" s="198"/>
      <c r="P884" s="198"/>
      <c r="Q884" s="198"/>
      <c r="R884" s="196"/>
      <c r="S884" s="196"/>
      <c r="T884" s="196"/>
      <c r="U884" s="196"/>
      <c r="V884" s="196"/>
      <c r="W884" s="196"/>
      <c r="X884" s="197"/>
      <c r="Y884" s="197"/>
      <c r="Z884" s="197"/>
      <c r="AA884" s="196"/>
      <c r="AB884" s="196"/>
      <c r="AC884" s="196"/>
      <c r="AD884" s="196"/>
      <c r="AE884" s="196"/>
      <c r="AF884" s="196"/>
      <c r="AG884" s="196"/>
      <c r="AH884" s="196"/>
      <c r="AI884" s="196"/>
      <c r="AJ884" s="196"/>
      <c r="AK884" s="196"/>
      <c r="AL884" s="196"/>
      <c r="AM884" s="196"/>
      <c r="AN884" s="196"/>
      <c r="AO884" s="196"/>
      <c r="AP884" s="196"/>
      <c r="AQ884" s="197"/>
      <c r="AR884" s="196"/>
      <c r="AS884" s="196"/>
      <c r="AT884" s="196"/>
      <c r="AU884" s="196"/>
      <c r="AV884" s="196"/>
      <c r="AW884" s="197"/>
      <c r="AX884" s="197"/>
      <c r="AY884" s="197"/>
      <c r="AZ884" s="197"/>
    </row>
    <row r="885" spans="1:52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7"/>
      <c r="N885" s="197"/>
      <c r="O885" s="198"/>
      <c r="P885" s="198"/>
      <c r="Q885" s="198"/>
      <c r="R885" s="196"/>
      <c r="S885" s="196"/>
      <c r="T885" s="196"/>
      <c r="U885" s="196"/>
      <c r="V885" s="196"/>
      <c r="W885" s="196"/>
      <c r="X885" s="197"/>
      <c r="Y885" s="197"/>
      <c r="Z885" s="197"/>
      <c r="AA885" s="196"/>
      <c r="AB885" s="196"/>
      <c r="AC885" s="196"/>
      <c r="AD885" s="196"/>
      <c r="AE885" s="196"/>
      <c r="AF885" s="196"/>
      <c r="AG885" s="196"/>
      <c r="AH885" s="196"/>
      <c r="AI885" s="196"/>
      <c r="AJ885" s="196"/>
      <c r="AK885" s="196"/>
      <c r="AL885" s="196"/>
      <c r="AM885" s="196"/>
      <c r="AN885" s="196"/>
      <c r="AO885" s="196"/>
      <c r="AP885" s="196"/>
      <c r="AQ885" s="197"/>
      <c r="AR885" s="196"/>
      <c r="AS885" s="196"/>
      <c r="AT885" s="196"/>
      <c r="AU885" s="196"/>
      <c r="AV885" s="196"/>
      <c r="AW885" s="197"/>
      <c r="AX885" s="197"/>
      <c r="AY885" s="197"/>
      <c r="AZ885" s="197"/>
    </row>
    <row r="886" spans="1:52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7"/>
      <c r="N886" s="197"/>
      <c r="O886" s="198"/>
      <c r="P886" s="198"/>
      <c r="Q886" s="198"/>
      <c r="R886" s="196"/>
      <c r="S886" s="196"/>
      <c r="T886" s="196"/>
      <c r="U886" s="196"/>
      <c r="V886" s="196"/>
      <c r="W886" s="196"/>
      <c r="X886" s="197"/>
      <c r="Y886" s="197"/>
      <c r="Z886" s="197"/>
      <c r="AA886" s="196"/>
      <c r="AB886" s="196"/>
      <c r="AC886" s="196"/>
      <c r="AD886" s="196"/>
      <c r="AE886" s="196"/>
      <c r="AF886" s="196"/>
      <c r="AG886" s="196"/>
      <c r="AH886" s="196"/>
      <c r="AI886" s="196"/>
      <c r="AJ886" s="196"/>
      <c r="AK886" s="196"/>
      <c r="AL886" s="196"/>
      <c r="AM886" s="196"/>
      <c r="AN886" s="196"/>
      <c r="AO886" s="196"/>
      <c r="AP886" s="196"/>
      <c r="AQ886" s="197"/>
      <c r="AR886" s="196"/>
      <c r="AS886" s="196"/>
      <c r="AT886" s="196"/>
      <c r="AU886" s="196"/>
      <c r="AV886" s="196"/>
      <c r="AW886" s="197"/>
      <c r="AX886" s="197"/>
      <c r="AY886" s="197"/>
      <c r="AZ886" s="197"/>
    </row>
    <row r="887" spans="1:52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7"/>
      <c r="N887" s="197"/>
      <c r="O887" s="198"/>
      <c r="P887" s="198"/>
      <c r="Q887" s="198"/>
      <c r="R887" s="196"/>
      <c r="S887" s="196"/>
      <c r="T887" s="196"/>
      <c r="U887" s="196"/>
      <c r="V887" s="196"/>
      <c r="W887" s="196"/>
      <c r="X887" s="197"/>
      <c r="Y887" s="197"/>
      <c r="Z887" s="197"/>
      <c r="AA887" s="196"/>
      <c r="AB887" s="196"/>
      <c r="AC887" s="196"/>
      <c r="AD887" s="196"/>
      <c r="AE887" s="196"/>
      <c r="AF887" s="196"/>
      <c r="AG887" s="196"/>
      <c r="AH887" s="196"/>
      <c r="AI887" s="196"/>
      <c r="AJ887" s="196"/>
      <c r="AK887" s="196"/>
      <c r="AL887" s="196"/>
      <c r="AM887" s="196"/>
      <c r="AN887" s="196"/>
      <c r="AO887" s="196"/>
      <c r="AP887" s="196"/>
      <c r="AQ887" s="197"/>
      <c r="AR887" s="196"/>
      <c r="AS887" s="196"/>
      <c r="AT887" s="196"/>
      <c r="AU887" s="196"/>
      <c r="AV887" s="196"/>
      <c r="AW887" s="197"/>
      <c r="AX887" s="197"/>
      <c r="AY887" s="197"/>
      <c r="AZ887" s="197"/>
    </row>
    <row r="888" spans="1:52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7"/>
      <c r="N888" s="197"/>
      <c r="O888" s="198"/>
      <c r="P888" s="198"/>
      <c r="Q888" s="198"/>
      <c r="R888" s="196"/>
      <c r="S888" s="196"/>
      <c r="T888" s="196"/>
      <c r="U888" s="196"/>
      <c r="V888" s="196"/>
      <c r="W888" s="196"/>
      <c r="X888" s="197"/>
      <c r="Y888" s="197"/>
      <c r="Z888" s="197"/>
      <c r="AA888" s="196"/>
      <c r="AB888" s="196"/>
      <c r="AC888" s="196"/>
      <c r="AD888" s="196"/>
      <c r="AE888" s="196"/>
      <c r="AF888" s="196"/>
      <c r="AG888" s="196"/>
      <c r="AH888" s="196"/>
      <c r="AI888" s="196"/>
      <c r="AJ888" s="196"/>
      <c r="AK888" s="196"/>
      <c r="AL888" s="196"/>
      <c r="AM888" s="196"/>
      <c r="AN888" s="196"/>
      <c r="AO888" s="196"/>
      <c r="AP888" s="196"/>
      <c r="AQ888" s="197"/>
      <c r="AR888" s="196"/>
      <c r="AS888" s="196"/>
      <c r="AT888" s="196"/>
      <c r="AU888" s="196"/>
      <c r="AV888" s="196"/>
      <c r="AW888" s="197"/>
      <c r="AX888" s="197"/>
      <c r="AY888" s="197"/>
      <c r="AZ888" s="197"/>
    </row>
    <row r="889" spans="1:52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7"/>
      <c r="N889" s="197"/>
      <c r="O889" s="198"/>
      <c r="P889" s="198"/>
      <c r="Q889" s="198"/>
      <c r="R889" s="196"/>
      <c r="S889" s="196"/>
      <c r="T889" s="196"/>
      <c r="U889" s="196"/>
      <c r="V889" s="196"/>
      <c r="W889" s="196"/>
      <c r="X889" s="197"/>
      <c r="Y889" s="197"/>
      <c r="Z889" s="197"/>
      <c r="AA889" s="196"/>
      <c r="AB889" s="196"/>
      <c r="AC889" s="196"/>
      <c r="AD889" s="196"/>
      <c r="AE889" s="196"/>
      <c r="AF889" s="196"/>
      <c r="AG889" s="196"/>
      <c r="AH889" s="196"/>
      <c r="AI889" s="196"/>
      <c r="AJ889" s="196"/>
      <c r="AK889" s="196"/>
      <c r="AL889" s="196"/>
      <c r="AM889" s="196"/>
      <c r="AN889" s="196"/>
      <c r="AO889" s="196"/>
      <c r="AP889" s="196"/>
      <c r="AQ889" s="197"/>
      <c r="AR889" s="196"/>
      <c r="AS889" s="196"/>
      <c r="AT889" s="196"/>
      <c r="AU889" s="196"/>
      <c r="AV889" s="196"/>
      <c r="AW889" s="197"/>
      <c r="AX889" s="197"/>
      <c r="AY889" s="197"/>
      <c r="AZ889" s="197"/>
    </row>
    <row r="890" spans="1:52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7"/>
      <c r="N890" s="197"/>
      <c r="O890" s="198"/>
      <c r="P890" s="198"/>
      <c r="Q890" s="198"/>
      <c r="R890" s="196"/>
      <c r="S890" s="196"/>
      <c r="T890" s="196"/>
      <c r="U890" s="196"/>
      <c r="V890" s="196"/>
      <c r="W890" s="196"/>
      <c r="X890" s="197"/>
      <c r="Y890" s="197"/>
      <c r="Z890" s="197"/>
      <c r="AA890" s="196"/>
      <c r="AB890" s="196"/>
      <c r="AC890" s="196"/>
      <c r="AD890" s="196"/>
      <c r="AE890" s="196"/>
      <c r="AF890" s="196"/>
      <c r="AG890" s="196"/>
      <c r="AH890" s="196"/>
      <c r="AI890" s="196"/>
      <c r="AJ890" s="196"/>
      <c r="AK890" s="196"/>
      <c r="AL890" s="196"/>
      <c r="AM890" s="196"/>
      <c r="AN890" s="196"/>
      <c r="AO890" s="196"/>
      <c r="AP890" s="196"/>
      <c r="AQ890" s="197"/>
      <c r="AR890" s="196"/>
      <c r="AS890" s="196"/>
      <c r="AT890" s="196"/>
      <c r="AU890" s="196"/>
      <c r="AV890" s="196"/>
      <c r="AW890" s="197"/>
      <c r="AX890" s="197"/>
      <c r="AY890" s="197"/>
      <c r="AZ890" s="197"/>
    </row>
    <row r="891" spans="1:52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7"/>
      <c r="N891" s="197"/>
      <c r="O891" s="198"/>
      <c r="P891" s="198"/>
      <c r="Q891" s="198"/>
      <c r="R891" s="196"/>
      <c r="S891" s="196"/>
      <c r="T891" s="196"/>
      <c r="U891" s="196"/>
      <c r="V891" s="196"/>
      <c r="W891" s="196"/>
      <c r="X891" s="197"/>
      <c r="Y891" s="197"/>
      <c r="Z891" s="197"/>
      <c r="AA891" s="196"/>
      <c r="AB891" s="196"/>
      <c r="AC891" s="196"/>
      <c r="AD891" s="196"/>
      <c r="AE891" s="196"/>
      <c r="AF891" s="196"/>
      <c r="AG891" s="196"/>
      <c r="AH891" s="196"/>
      <c r="AI891" s="196"/>
      <c r="AJ891" s="196"/>
      <c r="AK891" s="196"/>
      <c r="AL891" s="196"/>
      <c r="AM891" s="196"/>
      <c r="AN891" s="196"/>
      <c r="AO891" s="196"/>
      <c r="AP891" s="196"/>
      <c r="AQ891" s="197"/>
      <c r="AR891" s="196"/>
      <c r="AS891" s="196"/>
      <c r="AT891" s="196"/>
      <c r="AU891" s="196"/>
      <c r="AV891" s="196"/>
      <c r="AW891" s="197"/>
      <c r="AX891" s="197"/>
      <c r="AY891" s="197"/>
      <c r="AZ891" s="197"/>
    </row>
    <row r="892" spans="1:52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7"/>
      <c r="N892" s="197"/>
      <c r="O892" s="198"/>
      <c r="P892" s="198"/>
      <c r="Q892" s="198"/>
      <c r="R892" s="196"/>
      <c r="S892" s="196"/>
      <c r="T892" s="196"/>
      <c r="U892" s="196"/>
      <c r="V892" s="196"/>
      <c r="W892" s="196"/>
      <c r="X892" s="197"/>
      <c r="Y892" s="197"/>
      <c r="Z892" s="197"/>
      <c r="AA892" s="196"/>
      <c r="AB892" s="196"/>
      <c r="AC892" s="196"/>
      <c r="AD892" s="196"/>
      <c r="AE892" s="196"/>
      <c r="AF892" s="196"/>
      <c r="AG892" s="196"/>
      <c r="AH892" s="196"/>
      <c r="AI892" s="196"/>
      <c r="AJ892" s="196"/>
      <c r="AK892" s="196"/>
      <c r="AL892" s="196"/>
      <c r="AM892" s="196"/>
      <c r="AN892" s="196"/>
      <c r="AO892" s="196"/>
      <c r="AP892" s="196"/>
      <c r="AQ892" s="197"/>
      <c r="AR892" s="196"/>
      <c r="AS892" s="196"/>
      <c r="AT892" s="196"/>
      <c r="AU892" s="196"/>
      <c r="AV892" s="196"/>
      <c r="AW892" s="197"/>
      <c r="AX892" s="197"/>
      <c r="AY892" s="197"/>
      <c r="AZ892" s="197"/>
    </row>
    <row r="893" spans="1:52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7"/>
      <c r="N893" s="197"/>
      <c r="O893" s="198"/>
      <c r="P893" s="198"/>
      <c r="Q893" s="198"/>
      <c r="R893" s="196"/>
      <c r="S893" s="196"/>
      <c r="T893" s="196"/>
      <c r="U893" s="196"/>
      <c r="V893" s="196"/>
      <c r="W893" s="196"/>
      <c r="X893" s="197"/>
      <c r="Y893" s="197"/>
      <c r="Z893" s="197"/>
      <c r="AA893" s="196"/>
      <c r="AB893" s="196"/>
      <c r="AC893" s="196"/>
      <c r="AD893" s="196"/>
      <c r="AE893" s="196"/>
      <c r="AF893" s="196"/>
      <c r="AG893" s="196"/>
      <c r="AH893" s="196"/>
      <c r="AI893" s="196"/>
      <c r="AJ893" s="196"/>
      <c r="AK893" s="196"/>
      <c r="AL893" s="196"/>
      <c r="AM893" s="196"/>
      <c r="AN893" s="196"/>
      <c r="AO893" s="196"/>
      <c r="AP893" s="196"/>
      <c r="AQ893" s="197"/>
      <c r="AR893" s="196"/>
      <c r="AS893" s="196"/>
      <c r="AT893" s="196"/>
      <c r="AU893" s="196"/>
      <c r="AV893" s="196"/>
      <c r="AW893" s="197"/>
      <c r="AX893" s="197"/>
      <c r="AY893" s="197"/>
      <c r="AZ893" s="197"/>
    </row>
    <row r="894" spans="1:52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7"/>
      <c r="N894" s="197"/>
      <c r="O894" s="198"/>
      <c r="P894" s="198"/>
      <c r="Q894" s="198"/>
      <c r="R894" s="196"/>
      <c r="S894" s="196"/>
      <c r="T894" s="196"/>
      <c r="U894" s="196"/>
      <c r="V894" s="196"/>
      <c r="W894" s="196"/>
      <c r="X894" s="197"/>
      <c r="Y894" s="197"/>
      <c r="Z894" s="197"/>
      <c r="AA894" s="196"/>
      <c r="AB894" s="196"/>
      <c r="AC894" s="196"/>
      <c r="AD894" s="196"/>
      <c r="AE894" s="196"/>
      <c r="AF894" s="196"/>
      <c r="AG894" s="196"/>
      <c r="AH894" s="196"/>
      <c r="AI894" s="196"/>
      <c r="AJ894" s="196"/>
      <c r="AK894" s="196"/>
      <c r="AL894" s="196"/>
      <c r="AM894" s="196"/>
      <c r="AN894" s="196"/>
      <c r="AO894" s="196"/>
      <c r="AP894" s="196"/>
      <c r="AQ894" s="197"/>
      <c r="AR894" s="196"/>
      <c r="AS894" s="196"/>
      <c r="AT894" s="196"/>
      <c r="AU894" s="196"/>
      <c r="AV894" s="196"/>
      <c r="AW894" s="197"/>
      <c r="AX894" s="197"/>
      <c r="AY894" s="197"/>
      <c r="AZ894" s="197"/>
    </row>
    <row r="895" spans="1:52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7"/>
      <c r="N895" s="197"/>
      <c r="O895" s="198"/>
      <c r="P895" s="198"/>
      <c r="Q895" s="198"/>
      <c r="R895" s="196"/>
      <c r="S895" s="196"/>
      <c r="T895" s="196"/>
      <c r="U895" s="196"/>
      <c r="V895" s="196"/>
      <c r="W895" s="196"/>
      <c r="X895" s="197"/>
      <c r="Y895" s="197"/>
      <c r="Z895" s="197"/>
      <c r="AA895" s="196"/>
      <c r="AB895" s="196"/>
      <c r="AC895" s="196"/>
      <c r="AD895" s="196"/>
      <c r="AE895" s="196"/>
      <c r="AF895" s="196"/>
      <c r="AG895" s="196"/>
      <c r="AH895" s="196"/>
      <c r="AI895" s="196"/>
      <c r="AJ895" s="196"/>
      <c r="AK895" s="196"/>
      <c r="AL895" s="196"/>
      <c r="AM895" s="196"/>
      <c r="AN895" s="196"/>
      <c r="AO895" s="196"/>
      <c r="AP895" s="196"/>
      <c r="AQ895" s="197"/>
      <c r="AR895" s="196"/>
      <c r="AS895" s="196"/>
      <c r="AT895" s="196"/>
      <c r="AU895" s="196"/>
      <c r="AV895" s="196"/>
      <c r="AW895" s="197"/>
      <c r="AX895" s="197"/>
      <c r="AY895" s="197"/>
      <c r="AZ895" s="197"/>
    </row>
    <row r="896" spans="1:52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7"/>
      <c r="N896" s="197"/>
      <c r="O896" s="198"/>
      <c r="P896" s="198"/>
      <c r="Q896" s="198"/>
      <c r="R896" s="196"/>
      <c r="S896" s="196"/>
      <c r="T896" s="196"/>
      <c r="U896" s="196"/>
      <c r="V896" s="196"/>
      <c r="W896" s="196"/>
      <c r="X896" s="197"/>
      <c r="Y896" s="197"/>
      <c r="Z896" s="197"/>
      <c r="AA896" s="196"/>
      <c r="AB896" s="196"/>
      <c r="AC896" s="196"/>
      <c r="AD896" s="196"/>
      <c r="AE896" s="196"/>
      <c r="AF896" s="196"/>
      <c r="AG896" s="196"/>
      <c r="AH896" s="196"/>
      <c r="AI896" s="196"/>
      <c r="AJ896" s="196"/>
      <c r="AK896" s="196"/>
      <c r="AL896" s="196"/>
      <c r="AM896" s="196"/>
      <c r="AN896" s="196"/>
      <c r="AO896" s="196"/>
      <c r="AP896" s="196"/>
      <c r="AQ896" s="197"/>
      <c r="AR896" s="196"/>
      <c r="AS896" s="196"/>
      <c r="AT896" s="196"/>
      <c r="AU896" s="196"/>
      <c r="AV896" s="196"/>
      <c r="AW896" s="197"/>
      <c r="AX896" s="197"/>
      <c r="AY896" s="197"/>
      <c r="AZ896" s="197"/>
    </row>
    <row r="897" spans="1:52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7"/>
      <c r="N897" s="197"/>
      <c r="O897" s="198"/>
      <c r="P897" s="198"/>
      <c r="Q897" s="198"/>
      <c r="R897" s="196"/>
      <c r="S897" s="196"/>
      <c r="T897" s="196"/>
      <c r="U897" s="196"/>
      <c r="V897" s="196"/>
      <c r="W897" s="196"/>
      <c r="X897" s="197"/>
      <c r="Y897" s="197"/>
      <c r="Z897" s="197"/>
      <c r="AA897" s="196"/>
      <c r="AB897" s="196"/>
      <c r="AC897" s="196"/>
      <c r="AD897" s="196"/>
      <c r="AE897" s="196"/>
      <c r="AF897" s="196"/>
      <c r="AG897" s="196"/>
      <c r="AH897" s="196"/>
      <c r="AI897" s="196"/>
      <c r="AJ897" s="196"/>
      <c r="AK897" s="196"/>
      <c r="AL897" s="196"/>
      <c r="AM897" s="196"/>
      <c r="AN897" s="196"/>
      <c r="AO897" s="196"/>
      <c r="AP897" s="196"/>
      <c r="AQ897" s="197"/>
      <c r="AR897" s="196"/>
      <c r="AS897" s="196"/>
      <c r="AT897" s="196"/>
      <c r="AU897" s="196"/>
      <c r="AV897" s="196"/>
      <c r="AW897" s="197"/>
      <c r="AX897" s="197"/>
      <c r="AY897" s="197"/>
      <c r="AZ897" s="197"/>
    </row>
    <row r="898" spans="1:52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7"/>
      <c r="N898" s="197"/>
      <c r="O898" s="198"/>
      <c r="P898" s="198"/>
      <c r="Q898" s="198"/>
      <c r="R898" s="196"/>
      <c r="S898" s="196"/>
      <c r="T898" s="196"/>
      <c r="U898" s="196"/>
      <c r="V898" s="196"/>
      <c r="W898" s="196"/>
      <c r="X898" s="197"/>
      <c r="Y898" s="197"/>
      <c r="Z898" s="197"/>
      <c r="AA898" s="196"/>
      <c r="AB898" s="196"/>
      <c r="AC898" s="196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  <c r="AN898" s="196"/>
      <c r="AO898" s="196"/>
      <c r="AP898" s="196"/>
      <c r="AQ898" s="197"/>
      <c r="AR898" s="196"/>
      <c r="AS898" s="196"/>
      <c r="AT898" s="196"/>
      <c r="AU898" s="196"/>
      <c r="AV898" s="196"/>
      <c r="AW898" s="197"/>
      <c r="AX898" s="197"/>
      <c r="AY898" s="197"/>
      <c r="AZ898" s="197"/>
    </row>
    <row r="899" spans="1:52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7"/>
      <c r="N899" s="197"/>
      <c r="O899" s="198"/>
      <c r="P899" s="198"/>
      <c r="Q899" s="198"/>
      <c r="R899" s="196"/>
      <c r="S899" s="196"/>
      <c r="T899" s="196"/>
      <c r="U899" s="196"/>
      <c r="V899" s="196"/>
      <c r="W899" s="196"/>
      <c r="X899" s="197"/>
      <c r="Y899" s="197"/>
      <c r="Z899" s="197"/>
      <c r="AA899" s="196"/>
      <c r="AB899" s="196"/>
      <c r="AC899" s="196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  <c r="AN899" s="196"/>
      <c r="AO899" s="196"/>
      <c r="AP899" s="196"/>
      <c r="AQ899" s="197"/>
      <c r="AR899" s="196"/>
      <c r="AS899" s="196"/>
      <c r="AT899" s="196"/>
      <c r="AU899" s="196"/>
      <c r="AV899" s="196"/>
      <c r="AW899" s="197"/>
      <c r="AX899" s="197"/>
      <c r="AY899" s="197"/>
      <c r="AZ899" s="197"/>
    </row>
    <row r="900" spans="1:52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7"/>
      <c r="N900" s="197"/>
      <c r="O900" s="198"/>
      <c r="P900" s="198"/>
      <c r="Q900" s="198"/>
      <c r="R900" s="196"/>
      <c r="S900" s="196"/>
      <c r="T900" s="196"/>
      <c r="U900" s="196"/>
      <c r="V900" s="196"/>
      <c r="W900" s="196"/>
      <c r="X900" s="197"/>
      <c r="Y900" s="197"/>
      <c r="Z900" s="197"/>
      <c r="AA900" s="196"/>
      <c r="AB900" s="196"/>
      <c r="AC900" s="196"/>
      <c r="AD900" s="196"/>
      <c r="AE900" s="196"/>
      <c r="AF900" s="196"/>
      <c r="AG900" s="196"/>
      <c r="AH900" s="196"/>
      <c r="AI900" s="196"/>
      <c r="AJ900" s="196"/>
      <c r="AK900" s="196"/>
      <c r="AL900" s="196"/>
      <c r="AM900" s="196"/>
      <c r="AN900" s="196"/>
      <c r="AO900" s="196"/>
      <c r="AP900" s="196"/>
      <c r="AQ900" s="197"/>
      <c r="AR900" s="196"/>
      <c r="AS900" s="196"/>
      <c r="AT900" s="196"/>
      <c r="AU900" s="196"/>
      <c r="AV900" s="196"/>
      <c r="AW900" s="197"/>
      <c r="AX900" s="197"/>
      <c r="AY900" s="197"/>
      <c r="AZ900" s="197"/>
    </row>
    <row r="901" spans="1:52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7"/>
      <c r="N901" s="197"/>
      <c r="O901" s="198"/>
      <c r="P901" s="198"/>
      <c r="Q901" s="198"/>
      <c r="R901" s="196"/>
      <c r="S901" s="196"/>
      <c r="T901" s="196"/>
      <c r="U901" s="196"/>
      <c r="V901" s="196"/>
      <c r="W901" s="196"/>
      <c r="X901" s="197"/>
      <c r="Y901" s="197"/>
      <c r="Z901" s="197"/>
      <c r="AA901" s="196"/>
      <c r="AB901" s="196"/>
      <c r="AC901" s="196"/>
      <c r="AD901" s="196"/>
      <c r="AE901" s="196"/>
      <c r="AF901" s="196"/>
      <c r="AG901" s="196"/>
      <c r="AH901" s="196"/>
      <c r="AI901" s="196"/>
      <c r="AJ901" s="196"/>
      <c r="AK901" s="196"/>
      <c r="AL901" s="196"/>
      <c r="AM901" s="196"/>
      <c r="AN901" s="196"/>
      <c r="AO901" s="196"/>
      <c r="AP901" s="196"/>
      <c r="AQ901" s="197"/>
      <c r="AR901" s="196"/>
      <c r="AS901" s="196"/>
      <c r="AT901" s="196"/>
      <c r="AU901" s="196"/>
      <c r="AV901" s="196"/>
      <c r="AW901" s="197"/>
      <c r="AX901" s="197"/>
      <c r="AY901" s="197"/>
      <c r="AZ901" s="197"/>
    </row>
    <row r="902" spans="1:52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7"/>
      <c r="N902" s="197"/>
      <c r="O902" s="198"/>
      <c r="P902" s="198"/>
      <c r="Q902" s="198"/>
      <c r="R902" s="196"/>
      <c r="S902" s="196"/>
      <c r="T902" s="196"/>
      <c r="U902" s="196"/>
      <c r="V902" s="196"/>
      <c r="W902" s="196"/>
      <c r="X902" s="197"/>
      <c r="Y902" s="197"/>
      <c r="Z902" s="197"/>
      <c r="AA902" s="196"/>
      <c r="AB902" s="196"/>
      <c r="AC902" s="196"/>
      <c r="AD902" s="196"/>
      <c r="AE902" s="196"/>
      <c r="AF902" s="196"/>
      <c r="AG902" s="196"/>
      <c r="AH902" s="196"/>
      <c r="AI902" s="196"/>
      <c r="AJ902" s="196"/>
      <c r="AK902" s="196"/>
      <c r="AL902" s="196"/>
      <c r="AM902" s="196"/>
      <c r="AN902" s="196"/>
      <c r="AO902" s="196"/>
      <c r="AP902" s="196"/>
      <c r="AQ902" s="197"/>
      <c r="AR902" s="196"/>
      <c r="AS902" s="196"/>
      <c r="AT902" s="196"/>
      <c r="AU902" s="196"/>
      <c r="AV902" s="196"/>
      <c r="AW902" s="197"/>
      <c r="AX902" s="197"/>
      <c r="AY902" s="197"/>
      <c r="AZ902" s="197"/>
    </row>
    <row r="903" spans="1:52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7"/>
      <c r="N903" s="197"/>
      <c r="O903" s="198"/>
      <c r="P903" s="198"/>
      <c r="Q903" s="198"/>
      <c r="R903" s="196"/>
      <c r="S903" s="196"/>
      <c r="T903" s="196"/>
      <c r="U903" s="196"/>
      <c r="V903" s="196"/>
      <c r="W903" s="196"/>
      <c r="X903" s="197"/>
      <c r="Y903" s="197"/>
      <c r="Z903" s="197"/>
      <c r="AA903" s="196"/>
      <c r="AB903" s="196"/>
      <c r="AC903" s="196"/>
      <c r="AD903" s="196"/>
      <c r="AE903" s="196"/>
      <c r="AF903" s="196"/>
      <c r="AG903" s="196"/>
      <c r="AH903" s="196"/>
      <c r="AI903" s="196"/>
      <c r="AJ903" s="196"/>
      <c r="AK903" s="196"/>
      <c r="AL903" s="196"/>
      <c r="AM903" s="196"/>
      <c r="AN903" s="196"/>
      <c r="AO903" s="196"/>
      <c r="AP903" s="196"/>
      <c r="AQ903" s="197"/>
      <c r="AR903" s="196"/>
      <c r="AS903" s="196"/>
      <c r="AT903" s="196"/>
      <c r="AU903" s="196"/>
      <c r="AV903" s="196"/>
      <c r="AW903" s="197"/>
      <c r="AX903" s="197"/>
      <c r="AY903" s="197"/>
      <c r="AZ903" s="197"/>
    </row>
    <row r="904" spans="1:52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7"/>
      <c r="N904" s="197"/>
      <c r="O904" s="198"/>
      <c r="P904" s="198"/>
      <c r="Q904" s="198"/>
      <c r="R904" s="196"/>
      <c r="S904" s="196"/>
      <c r="T904" s="196"/>
      <c r="U904" s="196"/>
      <c r="V904" s="196"/>
      <c r="W904" s="196"/>
      <c r="X904" s="197"/>
      <c r="Y904" s="197"/>
      <c r="Z904" s="197"/>
      <c r="AA904" s="196"/>
      <c r="AB904" s="196"/>
      <c r="AC904" s="196"/>
      <c r="AD904" s="196"/>
      <c r="AE904" s="196"/>
      <c r="AF904" s="196"/>
      <c r="AG904" s="196"/>
      <c r="AH904" s="196"/>
      <c r="AI904" s="196"/>
      <c r="AJ904" s="196"/>
      <c r="AK904" s="196"/>
      <c r="AL904" s="196"/>
      <c r="AM904" s="196"/>
      <c r="AN904" s="196"/>
      <c r="AO904" s="196"/>
      <c r="AP904" s="196"/>
      <c r="AQ904" s="197"/>
      <c r="AR904" s="196"/>
      <c r="AS904" s="196"/>
      <c r="AT904" s="196"/>
      <c r="AU904" s="196"/>
      <c r="AV904" s="196"/>
      <c r="AW904" s="197"/>
      <c r="AX904" s="197"/>
      <c r="AY904" s="197"/>
      <c r="AZ904" s="197"/>
    </row>
    <row r="905" spans="1:52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7"/>
      <c r="N905" s="197"/>
      <c r="O905" s="198"/>
      <c r="P905" s="198"/>
      <c r="Q905" s="198"/>
      <c r="R905" s="196"/>
      <c r="S905" s="196"/>
      <c r="T905" s="196"/>
      <c r="U905" s="196"/>
      <c r="V905" s="196"/>
      <c r="W905" s="196"/>
      <c r="X905" s="197"/>
      <c r="Y905" s="197"/>
      <c r="Z905" s="197"/>
      <c r="AA905" s="196"/>
      <c r="AB905" s="196"/>
      <c r="AC905" s="196"/>
      <c r="AD905" s="196"/>
      <c r="AE905" s="196"/>
      <c r="AF905" s="196"/>
      <c r="AG905" s="196"/>
      <c r="AH905" s="196"/>
      <c r="AI905" s="196"/>
      <c r="AJ905" s="196"/>
      <c r="AK905" s="196"/>
      <c r="AL905" s="196"/>
      <c r="AM905" s="196"/>
      <c r="AN905" s="196"/>
      <c r="AO905" s="196"/>
      <c r="AP905" s="196"/>
      <c r="AQ905" s="197"/>
      <c r="AR905" s="196"/>
      <c r="AS905" s="196"/>
      <c r="AT905" s="196"/>
      <c r="AU905" s="196"/>
      <c r="AV905" s="196"/>
      <c r="AW905" s="197"/>
      <c r="AX905" s="197"/>
      <c r="AY905" s="197"/>
      <c r="AZ905" s="197"/>
    </row>
    <row r="906" spans="1:52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7"/>
      <c r="N906" s="197"/>
      <c r="O906" s="198"/>
      <c r="P906" s="198"/>
      <c r="Q906" s="198"/>
      <c r="R906" s="196"/>
      <c r="S906" s="196"/>
      <c r="T906" s="196"/>
      <c r="U906" s="196"/>
      <c r="V906" s="196"/>
      <c r="W906" s="196"/>
      <c r="X906" s="197"/>
      <c r="Y906" s="197"/>
      <c r="Z906" s="197"/>
      <c r="AA906" s="196"/>
      <c r="AB906" s="196"/>
      <c r="AC906" s="196"/>
      <c r="AD906" s="196"/>
      <c r="AE906" s="196"/>
      <c r="AF906" s="196"/>
      <c r="AG906" s="196"/>
      <c r="AH906" s="196"/>
      <c r="AI906" s="196"/>
      <c r="AJ906" s="196"/>
      <c r="AK906" s="196"/>
      <c r="AL906" s="196"/>
      <c r="AM906" s="196"/>
      <c r="AN906" s="196"/>
      <c r="AO906" s="196"/>
      <c r="AP906" s="196"/>
      <c r="AQ906" s="197"/>
      <c r="AR906" s="196"/>
      <c r="AS906" s="196"/>
      <c r="AT906" s="196"/>
      <c r="AU906" s="196"/>
      <c r="AV906" s="196"/>
      <c r="AW906" s="197"/>
      <c r="AX906" s="197"/>
      <c r="AY906" s="197"/>
      <c r="AZ906" s="197"/>
    </row>
    <row r="907" spans="1:52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7"/>
      <c r="N907" s="197"/>
      <c r="O907" s="198"/>
      <c r="P907" s="198"/>
      <c r="Q907" s="198"/>
      <c r="R907" s="196"/>
      <c r="S907" s="196"/>
      <c r="T907" s="196"/>
      <c r="U907" s="196"/>
      <c r="V907" s="196"/>
      <c r="W907" s="196"/>
      <c r="X907" s="197"/>
      <c r="Y907" s="197"/>
      <c r="Z907" s="197"/>
      <c r="AA907" s="196"/>
      <c r="AB907" s="196"/>
      <c r="AC907" s="196"/>
      <c r="AD907" s="196"/>
      <c r="AE907" s="196"/>
      <c r="AF907" s="196"/>
      <c r="AG907" s="196"/>
      <c r="AH907" s="196"/>
      <c r="AI907" s="196"/>
      <c r="AJ907" s="196"/>
      <c r="AK907" s="196"/>
      <c r="AL907" s="196"/>
      <c r="AM907" s="196"/>
      <c r="AN907" s="196"/>
      <c r="AO907" s="196"/>
      <c r="AP907" s="196"/>
      <c r="AQ907" s="197"/>
      <c r="AR907" s="196"/>
      <c r="AS907" s="196"/>
      <c r="AT907" s="196"/>
      <c r="AU907" s="196"/>
      <c r="AV907" s="196"/>
      <c r="AW907" s="197"/>
      <c r="AX907" s="197"/>
      <c r="AY907" s="197"/>
      <c r="AZ907" s="197"/>
    </row>
    <row r="908" spans="1:52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7"/>
      <c r="N908" s="197"/>
      <c r="O908" s="198"/>
      <c r="P908" s="198"/>
      <c r="Q908" s="198"/>
      <c r="R908" s="196"/>
      <c r="S908" s="196"/>
      <c r="T908" s="196"/>
      <c r="U908" s="196"/>
      <c r="V908" s="196"/>
      <c r="W908" s="196"/>
      <c r="X908" s="197"/>
      <c r="Y908" s="197"/>
      <c r="Z908" s="197"/>
      <c r="AA908" s="196"/>
      <c r="AB908" s="196"/>
      <c r="AC908" s="196"/>
      <c r="AD908" s="196"/>
      <c r="AE908" s="196"/>
      <c r="AF908" s="196"/>
      <c r="AG908" s="196"/>
      <c r="AH908" s="196"/>
      <c r="AI908" s="196"/>
      <c r="AJ908" s="196"/>
      <c r="AK908" s="196"/>
      <c r="AL908" s="196"/>
      <c r="AM908" s="196"/>
      <c r="AN908" s="196"/>
      <c r="AO908" s="196"/>
      <c r="AP908" s="196"/>
      <c r="AQ908" s="197"/>
      <c r="AR908" s="196"/>
      <c r="AS908" s="196"/>
      <c r="AT908" s="196"/>
      <c r="AU908" s="196"/>
      <c r="AV908" s="196"/>
      <c r="AW908" s="197"/>
      <c r="AX908" s="197"/>
      <c r="AY908" s="197"/>
      <c r="AZ908" s="197"/>
    </row>
    <row r="909" spans="1:52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7"/>
      <c r="N909" s="197"/>
      <c r="O909" s="198"/>
      <c r="P909" s="198"/>
      <c r="Q909" s="198"/>
      <c r="R909" s="196"/>
      <c r="S909" s="196"/>
      <c r="T909" s="196"/>
      <c r="U909" s="196"/>
      <c r="V909" s="196"/>
      <c r="W909" s="196"/>
      <c r="X909" s="197"/>
      <c r="Y909" s="197"/>
      <c r="Z909" s="197"/>
      <c r="AA909" s="196"/>
      <c r="AB909" s="196"/>
      <c r="AC909" s="196"/>
      <c r="AD909" s="196"/>
      <c r="AE909" s="196"/>
      <c r="AF909" s="196"/>
      <c r="AG909" s="196"/>
      <c r="AH909" s="196"/>
      <c r="AI909" s="196"/>
      <c r="AJ909" s="196"/>
      <c r="AK909" s="196"/>
      <c r="AL909" s="196"/>
      <c r="AM909" s="196"/>
      <c r="AN909" s="196"/>
      <c r="AO909" s="196"/>
      <c r="AP909" s="196"/>
      <c r="AQ909" s="197"/>
      <c r="AR909" s="196"/>
      <c r="AS909" s="196"/>
      <c r="AT909" s="196"/>
      <c r="AU909" s="196"/>
      <c r="AV909" s="196"/>
      <c r="AW909" s="197"/>
      <c r="AX909" s="197"/>
      <c r="AY909" s="197"/>
      <c r="AZ909" s="197"/>
    </row>
    <row r="910" spans="1:52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7"/>
      <c r="N910" s="197"/>
      <c r="O910" s="198"/>
      <c r="P910" s="198"/>
      <c r="Q910" s="198"/>
      <c r="R910" s="196"/>
      <c r="S910" s="196"/>
      <c r="T910" s="196"/>
      <c r="U910" s="196"/>
      <c r="V910" s="196"/>
      <c r="W910" s="196"/>
      <c r="X910" s="197"/>
      <c r="Y910" s="197"/>
      <c r="Z910" s="197"/>
      <c r="AA910" s="196"/>
      <c r="AB910" s="196"/>
      <c r="AC910" s="196"/>
      <c r="AD910" s="196"/>
      <c r="AE910" s="196"/>
      <c r="AF910" s="196"/>
      <c r="AG910" s="196"/>
      <c r="AH910" s="196"/>
      <c r="AI910" s="196"/>
      <c r="AJ910" s="196"/>
      <c r="AK910" s="196"/>
      <c r="AL910" s="196"/>
      <c r="AM910" s="196"/>
      <c r="AN910" s="196"/>
      <c r="AO910" s="196"/>
      <c r="AP910" s="196"/>
      <c r="AQ910" s="197"/>
      <c r="AR910" s="196"/>
      <c r="AS910" s="196"/>
      <c r="AT910" s="196"/>
      <c r="AU910" s="196"/>
      <c r="AV910" s="196"/>
      <c r="AW910" s="197"/>
      <c r="AX910" s="197"/>
      <c r="AY910" s="197"/>
      <c r="AZ910" s="197"/>
    </row>
    <row r="911" spans="1:52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7"/>
      <c r="N911" s="197"/>
      <c r="O911" s="198"/>
      <c r="P911" s="198"/>
      <c r="Q911" s="198"/>
      <c r="R911" s="196"/>
      <c r="S911" s="196"/>
      <c r="T911" s="196"/>
      <c r="U911" s="196"/>
      <c r="V911" s="196"/>
      <c r="W911" s="196"/>
      <c r="X911" s="197"/>
      <c r="Y911" s="197"/>
      <c r="Z911" s="197"/>
      <c r="AA911" s="196"/>
      <c r="AB911" s="196"/>
      <c r="AC911" s="196"/>
      <c r="AD911" s="196"/>
      <c r="AE911" s="196"/>
      <c r="AF911" s="196"/>
      <c r="AG911" s="196"/>
      <c r="AH911" s="196"/>
      <c r="AI911" s="196"/>
      <c r="AJ911" s="196"/>
      <c r="AK911" s="196"/>
      <c r="AL911" s="196"/>
      <c r="AM911" s="196"/>
      <c r="AN911" s="196"/>
      <c r="AO911" s="196"/>
      <c r="AP911" s="196"/>
      <c r="AQ911" s="197"/>
      <c r="AR911" s="196"/>
      <c r="AS911" s="196"/>
      <c r="AT911" s="196"/>
      <c r="AU911" s="196"/>
      <c r="AV911" s="196"/>
      <c r="AW911" s="197"/>
      <c r="AX911" s="197"/>
      <c r="AY911" s="197"/>
      <c r="AZ911" s="197"/>
    </row>
    <row r="912" spans="1:52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7"/>
      <c r="N912" s="197"/>
      <c r="O912" s="198"/>
      <c r="P912" s="198"/>
      <c r="Q912" s="198"/>
      <c r="R912" s="196"/>
      <c r="S912" s="196"/>
      <c r="T912" s="196"/>
      <c r="U912" s="196"/>
      <c r="V912" s="196"/>
      <c r="W912" s="196"/>
      <c r="X912" s="197"/>
      <c r="Y912" s="197"/>
      <c r="Z912" s="197"/>
      <c r="AA912" s="196"/>
      <c r="AB912" s="196"/>
      <c r="AC912" s="196"/>
      <c r="AD912" s="196"/>
      <c r="AE912" s="196"/>
      <c r="AF912" s="196"/>
      <c r="AG912" s="196"/>
      <c r="AH912" s="196"/>
      <c r="AI912" s="196"/>
      <c r="AJ912" s="196"/>
      <c r="AK912" s="196"/>
      <c r="AL912" s="196"/>
      <c r="AM912" s="196"/>
      <c r="AN912" s="196"/>
      <c r="AO912" s="196"/>
      <c r="AP912" s="196"/>
      <c r="AQ912" s="197"/>
      <c r="AR912" s="196"/>
      <c r="AS912" s="196"/>
      <c r="AT912" s="196"/>
      <c r="AU912" s="196"/>
      <c r="AV912" s="196"/>
      <c r="AW912" s="197"/>
      <c r="AX912" s="197"/>
      <c r="AY912" s="197"/>
      <c r="AZ912" s="197"/>
    </row>
    <row r="913" spans="1:52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7"/>
      <c r="N913" s="197"/>
      <c r="O913" s="198"/>
      <c r="P913" s="198"/>
      <c r="Q913" s="198"/>
      <c r="R913" s="196"/>
      <c r="S913" s="196"/>
      <c r="T913" s="196"/>
      <c r="U913" s="196"/>
      <c r="V913" s="196"/>
      <c r="W913" s="196"/>
      <c r="X913" s="197"/>
      <c r="Y913" s="197"/>
      <c r="Z913" s="197"/>
      <c r="AA913" s="196"/>
      <c r="AB913" s="196"/>
      <c r="AC913" s="196"/>
      <c r="AD913" s="196"/>
      <c r="AE913" s="196"/>
      <c r="AF913" s="196"/>
      <c r="AG913" s="196"/>
      <c r="AH913" s="196"/>
      <c r="AI913" s="196"/>
      <c r="AJ913" s="196"/>
      <c r="AK913" s="196"/>
      <c r="AL913" s="196"/>
      <c r="AM913" s="196"/>
      <c r="AN913" s="196"/>
      <c r="AO913" s="196"/>
      <c r="AP913" s="196"/>
      <c r="AQ913" s="197"/>
      <c r="AR913" s="196"/>
      <c r="AS913" s="196"/>
      <c r="AT913" s="196"/>
      <c r="AU913" s="196"/>
      <c r="AV913" s="196"/>
      <c r="AW913" s="197"/>
      <c r="AX913" s="197"/>
      <c r="AY913" s="197"/>
      <c r="AZ913" s="197"/>
    </row>
    <row r="914" spans="1:52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7"/>
      <c r="N914" s="197"/>
      <c r="O914" s="198"/>
      <c r="P914" s="198"/>
      <c r="Q914" s="198"/>
      <c r="R914" s="196"/>
      <c r="S914" s="196"/>
      <c r="T914" s="196"/>
      <c r="U914" s="196"/>
      <c r="V914" s="196"/>
      <c r="W914" s="196"/>
      <c r="X914" s="197"/>
      <c r="Y914" s="197"/>
      <c r="Z914" s="197"/>
      <c r="AA914" s="196"/>
      <c r="AB914" s="196"/>
      <c r="AC914" s="196"/>
      <c r="AD914" s="196"/>
      <c r="AE914" s="196"/>
      <c r="AF914" s="196"/>
      <c r="AG914" s="196"/>
      <c r="AH914" s="196"/>
      <c r="AI914" s="196"/>
      <c r="AJ914" s="196"/>
      <c r="AK914" s="196"/>
      <c r="AL914" s="196"/>
      <c r="AM914" s="196"/>
      <c r="AN914" s="196"/>
      <c r="AO914" s="196"/>
      <c r="AP914" s="196"/>
      <c r="AQ914" s="197"/>
      <c r="AR914" s="196"/>
      <c r="AS914" s="196"/>
      <c r="AT914" s="196"/>
      <c r="AU914" s="196"/>
      <c r="AV914" s="196"/>
      <c r="AW914" s="197"/>
      <c r="AX914" s="197"/>
      <c r="AY914" s="197"/>
      <c r="AZ914" s="197"/>
    </row>
    <row r="915" spans="1:52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7"/>
      <c r="N915" s="197"/>
      <c r="O915" s="198"/>
      <c r="P915" s="198"/>
      <c r="Q915" s="198"/>
      <c r="R915" s="196"/>
      <c r="S915" s="196"/>
      <c r="T915" s="196"/>
      <c r="U915" s="196"/>
      <c r="V915" s="196"/>
      <c r="W915" s="196"/>
      <c r="X915" s="197"/>
      <c r="Y915" s="197"/>
      <c r="Z915" s="197"/>
      <c r="AA915" s="196"/>
      <c r="AB915" s="196"/>
      <c r="AC915" s="196"/>
      <c r="AD915" s="196"/>
      <c r="AE915" s="196"/>
      <c r="AF915" s="196"/>
      <c r="AG915" s="196"/>
      <c r="AH915" s="196"/>
      <c r="AI915" s="196"/>
      <c r="AJ915" s="196"/>
      <c r="AK915" s="196"/>
      <c r="AL915" s="196"/>
      <c r="AM915" s="196"/>
      <c r="AN915" s="196"/>
      <c r="AO915" s="196"/>
      <c r="AP915" s="196"/>
      <c r="AQ915" s="197"/>
      <c r="AR915" s="196"/>
      <c r="AS915" s="196"/>
      <c r="AT915" s="196"/>
      <c r="AU915" s="196"/>
      <c r="AV915" s="196"/>
      <c r="AW915" s="197"/>
      <c r="AX915" s="197"/>
      <c r="AY915" s="197"/>
      <c r="AZ915" s="197"/>
    </row>
    <row r="916" spans="1:52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7"/>
      <c r="N916" s="197"/>
      <c r="O916" s="198"/>
      <c r="P916" s="198"/>
      <c r="Q916" s="198"/>
      <c r="R916" s="196"/>
      <c r="S916" s="196"/>
      <c r="T916" s="196"/>
      <c r="U916" s="196"/>
      <c r="V916" s="196"/>
      <c r="W916" s="196"/>
      <c r="X916" s="197"/>
      <c r="Y916" s="197"/>
      <c r="Z916" s="197"/>
      <c r="AA916" s="196"/>
      <c r="AB916" s="196"/>
      <c r="AC916" s="196"/>
      <c r="AD916" s="196"/>
      <c r="AE916" s="196"/>
      <c r="AF916" s="196"/>
      <c r="AG916" s="196"/>
      <c r="AH916" s="196"/>
      <c r="AI916" s="196"/>
      <c r="AJ916" s="196"/>
      <c r="AK916" s="196"/>
      <c r="AL916" s="196"/>
      <c r="AM916" s="196"/>
      <c r="AN916" s="196"/>
      <c r="AO916" s="196"/>
      <c r="AP916" s="196"/>
      <c r="AQ916" s="197"/>
      <c r="AR916" s="196"/>
      <c r="AS916" s="196"/>
      <c r="AT916" s="196"/>
      <c r="AU916" s="196"/>
      <c r="AV916" s="196"/>
      <c r="AW916" s="197"/>
      <c r="AX916" s="197"/>
      <c r="AY916" s="197"/>
      <c r="AZ916" s="197"/>
    </row>
    <row r="917" spans="1:52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7"/>
      <c r="N917" s="197"/>
      <c r="O917" s="198"/>
      <c r="P917" s="198"/>
      <c r="Q917" s="198"/>
      <c r="R917" s="196"/>
      <c r="S917" s="196"/>
      <c r="T917" s="196"/>
      <c r="U917" s="196"/>
      <c r="V917" s="196"/>
      <c r="W917" s="196"/>
      <c r="X917" s="197"/>
      <c r="Y917" s="197"/>
      <c r="Z917" s="197"/>
      <c r="AA917" s="196"/>
      <c r="AB917" s="196"/>
      <c r="AC917" s="196"/>
      <c r="AD917" s="196"/>
      <c r="AE917" s="196"/>
      <c r="AF917" s="196"/>
      <c r="AG917" s="196"/>
      <c r="AH917" s="196"/>
      <c r="AI917" s="196"/>
      <c r="AJ917" s="196"/>
      <c r="AK917" s="196"/>
      <c r="AL917" s="196"/>
      <c r="AM917" s="196"/>
      <c r="AN917" s="196"/>
      <c r="AO917" s="196"/>
      <c r="AP917" s="196"/>
      <c r="AQ917" s="197"/>
      <c r="AR917" s="196"/>
      <c r="AS917" s="196"/>
      <c r="AT917" s="196"/>
      <c r="AU917" s="196"/>
      <c r="AV917" s="196"/>
      <c r="AW917" s="197"/>
      <c r="AX917" s="197"/>
      <c r="AY917" s="197"/>
      <c r="AZ917" s="197"/>
    </row>
    <row r="918" spans="1:52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7"/>
      <c r="N918" s="197"/>
      <c r="O918" s="198"/>
      <c r="P918" s="198"/>
      <c r="Q918" s="198"/>
      <c r="R918" s="196"/>
      <c r="S918" s="196"/>
      <c r="T918" s="196"/>
      <c r="U918" s="196"/>
      <c r="V918" s="196"/>
      <c r="W918" s="196"/>
      <c r="X918" s="197"/>
      <c r="Y918" s="197"/>
      <c r="Z918" s="197"/>
      <c r="AA918" s="196"/>
      <c r="AB918" s="196"/>
      <c r="AC918" s="196"/>
      <c r="AD918" s="196"/>
      <c r="AE918" s="196"/>
      <c r="AF918" s="196"/>
      <c r="AG918" s="196"/>
      <c r="AH918" s="196"/>
      <c r="AI918" s="196"/>
      <c r="AJ918" s="196"/>
      <c r="AK918" s="196"/>
      <c r="AL918" s="196"/>
      <c r="AM918" s="196"/>
      <c r="AN918" s="196"/>
      <c r="AO918" s="196"/>
      <c r="AP918" s="196"/>
      <c r="AQ918" s="197"/>
      <c r="AR918" s="196"/>
      <c r="AS918" s="196"/>
      <c r="AT918" s="196"/>
      <c r="AU918" s="196"/>
      <c r="AV918" s="196"/>
      <c r="AW918" s="197"/>
      <c r="AX918" s="197"/>
      <c r="AY918" s="197"/>
      <c r="AZ918" s="197"/>
    </row>
    <row r="919" spans="1:52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7"/>
      <c r="N919" s="197"/>
      <c r="O919" s="198"/>
      <c r="P919" s="198"/>
      <c r="Q919" s="198"/>
      <c r="R919" s="196"/>
      <c r="S919" s="196"/>
      <c r="T919" s="196"/>
      <c r="U919" s="196"/>
      <c r="V919" s="196"/>
      <c r="W919" s="196"/>
      <c r="X919" s="197"/>
      <c r="Y919" s="197"/>
      <c r="Z919" s="197"/>
      <c r="AA919" s="196"/>
      <c r="AB919" s="196"/>
      <c r="AC919" s="196"/>
      <c r="AD919" s="196"/>
      <c r="AE919" s="196"/>
      <c r="AF919" s="196"/>
      <c r="AG919" s="196"/>
      <c r="AH919" s="196"/>
      <c r="AI919" s="196"/>
      <c r="AJ919" s="196"/>
      <c r="AK919" s="196"/>
      <c r="AL919" s="196"/>
      <c r="AM919" s="196"/>
      <c r="AN919" s="196"/>
      <c r="AO919" s="196"/>
      <c r="AP919" s="196"/>
      <c r="AQ919" s="197"/>
      <c r="AR919" s="196"/>
      <c r="AS919" s="196"/>
      <c r="AT919" s="196"/>
      <c r="AU919" s="196"/>
      <c r="AV919" s="196"/>
      <c r="AW919" s="197"/>
      <c r="AX919" s="197"/>
      <c r="AY919" s="197"/>
      <c r="AZ919" s="197"/>
    </row>
    <row r="920" spans="1:52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7"/>
      <c r="N920" s="197"/>
      <c r="O920" s="198"/>
      <c r="P920" s="198"/>
      <c r="Q920" s="198"/>
      <c r="R920" s="196"/>
      <c r="S920" s="196"/>
      <c r="T920" s="196"/>
      <c r="U920" s="196"/>
      <c r="V920" s="196"/>
      <c r="W920" s="196"/>
      <c r="X920" s="197"/>
      <c r="Y920" s="197"/>
      <c r="Z920" s="197"/>
      <c r="AA920" s="196"/>
      <c r="AB920" s="196"/>
      <c r="AC920" s="196"/>
      <c r="AD920" s="196"/>
      <c r="AE920" s="196"/>
      <c r="AF920" s="196"/>
      <c r="AG920" s="196"/>
      <c r="AH920" s="196"/>
      <c r="AI920" s="196"/>
      <c r="AJ920" s="196"/>
      <c r="AK920" s="196"/>
      <c r="AL920" s="196"/>
      <c r="AM920" s="196"/>
      <c r="AN920" s="196"/>
      <c r="AO920" s="196"/>
      <c r="AP920" s="196"/>
      <c r="AQ920" s="197"/>
      <c r="AR920" s="196"/>
      <c r="AS920" s="196"/>
      <c r="AT920" s="196"/>
      <c r="AU920" s="196"/>
      <c r="AV920" s="196"/>
      <c r="AW920" s="197"/>
      <c r="AX920" s="197"/>
      <c r="AY920" s="197"/>
      <c r="AZ920" s="197"/>
    </row>
    <row r="921" spans="1:52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7"/>
      <c r="N921" s="197"/>
      <c r="O921" s="198"/>
      <c r="P921" s="198"/>
      <c r="Q921" s="198"/>
      <c r="R921" s="196"/>
      <c r="S921" s="196"/>
      <c r="T921" s="196"/>
      <c r="U921" s="196"/>
      <c r="V921" s="196"/>
      <c r="W921" s="196"/>
      <c r="X921" s="197"/>
      <c r="Y921" s="197"/>
      <c r="Z921" s="197"/>
      <c r="AA921" s="196"/>
      <c r="AB921" s="196"/>
      <c r="AC921" s="196"/>
      <c r="AD921" s="196"/>
      <c r="AE921" s="196"/>
      <c r="AF921" s="196"/>
      <c r="AG921" s="196"/>
      <c r="AH921" s="196"/>
      <c r="AI921" s="196"/>
      <c r="AJ921" s="196"/>
      <c r="AK921" s="196"/>
      <c r="AL921" s="196"/>
      <c r="AM921" s="196"/>
      <c r="AN921" s="196"/>
      <c r="AO921" s="196"/>
      <c r="AP921" s="196"/>
      <c r="AQ921" s="197"/>
      <c r="AR921" s="196"/>
      <c r="AS921" s="196"/>
      <c r="AT921" s="196"/>
      <c r="AU921" s="196"/>
      <c r="AV921" s="196"/>
      <c r="AW921" s="197"/>
      <c r="AX921" s="197"/>
      <c r="AY921" s="197"/>
      <c r="AZ921" s="197"/>
    </row>
    <row r="922" spans="1:52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7"/>
      <c r="N922" s="197"/>
      <c r="O922" s="198"/>
      <c r="P922" s="198"/>
      <c r="Q922" s="198"/>
      <c r="R922" s="196"/>
      <c r="S922" s="196"/>
      <c r="T922" s="196"/>
      <c r="U922" s="196"/>
      <c r="V922" s="196"/>
      <c r="W922" s="196"/>
      <c r="X922" s="197"/>
      <c r="Y922" s="197"/>
      <c r="Z922" s="197"/>
      <c r="AA922" s="196"/>
      <c r="AB922" s="196"/>
      <c r="AC922" s="196"/>
      <c r="AD922" s="196"/>
      <c r="AE922" s="196"/>
      <c r="AF922" s="196"/>
      <c r="AG922" s="196"/>
      <c r="AH922" s="196"/>
      <c r="AI922" s="196"/>
      <c r="AJ922" s="196"/>
      <c r="AK922" s="196"/>
      <c r="AL922" s="196"/>
      <c r="AM922" s="196"/>
      <c r="AN922" s="196"/>
      <c r="AO922" s="196"/>
      <c r="AP922" s="196"/>
      <c r="AQ922" s="197"/>
      <c r="AR922" s="196"/>
      <c r="AS922" s="196"/>
      <c r="AT922" s="196"/>
      <c r="AU922" s="196"/>
      <c r="AV922" s="196"/>
      <c r="AW922" s="197"/>
      <c r="AX922" s="197"/>
      <c r="AY922" s="197"/>
      <c r="AZ922" s="197"/>
    </row>
    <row r="923" spans="1:52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7"/>
      <c r="N923" s="197"/>
      <c r="O923" s="198"/>
      <c r="P923" s="198"/>
      <c r="Q923" s="198"/>
      <c r="R923" s="196"/>
      <c r="S923" s="196"/>
      <c r="T923" s="196"/>
      <c r="U923" s="196"/>
      <c r="V923" s="196"/>
      <c r="W923" s="196"/>
      <c r="X923" s="197"/>
      <c r="Y923" s="197"/>
      <c r="Z923" s="197"/>
      <c r="AA923" s="196"/>
      <c r="AB923" s="196"/>
      <c r="AC923" s="196"/>
      <c r="AD923" s="196"/>
      <c r="AE923" s="196"/>
      <c r="AF923" s="196"/>
      <c r="AG923" s="196"/>
      <c r="AH923" s="196"/>
      <c r="AI923" s="196"/>
      <c r="AJ923" s="196"/>
      <c r="AK923" s="196"/>
      <c r="AL923" s="196"/>
      <c r="AM923" s="196"/>
      <c r="AN923" s="196"/>
      <c r="AO923" s="196"/>
      <c r="AP923" s="196"/>
      <c r="AQ923" s="197"/>
      <c r="AR923" s="196"/>
      <c r="AS923" s="196"/>
      <c r="AT923" s="196"/>
      <c r="AU923" s="196"/>
      <c r="AV923" s="196"/>
      <c r="AW923" s="197"/>
      <c r="AX923" s="197"/>
      <c r="AY923" s="197"/>
      <c r="AZ923" s="197"/>
    </row>
    <row r="924" spans="1:52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7"/>
      <c r="N924" s="197"/>
      <c r="O924" s="198"/>
      <c r="P924" s="198"/>
      <c r="Q924" s="198"/>
      <c r="R924" s="196"/>
      <c r="S924" s="196"/>
      <c r="T924" s="196"/>
      <c r="U924" s="196"/>
      <c r="V924" s="196"/>
      <c r="W924" s="196"/>
      <c r="X924" s="197"/>
      <c r="Y924" s="197"/>
      <c r="Z924" s="197"/>
      <c r="AA924" s="196"/>
      <c r="AB924" s="196"/>
      <c r="AC924" s="196"/>
      <c r="AD924" s="196"/>
      <c r="AE924" s="196"/>
      <c r="AF924" s="196"/>
      <c r="AG924" s="196"/>
      <c r="AH924" s="196"/>
      <c r="AI924" s="196"/>
      <c r="AJ924" s="196"/>
      <c r="AK924" s="196"/>
      <c r="AL924" s="196"/>
      <c r="AM924" s="196"/>
      <c r="AN924" s="196"/>
      <c r="AO924" s="196"/>
      <c r="AP924" s="196"/>
      <c r="AQ924" s="197"/>
      <c r="AR924" s="196"/>
      <c r="AS924" s="196"/>
      <c r="AT924" s="196"/>
      <c r="AU924" s="196"/>
      <c r="AV924" s="196"/>
      <c r="AW924" s="197"/>
      <c r="AX924" s="197"/>
      <c r="AY924" s="197"/>
      <c r="AZ924" s="197"/>
    </row>
    <row r="925" spans="1:52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7"/>
      <c r="N925" s="197"/>
      <c r="O925" s="198"/>
      <c r="P925" s="198"/>
      <c r="Q925" s="198"/>
      <c r="R925" s="196"/>
      <c r="S925" s="196"/>
      <c r="T925" s="196"/>
      <c r="U925" s="196"/>
      <c r="V925" s="196"/>
      <c r="W925" s="196"/>
      <c r="X925" s="197"/>
      <c r="Y925" s="197"/>
      <c r="Z925" s="197"/>
      <c r="AA925" s="196"/>
      <c r="AB925" s="196"/>
      <c r="AC925" s="196"/>
      <c r="AD925" s="196"/>
      <c r="AE925" s="196"/>
      <c r="AF925" s="196"/>
      <c r="AG925" s="196"/>
      <c r="AH925" s="196"/>
      <c r="AI925" s="196"/>
      <c r="AJ925" s="196"/>
      <c r="AK925" s="196"/>
      <c r="AL925" s="196"/>
      <c r="AM925" s="196"/>
      <c r="AN925" s="196"/>
      <c r="AO925" s="196"/>
      <c r="AP925" s="196"/>
      <c r="AQ925" s="197"/>
      <c r="AR925" s="196"/>
      <c r="AS925" s="196"/>
      <c r="AT925" s="196"/>
      <c r="AU925" s="196"/>
      <c r="AV925" s="196"/>
      <c r="AW925" s="197"/>
      <c r="AX925" s="197"/>
      <c r="AY925" s="197"/>
      <c r="AZ925" s="197"/>
    </row>
    <row r="926" spans="1:52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7"/>
      <c r="N926" s="197"/>
      <c r="O926" s="198"/>
      <c r="P926" s="198"/>
      <c r="Q926" s="198"/>
      <c r="R926" s="196"/>
      <c r="S926" s="196"/>
      <c r="T926" s="196"/>
      <c r="U926" s="196"/>
      <c r="V926" s="196"/>
      <c r="W926" s="196"/>
      <c r="X926" s="197"/>
      <c r="Y926" s="197"/>
      <c r="Z926" s="197"/>
      <c r="AA926" s="196"/>
      <c r="AB926" s="196"/>
      <c r="AC926" s="196"/>
      <c r="AD926" s="196"/>
      <c r="AE926" s="196"/>
      <c r="AF926" s="196"/>
      <c r="AG926" s="196"/>
      <c r="AH926" s="196"/>
      <c r="AI926" s="196"/>
      <c r="AJ926" s="196"/>
      <c r="AK926" s="196"/>
      <c r="AL926" s="196"/>
      <c r="AM926" s="196"/>
      <c r="AN926" s="196"/>
      <c r="AO926" s="196"/>
      <c r="AP926" s="196"/>
      <c r="AQ926" s="197"/>
      <c r="AR926" s="196"/>
      <c r="AS926" s="196"/>
      <c r="AT926" s="196"/>
      <c r="AU926" s="196"/>
      <c r="AV926" s="196"/>
      <c r="AW926" s="197"/>
      <c r="AX926" s="197"/>
      <c r="AY926" s="197"/>
      <c r="AZ926" s="197"/>
    </row>
    <row r="927" spans="1:52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7"/>
      <c r="N927" s="197"/>
      <c r="O927" s="198"/>
      <c r="P927" s="198"/>
      <c r="Q927" s="198"/>
      <c r="R927" s="196"/>
      <c r="S927" s="196"/>
      <c r="T927" s="196"/>
      <c r="U927" s="196"/>
      <c r="V927" s="196"/>
      <c r="W927" s="196"/>
      <c r="X927" s="197"/>
      <c r="Y927" s="197"/>
      <c r="Z927" s="197"/>
      <c r="AA927" s="196"/>
      <c r="AB927" s="196"/>
      <c r="AC927" s="196"/>
      <c r="AD927" s="196"/>
      <c r="AE927" s="196"/>
      <c r="AF927" s="196"/>
      <c r="AG927" s="196"/>
      <c r="AH927" s="196"/>
      <c r="AI927" s="196"/>
      <c r="AJ927" s="196"/>
      <c r="AK927" s="196"/>
      <c r="AL927" s="196"/>
      <c r="AM927" s="196"/>
      <c r="AN927" s="196"/>
      <c r="AO927" s="196"/>
      <c r="AP927" s="196"/>
      <c r="AQ927" s="197"/>
      <c r="AR927" s="196"/>
      <c r="AS927" s="196"/>
      <c r="AT927" s="196"/>
      <c r="AU927" s="196"/>
      <c r="AV927" s="196"/>
      <c r="AW927" s="197"/>
      <c r="AX927" s="197"/>
      <c r="AY927" s="197"/>
      <c r="AZ927" s="197"/>
    </row>
    <row r="928" spans="1:52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7"/>
      <c r="N928" s="197"/>
      <c r="O928" s="198"/>
      <c r="P928" s="198"/>
      <c r="Q928" s="198"/>
      <c r="R928" s="196"/>
      <c r="S928" s="196"/>
      <c r="T928" s="196"/>
      <c r="U928" s="196"/>
      <c r="V928" s="196"/>
      <c r="W928" s="196"/>
      <c r="X928" s="197"/>
      <c r="Y928" s="197"/>
      <c r="Z928" s="197"/>
      <c r="AA928" s="196"/>
      <c r="AB928" s="196"/>
      <c r="AC928" s="196"/>
      <c r="AD928" s="196"/>
      <c r="AE928" s="196"/>
      <c r="AF928" s="196"/>
      <c r="AG928" s="196"/>
      <c r="AH928" s="196"/>
      <c r="AI928" s="196"/>
      <c r="AJ928" s="196"/>
      <c r="AK928" s="196"/>
      <c r="AL928" s="196"/>
      <c r="AM928" s="196"/>
      <c r="AN928" s="196"/>
      <c r="AO928" s="196"/>
      <c r="AP928" s="196"/>
      <c r="AQ928" s="197"/>
      <c r="AR928" s="196"/>
      <c r="AS928" s="196"/>
      <c r="AT928" s="196"/>
      <c r="AU928" s="196"/>
      <c r="AV928" s="196"/>
      <c r="AW928" s="197"/>
      <c r="AX928" s="197"/>
      <c r="AY928" s="197"/>
      <c r="AZ928" s="197"/>
    </row>
    <row r="929" spans="1:52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7"/>
      <c r="N929" s="197"/>
      <c r="O929" s="198"/>
      <c r="P929" s="198"/>
      <c r="Q929" s="198"/>
      <c r="R929" s="196"/>
      <c r="S929" s="196"/>
      <c r="T929" s="196"/>
      <c r="U929" s="196"/>
      <c r="V929" s="196"/>
      <c r="W929" s="196"/>
      <c r="X929" s="197"/>
      <c r="Y929" s="197"/>
      <c r="Z929" s="197"/>
      <c r="AA929" s="196"/>
      <c r="AB929" s="196"/>
      <c r="AC929" s="196"/>
      <c r="AD929" s="196"/>
      <c r="AE929" s="196"/>
      <c r="AF929" s="196"/>
      <c r="AG929" s="196"/>
      <c r="AH929" s="196"/>
      <c r="AI929" s="196"/>
      <c r="AJ929" s="196"/>
      <c r="AK929" s="196"/>
      <c r="AL929" s="196"/>
      <c r="AM929" s="196"/>
      <c r="AN929" s="196"/>
      <c r="AO929" s="196"/>
      <c r="AP929" s="196"/>
      <c r="AQ929" s="197"/>
      <c r="AR929" s="196"/>
      <c r="AS929" s="196"/>
      <c r="AT929" s="196"/>
      <c r="AU929" s="196"/>
      <c r="AV929" s="196"/>
      <c r="AW929" s="197"/>
      <c r="AX929" s="197"/>
      <c r="AY929" s="197"/>
      <c r="AZ929" s="197"/>
    </row>
    <row r="930" spans="1:52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7"/>
      <c r="N930" s="197"/>
      <c r="O930" s="198"/>
      <c r="P930" s="198"/>
      <c r="Q930" s="198"/>
      <c r="R930" s="196"/>
      <c r="S930" s="196"/>
      <c r="T930" s="196"/>
      <c r="U930" s="196"/>
      <c r="V930" s="196"/>
      <c r="W930" s="196"/>
      <c r="X930" s="197"/>
      <c r="Y930" s="197"/>
      <c r="Z930" s="197"/>
      <c r="AA930" s="196"/>
      <c r="AB930" s="196"/>
      <c r="AC930" s="196"/>
      <c r="AD930" s="196"/>
      <c r="AE930" s="196"/>
      <c r="AF930" s="196"/>
      <c r="AG930" s="196"/>
      <c r="AH930" s="196"/>
      <c r="AI930" s="196"/>
      <c r="AJ930" s="196"/>
      <c r="AK930" s="196"/>
      <c r="AL930" s="196"/>
      <c r="AM930" s="196"/>
      <c r="AN930" s="196"/>
      <c r="AO930" s="196"/>
      <c r="AP930" s="196"/>
      <c r="AQ930" s="197"/>
      <c r="AR930" s="196"/>
      <c r="AS930" s="196"/>
      <c r="AT930" s="196"/>
      <c r="AU930" s="196"/>
      <c r="AV930" s="196"/>
      <c r="AW930" s="197"/>
      <c r="AX930" s="197"/>
      <c r="AY930" s="197"/>
      <c r="AZ930" s="197"/>
    </row>
    <row r="931" spans="1:52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7"/>
      <c r="N931" s="197"/>
      <c r="O931" s="198"/>
      <c r="P931" s="198"/>
      <c r="Q931" s="198"/>
      <c r="R931" s="196"/>
      <c r="S931" s="196"/>
      <c r="T931" s="196"/>
      <c r="U931" s="196"/>
      <c r="V931" s="196"/>
      <c r="W931" s="196"/>
      <c r="X931" s="197"/>
      <c r="Y931" s="197"/>
      <c r="Z931" s="197"/>
      <c r="AA931" s="196"/>
      <c r="AB931" s="196"/>
      <c r="AC931" s="196"/>
      <c r="AD931" s="196"/>
      <c r="AE931" s="196"/>
      <c r="AF931" s="196"/>
      <c r="AG931" s="196"/>
      <c r="AH931" s="196"/>
      <c r="AI931" s="196"/>
      <c r="AJ931" s="196"/>
      <c r="AK931" s="196"/>
      <c r="AL931" s="196"/>
      <c r="AM931" s="196"/>
      <c r="AN931" s="196"/>
      <c r="AO931" s="196"/>
      <c r="AP931" s="196"/>
      <c r="AQ931" s="197"/>
      <c r="AR931" s="196"/>
      <c r="AS931" s="196"/>
      <c r="AT931" s="196"/>
      <c r="AU931" s="196"/>
      <c r="AV931" s="196"/>
      <c r="AW931" s="197"/>
      <c r="AX931" s="197"/>
      <c r="AY931" s="197"/>
      <c r="AZ931" s="197"/>
    </row>
    <row r="932" spans="1:52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7"/>
      <c r="N932" s="197"/>
      <c r="O932" s="198"/>
      <c r="P932" s="198"/>
      <c r="Q932" s="198"/>
      <c r="R932" s="196"/>
      <c r="S932" s="196"/>
      <c r="T932" s="196"/>
      <c r="U932" s="196"/>
      <c r="V932" s="196"/>
      <c r="W932" s="196"/>
      <c r="X932" s="197"/>
      <c r="Y932" s="197"/>
      <c r="Z932" s="197"/>
      <c r="AA932" s="196"/>
      <c r="AB932" s="196"/>
      <c r="AC932" s="196"/>
      <c r="AD932" s="196"/>
      <c r="AE932" s="196"/>
      <c r="AF932" s="196"/>
      <c r="AG932" s="196"/>
      <c r="AH932" s="196"/>
      <c r="AI932" s="196"/>
      <c r="AJ932" s="196"/>
      <c r="AK932" s="196"/>
      <c r="AL932" s="196"/>
      <c r="AM932" s="196"/>
      <c r="AN932" s="196"/>
      <c r="AO932" s="196"/>
      <c r="AP932" s="196"/>
      <c r="AQ932" s="197"/>
      <c r="AR932" s="196"/>
      <c r="AS932" s="196"/>
      <c r="AT932" s="196"/>
      <c r="AU932" s="196"/>
      <c r="AV932" s="196"/>
      <c r="AW932" s="197"/>
      <c r="AX932" s="197"/>
      <c r="AY932" s="197"/>
      <c r="AZ932" s="197"/>
    </row>
    <row r="933" spans="1:52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7"/>
      <c r="N933" s="197"/>
      <c r="O933" s="198"/>
      <c r="P933" s="198"/>
      <c r="Q933" s="198"/>
      <c r="R933" s="196"/>
      <c r="S933" s="196"/>
      <c r="T933" s="196"/>
      <c r="U933" s="196"/>
      <c r="V933" s="196"/>
      <c r="W933" s="196"/>
      <c r="X933" s="197"/>
      <c r="Y933" s="197"/>
      <c r="Z933" s="197"/>
      <c r="AA933" s="196"/>
      <c r="AB933" s="196"/>
      <c r="AC933" s="196"/>
      <c r="AD933" s="196"/>
      <c r="AE933" s="196"/>
      <c r="AF933" s="196"/>
      <c r="AG933" s="196"/>
      <c r="AH933" s="196"/>
      <c r="AI933" s="196"/>
      <c r="AJ933" s="196"/>
      <c r="AK933" s="196"/>
      <c r="AL933" s="196"/>
      <c r="AM933" s="196"/>
      <c r="AN933" s="196"/>
      <c r="AO933" s="196"/>
      <c r="AP933" s="196"/>
      <c r="AQ933" s="197"/>
      <c r="AR933" s="196"/>
      <c r="AS933" s="196"/>
      <c r="AT933" s="196"/>
      <c r="AU933" s="196"/>
      <c r="AV933" s="196"/>
      <c r="AW933" s="197"/>
      <c r="AX933" s="197"/>
      <c r="AY933" s="197"/>
      <c r="AZ933" s="197"/>
    </row>
    <row r="934" spans="1:52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7"/>
      <c r="N934" s="197"/>
      <c r="O934" s="198"/>
      <c r="P934" s="198"/>
      <c r="Q934" s="198"/>
      <c r="R934" s="196"/>
      <c r="S934" s="196"/>
      <c r="T934" s="196"/>
      <c r="U934" s="196"/>
      <c r="V934" s="196"/>
      <c r="W934" s="196"/>
      <c r="X934" s="197"/>
      <c r="Y934" s="197"/>
      <c r="Z934" s="197"/>
      <c r="AA934" s="196"/>
      <c r="AB934" s="196"/>
      <c r="AC934" s="196"/>
      <c r="AD934" s="196"/>
      <c r="AE934" s="196"/>
      <c r="AF934" s="196"/>
      <c r="AG934" s="196"/>
      <c r="AH934" s="196"/>
      <c r="AI934" s="196"/>
      <c r="AJ934" s="196"/>
      <c r="AK934" s="196"/>
      <c r="AL934" s="196"/>
      <c r="AM934" s="196"/>
      <c r="AN934" s="196"/>
      <c r="AO934" s="196"/>
      <c r="AP934" s="196"/>
      <c r="AQ934" s="197"/>
      <c r="AR934" s="196"/>
      <c r="AS934" s="196"/>
      <c r="AT934" s="196"/>
      <c r="AU934" s="196"/>
      <c r="AV934" s="196"/>
      <c r="AW934" s="197"/>
      <c r="AX934" s="197"/>
      <c r="AY934" s="197"/>
      <c r="AZ934" s="197"/>
    </row>
    <row r="935" spans="1:52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7"/>
      <c r="N935" s="197"/>
      <c r="O935" s="198"/>
      <c r="P935" s="198"/>
      <c r="Q935" s="198"/>
      <c r="R935" s="196"/>
      <c r="S935" s="196"/>
      <c r="T935" s="196"/>
      <c r="U935" s="196"/>
      <c r="V935" s="196"/>
      <c r="W935" s="196"/>
      <c r="X935" s="197"/>
      <c r="Y935" s="197"/>
      <c r="Z935" s="197"/>
      <c r="AA935" s="196"/>
      <c r="AB935" s="196"/>
      <c r="AC935" s="196"/>
      <c r="AD935" s="196"/>
      <c r="AE935" s="196"/>
      <c r="AF935" s="196"/>
      <c r="AG935" s="196"/>
      <c r="AH935" s="196"/>
      <c r="AI935" s="196"/>
      <c r="AJ935" s="196"/>
      <c r="AK935" s="196"/>
      <c r="AL935" s="196"/>
      <c r="AM935" s="196"/>
      <c r="AN935" s="196"/>
      <c r="AO935" s="196"/>
      <c r="AP935" s="196"/>
      <c r="AQ935" s="197"/>
      <c r="AR935" s="196"/>
      <c r="AS935" s="196"/>
      <c r="AT935" s="196"/>
      <c r="AU935" s="196"/>
      <c r="AV935" s="196"/>
      <c r="AW935" s="197"/>
      <c r="AX935" s="197"/>
      <c r="AY935" s="197"/>
      <c r="AZ935" s="197"/>
    </row>
    <row r="936" spans="1:52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7"/>
      <c r="N936" s="197"/>
      <c r="O936" s="198"/>
      <c r="P936" s="198"/>
      <c r="Q936" s="198"/>
      <c r="R936" s="196"/>
      <c r="S936" s="196"/>
      <c r="T936" s="196"/>
      <c r="U936" s="196"/>
      <c r="V936" s="196"/>
      <c r="W936" s="196"/>
      <c r="X936" s="197"/>
      <c r="Y936" s="197"/>
      <c r="Z936" s="197"/>
      <c r="AA936" s="196"/>
      <c r="AB936" s="196"/>
      <c r="AC936" s="196"/>
      <c r="AD936" s="196"/>
      <c r="AE936" s="196"/>
      <c r="AF936" s="196"/>
      <c r="AG936" s="196"/>
      <c r="AH936" s="196"/>
      <c r="AI936" s="196"/>
      <c r="AJ936" s="196"/>
      <c r="AK936" s="196"/>
      <c r="AL936" s="196"/>
      <c r="AM936" s="196"/>
      <c r="AN936" s="196"/>
      <c r="AO936" s="196"/>
      <c r="AP936" s="196"/>
      <c r="AQ936" s="197"/>
      <c r="AR936" s="196"/>
      <c r="AS936" s="196"/>
      <c r="AT936" s="196"/>
      <c r="AU936" s="196"/>
      <c r="AV936" s="196"/>
      <c r="AW936" s="197"/>
      <c r="AX936" s="197"/>
      <c r="AY936" s="197"/>
      <c r="AZ936" s="197"/>
    </row>
    <row r="937" spans="1:52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7"/>
      <c r="N937" s="197"/>
      <c r="O937" s="198"/>
      <c r="P937" s="198"/>
      <c r="Q937" s="198"/>
      <c r="R937" s="196"/>
      <c r="S937" s="196"/>
      <c r="T937" s="196"/>
      <c r="U937" s="196"/>
      <c r="V937" s="196"/>
      <c r="W937" s="196"/>
      <c r="X937" s="197"/>
      <c r="Y937" s="197"/>
      <c r="Z937" s="197"/>
      <c r="AA937" s="196"/>
      <c r="AB937" s="196"/>
      <c r="AC937" s="196"/>
      <c r="AD937" s="196"/>
      <c r="AE937" s="196"/>
      <c r="AF937" s="196"/>
      <c r="AG937" s="196"/>
      <c r="AH937" s="196"/>
      <c r="AI937" s="196"/>
      <c r="AJ937" s="196"/>
      <c r="AK937" s="196"/>
      <c r="AL937" s="196"/>
      <c r="AM937" s="196"/>
      <c r="AN937" s="196"/>
      <c r="AO937" s="196"/>
      <c r="AP937" s="196"/>
      <c r="AQ937" s="197"/>
      <c r="AR937" s="196"/>
      <c r="AS937" s="196"/>
      <c r="AT937" s="196"/>
      <c r="AU937" s="196"/>
      <c r="AV937" s="196"/>
      <c r="AW937" s="197"/>
      <c r="AX937" s="197"/>
      <c r="AY937" s="197"/>
      <c r="AZ937" s="197"/>
    </row>
    <row r="938" spans="1:52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7"/>
      <c r="N938" s="197"/>
      <c r="O938" s="198"/>
      <c r="P938" s="198"/>
      <c r="Q938" s="198"/>
      <c r="R938" s="196"/>
      <c r="S938" s="196"/>
      <c r="T938" s="196"/>
      <c r="U938" s="196"/>
      <c r="V938" s="196"/>
      <c r="W938" s="196"/>
      <c r="X938" s="197"/>
      <c r="Y938" s="197"/>
      <c r="Z938" s="197"/>
      <c r="AA938" s="196"/>
      <c r="AB938" s="196"/>
      <c r="AC938" s="196"/>
      <c r="AD938" s="196"/>
      <c r="AE938" s="196"/>
      <c r="AF938" s="196"/>
      <c r="AG938" s="196"/>
      <c r="AH938" s="196"/>
      <c r="AI938" s="196"/>
      <c r="AJ938" s="196"/>
      <c r="AK938" s="196"/>
      <c r="AL938" s="196"/>
      <c r="AM938" s="196"/>
      <c r="AN938" s="196"/>
      <c r="AO938" s="196"/>
      <c r="AP938" s="196"/>
      <c r="AQ938" s="197"/>
      <c r="AR938" s="196"/>
      <c r="AS938" s="196"/>
      <c r="AT938" s="196"/>
      <c r="AU938" s="196"/>
      <c r="AV938" s="196"/>
      <c r="AW938" s="197"/>
      <c r="AX938" s="197"/>
      <c r="AY938" s="197"/>
      <c r="AZ938" s="197"/>
    </row>
    <row r="939" spans="1:52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197"/>
      <c r="N939" s="197"/>
      <c r="O939" s="198"/>
      <c r="P939" s="198"/>
      <c r="Q939" s="198"/>
      <c r="R939" s="196"/>
      <c r="S939" s="196"/>
      <c r="T939" s="196"/>
      <c r="U939" s="196"/>
      <c r="V939" s="196"/>
      <c r="W939" s="196"/>
      <c r="X939" s="197"/>
      <c r="Y939" s="197"/>
      <c r="Z939" s="197"/>
      <c r="AA939" s="196"/>
      <c r="AB939" s="196"/>
      <c r="AC939" s="196"/>
      <c r="AD939" s="196"/>
      <c r="AE939" s="196"/>
      <c r="AF939" s="196"/>
      <c r="AG939" s="196"/>
      <c r="AH939" s="196"/>
      <c r="AI939" s="196"/>
      <c r="AJ939" s="196"/>
      <c r="AK939" s="196"/>
      <c r="AL939" s="196"/>
      <c r="AM939" s="196"/>
      <c r="AN939" s="196"/>
      <c r="AO939" s="196"/>
      <c r="AP939" s="196"/>
      <c r="AQ939" s="197"/>
      <c r="AR939" s="196"/>
      <c r="AS939" s="196"/>
      <c r="AT939" s="196"/>
      <c r="AU939" s="196"/>
      <c r="AV939" s="196"/>
      <c r="AW939" s="197"/>
      <c r="AX939" s="197"/>
      <c r="AY939" s="197"/>
      <c r="AZ939" s="197"/>
    </row>
    <row r="940" spans="1:52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7"/>
      <c r="N940" s="197"/>
      <c r="O940" s="198"/>
      <c r="P940" s="198"/>
      <c r="Q940" s="198"/>
      <c r="R940" s="196"/>
      <c r="S940" s="196"/>
      <c r="T940" s="196"/>
      <c r="U940" s="196"/>
      <c r="V940" s="196"/>
      <c r="W940" s="196"/>
      <c r="X940" s="197"/>
      <c r="Y940" s="197"/>
      <c r="Z940" s="197"/>
      <c r="AA940" s="196"/>
      <c r="AB940" s="196"/>
      <c r="AC940" s="196"/>
      <c r="AD940" s="196"/>
      <c r="AE940" s="196"/>
      <c r="AF940" s="196"/>
      <c r="AG940" s="196"/>
      <c r="AH940" s="196"/>
      <c r="AI940" s="196"/>
      <c r="AJ940" s="196"/>
      <c r="AK940" s="196"/>
      <c r="AL940" s="196"/>
      <c r="AM940" s="196"/>
      <c r="AN940" s="196"/>
      <c r="AO940" s="196"/>
      <c r="AP940" s="196"/>
      <c r="AQ940" s="197"/>
      <c r="AR940" s="196"/>
      <c r="AS940" s="196"/>
      <c r="AT940" s="196"/>
      <c r="AU940" s="196"/>
      <c r="AV940" s="196"/>
      <c r="AW940" s="197"/>
      <c r="AX940" s="197"/>
      <c r="AY940" s="197"/>
      <c r="AZ940" s="197"/>
    </row>
    <row r="941" spans="1:52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197"/>
      <c r="N941" s="197"/>
      <c r="O941" s="198"/>
      <c r="P941" s="198"/>
      <c r="Q941" s="198"/>
      <c r="R941" s="196"/>
      <c r="S941" s="196"/>
      <c r="T941" s="196"/>
      <c r="U941" s="196"/>
      <c r="V941" s="196"/>
      <c r="W941" s="196"/>
      <c r="X941" s="197"/>
      <c r="Y941" s="197"/>
      <c r="Z941" s="197"/>
      <c r="AA941" s="196"/>
      <c r="AB941" s="196"/>
      <c r="AC941" s="196"/>
      <c r="AD941" s="196"/>
      <c r="AE941" s="196"/>
      <c r="AF941" s="196"/>
      <c r="AG941" s="196"/>
      <c r="AH941" s="196"/>
      <c r="AI941" s="196"/>
      <c r="AJ941" s="196"/>
      <c r="AK941" s="196"/>
      <c r="AL941" s="196"/>
      <c r="AM941" s="196"/>
      <c r="AN941" s="196"/>
      <c r="AO941" s="196"/>
      <c r="AP941" s="196"/>
      <c r="AQ941" s="197"/>
      <c r="AR941" s="196"/>
      <c r="AS941" s="196"/>
      <c r="AT941" s="196"/>
      <c r="AU941" s="196"/>
      <c r="AV941" s="196"/>
      <c r="AW941" s="197"/>
      <c r="AX941" s="197"/>
      <c r="AY941" s="197"/>
      <c r="AZ941" s="197"/>
    </row>
    <row r="942" spans="1:52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197"/>
      <c r="N942" s="197"/>
      <c r="O942" s="198"/>
      <c r="P942" s="198"/>
      <c r="Q942" s="198"/>
      <c r="R942" s="196"/>
      <c r="S942" s="196"/>
      <c r="T942" s="196"/>
      <c r="U942" s="196"/>
      <c r="V942" s="196"/>
      <c r="W942" s="196"/>
      <c r="X942" s="197"/>
      <c r="Y942" s="197"/>
      <c r="Z942" s="197"/>
      <c r="AA942" s="196"/>
      <c r="AB942" s="196"/>
      <c r="AC942" s="196"/>
      <c r="AD942" s="196"/>
      <c r="AE942" s="196"/>
      <c r="AF942" s="196"/>
      <c r="AG942" s="196"/>
      <c r="AH942" s="196"/>
      <c r="AI942" s="196"/>
      <c r="AJ942" s="196"/>
      <c r="AK942" s="196"/>
      <c r="AL942" s="196"/>
      <c r="AM942" s="196"/>
      <c r="AN942" s="196"/>
      <c r="AO942" s="196"/>
      <c r="AP942" s="196"/>
      <c r="AQ942" s="197"/>
      <c r="AR942" s="196"/>
      <c r="AS942" s="196"/>
      <c r="AT942" s="196"/>
      <c r="AU942" s="196"/>
      <c r="AV942" s="196"/>
      <c r="AW942" s="197"/>
      <c r="AX942" s="197"/>
      <c r="AY942" s="197"/>
      <c r="AZ942" s="197"/>
    </row>
    <row r="943" spans="1:52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197"/>
      <c r="N943" s="197"/>
      <c r="O943" s="198"/>
      <c r="P943" s="198"/>
      <c r="Q943" s="198"/>
      <c r="R943" s="196"/>
      <c r="S943" s="196"/>
      <c r="T943" s="196"/>
      <c r="U943" s="196"/>
      <c r="V943" s="196"/>
      <c r="W943" s="196"/>
      <c r="X943" s="197"/>
      <c r="Y943" s="197"/>
      <c r="Z943" s="197"/>
      <c r="AA943" s="196"/>
      <c r="AB943" s="196"/>
      <c r="AC943" s="196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  <c r="AN943" s="196"/>
      <c r="AO943" s="196"/>
      <c r="AP943" s="196"/>
      <c r="AQ943" s="197"/>
      <c r="AR943" s="196"/>
      <c r="AS943" s="196"/>
      <c r="AT943" s="196"/>
      <c r="AU943" s="196"/>
      <c r="AV943" s="196"/>
      <c r="AW943" s="197"/>
      <c r="AX943" s="197"/>
      <c r="AY943" s="197"/>
      <c r="AZ943" s="197"/>
    </row>
    <row r="944" spans="1:52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197"/>
      <c r="N944" s="197"/>
      <c r="O944" s="198"/>
      <c r="P944" s="198"/>
      <c r="Q944" s="198"/>
      <c r="R944" s="196"/>
      <c r="S944" s="196"/>
      <c r="T944" s="196"/>
      <c r="U944" s="196"/>
      <c r="V944" s="196"/>
      <c r="W944" s="196"/>
      <c r="X944" s="197"/>
      <c r="Y944" s="197"/>
      <c r="Z944" s="197"/>
      <c r="AA944" s="196"/>
      <c r="AB944" s="196"/>
      <c r="AC944" s="196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  <c r="AN944" s="196"/>
      <c r="AO944" s="196"/>
      <c r="AP944" s="196"/>
      <c r="AQ944" s="197"/>
      <c r="AR944" s="196"/>
      <c r="AS944" s="196"/>
      <c r="AT944" s="196"/>
      <c r="AU944" s="196"/>
      <c r="AV944" s="196"/>
      <c r="AW944" s="197"/>
      <c r="AX944" s="197"/>
      <c r="AY944" s="197"/>
      <c r="AZ944" s="197"/>
    </row>
    <row r="945" spans="1:52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197"/>
      <c r="N945" s="197"/>
      <c r="O945" s="198"/>
      <c r="P945" s="198"/>
      <c r="Q945" s="198"/>
      <c r="R945" s="196"/>
      <c r="S945" s="196"/>
      <c r="T945" s="196"/>
      <c r="U945" s="196"/>
      <c r="V945" s="196"/>
      <c r="W945" s="196"/>
      <c r="X945" s="197"/>
      <c r="Y945" s="197"/>
      <c r="Z945" s="197"/>
      <c r="AA945" s="196"/>
      <c r="AB945" s="196"/>
      <c r="AC945" s="196"/>
      <c r="AD945" s="196"/>
      <c r="AE945" s="196"/>
      <c r="AF945" s="196"/>
      <c r="AG945" s="196"/>
      <c r="AH945" s="196"/>
      <c r="AI945" s="196"/>
      <c r="AJ945" s="196"/>
      <c r="AK945" s="196"/>
      <c r="AL945" s="196"/>
      <c r="AM945" s="196"/>
      <c r="AN945" s="196"/>
      <c r="AO945" s="196"/>
      <c r="AP945" s="196"/>
      <c r="AQ945" s="197"/>
      <c r="AR945" s="196"/>
      <c r="AS945" s="196"/>
      <c r="AT945" s="196"/>
      <c r="AU945" s="196"/>
      <c r="AV945" s="196"/>
      <c r="AW945" s="197"/>
      <c r="AX945" s="197"/>
      <c r="AY945" s="197"/>
      <c r="AZ945" s="197"/>
    </row>
    <row r="946" spans="1:52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197"/>
      <c r="N946" s="197"/>
      <c r="O946" s="198"/>
      <c r="P946" s="198"/>
      <c r="Q946" s="198"/>
      <c r="R946" s="196"/>
      <c r="S946" s="196"/>
      <c r="T946" s="196"/>
      <c r="U946" s="196"/>
      <c r="V946" s="196"/>
      <c r="W946" s="196"/>
      <c r="X946" s="197"/>
      <c r="Y946" s="197"/>
      <c r="Z946" s="197"/>
      <c r="AA946" s="196"/>
      <c r="AB946" s="196"/>
      <c r="AC946" s="196"/>
      <c r="AD946" s="196"/>
      <c r="AE946" s="196"/>
      <c r="AF946" s="196"/>
      <c r="AG946" s="196"/>
      <c r="AH946" s="196"/>
      <c r="AI946" s="196"/>
      <c r="AJ946" s="196"/>
      <c r="AK946" s="196"/>
      <c r="AL946" s="196"/>
      <c r="AM946" s="196"/>
      <c r="AN946" s="196"/>
      <c r="AO946" s="196"/>
      <c r="AP946" s="196"/>
      <c r="AQ946" s="197"/>
      <c r="AR946" s="196"/>
      <c r="AS946" s="196"/>
      <c r="AT946" s="196"/>
      <c r="AU946" s="196"/>
      <c r="AV946" s="196"/>
      <c r="AW946" s="197"/>
      <c r="AX946" s="197"/>
      <c r="AY946" s="197"/>
      <c r="AZ946" s="197"/>
    </row>
    <row r="947" spans="1:52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197"/>
      <c r="N947" s="197"/>
      <c r="O947" s="198"/>
      <c r="P947" s="198"/>
      <c r="Q947" s="198"/>
      <c r="R947" s="196"/>
      <c r="S947" s="196"/>
      <c r="T947" s="196"/>
      <c r="U947" s="196"/>
      <c r="V947" s="196"/>
      <c r="W947" s="196"/>
      <c r="X947" s="197"/>
      <c r="Y947" s="197"/>
      <c r="Z947" s="197"/>
      <c r="AA947" s="196"/>
      <c r="AB947" s="196"/>
      <c r="AC947" s="196"/>
      <c r="AD947" s="196"/>
      <c r="AE947" s="196"/>
      <c r="AF947" s="196"/>
      <c r="AG947" s="196"/>
      <c r="AH947" s="196"/>
      <c r="AI947" s="196"/>
      <c r="AJ947" s="196"/>
      <c r="AK947" s="196"/>
      <c r="AL947" s="196"/>
      <c r="AM947" s="196"/>
      <c r="AN947" s="196"/>
      <c r="AO947" s="196"/>
      <c r="AP947" s="196"/>
      <c r="AQ947" s="197"/>
      <c r="AR947" s="196"/>
      <c r="AS947" s="196"/>
      <c r="AT947" s="196"/>
      <c r="AU947" s="196"/>
      <c r="AV947" s="196"/>
      <c r="AW947" s="197"/>
      <c r="AX947" s="197"/>
      <c r="AY947" s="197"/>
      <c r="AZ947" s="197"/>
    </row>
    <row r="948" spans="1:52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197"/>
      <c r="N948" s="197"/>
      <c r="O948" s="198"/>
      <c r="P948" s="198"/>
      <c r="Q948" s="198"/>
      <c r="R948" s="196"/>
      <c r="S948" s="196"/>
      <c r="T948" s="196"/>
      <c r="U948" s="196"/>
      <c r="V948" s="196"/>
      <c r="W948" s="196"/>
      <c r="X948" s="197"/>
      <c r="Y948" s="197"/>
      <c r="Z948" s="197"/>
      <c r="AA948" s="196"/>
      <c r="AB948" s="196"/>
      <c r="AC948" s="196"/>
      <c r="AD948" s="196"/>
      <c r="AE948" s="196"/>
      <c r="AF948" s="196"/>
      <c r="AG948" s="196"/>
      <c r="AH948" s="196"/>
      <c r="AI948" s="196"/>
      <c r="AJ948" s="196"/>
      <c r="AK948" s="196"/>
      <c r="AL948" s="196"/>
      <c r="AM948" s="196"/>
      <c r="AN948" s="196"/>
      <c r="AO948" s="196"/>
      <c r="AP948" s="196"/>
      <c r="AQ948" s="197"/>
      <c r="AR948" s="196"/>
      <c r="AS948" s="196"/>
      <c r="AT948" s="196"/>
      <c r="AU948" s="196"/>
      <c r="AV948" s="196"/>
      <c r="AW948" s="197"/>
      <c r="AX948" s="197"/>
      <c r="AY948" s="197"/>
      <c r="AZ948" s="197"/>
    </row>
    <row r="949" spans="1:52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197"/>
      <c r="N949" s="197"/>
      <c r="O949" s="198"/>
      <c r="P949" s="198"/>
      <c r="Q949" s="198"/>
      <c r="R949" s="196"/>
      <c r="S949" s="196"/>
      <c r="T949" s="196"/>
      <c r="U949" s="196"/>
      <c r="V949" s="196"/>
      <c r="W949" s="196"/>
      <c r="X949" s="197"/>
      <c r="Y949" s="197"/>
      <c r="Z949" s="197"/>
      <c r="AA949" s="196"/>
      <c r="AB949" s="196"/>
      <c r="AC949" s="196"/>
      <c r="AD949" s="196"/>
      <c r="AE949" s="196"/>
      <c r="AF949" s="196"/>
      <c r="AG949" s="196"/>
      <c r="AH949" s="196"/>
      <c r="AI949" s="196"/>
      <c r="AJ949" s="196"/>
      <c r="AK949" s="196"/>
      <c r="AL949" s="196"/>
      <c r="AM949" s="196"/>
      <c r="AN949" s="196"/>
      <c r="AO949" s="196"/>
      <c r="AP949" s="196"/>
      <c r="AQ949" s="197"/>
      <c r="AR949" s="196"/>
      <c r="AS949" s="196"/>
      <c r="AT949" s="196"/>
      <c r="AU949" s="196"/>
      <c r="AV949" s="196"/>
      <c r="AW949" s="197"/>
      <c r="AX949" s="197"/>
      <c r="AY949" s="197"/>
      <c r="AZ949" s="197"/>
    </row>
    <row r="950" spans="1:52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197"/>
      <c r="N950" s="197"/>
      <c r="O950" s="198"/>
      <c r="P950" s="198"/>
      <c r="Q950" s="198"/>
      <c r="R950" s="196"/>
      <c r="S950" s="196"/>
      <c r="T950" s="196"/>
      <c r="U950" s="196"/>
      <c r="V950" s="196"/>
      <c r="W950" s="196"/>
      <c r="X950" s="197"/>
      <c r="Y950" s="197"/>
      <c r="Z950" s="197"/>
      <c r="AA950" s="196"/>
      <c r="AB950" s="196"/>
      <c r="AC950" s="196"/>
      <c r="AD950" s="196"/>
      <c r="AE950" s="196"/>
      <c r="AF950" s="196"/>
      <c r="AG950" s="196"/>
      <c r="AH950" s="196"/>
      <c r="AI950" s="196"/>
      <c r="AJ950" s="196"/>
      <c r="AK950" s="196"/>
      <c r="AL950" s="196"/>
      <c r="AM950" s="196"/>
      <c r="AN950" s="196"/>
      <c r="AO950" s="196"/>
      <c r="AP950" s="196"/>
      <c r="AQ950" s="197"/>
      <c r="AR950" s="196"/>
      <c r="AS950" s="196"/>
      <c r="AT950" s="196"/>
      <c r="AU950" s="196"/>
      <c r="AV950" s="196"/>
      <c r="AW950" s="197"/>
      <c r="AX950" s="197"/>
      <c r="AY950" s="197"/>
      <c r="AZ950" s="197"/>
    </row>
    <row r="951" spans="1:52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197"/>
      <c r="N951" s="197"/>
      <c r="O951" s="198"/>
      <c r="P951" s="198"/>
      <c r="Q951" s="198"/>
      <c r="R951" s="196"/>
      <c r="S951" s="196"/>
      <c r="T951" s="196"/>
      <c r="U951" s="196"/>
      <c r="V951" s="196"/>
      <c r="W951" s="196"/>
      <c r="X951" s="197"/>
      <c r="Y951" s="197"/>
      <c r="Z951" s="197"/>
      <c r="AA951" s="196"/>
      <c r="AB951" s="196"/>
      <c r="AC951" s="196"/>
      <c r="AD951" s="196"/>
      <c r="AE951" s="196"/>
      <c r="AF951" s="196"/>
      <c r="AG951" s="196"/>
      <c r="AH951" s="196"/>
      <c r="AI951" s="196"/>
      <c r="AJ951" s="196"/>
      <c r="AK951" s="196"/>
      <c r="AL951" s="196"/>
      <c r="AM951" s="196"/>
      <c r="AN951" s="196"/>
      <c r="AO951" s="196"/>
      <c r="AP951" s="196"/>
      <c r="AQ951" s="197"/>
      <c r="AR951" s="196"/>
      <c r="AS951" s="196"/>
      <c r="AT951" s="196"/>
      <c r="AU951" s="196"/>
      <c r="AV951" s="196"/>
      <c r="AW951" s="197"/>
      <c r="AX951" s="197"/>
      <c r="AY951" s="197"/>
      <c r="AZ951" s="197"/>
    </row>
    <row r="952" spans="1:52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197"/>
      <c r="N952" s="197"/>
      <c r="O952" s="198"/>
      <c r="P952" s="198"/>
      <c r="Q952" s="198"/>
      <c r="R952" s="196"/>
      <c r="S952" s="196"/>
      <c r="T952" s="196"/>
      <c r="U952" s="196"/>
      <c r="V952" s="196"/>
      <c r="W952" s="196"/>
      <c r="X952" s="197"/>
      <c r="Y952" s="197"/>
      <c r="Z952" s="197"/>
      <c r="AA952" s="196"/>
      <c r="AB952" s="196"/>
      <c r="AC952" s="196"/>
      <c r="AD952" s="196"/>
      <c r="AE952" s="196"/>
      <c r="AF952" s="196"/>
      <c r="AG952" s="196"/>
      <c r="AH952" s="196"/>
      <c r="AI952" s="196"/>
      <c r="AJ952" s="196"/>
      <c r="AK952" s="196"/>
      <c r="AL952" s="196"/>
      <c r="AM952" s="196"/>
      <c r="AN952" s="196"/>
      <c r="AO952" s="196"/>
      <c r="AP952" s="196"/>
      <c r="AQ952" s="197"/>
      <c r="AR952" s="196"/>
      <c r="AS952" s="196"/>
      <c r="AT952" s="196"/>
      <c r="AU952" s="196"/>
      <c r="AV952" s="196"/>
      <c r="AW952" s="197"/>
      <c r="AX952" s="197"/>
      <c r="AY952" s="197"/>
      <c r="AZ952" s="197"/>
    </row>
    <row r="953" spans="1:52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197"/>
      <c r="N953" s="197"/>
      <c r="O953" s="198"/>
      <c r="P953" s="198"/>
      <c r="Q953" s="198"/>
      <c r="R953" s="196"/>
      <c r="S953" s="196"/>
      <c r="T953" s="196"/>
      <c r="U953" s="196"/>
      <c r="V953" s="196"/>
      <c r="W953" s="196"/>
      <c r="X953" s="197"/>
      <c r="Y953" s="197"/>
      <c r="Z953" s="197"/>
      <c r="AA953" s="196"/>
      <c r="AB953" s="196"/>
      <c r="AC953" s="196"/>
      <c r="AD953" s="196"/>
      <c r="AE953" s="196"/>
      <c r="AF953" s="196"/>
      <c r="AG953" s="196"/>
      <c r="AH953" s="196"/>
      <c r="AI953" s="196"/>
      <c r="AJ953" s="196"/>
      <c r="AK953" s="196"/>
      <c r="AL953" s="196"/>
      <c r="AM953" s="196"/>
      <c r="AN953" s="196"/>
      <c r="AO953" s="196"/>
      <c r="AP953" s="196"/>
      <c r="AQ953" s="197"/>
      <c r="AR953" s="196"/>
      <c r="AS953" s="196"/>
      <c r="AT953" s="196"/>
      <c r="AU953" s="196"/>
      <c r="AV953" s="196"/>
      <c r="AW953" s="197"/>
      <c r="AX953" s="197"/>
      <c r="AY953" s="197"/>
      <c r="AZ953" s="197"/>
    </row>
    <row r="954" spans="1:52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197"/>
      <c r="N954" s="197"/>
      <c r="O954" s="198"/>
      <c r="P954" s="198"/>
      <c r="Q954" s="198"/>
      <c r="R954" s="196"/>
      <c r="S954" s="196"/>
      <c r="T954" s="196"/>
      <c r="U954" s="196"/>
      <c r="V954" s="196"/>
      <c r="W954" s="196"/>
      <c r="X954" s="197"/>
      <c r="Y954" s="197"/>
      <c r="Z954" s="197"/>
      <c r="AA954" s="196"/>
      <c r="AB954" s="196"/>
      <c r="AC954" s="196"/>
      <c r="AD954" s="196"/>
      <c r="AE954" s="196"/>
      <c r="AF954" s="196"/>
      <c r="AG954" s="196"/>
      <c r="AH954" s="196"/>
      <c r="AI954" s="196"/>
      <c r="AJ954" s="196"/>
      <c r="AK954" s="196"/>
      <c r="AL954" s="196"/>
      <c r="AM954" s="196"/>
      <c r="AN954" s="196"/>
      <c r="AO954" s="196"/>
      <c r="AP954" s="196"/>
      <c r="AQ954" s="197"/>
      <c r="AR954" s="196"/>
      <c r="AS954" s="196"/>
      <c r="AT954" s="196"/>
      <c r="AU954" s="196"/>
      <c r="AV954" s="196"/>
      <c r="AW954" s="197"/>
      <c r="AX954" s="197"/>
      <c r="AY954" s="197"/>
      <c r="AZ954" s="197"/>
    </row>
    <row r="955" spans="1:52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197"/>
      <c r="N955" s="197"/>
      <c r="O955" s="198"/>
      <c r="P955" s="198"/>
      <c r="Q955" s="198"/>
      <c r="R955" s="196"/>
      <c r="S955" s="196"/>
      <c r="T955" s="196"/>
      <c r="U955" s="196"/>
      <c r="V955" s="196"/>
      <c r="W955" s="196"/>
      <c r="X955" s="197"/>
      <c r="Y955" s="197"/>
      <c r="Z955" s="197"/>
      <c r="AA955" s="196"/>
      <c r="AB955" s="196"/>
      <c r="AC955" s="196"/>
      <c r="AD955" s="196"/>
      <c r="AE955" s="196"/>
      <c r="AF955" s="196"/>
      <c r="AG955" s="196"/>
      <c r="AH955" s="196"/>
      <c r="AI955" s="196"/>
      <c r="AJ955" s="196"/>
      <c r="AK955" s="196"/>
      <c r="AL955" s="196"/>
      <c r="AM955" s="196"/>
      <c r="AN955" s="196"/>
      <c r="AO955" s="196"/>
      <c r="AP955" s="196"/>
      <c r="AQ955" s="197"/>
      <c r="AR955" s="196"/>
      <c r="AS955" s="196"/>
      <c r="AT955" s="196"/>
      <c r="AU955" s="196"/>
      <c r="AV955" s="196"/>
      <c r="AW955" s="197"/>
      <c r="AX955" s="197"/>
      <c r="AY955" s="197"/>
      <c r="AZ955" s="197"/>
    </row>
    <row r="956" spans="1:52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197"/>
      <c r="N956" s="197"/>
      <c r="O956" s="198"/>
      <c r="P956" s="198"/>
      <c r="Q956" s="198"/>
      <c r="R956" s="196"/>
      <c r="S956" s="196"/>
      <c r="T956" s="196"/>
      <c r="U956" s="196"/>
      <c r="V956" s="196"/>
      <c r="W956" s="196"/>
      <c r="X956" s="197"/>
      <c r="Y956" s="197"/>
      <c r="Z956" s="197"/>
      <c r="AA956" s="196"/>
      <c r="AB956" s="196"/>
      <c r="AC956" s="196"/>
      <c r="AD956" s="196"/>
      <c r="AE956" s="196"/>
      <c r="AF956" s="196"/>
      <c r="AG956" s="196"/>
      <c r="AH956" s="196"/>
      <c r="AI956" s="196"/>
      <c r="AJ956" s="196"/>
      <c r="AK956" s="196"/>
      <c r="AL956" s="196"/>
      <c r="AM956" s="196"/>
      <c r="AN956" s="196"/>
      <c r="AO956" s="196"/>
      <c r="AP956" s="196"/>
      <c r="AQ956" s="197"/>
      <c r="AR956" s="196"/>
      <c r="AS956" s="196"/>
      <c r="AT956" s="196"/>
      <c r="AU956" s="196"/>
      <c r="AV956" s="196"/>
      <c r="AW956" s="197"/>
      <c r="AX956" s="197"/>
      <c r="AY956" s="197"/>
      <c r="AZ956" s="197"/>
    </row>
    <row r="957" spans="1:52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197"/>
      <c r="N957" s="197"/>
      <c r="O957" s="198"/>
      <c r="P957" s="198"/>
      <c r="Q957" s="198"/>
      <c r="R957" s="196"/>
      <c r="S957" s="196"/>
      <c r="T957" s="196"/>
      <c r="U957" s="196"/>
      <c r="V957" s="196"/>
      <c r="W957" s="196"/>
      <c r="X957" s="197"/>
      <c r="Y957" s="197"/>
      <c r="Z957" s="197"/>
      <c r="AA957" s="196"/>
      <c r="AB957" s="196"/>
      <c r="AC957" s="196"/>
      <c r="AD957" s="196"/>
      <c r="AE957" s="196"/>
      <c r="AF957" s="196"/>
      <c r="AG957" s="196"/>
      <c r="AH957" s="196"/>
      <c r="AI957" s="196"/>
      <c r="AJ957" s="196"/>
      <c r="AK957" s="196"/>
      <c r="AL957" s="196"/>
      <c r="AM957" s="196"/>
      <c r="AN957" s="196"/>
      <c r="AO957" s="196"/>
      <c r="AP957" s="196"/>
      <c r="AQ957" s="197"/>
      <c r="AR957" s="196"/>
      <c r="AS957" s="196"/>
      <c r="AT957" s="196"/>
      <c r="AU957" s="196"/>
      <c r="AV957" s="196"/>
      <c r="AW957" s="197"/>
      <c r="AX957" s="197"/>
      <c r="AY957" s="197"/>
      <c r="AZ957" s="197"/>
    </row>
    <row r="958" spans="1:52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197"/>
      <c r="N958" s="197"/>
      <c r="O958" s="198"/>
      <c r="P958" s="198"/>
      <c r="Q958" s="198"/>
      <c r="R958" s="196"/>
      <c r="S958" s="196"/>
      <c r="T958" s="196"/>
      <c r="U958" s="196"/>
      <c r="V958" s="196"/>
      <c r="W958" s="196"/>
      <c r="X958" s="197"/>
      <c r="Y958" s="197"/>
      <c r="Z958" s="197"/>
      <c r="AA958" s="196"/>
      <c r="AB958" s="196"/>
      <c r="AC958" s="196"/>
      <c r="AD958" s="196"/>
      <c r="AE958" s="196"/>
      <c r="AF958" s="196"/>
      <c r="AG958" s="196"/>
      <c r="AH958" s="196"/>
      <c r="AI958" s="196"/>
      <c r="AJ958" s="196"/>
      <c r="AK958" s="196"/>
      <c r="AL958" s="196"/>
      <c r="AM958" s="196"/>
      <c r="AN958" s="196"/>
      <c r="AO958" s="196"/>
      <c r="AP958" s="196"/>
      <c r="AQ958" s="197"/>
      <c r="AR958" s="196"/>
      <c r="AS958" s="196"/>
      <c r="AT958" s="196"/>
      <c r="AU958" s="196"/>
      <c r="AV958" s="196"/>
      <c r="AW958" s="197"/>
      <c r="AX958" s="197"/>
      <c r="AY958" s="197"/>
      <c r="AZ958" s="197"/>
    </row>
    <row r="959" spans="1:52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197"/>
      <c r="N959" s="197"/>
      <c r="O959" s="198"/>
      <c r="P959" s="198"/>
      <c r="Q959" s="198"/>
      <c r="R959" s="196"/>
      <c r="S959" s="196"/>
      <c r="T959" s="196"/>
      <c r="U959" s="196"/>
      <c r="V959" s="196"/>
      <c r="W959" s="196"/>
      <c r="X959" s="197"/>
      <c r="Y959" s="197"/>
      <c r="Z959" s="197"/>
      <c r="AA959" s="196"/>
      <c r="AB959" s="196"/>
      <c r="AC959" s="196"/>
      <c r="AD959" s="196"/>
      <c r="AE959" s="196"/>
      <c r="AF959" s="196"/>
      <c r="AG959" s="196"/>
      <c r="AH959" s="196"/>
      <c r="AI959" s="196"/>
      <c r="AJ959" s="196"/>
      <c r="AK959" s="196"/>
      <c r="AL959" s="196"/>
      <c r="AM959" s="196"/>
      <c r="AN959" s="196"/>
      <c r="AO959" s="196"/>
      <c r="AP959" s="196"/>
      <c r="AQ959" s="197"/>
      <c r="AR959" s="196"/>
      <c r="AS959" s="196"/>
      <c r="AT959" s="196"/>
      <c r="AU959" s="196"/>
      <c r="AV959" s="196"/>
      <c r="AW959" s="197"/>
      <c r="AX959" s="197"/>
      <c r="AY959" s="197"/>
      <c r="AZ959" s="197"/>
    </row>
    <row r="960" spans="1:52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197"/>
      <c r="N960" s="197"/>
      <c r="O960" s="198"/>
      <c r="P960" s="198"/>
      <c r="Q960" s="198"/>
      <c r="R960" s="196"/>
      <c r="S960" s="196"/>
      <c r="T960" s="196"/>
      <c r="U960" s="196"/>
      <c r="V960" s="196"/>
      <c r="W960" s="196"/>
      <c r="X960" s="197"/>
      <c r="Y960" s="197"/>
      <c r="Z960" s="197"/>
      <c r="AA960" s="196"/>
      <c r="AB960" s="196"/>
      <c r="AC960" s="196"/>
      <c r="AD960" s="196"/>
      <c r="AE960" s="196"/>
      <c r="AF960" s="196"/>
      <c r="AG960" s="196"/>
      <c r="AH960" s="196"/>
      <c r="AI960" s="196"/>
      <c r="AJ960" s="196"/>
      <c r="AK960" s="196"/>
      <c r="AL960" s="196"/>
      <c r="AM960" s="196"/>
      <c r="AN960" s="196"/>
      <c r="AO960" s="196"/>
      <c r="AP960" s="196"/>
      <c r="AQ960" s="197"/>
      <c r="AR960" s="196"/>
      <c r="AS960" s="196"/>
      <c r="AT960" s="196"/>
      <c r="AU960" s="196"/>
      <c r="AV960" s="196"/>
      <c r="AW960" s="197"/>
      <c r="AX960" s="197"/>
      <c r="AY960" s="197"/>
      <c r="AZ960" s="197"/>
    </row>
    <row r="961" spans="1:52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197"/>
      <c r="N961" s="197"/>
      <c r="O961" s="198"/>
      <c r="P961" s="198"/>
      <c r="Q961" s="198"/>
      <c r="R961" s="196"/>
      <c r="S961" s="196"/>
      <c r="T961" s="196"/>
      <c r="U961" s="196"/>
      <c r="V961" s="196"/>
      <c r="W961" s="196"/>
      <c r="X961" s="197"/>
      <c r="Y961" s="197"/>
      <c r="Z961" s="197"/>
      <c r="AA961" s="196"/>
      <c r="AB961" s="196"/>
      <c r="AC961" s="196"/>
      <c r="AD961" s="196"/>
      <c r="AE961" s="196"/>
      <c r="AF961" s="196"/>
      <c r="AG961" s="196"/>
      <c r="AH961" s="196"/>
      <c r="AI961" s="196"/>
      <c r="AJ961" s="196"/>
      <c r="AK961" s="196"/>
      <c r="AL961" s="196"/>
      <c r="AM961" s="196"/>
      <c r="AN961" s="196"/>
      <c r="AO961" s="196"/>
      <c r="AP961" s="196"/>
      <c r="AQ961" s="197"/>
      <c r="AR961" s="196"/>
      <c r="AS961" s="196"/>
      <c r="AT961" s="196"/>
      <c r="AU961" s="196"/>
      <c r="AV961" s="196"/>
      <c r="AW961" s="197"/>
      <c r="AX961" s="197"/>
      <c r="AY961" s="197"/>
      <c r="AZ961" s="197"/>
    </row>
    <row r="962" spans="1:52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197"/>
      <c r="N962" s="197"/>
      <c r="O962" s="198"/>
      <c r="P962" s="198"/>
      <c r="Q962" s="198"/>
      <c r="R962" s="196"/>
      <c r="S962" s="196"/>
      <c r="T962" s="196"/>
      <c r="U962" s="196"/>
      <c r="V962" s="196"/>
      <c r="W962" s="196"/>
      <c r="X962" s="197"/>
      <c r="Y962" s="197"/>
      <c r="Z962" s="197"/>
      <c r="AA962" s="196"/>
      <c r="AB962" s="196"/>
      <c r="AC962" s="196"/>
      <c r="AD962" s="196"/>
      <c r="AE962" s="196"/>
      <c r="AF962" s="196"/>
      <c r="AG962" s="196"/>
      <c r="AH962" s="196"/>
      <c r="AI962" s="196"/>
      <c r="AJ962" s="196"/>
      <c r="AK962" s="196"/>
      <c r="AL962" s="196"/>
      <c r="AM962" s="196"/>
      <c r="AN962" s="196"/>
      <c r="AO962" s="196"/>
      <c r="AP962" s="196"/>
      <c r="AQ962" s="197"/>
      <c r="AR962" s="196"/>
      <c r="AS962" s="196"/>
      <c r="AT962" s="196"/>
      <c r="AU962" s="196"/>
      <c r="AV962" s="196"/>
      <c r="AW962" s="197"/>
      <c r="AX962" s="197"/>
      <c r="AY962" s="197"/>
      <c r="AZ962" s="197"/>
    </row>
    <row r="963" spans="1:52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197"/>
      <c r="N963" s="197"/>
      <c r="O963" s="198"/>
      <c r="P963" s="198"/>
      <c r="Q963" s="198"/>
      <c r="R963" s="196"/>
      <c r="S963" s="196"/>
      <c r="T963" s="196"/>
      <c r="U963" s="196"/>
      <c r="V963" s="196"/>
      <c r="W963" s="196"/>
      <c r="X963" s="197"/>
      <c r="Y963" s="197"/>
      <c r="Z963" s="197"/>
      <c r="AA963" s="196"/>
      <c r="AB963" s="196"/>
      <c r="AC963" s="196"/>
      <c r="AD963" s="196"/>
      <c r="AE963" s="196"/>
      <c r="AF963" s="196"/>
      <c r="AG963" s="196"/>
      <c r="AH963" s="196"/>
      <c r="AI963" s="196"/>
      <c r="AJ963" s="196"/>
      <c r="AK963" s="196"/>
      <c r="AL963" s="196"/>
      <c r="AM963" s="196"/>
      <c r="AN963" s="196"/>
      <c r="AO963" s="196"/>
      <c r="AP963" s="196"/>
      <c r="AQ963" s="197"/>
      <c r="AR963" s="196"/>
      <c r="AS963" s="196"/>
      <c r="AT963" s="196"/>
      <c r="AU963" s="196"/>
      <c r="AV963" s="196"/>
      <c r="AW963" s="197"/>
      <c r="AX963" s="197"/>
      <c r="AY963" s="197"/>
      <c r="AZ963" s="197"/>
    </row>
    <row r="964" spans="1:52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197"/>
      <c r="N964" s="197"/>
      <c r="O964" s="198"/>
      <c r="P964" s="198"/>
      <c r="Q964" s="198"/>
      <c r="R964" s="196"/>
      <c r="S964" s="196"/>
      <c r="T964" s="196"/>
      <c r="U964" s="196"/>
      <c r="V964" s="196"/>
      <c r="W964" s="196"/>
      <c r="X964" s="197"/>
      <c r="Y964" s="197"/>
      <c r="Z964" s="197"/>
      <c r="AA964" s="196"/>
      <c r="AB964" s="196"/>
      <c r="AC964" s="196"/>
      <c r="AD964" s="196"/>
      <c r="AE964" s="196"/>
      <c r="AF964" s="196"/>
      <c r="AG964" s="196"/>
      <c r="AH964" s="196"/>
      <c r="AI964" s="196"/>
      <c r="AJ964" s="196"/>
      <c r="AK964" s="196"/>
      <c r="AL964" s="196"/>
      <c r="AM964" s="196"/>
      <c r="AN964" s="196"/>
      <c r="AO964" s="196"/>
      <c r="AP964" s="196"/>
      <c r="AQ964" s="197"/>
      <c r="AR964" s="196"/>
      <c r="AS964" s="196"/>
      <c r="AT964" s="196"/>
      <c r="AU964" s="196"/>
      <c r="AV964" s="196"/>
      <c r="AW964" s="197"/>
      <c r="AX964" s="197"/>
      <c r="AY964" s="197"/>
      <c r="AZ964" s="197"/>
    </row>
    <row r="965" spans="1:52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197"/>
      <c r="N965" s="197"/>
      <c r="O965" s="198"/>
      <c r="P965" s="198"/>
      <c r="Q965" s="198"/>
      <c r="R965" s="196"/>
      <c r="S965" s="196"/>
      <c r="T965" s="196"/>
      <c r="U965" s="196"/>
      <c r="V965" s="196"/>
      <c r="W965" s="196"/>
      <c r="X965" s="197"/>
      <c r="Y965" s="197"/>
      <c r="Z965" s="197"/>
      <c r="AA965" s="196"/>
      <c r="AB965" s="196"/>
      <c r="AC965" s="196"/>
      <c r="AD965" s="196"/>
      <c r="AE965" s="196"/>
      <c r="AF965" s="196"/>
      <c r="AG965" s="196"/>
      <c r="AH965" s="196"/>
      <c r="AI965" s="196"/>
      <c r="AJ965" s="196"/>
      <c r="AK965" s="196"/>
      <c r="AL965" s="196"/>
      <c r="AM965" s="196"/>
      <c r="AN965" s="196"/>
      <c r="AO965" s="196"/>
      <c r="AP965" s="196"/>
      <c r="AQ965" s="197"/>
      <c r="AR965" s="196"/>
      <c r="AS965" s="196"/>
      <c r="AT965" s="196"/>
      <c r="AU965" s="196"/>
      <c r="AV965" s="196"/>
      <c r="AW965" s="197"/>
      <c r="AX965" s="197"/>
      <c r="AY965" s="197"/>
      <c r="AZ965" s="197"/>
    </row>
    <row r="966" spans="1:52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197"/>
      <c r="N966" s="197"/>
      <c r="O966" s="198"/>
      <c r="P966" s="198"/>
      <c r="Q966" s="198"/>
      <c r="R966" s="196"/>
      <c r="S966" s="196"/>
      <c r="T966" s="196"/>
      <c r="U966" s="196"/>
      <c r="V966" s="196"/>
      <c r="W966" s="196"/>
      <c r="X966" s="197"/>
      <c r="Y966" s="197"/>
      <c r="Z966" s="197"/>
      <c r="AA966" s="196"/>
      <c r="AB966" s="196"/>
      <c r="AC966" s="196"/>
      <c r="AD966" s="196"/>
      <c r="AE966" s="196"/>
      <c r="AF966" s="196"/>
      <c r="AG966" s="196"/>
      <c r="AH966" s="196"/>
      <c r="AI966" s="196"/>
      <c r="AJ966" s="196"/>
      <c r="AK966" s="196"/>
      <c r="AL966" s="196"/>
      <c r="AM966" s="196"/>
      <c r="AN966" s="196"/>
      <c r="AO966" s="196"/>
      <c r="AP966" s="196"/>
      <c r="AQ966" s="197"/>
      <c r="AR966" s="196"/>
      <c r="AS966" s="196"/>
      <c r="AT966" s="196"/>
      <c r="AU966" s="196"/>
      <c r="AV966" s="196"/>
      <c r="AW966" s="197"/>
      <c r="AX966" s="197"/>
      <c r="AY966" s="197"/>
      <c r="AZ966" s="197"/>
    </row>
    <row r="967" spans="1:52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197"/>
      <c r="N967" s="197"/>
      <c r="O967" s="198"/>
      <c r="P967" s="198"/>
      <c r="Q967" s="198"/>
      <c r="R967" s="196"/>
      <c r="S967" s="196"/>
      <c r="T967" s="196"/>
      <c r="U967" s="196"/>
      <c r="V967" s="196"/>
      <c r="W967" s="196"/>
      <c r="X967" s="197"/>
      <c r="Y967" s="197"/>
      <c r="Z967" s="197"/>
      <c r="AA967" s="196"/>
      <c r="AB967" s="196"/>
      <c r="AC967" s="196"/>
      <c r="AD967" s="196"/>
      <c r="AE967" s="196"/>
      <c r="AF967" s="196"/>
      <c r="AG967" s="196"/>
      <c r="AH967" s="196"/>
      <c r="AI967" s="196"/>
      <c r="AJ967" s="196"/>
      <c r="AK967" s="196"/>
      <c r="AL967" s="196"/>
      <c r="AM967" s="196"/>
      <c r="AN967" s="196"/>
      <c r="AO967" s="196"/>
      <c r="AP967" s="196"/>
      <c r="AQ967" s="197"/>
      <c r="AR967" s="196"/>
      <c r="AS967" s="196"/>
      <c r="AT967" s="196"/>
      <c r="AU967" s="196"/>
      <c r="AV967" s="196"/>
      <c r="AW967" s="197"/>
      <c r="AX967" s="197"/>
      <c r="AY967" s="197"/>
      <c r="AZ967" s="197"/>
    </row>
    <row r="968" spans="1:52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197"/>
      <c r="N968" s="197"/>
      <c r="O968" s="198"/>
      <c r="P968" s="198"/>
      <c r="Q968" s="198"/>
      <c r="R968" s="196"/>
      <c r="S968" s="196"/>
      <c r="T968" s="196"/>
      <c r="U968" s="196"/>
      <c r="V968" s="196"/>
      <c r="W968" s="196"/>
      <c r="X968" s="197"/>
      <c r="Y968" s="197"/>
      <c r="Z968" s="197"/>
      <c r="AA968" s="196"/>
      <c r="AB968" s="196"/>
      <c r="AC968" s="196"/>
      <c r="AD968" s="196"/>
      <c r="AE968" s="196"/>
      <c r="AF968" s="196"/>
      <c r="AG968" s="196"/>
      <c r="AH968" s="196"/>
      <c r="AI968" s="196"/>
      <c r="AJ968" s="196"/>
      <c r="AK968" s="196"/>
      <c r="AL968" s="196"/>
      <c r="AM968" s="196"/>
      <c r="AN968" s="196"/>
      <c r="AO968" s="196"/>
      <c r="AP968" s="196"/>
      <c r="AQ968" s="197"/>
      <c r="AR968" s="196"/>
      <c r="AS968" s="196"/>
      <c r="AT968" s="196"/>
      <c r="AU968" s="196"/>
      <c r="AV968" s="196"/>
      <c r="AW968" s="197"/>
      <c r="AX968" s="197"/>
      <c r="AY968" s="197"/>
      <c r="AZ968" s="197"/>
    </row>
    <row r="969" spans="1:52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197"/>
      <c r="N969" s="197"/>
      <c r="O969" s="198"/>
      <c r="P969" s="198"/>
      <c r="Q969" s="198"/>
      <c r="R969" s="196"/>
      <c r="S969" s="196"/>
      <c r="T969" s="196"/>
      <c r="U969" s="196"/>
      <c r="V969" s="196"/>
      <c r="W969" s="196"/>
      <c r="X969" s="197"/>
      <c r="Y969" s="197"/>
      <c r="Z969" s="197"/>
      <c r="AA969" s="196"/>
      <c r="AB969" s="196"/>
      <c r="AC969" s="196"/>
      <c r="AD969" s="196"/>
      <c r="AE969" s="196"/>
      <c r="AF969" s="196"/>
      <c r="AG969" s="196"/>
      <c r="AH969" s="196"/>
      <c r="AI969" s="196"/>
      <c r="AJ969" s="196"/>
      <c r="AK969" s="196"/>
      <c r="AL969" s="196"/>
      <c r="AM969" s="196"/>
      <c r="AN969" s="196"/>
      <c r="AO969" s="196"/>
      <c r="AP969" s="196"/>
      <c r="AQ969" s="197"/>
      <c r="AR969" s="196"/>
      <c r="AS969" s="196"/>
      <c r="AT969" s="196"/>
      <c r="AU969" s="196"/>
      <c r="AV969" s="196"/>
      <c r="AW969" s="197"/>
      <c r="AX969" s="197"/>
      <c r="AY969" s="197"/>
      <c r="AZ969" s="197"/>
    </row>
    <row r="970" spans="1:52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197"/>
      <c r="N970" s="197"/>
      <c r="O970" s="198"/>
      <c r="P970" s="198"/>
      <c r="Q970" s="198"/>
      <c r="R970" s="196"/>
      <c r="S970" s="196"/>
      <c r="T970" s="196"/>
      <c r="U970" s="196"/>
      <c r="V970" s="196"/>
      <c r="W970" s="196"/>
      <c r="X970" s="197"/>
      <c r="Y970" s="197"/>
      <c r="Z970" s="197"/>
      <c r="AA970" s="196"/>
      <c r="AB970" s="196"/>
      <c r="AC970" s="196"/>
      <c r="AD970" s="196"/>
      <c r="AE970" s="196"/>
      <c r="AF970" s="196"/>
      <c r="AG970" s="196"/>
      <c r="AH970" s="196"/>
      <c r="AI970" s="196"/>
      <c r="AJ970" s="196"/>
      <c r="AK970" s="196"/>
      <c r="AL970" s="196"/>
      <c r="AM970" s="196"/>
      <c r="AN970" s="196"/>
      <c r="AO970" s="196"/>
      <c r="AP970" s="196"/>
      <c r="AQ970" s="197"/>
      <c r="AR970" s="196"/>
      <c r="AS970" s="196"/>
      <c r="AT970" s="196"/>
      <c r="AU970" s="196"/>
      <c r="AV970" s="196"/>
      <c r="AW970" s="197"/>
      <c r="AX970" s="197"/>
      <c r="AY970" s="197"/>
      <c r="AZ970" s="197"/>
    </row>
    <row r="971" spans="1:52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197"/>
      <c r="N971" s="197"/>
      <c r="O971" s="198"/>
      <c r="P971" s="198"/>
      <c r="Q971" s="198"/>
      <c r="R971" s="196"/>
      <c r="S971" s="196"/>
      <c r="T971" s="196"/>
      <c r="U971" s="196"/>
      <c r="V971" s="196"/>
      <c r="W971" s="196"/>
      <c r="X971" s="197"/>
      <c r="Y971" s="197"/>
      <c r="Z971" s="197"/>
      <c r="AA971" s="196"/>
      <c r="AB971" s="196"/>
      <c r="AC971" s="196"/>
      <c r="AD971" s="196"/>
      <c r="AE971" s="196"/>
      <c r="AF971" s="196"/>
      <c r="AG971" s="196"/>
      <c r="AH971" s="196"/>
      <c r="AI971" s="196"/>
      <c r="AJ971" s="196"/>
      <c r="AK971" s="196"/>
      <c r="AL971" s="196"/>
      <c r="AM971" s="196"/>
      <c r="AN971" s="196"/>
      <c r="AO971" s="196"/>
      <c r="AP971" s="196"/>
      <c r="AQ971" s="197"/>
      <c r="AR971" s="196"/>
      <c r="AS971" s="196"/>
      <c r="AT971" s="196"/>
      <c r="AU971" s="196"/>
      <c r="AV971" s="196"/>
      <c r="AW971" s="197"/>
      <c r="AX971" s="197"/>
      <c r="AY971" s="197"/>
      <c r="AZ971" s="197"/>
    </row>
    <row r="972" spans="1:52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197"/>
      <c r="N972" s="197"/>
      <c r="O972" s="198"/>
      <c r="P972" s="198"/>
      <c r="Q972" s="198"/>
      <c r="R972" s="196"/>
      <c r="S972" s="196"/>
      <c r="T972" s="196"/>
      <c r="U972" s="196"/>
      <c r="V972" s="196"/>
      <c r="W972" s="196"/>
      <c r="X972" s="197"/>
      <c r="Y972" s="197"/>
      <c r="Z972" s="197"/>
      <c r="AA972" s="196"/>
      <c r="AB972" s="196"/>
      <c r="AC972" s="196"/>
      <c r="AD972" s="196"/>
      <c r="AE972" s="196"/>
      <c r="AF972" s="196"/>
      <c r="AG972" s="196"/>
      <c r="AH972" s="196"/>
      <c r="AI972" s="196"/>
      <c r="AJ972" s="196"/>
      <c r="AK972" s="196"/>
      <c r="AL972" s="196"/>
      <c r="AM972" s="196"/>
      <c r="AN972" s="196"/>
      <c r="AO972" s="196"/>
      <c r="AP972" s="196"/>
      <c r="AQ972" s="197"/>
      <c r="AR972" s="196"/>
      <c r="AS972" s="196"/>
      <c r="AT972" s="196"/>
      <c r="AU972" s="196"/>
      <c r="AV972" s="196"/>
      <c r="AW972" s="197"/>
      <c r="AX972" s="197"/>
      <c r="AY972" s="197"/>
      <c r="AZ972" s="197"/>
    </row>
    <row r="973" spans="1:52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197"/>
      <c r="N973" s="197"/>
      <c r="O973" s="198"/>
      <c r="P973" s="198"/>
      <c r="Q973" s="198"/>
      <c r="R973" s="196"/>
      <c r="S973" s="196"/>
      <c r="T973" s="196"/>
      <c r="U973" s="196"/>
      <c r="V973" s="196"/>
      <c r="W973" s="196"/>
      <c r="X973" s="197"/>
      <c r="Y973" s="197"/>
      <c r="Z973" s="197"/>
      <c r="AA973" s="196"/>
      <c r="AB973" s="196"/>
      <c r="AC973" s="196"/>
      <c r="AD973" s="196"/>
      <c r="AE973" s="196"/>
      <c r="AF973" s="196"/>
      <c r="AG973" s="196"/>
      <c r="AH973" s="196"/>
      <c r="AI973" s="196"/>
      <c r="AJ973" s="196"/>
      <c r="AK973" s="196"/>
      <c r="AL973" s="196"/>
      <c r="AM973" s="196"/>
      <c r="AN973" s="196"/>
      <c r="AO973" s="196"/>
      <c r="AP973" s="196"/>
      <c r="AQ973" s="197"/>
      <c r="AR973" s="196"/>
      <c r="AS973" s="196"/>
      <c r="AT973" s="196"/>
      <c r="AU973" s="196"/>
      <c r="AV973" s="196"/>
      <c r="AW973" s="197"/>
      <c r="AX973" s="197"/>
      <c r="AY973" s="197"/>
      <c r="AZ973" s="197"/>
    </row>
    <row r="974" spans="1:52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197"/>
      <c r="N974" s="197"/>
      <c r="O974" s="198"/>
      <c r="P974" s="198"/>
      <c r="Q974" s="198"/>
      <c r="R974" s="196"/>
      <c r="S974" s="196"/>
      <c r="T974" s="196"/>
      <c r="U974" s="196"/>
      <c r="V974" s="196"/>
      <c r="W974" s="196"/>
      <c r="X974" s="197"/>
      <c r="Y974" s="197"/>
      <c r="Z974" s="197"/>
      <c r="AA974" s="196"/>
      <c r="AB974" s="196"/>
      <c r="AC974" s="196"/>
      <c r="AD974" s="196"/>
      <c r="AE974" s="196"/>
      <c r="AF974" s="196"/>
      <c r="AG974" s="196"/>
      <c r="AH974" s="196"/>
      <c r="AI974" s="196"/>
      <c r="AJ974" s="196"/>
      <c r="AK974" s="196"/>
      <c r="AL974" s="196"/>
      <c r="AM974" s="196"/>
      <c r="AN974" s="196"/>
      <c r="AO974" s="196"/>
      <c r="AP974" s="196"/>
      <c r="AQ974" s="197"/>
      <c r="AR974" s="196"/>
      <c r="AS974" s="196"/>
      <c r="AT974" s="196"/>
      <c r="AU974" s="196"/>
      <c r="AV974" s="196"/>
      <c r="AW974" s="197"/>
      <c r="AX974" s="197"/>
      <c r="AY974" s="197"/>
      <c r="AZ974" s="197"/>
    </row>
    <row r="975" spans="1:52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197"/>
      <c r="N975" s="197"/>
      <c r="O975" s="198"/>
      <c r="P975" s="198"/>
      <c r="Q975" s="198"/>
      <c r="R975" s="196"/>
      <c r="S975" s="196"/>
      <c r="T975" s="196"/>
      <c r="U975" s="196"/>
      <c r="V975" s="196"/>
      <c r="W975" s="196"/>
      <c r="X975" s="197"/>
      <c r="Y975" s="197"/>
      <c r="Z975" s="197"/>
      <c r="AA975" s="196"/>
      <c r="AB975" s="196"/>
      <c r="AC975" s="196"/>
      <c r="AD975" s="196"/>
      <c r="AE975" s="196"/>
      <c r="AF975" s="196"/>
      <c r="AG975" s="196"/>
      <c r="AH975" s="196"/>
      <c r="AI975" s="196"/>
      <c r="AJ975" s="196"/>
      <c r="AK975" s="196"/>
      <c r="AL975" s="196"/>
      <c r="AM975" s="196"/>
      <c r="AN975" s="196"/>
      <c r="AO975" s="196"/>
      <c r="AP975" s="196"/>
      <c r="AQ975" s="197"/>
      <c r="AR975" s="196"/>
      <c r="AS975" s="196"/>
      <c r="AT975" s="196"/>
      <c r="AU975" s="196"/>
      <c r="AV975" s="196"/>
      <c r="AW975" s="197"/>
      <c r="AX975" s="197"/>
      <c r="AY975" s="197"/>
      <c r="AZ975" s="197"/>
    </row>
    <row r="976" spans="1:52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197"/>
      <c r="N976" s="197"/>
      <c r="O976" s="198"/>
      <c r="P976" s="198"/>
      <c r="Q976" s="198"/>
      <c r="R976" s="196"/>
      <c r="S976" s="196"/>
      <c r="T976" s="196"/>
      <c r="U976" s="196"/>
      <c r="V976" s="196"/>
      <c r="W976" s="196"/>
      <c r="X976" s="197"/>
      <c r="Y976" s="197"/>
      <c r="Z976" s="197"/>
      <c r="AA976" s="196"/>
      <c r="AB976" s="196"/>
      <c r="AC976" s="196"/>
      <c r="AD976" s="196"/>
      <c r="AE976" s="196"/>
      <c r="AF976" s="196"/>
      <c r="AG976" s="196"/>
      <c r="AH976" s="196"/>
      <c r="AI976" s="196"/>
      <c r="AJ976" s="196"/>
      <c r="AK976" s="196"/>
      <c r="AL976" s="196"/>
      <c r="AM976" s="196"/>
      <c r="AN976" s="196"/>
      <c r="AO976" s="196"/>
      <c r="AP976" s="196"/>
      <c r="AQ976" s="197"/>
      <c r="AR976" s="196"/>
      <c r="AS976" s="196"/>
      <c r="AT976" s="196"/>
      <c r="AU976" s="196"/>
      <c r="AV976" s="196"/>
      <c r="AW976" s="197"/>
      <c r="AX976" s="197"/>
      <c r="AY976" s="197"/>
      <c r="AZ976" s="197"/>
    </row>
    <row r="977" spans="1:52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197"/>
      <c r="N977" s="197"/>
      <c r="O977" s="198"/>
      <c r="P977" s="198"/>
      <c r="Q977" s="198"/>
      <c r="R977" s="196"/>
      <c r="S977" s="196"/>
      <c r="T977" s="196"/>
      <c r="U977" s="196"/>
      <c r="V977" s="196"/>
      <c r="W977" s="196"/>
      <c r="X977" s="197"/>
      <c r="Y977" s="197"/>
      <c r="Z977" s="197"/>
      <c r="AA977" s="196"/>
      <c r="AB977" s="196"/>
      <c r="AC977" s="196"/>
      <c r="AD977" s="196"/>
      <c r="AE977" s="196"/>
      <c r="AF977" s="196"/>
      <c r="AG977" s="196"/>
      <c r="AH977" s="196"/>
      <c r="AI977" s="196"/>
      <c r="AJ977" s="196"/>
      <c r="AK977" s="196"/>
      <c r="AL977" s="196"/>
      <c r="AM977" s="196"/>
      <c r="AN977" s="196"/>
      <c r="AO977" s="196"/>
      <c r="AP977" s="196"/>
      <c r="AQ977" s="197"/>
      <c r="AR977" s="196"/>
      <c r="AS977" s="196"/>
      <c r="AT977" s="196"/>
      <c r="AU977" s="196"/>
      <c r="AV977" s="196"/>
      <c r="AW977" s="197"/>
      <c r="AX977" s="197"/>
      <c r="AY977" s="197"/>
      <c r="AZ977" s="197"/>
    </row>
    <row r="978" spans="1:52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197"/>
      <c r="N978" s="197"/>
      <c r="O978" s="198"/>
      <c r="P978" s="198"/>
      <c r="Q978" s="198"/>
      <c r="R978" s="196"/>
      <c r="S978" s="196"/>
      <c r="T978" s="196"/>
      <c r="U978" s="196"/>
      <c r="V978" s="196"/>
      <c r="W978" s="196"/>
      <c r="X978" s="197"/>
      <c r="Y978" s="197"/>
      <c r="Z978" s="197"/>
      <c r="AA978" s="196"/>
      <c r="AB978" s="196"/>
      <c r="AC978" s="196"/>
      <c r="AD978" s="196"/>
      <c r="AE978" s="196"/>
      <c r="AF978" s="196"/>
      <c r="AG978" s="196"/>
      <c r="AH978" s="196"/>
      <c r="AI978" s="196"/>
      <c r="AJ978" s="196"/>
      <c r="AK978" s="196"/>
      <c r="AL978" s="196"/>
      <c r="AM978" s="196"/>
      <c r="AN978" s="196"/>
      <c r="AO978" s="196"/>
      <c r="AP978" s="196"/>
      <c r="AQ978" s="197"/>
      <c r="AR978" s="196"/>
      <c r="AS978" s="196"/>
      <c r="AT978" s="196"/>
      <c r="AU978" s="196"/>
      <c r="AV978" s="196"/>
      <c r="AW978" s="197"/>
      <c r="AX978" s="197"/>
      <c r="AY978" s="197"/>
      <c r="AZ978" s="197"/>
    </row>
    <row r="979" spans="1:52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197"/>
      <c r="N979" s="197"/>
      <c r="O979" s="198"/>
      <c r="P979" s="198"/>
      <c r="Q979" s="198"/>
      <c r="R979" s="196"/>
      <c r="S979" s="196"/>
      <c r="T979" s="196"/>
      <c r="U979" s="196"/>
      <c r="V979" s="196"/>
      <c r="W979" s="196"/>
      <c r="X979" s="197"/>
      <c r="Y979" s="197"/>
      <c r="Z979" s="197"/>
      <c r="AA979" s="196"/>
      <c r="AB979" s="196"/>
      <c r="AC979" s="196"/>
      <c r="AD979" s="196"/>
      <c r="AE979" s="196"/>
      <c r="AF979" s="196"/>
      <c r="AG979" s="196"/>
      <c r="AH979" s="196"/>
      <c r="AI979" s="196"/>
      <c r="AJ979" s="196"/>
      <c r="AK979" s="196"/>
      <c r="AL979" s="196"/>
      <c r="AM979" s="196"/>
      <c r="AN979" s="196"/>
      <c r="AO979" s="196"/>
      <c r="AP979" s="196"/>
      <c r="AQ979" s="197"/>
      <c r="AR979" s="196"/>
      <c r="AS979" s="196"/>
      <c r="AT979" s="196"/>
      <c r="AU979" s="196"/>
      <c r="AV979" s="196"/>
      <c r="AW979" s="197"/>
      <c r="AX979" s="197"/>
      <c r="AY979" s="197"/>
      <c r="AZ979" s="197"/>
    </row>
    <row r="980" spans="1:52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197"/>
      <c r="N980" s="197"/>
      <c r="O980" s="198"/>
      <c r="P980" s="198"/>
      <c r="Q980" s="198"/>
      <c r="R980" s="196"/>
      <c r="S980" s="196"/>
      <c r="T980" s="196"/>
      <c r="U980" s="196"/>
      <c r="V980" s="196"/>
      <c r="W980" s="196"/>
      <c r="X980" s="197"/>
      <c r="Y980" s="197"/>
      <c r="Z980" s="197"/>
      <c r="AA980" s="196"/>
      <c r="AB980" s="196"/>
      <c r="AC980" s="196"/>
      <c r="AD980" s="196"/>
      <c r="AE980" s="196"/>
      <c r="AF980" s="196"/>
      <c r="AG980" s="196"/>
      <c r="AH980" s="196"/>
      <c r="AI980" s="196"/>
      <c r="AJ980" s="196"/>
      <c r="AK980" s="196"/>
      <c r="AL980" s="196"/>
      <c r="AM980" s="196"/>
      <c r="AN980" s="196"/>
      <c r="AO980" s="196"/>
      <c r="AP980" s="196"/>
      <c r="AQ980" s="197"/>
      <c r="AR980" s="196"/>
      <c r="AS980" s="196"/>
      <c r="AT980" s="196"/>
      <c r="AU980" s="196"/>
      <c r="AV980" s="196"/>
      <c r="AW980" s="197"/>
      <c r="AX980" s="197"/>
      <c r="AY980" s="197"/>
      <c r="AZ980" s="197"/>
    </row>
    <row r="981" spans="1:52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197"/>
      <c r="N981" s="197"/>
      <c r="O981" s="198"/>
      <c r="P981" s="198"/>
      <c r="Q981" s="198"/>
      <c r="R981" s="196"/>
      <c r="S981" s="196"/>
      <c r="T981" s="196"/>
      <c r="U981" s="196"/>
      <c r="V981" s="196"/>
      <c r="W981" s="196"/>
      <c r="X981" s="197"/>
      <c r="Y981" s="197"/>
      <c r="Z981" s="197"/>
      <c r="AA981" s="196"/>
      <c r="AB981" s="196"/>
      <c r="AC981" s="196"/>
      <c r="AD981" s="196"/>
      <c r="AE981" s="196"/>
      <c r="AF981" s="196"/>
      <c r="AG981" s="196"/>
      <c r="AH981" s="196"/>
      <c r="AI981" s="196"/>
      <c r="AJ981" s="196"/>
      <c r="AK981" s="196"/>
      <c r="AL981" s="196"/>
      <c r="AM981" s="196"/>
      <c r="AN981" s="196"/>
      <c r="AO981" s="196"/>
      <c r="AP981" s="196"/>
      <c r="AQ981" s="197"/>
      <c r="AR981" s="196"/>
      <c r="AS981" s="196"/>
      <c r="AT981" s="196"/>
      <c r="AU981" s="196"/>
      <c r="AV981" s="196"/>
      <c r="AW981" s="197"/>
      <c r="AX981" s="197"/>
      <c r="AY981" s="197"/>
      <c r="AZ981" s="197"/>
    </row>
    <row r="982" spans="1:52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197"/>
      <c r="N982" s="197"/>
      <c r="O982" s="198"/>
      <c r="P982" s="198"/>
      <c r="Q982" s="198"/>
      <c r="R982" s="196"/>
      <c r="S982" s="196"/>
      <c r="T982" s="196"/>
      <c r="U982" s="196"/>
      <c r="V982" s="196"/>
      <c r="W982" s="196"/>
      <c r="X982" s="197"/>
      <c r="Y982" s="197"/>
      <c r="Z982" s="197"/>
      <c r="AA982" s="196"/>
      <c r="AB982" s="196"/>
      <c r="AC982" s="196"/>
      <c r="AD982" s="196"/>
      <c r="AE982" s="196"/>
      <c r="AF982" s="196"/>
      <c r="AG982" s="196"/>
      <c r="AH982" s="196"/>
      <c r="AI982" s="196"/>
      <c r="AJ982" s="196"/>
      <c r="AK982" s="196"/>
      <c r="AL982" s="196"/>
      <c r="AM982" s="196"/>
      <c r="AN982" s="196"/>
      <c r="AO982" s="196"/>
      <c r="AP982" s="196"/>
      <c r="AQ982" s="197"/>
      <c r="AR982" s="196"/>
      <c r="AS982" s="196"/>
      <c r="AT982" s="196"/>
      <c r="AU982" s="196"/>
      <c r="AV982" s="196"/>
      <c r="AW982" s="197"/>
      <c r="AX982" s="197"/>
      <c r="AY982" s="197"/>
      <c r="AZ982" s="197"/>
    </row>
    <row r="983" spans="1:52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197"/>
      <c r="N983" s="197"/>
      <c r="O983" s="198"/>
      <c r="P983" s="198"/>
      <c r="Q983" s="198"/>
      <c r="R983" s="196"/>
      <c r="S983" s="196"/>
      <c r="T983" s="196"/>
      <c r="U983" s="196"/>
      <c r="V983" s="196"/>
      <c r="W983" s="196"/>
      <c r="X983" s="197"/>
      <c r="Y983" s="197"/>
      <c r="Z983" s="197"/>
      <c r="AA983" s="196"/>
      <c r="AB983" s="196"/>
      <c r="AC983" s="196"/>
      <c r="AD983" s="196"/>
      <c r="AE983" s="196"/>
      <c r="AF983" s="196"/>
      <c r="AG983" s="196"/>
      <c r="AH983" s="196"/>
      <c r="AI983" s="196"/>
      <c r="AJ983" s="196"/>
      <c r="AK983" s="196"/>
      <c r="AL983" s="196"/>
      <c r="AM983" s="196"/>
      <c r="AN983" s="196"/>
      <c r="AO983" s="196"/>
      <c r="AP983" s="196"/>
      <c r="AQ983" s="197"/>
      <c r="AR983" s="196"/>
      <c r="AS983" s="196"/>
      <c r="AT983" s="196"/>
      <c r="AU983" s="196"/>
      <c r="AV983" s="196"/>
      <c r="AW983" s="197"/>
      <c r="AX983" s="197"/>
      <c r="AY983" s="197"/>
      <c r="AZ983" s="197"/>
    </row>
    <row r="984" spans="1:52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197"/>
      <c r="N984" s="197"/>
      <c r="O984" s="198"/>
      <c r="P984" s="198"/>
      <c r="Q984" s="198"/>
      <c r="R984" s="196"/>
      <c r="S984" s="196"/>
      <c r="T984" s="196"/>
      <c r="U984" s="196"/>
      <c r="V984" s="196"/>
      <c r="W984" s="196"/>
      <c r="X984" s="197"/>
      <c r="Y984" s="197"/>
      <c r="Z984" s="197"/>
      <c r="AA984" s="196"/>
      <c r="AB984" s="196"/>
      <c r="AC984" s="196"/>
      <c r="AD984" s="196"/>
      <c r="AE984" s="196"/>
      <c r="AF984" s="196"/>
      <c r="AG984" s="196"/>
      <c r="AH984" s="196"/>
      <c r="AI984" s="196"/>
      <c r="AJ984" s="196"/>
      <c r="AK984" s="196"/>
      <c r="AL984" s="196"/>
      <c r="AM984" s="196"/>
      <c r="AN984" s="196"/>
      <c r="AO984" s="196"/>
      <c r="AP984" s="196"/>
      <c r="AQ984" s="197"/>
      <c r="AR984" s="196"/>
      <c r="AS984" s="196"/>
      <c r="AT984" s="196"/>
      <c r="AU984" s="196"/>
      <c r="AV984" s="196"/>
      <c r="AW984" s="197"/>
      <c r="AX984" s="197"/>
      <c r="AY984" s="197"/>
      <c r="AZ984" s="197"/>
    </row>
    <row r="985" spans="1:52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197"/>
      <c r="N985" s="197"/>
      <c r="O985" s="198"/>
      <c r="P985" s="198"/>
      <c r="Q985" s="198"/>
      <c r="R985" s="196"/>
      <c r="S985" s="196"/>
      <c r="T985" s="196"/>
      <c r="U985" s="196"/>
      <c r="V985" s="196"/>
      <c r="W985" s="196"/>
      <c r="X985" s="197"/>
      <c r="Y985" s="197"/>
      <c r="Z985" s="197"/>
      <c r="AA985" s="196"/>
      <c r="AB985" s="196"/>
      <c r="AC985" s="196"/>
      <c r="AD985" s="196"/>
      <c r="AE985" s="196"/>
      <c r="AF985" s="196"/>
      <c r="AG985" s="196"/>
      <c r="AH985" s="196"/>
      <c r="AI985" s="196"/>
      <c r="AJ985" s="196"/>
      <c r="AK985" s="196"/>
      <c r="AL985" s="196"/>
      <c r="AM985" s="196"/>
      <c r="AN985" s="196"/>
      <c r="AO985" s="196"/>
      <c r="AP985" s="196"/>
      <c r="AQ985" s="197"/>
      <c r="AR985" s="196"/>
      <c r="AS985" s="196"/>
      <c r="AT985" s="196"/>
      <c r="AU985" s="196"/>
      <c r="AV985" s="196"/>
      <c r="AW985" s="197"/>
      <c r="AX985" s="197"/>
      <c r="AY985" s="197"/>
      <c r="AZ985" s="197"/>
    </row>
    <row r="986" spans="1:52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197"/>
      <c r="N986" s="197"/>
      <c r="O986" s="198"/>
      <c r="P986" s="198"/>
      <c r="Q986" s="198"/>
      <c r="R986" s="196"/>
      <c r="S986" s="196"/>
      <c r="T986" s="196"/>
      <c r="U986" s="196"/>
      <c r="V986" s="196"/>
      <c r="W986" s="196"/>
      <c r="X986" s="197"/>
      <c r="Y986" s="197"/>
      <c r="Z986" s="197"/>
      <c r="AA986" s="196"/>
      <c r="AB986" s="196"/>
      <c r="AC986" s="196"/>
      <c r="AD986" s="196"/>
      <c r="AE986" s="196"/>
      <c r="AF986" s="196"/>
      <c r="AG986" s="196"/>
      <c r="AH986" s="196"/>
      <c r="AI986" s="196"/>
      <c r="AJ986" s="196"/>
      <c r="AK986" s="196"/>
      <c r="AL986" s="196"/>
      <c r="AM986" s="196"/>
      <c r="AN986" s="196"/>
      <c r="AO986" s="196"/>
      <c r="AP986" s="196"/>
      <c r="AQ986" s="197"/>
      <c r="AR986" s="196"/>
      <c r="AS986" s="196"/>
      <c r="AT986" s="196"/>
      <c r="AU986" s="196"/>
      <c r="AV986" s="196"/>
      <c r="AW986" s="197"/>
      <c r="AX986" s="197"/>
      <c r="AY986" s="197"/>
      <c r="AZ986" s="197"/>
    </row>
    <row r="987" spans="1:52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197"/>
      <c r="N987" s="197"/>
      <c r="O987" s="198"/>
      <c r="P987" s="198"/>
      <c r="Q987" s="198"/>
      <c r="R987" s="196"/>
      <c r="S987" s="196"/>
      <c r="T987" s="196"/>
      <c r="U987" s="196"/>
      <c r="V987" s="196"/>
      <c r="W987" s="196"/>
      <c r="X987" s="197"/>
      <c r="Y987" s="197"/>
      <c r="Z987" s="197"/>
      <c r="AA987" s="196"/>
      <c r="AB987" s="196"/>
      <c r="AC987" s="196"/>
      <c r="AD987" s="196"/>
      <c r="AE987" s="196"/>
      <c r="AF987" s="196"/>
      <c r="AG987" s="196"/>
      <c r="AH987" s="196"/>
      <c r="AI987" s="196"/>
      <c r="AJ987" s="196"/>
      <c r="AK987" s="196"/>
      <c r="AL987" s="196"/>
      <c r="AM987" s="196"/>
      <c r="AN987" s="196"/>
      <c r="AO987" s="196"/>
      <c r="AP987" s="196"/>
      <c r="AQ987" s="197"/>
      <c r="AR987" s="196"/>
      <c r="AS987" s="196"/>
      <c r="AT987" s="196"/>
      <c r="AU987" s="196"/>
      <c r="AV987" s="196"/>
      <c r="AW987" s="197"/>
      <c r="AX987" s="197"/>
      <c r="AY987" s="197"/>
      <c r="AZ987" s="197"/>
    </row>
    <row r="988" spans="1:52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197"/>
      <c r="N988" s="197"/>
      <c r="O988" s="198"/>
      <c r="P988" s="198"/>
      <c r="Q988" s="198"/>
      <c r="R988" s="196"/>
      <c r="S988" s="196"/>
      <c r="T988" s="196"/>
      <c r="U988" s="196"/>
      <c r="V988" s="196"/>
      <c r="W988" s="196"/>
      <c r="X988" s="197"/>
      <c r="Y988" s="197"/>
      <c r="Z988" s="197"/>
      <c r="AA988" s="196"/>
      <c r="AB988" s="196"/>
      <c r="AC988" s="196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  <c r="AN988" s="196"/>
      <c r="AO988" s="196"/>
      <c r="AP988" s="196"/>
      <c r="AQ988" s="197"/>
      <c r="AR988" s="196"/>
      <c r="AS988" s="196"/>
      <c r="AT988" s="196"/>
      <c r="AU988" s="196"/>
      <c r="AV988" s="196"/>
      <c r="AW988" s="197"/>
      <c r="AX988" s="197"/>
      <c r="AY988" s="197"/>
      <c r="AZ988" s="197"/>
    </row>
    <row r="989" spans="1:52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197"/>
      <c r="N989" s="197"/>
      <c r="O989" s="198"/>
      <c r="P989" s="198"/>
      <c r="Q989" s="198"/>
      <c r="R989" s="196"/>
      <c r="S989" s="196"/>
      <c r="T989" s="196"/>
      <c r="U989" s="196"/>
      <c r="V989" s="196"/>
      <c r="W989" s="196"/>
      <c r="X989" s="197"/>
      <c r="Y989" s="197"/>
      <c r="Z989" s="197"/>
      <c r="AA989" s="196"/>
      <c r="AB989" s="196"/>
      <c r="AC989" s="196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  <c r="AN989" s="196"/>
      <c r="AO989" s="196"/>
      <c r="AP989" s="196"/>
      <c r="AQ989" s="197"/>
      <c r="AR989" s="196"/>
      <c r="AS989" s="196"/>
      <c r="AT989" s="196"/>
      <c r="AU989" s="196"/>
      <c r="AV989" s="196"/>
      <c r="AW989" s="197"/>
      <c r="AX989" s="197"/>
      <c r="AY989" s="197"/>
      <c r="AZ989" s="197"/>
    </row>
    <row r="990" spans="1:52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197"/>
      <c r="N990" s="197"/>
      <c r="O990" s="198"/>
      <c r="P990" s="198"/>
      <c r="Q990" s="198"/>
      <c r="R990" s="196"/>
      <c r="S990" s="196"/>
      <c r="T990" s="196"/>
      <c r="U990" s="196"/>
      <c r="V990" s="196"/>
      <c r="W990" s="196"/>
      <c r="X990" s="197"/>
      <c r="Y990" s="197"/>
      <c r="Z990" s="197"/>
      <c r="AA990" s="196"/>
      <c r="AB990" s="196"/>
      <c r="AC990" s="196"/>
      <c r="AD990" s="196"/>
      <c r="AE990" s="196"/>
      <c r="AF990" s="196"/>
      <c r="AG990" s="196"/>
      <c r="AH990" s="196"/>
      <c r="AI990" s="196"/>
      <c r="AJ990" s="196"/>
      <c r="AK990" s="196"/>
      <c r="AL990" s="196"/>
      <c r="AM990" s="196"/>
      <c r="AN990" s="196"/>
      <c r="AO990" s="196"/>
      <c r="AP990" s="196"/>
      <c r="AQ990" s="197"/>
      <c r="AR990" s="196"/>
      <c r="AS990" s="196"/>
      <c r="AT990" s="196"/>
      <c r="AU990" s="196"/>
      <c r="AV990" s="196"/>
      <c r="AW990" s="197"/>
      <c r="AX990" s="197"/>
      <c r="AY990" s="197"/>
      <c r="AZ990" s="197"/>
    </row>
    <row r="991" spans="1:52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197"/>
      <c r="N991" s="197"/>
      <c r="O991" s="198"/>
      <c r="P991" s="198"/>
      <c r="Q991" s="198"/>
      <c r="R991" s="196"/>
      <c r="S991" s="196"/>
      <c r="T991" s="196"/>
      <c r="U991" s="196"/>
      <c r="V991" s="196"/>
      <c r="W991" s="196"/>
      <c r="X991" s="197"/>
      <c r="Y991" s="197"/>
      <c r="Z991" s="197"/>
      <c r="AA991" s="196"/>
      <c r="AB991" s="196"/>
      <c r="AC991" s="196"/>
      <c r="AD991" s="196"/>
      <c r="AE991" s="196"/>
      <c r="AF991" s="196"/>
      <c r="AG991" s="196"/>
      <c r="AH991" s="196"/>
      <c r="AI991" s="196"/>
      <c r="AJ991" s="196"/>
      <c r="AK991" s="196"/>
      <c r="AL991" s="196"/>
      <c r="AM991" s="196"/>
      <c r="AN991" s="196"/>
      <c r="AO991" s="196"/>
      <c r="AP991" s="196"/>
      <c r="AQ991" s="197"/>
      <c r="AR991" s="196"/>
      <c r="AS991" s="196"/>
      <c r="AT991" s="196"/>
      <c r="AU991" s="196"/>
      <c r="AV991" s="196"/>
      <c r="AW991" s="197"/>
      <c r="AX991" s="197"/>
      <c r="AY991" s="197"/>
      <c r="AZ991" s="197"/>
    </row>
    <row r="992" spans="1:52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197"/>
      <c r="N992" s="197"/>
      <c r="O992" s="198"/>
      <c r="P992" s="198"/>
      <c r="Q992" s="198"/>
      <c r="R992" s="196"/>
      <c r="S992" s="196"/>
      <c r="T992" s="196"/>
      <c r="U992" s="196"/>
      <c r="V992" s="196"/>
      <c r="W992" s="196"/>
      <c r="X992" s="197"/>
      <c r="Y992" s="197"/>
      <c r="Z992" s="197"/>
      <c r="AA992" s="196"/>
      <c r="AB992" s="196"/>
      <c r="AC992" s="196"/>
      <c r="AD992" s="196"/>
      <c r="AE992" s="196"/>
      <c r="AF992" s="196"/>
      <c r="AG992" s="196"/>
      <c r="AH992" s="196"/>
      <c r="AI992" s="196"/>
      <c r="AJ992" s="196"/>
      <c r="AK992" s="196"/>
      <c r="AL992" s="196"/>
      <c r="AM992" s="196"/>
      <c r="AN992" s="196"/>
      <c r="AO992" s="196"/>
      <c r="AP992" s="196"/>
      <c r="AQ992" s="197"/>
      <c r="AR992" s="196"/>
      <c r="AS992" s="196"/>
      <c r="AT992" s="196"/>
      <c r="AU992" s="196"/>
      <c r="AV992" s="196"/>
      <c r="AW992" s="197"/>
      <c r="AX992" s="197"/>
      <c r="AY992" s="197"/>
      <c r="AZ992" s="197"/>
    </row>
    <row r="993" spans="1:52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197"/>
      <c r="N993" s="197"/>
      <c r="O993" s="198"/>
      <c r="P993" s="198"/>
      <c r="Q993" s="198"/>
      <c r="R993" s="196"/>
      <c r="S993" s="196"/>
      <c r="T993" s="196"/>
      <c r="U993" s="196"/>
      <c r="V993" s="196"/>
      <c r="W993" s="196"/>
      <c r="X993" s="197"/>
      <c r="Y993" s="197"/>
      <c r="Z993" s="197"/>
      <c r="AA993" s="196"/>
      <c r="AB993" s="196"/>
      <c r="AC993" s="196"/>
      <c r="AD993" s="196"/>
      <c r="AE993" s="196"/>
      <c r="AF993" s="196"/>
      <c r="AG993" s="196"/>
      <c r="AH993" s="196"/>
      <c r="AI993" s="196"/>
      <c r="AJ993" s="196"/>
      <c r="AK993" s="196"/>
      <c r="AL993" s="196"/>
      <c r="AM993" s="196"/>
      <c r="AN993" s="196"/>
      <c r="AO993" s="196"/>
      <c r="AP993" s="196"/>
      <c r="AQ993" s="197"/>
      <c r="AR993" s="196"/>
      <c r="AS993" s="196"/>
      <c r="AT993" s="196"/>
      <c r="AU993" s="196"/>
      <c r="AV993" s="196"/>
      <c r="AW993" s="197"/>
      <c r="AX993" s="197"/>
      <c r="AY993" s="197"/>
      <c r="AZ993" s="197"/>
    </row>
    <row r="994" spans="1:52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197"/>
      <c r="N994" s="197"/>
      <c r="O994" s="198"/>
      <c r="P994" s="198"/>
      <c r="Q994" s="198"/>
      <c r="R994" s="196"/>
      <c r="S994" s="196"/>
      <c r="T994" s="196"/>
      <c r="U994" s="196"/>
      <c r="V994" s="196"/>
      <c r="W994" s="196"/>
      <c r="X994" s="197"/>
      <c r="Y994" s="197"/>
      <c r="Z994" s="197"/>
      <c r="AA994" s="196"/>
      <c r="AB994" s="196"/>
      <c r="AC994" s="196"/>
      <c r="AD994" s="196"/>
      <c r="AE994" s="196"/>
      <c r="AF994" s="196"/>
      <c r="AG994" s="196"/>
      <c r="AH994" s="196"/>
      <c r="AI994" s="196"/>
      <c r="AJ994" s="196"/>
      <c r="AK994" s="196"/>
      <c r="AL994" s="196"/>
      <c r="AM994" s="196"/>
      <c r="AN994" s="196"/>
      <c r="AO994" s="196"/>
      <c r="AP994" s="196"/>
      <c r="AQ994" s="197"/>
      <c r="AR994" s="196"/>
      <c r="AS994" s="196"/>
      <c r="AT994" s="196"/>
      <c r="AU994" s="196"/>
      <c r="AV994" s="196"/>
      <c r="AW994" s="197"/>
      <c r="AX994" s="197"/>
      <c r="AY994" s="197"/>
      <c r="AZ994" s="197"/>
    </row>
    <row r="995" spans="1:52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197"/>
      <c r="N995" s="197"/>
      <c r="O995" s="198"/>
      <c r="P995" s="198"/>
      <c r="Q995" s="198"/>
      <c r="R995" s="196"/>
      <c r="S995" s="196"/>
      <c r="T995" s="196"/>
      <c r="U995" s="196"/>
      <c r="V995" s="196"/>
      <c r="W995" s="196"/>
      <c r="X995" s="197"/>
      <c r="Y995" s="197"/>
      <c r="Z995" s="197"/>
      <c r="AA995" s="196"/>
      <c r="AB995" s="196"/>
      <c r="AC995" s="196"/>
      <c r="AD995" s="196"/>
      <c r="AE995" s="196"/>
      <c r="AF995" s="196"/>
      <c r="AG995" s="196"/>
      <c r="AH995" s="196"/>
      <c r="AI995" s="196"/>
      <c r="AJ995" s="196"/>
      <c r="AK995" s="196"/>
      <c r="AL995" s="196"/>
      <c r="AM995" s="196"/>
      <c r="AN995" s="196"/>
      <c r="AO995" s="196"/>
      <c r="AP995" s="196"/>
      <c r="AQ995" s="197"/>
      <c r="AR995" s="196"/>
      <c r="AS995" s="196"/>
      <c r="AT995" s="196"/>
      <c r="AU995" s="196"/>
      <c r="AV995" s="196"/>
      <c r="AW995" s="197"/>
      <c r="AX995" s="197"/>
      <c r="AY995" s="197"/>
      <c r="AZ995" s="197"/>
    </row>
    <row r="996" spans="1:52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197"/>
      <c r="N996" s="197"/>
      <c r="O996" s="198"/>
      <c r="P996" s="198"/>
      <c r="Q996" s="198"/>
      <c r="R996" s="196"/>
      <c r="S996" s="196"/>
      <c r="T996" s="196"/>
      <c r="U996" s="196"/>
      <c r="V996" s="196"/>
      <c r="W996" s="196"/>
      <c r="X996" s="197"/>
      <c r="Y996" s="197"/>
      <c r="Z996" s="197"/>
      <c r="AA996" s="196"/>
      <c r="AB996" s="196"/>
      <c r="AC996" s="196"/>
      <c r="AD996" s="196"/>
      <c r="AE996" s="196"/>
      <c r="AF996" s="196"/>
      <c r="AG996" s="196"/>
      <c r="AH996" s="196"/>
      <c r="AI996" s="196"/>
      <c r="AJ996" s="196"/>
      <c r="AK996" s="196"/>
      <c r="AL996" s="196"/>
      <c r="AM996" s="196"/>
      <c r="AN996" s="196"/>
      <c r="AO996" s="196"/>
      <c r="AP996" s="196"/>
      <c r="AQ996" s="197"/>
      <c r="AR996" s="196"/>
      <c r="AS996" s="196"/>
      <c r="AT996" s="196"/>
      <c r="AU996" s="196"/>
      <c r="AV996" s="196"/>
      <c r="AW996" s="197"/>
      <c r="AX996" s="197"/>
      <c r="AY996" s="197"/>
      <c r="AZ996" s="197"/>
    </row>
    <row r="997" spans="1:52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197"/>
      <c r="N997" s="197"/>
      <c r="O997" s="198"/>
      <c r="P997" s="198"/>
      <c r="Q997" s="198"/>
      <c r="R997" s="196"/>
      <c r="S997" s="196"/>
      <c r="T997" s="196"/>
      <c r="U997" s="196"/>
      <c r="V997" s="196"/>
      <c r="W997" s="196"/>
      <c r="X997" s="197"/>
      <c r="Y997" s="197"/>
      <c r="Z997" s="197"/>
      <c r="AA997" s="196"/>
      <c r="AB997" s="196"/>
      <c r="AC997" s="196"/>
      <c r="AD997" s="196"/>
      <c r="AE997" s="196"/>
      <c r="AF997" s="196"/>
      <c r="AG997" s="196"/>
      <c r="AH997" s="196"/>
      <c r="AI997" s="196"/>
      <c r="AJ997" s="196"/>
      <c r="AK997" s="196"/>
      <c r="AL997" s="196"/>
      <c r="AM997" s="196"/>
      <c r="AN997" s="196"/>
      <c r="AO997" s="196"/>
      <c r="AP997" s="196"/>
      <c r="AQ997" s="197"/>
      <c r="AR997" s="196"/>
      <c r="AS997" s="196"/>
      <c r="AT997" s="196"/>
      <c r="AU997" s="196"/>
      <c r="AV997" s="196"/>
      <c r="AW997" s="197"/>
      <c r="AX997" s="197"/>
      <c r="AY997" s="197"/>
      <c r="AZ997" s="197"/>
    </row>
    <row r="998" spans="1:52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197"/>
      <c r="N998" s="197"/>
      <c r="O998" s="198"/>
      <c r="P998" s="198"/>
      <c r="Q998" s="198"/>
      <c r="R998" s="196"/>
      <c r="S998" s="196"/>
      <c r="T998" s="196"/>
      <c r="U998" s="196"/>
      <c r="V998" s="196"/>
      <c r="W998" s="196"/>
      <c r="X998" s="197"/>
      <c r="Y998" s="197"/>
      <c r="Z998" s="197"/>
      <c r="AA998" s="196"/>
      <c r="AB998" s="196"/>
      <c r="AC998" s="196"/>
      <c r="AD998" s="196"/>
      <c r="AE998" s="196"/>
      <c r="AF998" s="196"/>
      <c r="AG998" s="196"/>
      <c r="AH998" s="196"/>
      <c r="AI998" s="196"/>
      <c r="AJ998" s="196"/>
      <c r="AK998" s="196"/>
      <c r="AL998" s="196"/>
      <c r="AM998" s="196"/>
      <c r="AN998" s="196"/>
      <c r="AO998" s="196"/>
      <c r="AP998" s="196"/>
      <c r="AQ998" s="197"/>
      <c r="AR998" s="196"/>
      <c r="AS998" s="196"/>
      <c r="AT998" s="196"/>
      <c r="AU998" s="196"/>
      <c r="AV998" s="196"/>
      <c r="AW998" s="197"/>
      <c r="AX998" s="197"/>
      <c r="AY998" s="197"/>
      <c r="AZ998" s="197"/>
    </row>
    <row r="999" spans="1:52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197"/>
      <c r="N999" s="197"/>
      <c r="O999" s="198"/>
      <c r="P999" s="198"/>
      <c r="Q999" s="198"/>
      <c r="R999" s="196"/>
      <c r="S999" s="196"/>
      <c r="T999" s="196"/>
      <c r="U999" s="196"/>
      <c r="V999" s="196"/>
      <c r="W999" s="196"/>
      <c r="X999" s="197"/>
      <c r="Y999" s="197"/>
      <c r="Z999" s="197"/>
      <c r="AA999" s="196"/>
      <c r="AB999" s="196"/>
      <c r="AC999" s="196"/>
      <c r="AD999" s="196"/>
      <c r="AE999" s="196"/>
      <c r="AF999" s="196"/>
      <c r="AG999" s="196"/>
      <c r="AH999" s="196"/>
      <c r="AI999" s="196"/>
      <c r="AJ999" s="196"/>
      <c r="AK999" s="196"/>
      <c r="AL999" s="196"/>
      <c r="AM999" s="196"/>
      <c r="AN999" s="196"/>
      <c r="AO999" s="196"/>
      <c r="AP999" s="196"/>
      <c r="AQ999" s="197"/>
      <c r="AR999" s="196"/>
      <c r="AS999" s="196"/>
      <c r="AT999" s="196"/>
      <c r="AU999" s="196"/>
      <c r="AV999" s="196"/>
      <c r="AW999" s="197"/>
      <c r="AX999" s="197"/>
      <c r="AY999" s="197"/>
      <c r="AZ999" s="197"/>
    </row>
    <row r="1000" spans="1:52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</row>
  </sheetData>
  <mergeCells count="44">
    <mergeCell ref="AN5:AQ5"/>
    <mergeCell ref="AS5:AT5"/>
    <mergeCell ref="H4:I4"/>
    <mergeCell ref="J4:Q4"/>
    <mergeCell ref="AF4:AH4"/>
    <mergeCell ref="AI4:AK4"/>
    <mergeCell ref="AL4:AQ4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A5:AB5"/>
    <mergeCell ref="AC5:AD5"/>
    <mergeCell ref="A13:B13"/>
    <mergeCell ref="A31:B31"/>
    <mergeCell ref="A52:B52"/>
    <mergeCell ref="AV5:AW5"/>
    <mergeCell ref="AY5:AZ5"/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T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85546875" bestFit="1" customWidth="1"/>
    <col min="4" max="6" width="15.140625" customWidth="1"/>
    <col min="7" max="7" width="16.85546875" bestFit="1" customWidth="1"/>
    <col min="8" max="8" width="16.42578125" customWidth="1"/>
    <col min="9" max="10" width="16.85546875" bestFit="1" customWidth="1"/>
    <col min="11" max="11" width="12.5703125" customWidth="1"/>
    <col min="12" max="12" width="15.140625" customWidth="1"/>
    <col min="13" max="13" width="13.85546875" customWidth="1"/>
    <col min="14" max="14" width="15.85546875" customWidth="1"/>
    <col min="15" max="15" width="16.85546875" bestFit="1" customWidth="1"/>
    <col min="16" max="17" width="15.140625" customWidth="1"/>
    <col min="18" max="20" width="15.140625" hidden="1" customWidth="1"/>
  </cols>
  <sheetData>
    <row r="1" spans="1:20" ht="24" customHeight="1" x14ac:dyDescent="0.3">
      <c r="A1" s="200" t="s">
        <v>156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202"/>
      <c r="S1" s="202"/>
      <c r="T1" s="202"/>
    </row>
    <row r="2" spans="1:20" ht="24" customHeight="1" x14ac:dyDescent="0.2">
      <c r="A2" s="415" t="s">
        <v>1</v>
      </c>
      <c r="B2" s="407"/>
      <c r="C2" s="418" t="s">
        <v>157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6"/>
    </row>
    <row r="3" spans="1:20" ht="30" customHeight="1" x14ac:dyDescent="0.2">
      <c r="A3" s="416"/>
      <c r="B3" s="393"/>
      <c r="C3" s="444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2"/>
    </row>
    <row r="4" spans="1:20" ht="30" customHeight="1" x14ac:dyDescent="0.3">
      <c r="A4" s="416"/>
      <c r="B4" s="393"/>
      <c r="C4" s="424" t="s">
        <v>6</v>
      </c>
      <c r="D4" s="395"/>
      <c r="E4" s="395"/>
      <c r="F4" s="395"/>
      <c r="G4" s="396"/>
      <c r="H4" s="439" t="s">
        <v>7</v>
      </c>
      <c r="I4" s="396"/>
      <c r="J4" s="440" t="s">
        <v>8</v>
      </c>
      <c r="K4" s="395"/>
      <c r="L4" s="395"/>
      <c r="M4" s="395"/>
      <c r="N4" s="395"/>
      <c r="O4" s="395"/>
      <c r="P4" s="395"/>
      <c r="Q4" s="396"/>
      <c r="R4" s="445" t="s">
        <v>158</v>
      </c>
      <c r="S4" s="395"/>
      <c r="T4" s="396"/>
    </row>
    <row r="5" spans="1:20" ht="24" customHeight="1" x14ac:dyDescent="0.3">
      <c r="A5" s="416"/>
      <c r="B5" s="393"/>
      <c r="C5" s="433" t="s">
        <v>13</v>
      </c>
      <c r="D5" s="435" t="s">
        <v>14</v>
      </c>
      <c r="E5" s="436" t="s">
        <v>15</v>
      </c>
      <c r="F5" s="437" t="s">
        <v>16</v>
      </c>
      <c r="G5" s="438" t="s">
        <v>17</v>
      </c>
      <c r="H5" s="203" t="s">
        <v>18</v>
      </c>
      <c r="I5" s="203" t="s">
        <v>19</v>
      </c>
      <c r="J5" s="427" t="s">
        <v>20</v>
      </c>
      <c r="K5" s="396"/>
      <c r="L5" s="427" t="s">
        <v>18</v>
      </c>
      <c r="M5" s="395"/>
      <c r="N5" s="396"/>
      <c r="O5" s="428" t="s">
        <v>19</v>
      </c>
      <c r="P5" s="395"/>
      <c r="Q5" s="396"/>
      <c r="R5" s="204" t="s">
        <v>21</v>
      </c>
      <c r="S5" s="446" t="s">
        <v>22</v>
      </c>
      <c r="T5" s="396"/>
    </row>
    <row r="6" spans="1:20" ht="41.25" customHeight="1" x14ac:dyDescent="0.3">
      <c r="A6" s="417"/>
      <c r="B6" s="396"/>
      <c r="C6" s="434"/>
      <c r="D6" s="434"/>
      <c r="E6" s="434"/>
      <c r="F6" s="434"/>
      <c r="G6" s="434"/>
      <c r="H6" s="205"/>
      <c r="I6" s="205"/>
      <c r="J6" s="351" t="s">
        <v>23</v>
      </c>
      <c r="K6" s="352" t="s">
        <v>24</v>
      </c>
      <c r="L6" s="351" t="s">
        <v>23</v>
      </c>
      <c r="M6" s="353" t="s">
        <v>25</v>
      </c>
      <c r="N6" s="353" t="s">
        <v>26</v>
      </c>
      <c r="O6" s="354" t="s">
        <v>23</v>
      </c>
      <c r="P6" s="353" t="s">
        <v>25</v>
      </c>
      <c r="Q6" s="353" t="s">
        <v>26</v>
      </c>
      <c r="R6" s="206" t="s">
        <v>28</v>
      </c>
      <c r="S6" s="207" t="s">
        <v>28</v>
      </c>
      <c r="T6" s="208" t="s">
        <v>24</v>
      </c>
    </row>
    <row r="7" spans="1:20" ht="24" customHeight="1" x14ac:dyDescent="0.3">
      <c r="A7" s="425" t="s">
        <v>239</v>
      </c>
      <c r="B7" s="426"/>
      <c r="C7" s="209">
        <f t="shared" ref="C7:C116" ca="1" si="0">D7+G7</f>
        <v>2888900</v>
      </c>
      <c r="D7" s="210">
        <f t="shared" ref="D7:E7" ca="1" si="1">D8+D9+D12</f>
        <v>0</v>
      </c>
      <c r="E7" s="211">
        <f t="shared" ca="1" si="1"/>
        <v>0</v>
      </c>
      <c r="F7" s="212">
        <f ca="1">F8+F9</f>
        <v>0</v>
      </c>
      <c r="G7" s="213">
        <f t="shared" ref="G7:I7" ca="1" si="2">G8+G9+G12</f>
        <v>2888900</v>
      </c>
      <c r="H7" s="205">
        <f t="shared" ca="1" si="2"/>
        <v>0</v>
      </c>
      <c r="I7" s="214">
        <f t="shared" ca="1" si="2"/>
        <v>2888900</v>
      </c>
      <c r="J7" s="215">
        <f t="shared" ref="J7:J116" ca="1" si="3">L7+O7</f>
        <v>2713135</v>
      </c>
      <c r="K7" s="216">
        <f t="shared" ref="K7:K116" ca="1" si="4">IF(C7&gt;0,J7*100/C7,0)</f>
        <v>93.915850323652606</v>
      </c>
      <c r="L7" s="215">
        <f ca="1">L8+L9+L12</f>
        <v>0</v>
      </c>
      <c r="M7" s="217">
        <f t="shared" ref="M7:M116" ca="1" si="5">IF(D7&gt;0,L7*100/D7,0)</f>
        <v>0</v>
      </c>
      <c r="N7" s="217">
        <f t="shared" ref="N7:N116" ca="1" si="6">IF(H7&gt;0,L7*100/H7,0)</f>
        <v>0</v>
      </c>
      <c r="O7" s="218">
        <f ca="1">O8+O9+O12</f>
        <v>2713135</v>
      </c>
      <c r="P7" s="217">
        <f t="shared" ref="P7:P11" ca="1" si="7">IF(G7&gt;0,O7*100/G7,0)</f>
        <v>93.915850323652606</v>
      </c>
      <c r="Q7" s="217">
        <f t="shared" ref="Q7:Q116" ca="1" si="8">IF(I7&gt;0,O7*100/I7,0)</f>
        <v>93.915850323652606</v>
      </c>
      <c r="R7" s="219">
        <f t="shared" ref="R7:S7" ca="1" si="9">R8</f>
        <v>0</v>
      </c>
      <c r="S7" s="220">
        <f t="shared" ca="1" si="9"/>
        <v>0</v>
      </c>
      <c r="T7" s="221">
        <f t="shared" ref="T7:T8" ca="1" si="10">IF(R7&gt;0,S7*100/R7,0)</f>
        <v>0</v>
      </c>
    </row>
    <row r="8" spans="1:20" ht="28.5" customHeight="1" x14ac:dyDescent="0.3">
      <c r="A8" s="222" t="s">
        <v>31</v>
      </c>
      <c r="B8" s="223"/>
      <c r="C8" s="224">
        <f t="shared" ca="1" si="0"/>
        <v>2888900</v>
      </c>
      <c r="D8" s="224">
        <f t="shared" ref="D8:I8" ca="1" si="11">+D13+D31+D52+D74</f>
        <v>0</v>
      </c>
      <c r="E8" s="224">
        <f t="shared" ca="1" si="11"/>
        <v>0</v>
      </c>
      <c r="F8" s="224">
        <f t="shared" ca="1" si="11"/>
        <v>0</v>
      </c>
      <c r="G8" s="224">
        <f t="shared" ca="1" si="11"/>
        <v>2888900</v>
      </c>
      <c r="H8" s="224">
        <f t="shared" ca="1" si="11"/>
        <v>0</v>
      </c>
      <c r="I8" s="224">
        <f t="shared" ca="1" si="11"/>
        <v>2883135</v>
      </c>
      <c r="J8" s="224">
        <f t="shared" ca="1" si="3"/>
        <v>2713135</v>
      </c>
      <c r="K8" s="225">
        <f t="shared" ca="1" si="4"/>
        <v>93.915850323652606</v>
      </c>
      <c r="L8" s="224">
        <f ca="1">+L13+L31+L52+L74</f>
        <v>0</v>
      </c>
      <c r="M8" s="226">
        <f t="shared" ca="1" si="5"/>
        <v>0</v>
      </c>
      <c r="N8" s="226">
        <f t="shared" ca="1" si="6"/>
        <v>0</v>
      </c>
      <c r="O8" s="227">
        <f ca="1">+O13+O31+O52+O74</f>
        <v>2713135</v>
      </c>
      <c r="P8" s="226">
        <f t="shared" ca="1" si="7"/>
        <v>93.915850323652606</v>
      </c>
      <c r="Q8" s="226">
        <f t="shared" ca="1" si="8"/>
        <v>94.103640655050839</v>
      </c>
      <c r="R8" s="224">
        <f t="shared" ref="R8:S8" ca="1" si="12">+R13+R31+R52+R74</f>
        <v>0</v>
      </c>
      <c r="S8" s="224">
        <f t="shared" ca="1" si="12"/>
        <v>0</v>
      </c>
      <c r="T8" s="226">
        <f t="shared" ca="1" si="10"/>
        <v>0</v>
      </c>
    </row>
    <row r="9" spans="1:20" ht="28.5" customHeight="1" x14ac:dyDescent="0.3">
      <c r="A9" s="228" t="s">
        <v>240</v>
      </c>
      <c r="B9" s="229"/>
      <c r="C9" s="230">
        <f t="shared" ca="1" si="0"/>
        <v>0</v>
      </c>
      <c r="D9" s="230">
        <f t="shared" ref="D9:I9" ca="1" si="13">+D10+D11</f>
        <v>0</v>
      </c>
      <c r="E9" s="230">
        <f t="shared" ca="1" si="13"/>
        <v>0</v>
      </c>
      <c r="F9" s="230">
        <f t="shared" ca="1" si="13"/>
        <v>0</v>
      </c>
      <c r="G9" s="230">
        <f t="shared" ca="1" si="13"/>
        <v>0</v>
      </c>
      <c r="H9" s="230">
        <f t="shared" ca="1" si="13"/>
        <v>0</v>
      </c>
      <c r="I9" s="230">
        <f t="shared" ca="1" si="13"/>
        <v>5765</v>
      </c>
      <c r="J9" s="230">
        <f t="shared" ca="1" si="3"/>
        <v>0</v>
      </c>
      <c r="K9" s="231">
        <f t="shared" ca="1" si="4"/>
        <v>0</v>
      </c>
      <c r="L9" s="230">
        <f ca="1">+L10+L11</f>
        <v>0</v>
      </c>
      <c r="M9" s="232">
        <f t="shared" ca="1" si="5"/>
        <v>0</v>
      </c>
      <c r="N9" s="232">
        <f t="shared" ca="1" si="6"/>
        <v>0</v>
      </c>
      <c r="O9" s="233">
        <f ca="1">+O10+O11</f>
        <v>0</v>
      </c>
      <c r="P9" s="232">
        <f t="shared" ca="1" si="7"/>
        <v>0</v>
      </c>
      <c r="Q9" s="232">
        <f t="shared" ca="1" si="8"/>
        <v>0</v>
      </c>
      <c r="R9" s="234"/>
      <c r="S9" s="234"/>
      <c r="T9" s="235"/>
    </row>
    <row r="10" spans="1:20" ht="28.5" hidden="1" customHeight="1" x14ac:dyDescent="0.3">
      <c r="A10" s="228" t="s">
        <v>32</v>
      </c>
      <c r="B10" s="229"/>
      <c r="C10" s="230">
        <f t="shared" ca="1" si="0"/>
        <v>0</v>
      </c>
      <c r="D10" s="230">
        <f t="shared" ref="D10:I10" ca="1" si="14">+D89</f>
        <v>0</v>
      </c>
      <c r="E10" s="230">
        <f t="shared" ca="1" si="14"/>
        <v>0</v>
      </c>
      <c r="F10" s="230">
        <f t="shared" ca="1" si="14"/>
        <v>0</v>
      </c>
      <c r="G10" s="230">
        <f t="shared" ca="1" si="14"/>
        <v>0</v>
      </c>
      <c r="H10" s="230">
        <f t="shared" ca="1" si="14"/>
        <v>0</v>
      </c>
      <c r="I10" s="230">
        <f t="shared" ca="1" si="14"/>
        <v>0</v>
      </c>
      <c r="J10" s="230">
        <f t="shared" ca="1" si="3"/>
        <v>0</v>
      </c>
      <c r="K10" s="231">
        <f t="shared" ca="1" si="4"/>
        <v>0</v>
      </c>
      <c r="L10" s="230">
        <f ca="1">+L89</f>
        <v>0</v>
      </c>
      <c r="M10" s="232">
        <f t="shared" ca="1" si="5"/>
        <v>0</v>
      </c>
      <c r="N10" s="232">
        <f t="shared" ca="1" si="6"/>
        <v>0</v>
      </c>
      <c r="O10" s="233">
        <f ca="1">+O89</f>
        <v>0</v>
      </c>
      <c r="P10" s="232">
        <f t="shared" ca="1" si="7"/>
        <v>0</v>
      </c>
      <c r="Q10" s="232">
        <f t="shared" ca="1" si="8"/>
        <v>0</v>
      </c>
      <c r="R10" s="234"/>
      <c r="S10" s="234"/>
      <c r="T10" s="235"/>
    </row>
    <row r="11" spans="1:20" ht="28.5" hidden="1" customHeight="1" x14ac:dyDescent="0.3">
      <c r="A11" s="236" t="s">
        <v>33</v>
      </c>
      <c r="B11" s="229"/>
      <c r="C11" s="230">
        <f t="shared" ca="1" si="0"/>
        <v>0</v>
      </c>
      <c r="D11" s="230">
        <f t="shared" ref="D11:I11" ca="1" si="15">+D104</f>
        <v>0</v>
      </c>
      <c r="E11" s="230">
        <f t="shared" ca="1" si="15"/>
        <v>0</v>
      </c>
      <c r="F11" s="230">
        <f t="shared" ca="1" si="15"/>
        <v>0</v>
      </c>
      <c r="G11" s="230">
        <f t="shared" ca="1" si="15"/>
        <v>0</v>
      </c>
      <c r="H11" s="230">
        <f t="shared" ca="1" si="15"/>
        <v>0</v>
      </c>
      <c r="I11" s="230">
        <f t="shared" ca="1" si="15"/>
        <v>5765</v>
      </c>
      <c r="J11" s="230">
        <f t="shared" ca="1" si="3"/>
        <v>0</v>
      </c>
      <c r="K11" s="231">
        <f t="shared" ca="1" si="4"/>
        <v>0</v>
      </c>
      <c r="L11" s="230">
        <f ca="1">+L104</f>
        <v>0</v>
      </c>
      <c r="M11" s="232">
        <f t="shared" ca="1" si="5"/>
        <v>0</v>
      </c>
      <c r="N11" s="232">
        <f t="shared" ca="1" si="6"/>
        <v>0</v>
      </c>
      <c r="O11" s="233">
        <f ca="1">+O104</f>
        <v>0</v>
      </c>
      <c r="P11" s="232">
        <f t="shared" ca="1" si="7"/>
        <v>0</v>
      </c>
      <c r="Q11" s="232">
        <f t="shared" ca="1" si="8"/>
        <v>0</v>
      </c>
      <c r="R11" s="234"/>
      <c r="S11" s="234"/>
      <c r="T11" s="235"/>
    </row>
    <row r="12" spans="1:20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1"/>
      <c r="Q12" s="241">
        <f t="shared" si="8"/>
        <v>0</v>
      </c>
      <c r="R12" s="239">
        <v>0</v>
      </c>
      <c r="S12" s="239">
        <v>0</v>
      </c>
      <c r="T12" s="241">
        <f t="shared" ref="T12:T88" si="16">IF(R12&gt;0,S12*100/R12,0)</f>
        <v>0</v>
      </c>
    </row>
    <row r="13" spans="1:20" ht="28.5" customHeight="1" x14ac:dyDescent="0.3">
      <c r="A13" s="442" t="s">
        <v>35</v>
      </c>
      <c r="B13" s="414"/>
      <c r="C13" s="224">
        <f t="shared" ca="1" si="0"/>
        <v>2312300</v>
      </c>
      <c r="D13" s="224">
        <f t="shared" ref="D13:I13" ca="1" si="17">SUM(D14:D30)</f>
        <v>0</v>
      </c>
      <c r="E13" s="224">
        <f t="shared" ca="1" si="17"/>
        <v>0</v>
      </c>
      <c r="F13" s="224">
        <f t="shared" ca="1" si="17"/>
        <v>0</v>
      </c>
      <c r="G13" s="224">
        <f t="shared" ca="1" si="17"/>
        <v>2312300</v>
      </c>
      <c r="H13" s="224">
        <f t="shared" ca="1" si="17"/>
        <v>0</v>
      </c>
      <c r="I13" s="224">
        <f t="shared" ca="1" si="17"/>
        <v>2306550</v>
      </c>
      <c r="J13" s="224">
        <f t="shared" ca="1" si="3"/>
        <v>2136550</v>
      </c>
      <c r="K13" s="225">
        <f t="shared" ca="1" si="4"/>
        <v>92.399342645850453</v>
      </c>
      <c r="L13" s="224">
        <f ca="1">SUM(L14:L30)</f>
        <v>0</v>
      </c>
      <c r="M13" s="226">
        <f t="shared" ca="1" si="5"/>
        <v>0</v>
      </c>
      <c r="N13" s="226">
        <f t="shared" ca="1" si="6"/>
        <v>0</v>
      </c>
      <c r="O13" s="227">
        <f ca="1">SUM(O14:O30)</f>
        <v>2136550</v>
      </c>
      <c r="P13" s="226">
        <f t="shared" ref="P13:P116" ca="1" si="18">IF(G13&gt;0,O13*100/G13,0)</f>
        <v>92.399342645850453</v>
      </c>
      <c r="Q13" s="226">
        <f t="shared" ca="1" si="8"/>
        <v>92.629685027421914</v>
      </c>
      <c r="R13" s="224">
        <f t="shared" ref="R13:S13" ca="1" si="19">SUM(R14:R30)</f>
        <v>0</v>
      </c>
      <c r="S13" s="224">
        <f t="shared" ca="1" si="19"/>
        <v>0</v>
      </c>
      <c r="T13" s="226">
        <f t="shared" ca="1" si="16"/>
        <v>0</v>
      </c>
    </row>
    <row r="14" spans="1:20" ht="24" customHeight="1" x14ac:dyDescent="0.3">
      <c r="A14" s="243">
        <v>1</v>
      </c>
      <c r="B14" s="244" t="s">
        <v>36</v>
      </c>
      <c r="C14" s="245">
        <f t="shared" ca="1" si="0"/>
        <v>0</v>
      </c>
      <c r="D14" s="246">
        <f t="shared" ref="D14:D30" ca="1" si="20">+E14+F14</f>
        <v>0</v>
      </c>
      <c r="E14" s="247">
        <f ca="1">IFERROR(__xludf.DUMMYFUNCTION("IMPORTRANGE(""https://docs.google.com/spreadsheets/d/1MeEWN-I1oV_STSDYn1IFDPWt_1FKiwhDph83XaGc0o0/edit?usp=sharing"",""งบพรบ!BB14"")"),0)</f>
        <v>0</v>
      </c>
      <c r="F14" s="247">
        <f ca="1">IFERROR(__xludf.DUMMYFUNCTION("IMPORTRANGE(""https://docs.google.com/spreadsheets/d/1MeEWN-I1oV_STSDYn1IFDPWt_1FKiwhDph83XaGc0o0/edit?usp=sharing"",""งบพรบ!BC14"")"),0)</f>
        <v>0</v>
      </c>
      <c r="G14" s="248">
        <f ca="1">IFERROR(__xludf.DUMMYFUNCTION("IMPORTRANGE(""https://docs.google.com/spreadsheets/d/1MeEWN-I1oV_STSDYn1IFDPWt_1FKiwhDph83XaGc0o0/edit?usp=sharing"",""งบพรบ!BD14"")"),0)</f>
        <v>0</v>
      </c>
      <c r="H14" s="248">
        <f ca="1">IFERROR(__xludf.DUMMYFUNCTION("IMPORTRANGE(""https://docs.google.com/spreadsheets/d/1MeEWN-I1oV_STSDYn1IFDPWt_1FKiwhDph83XaGc0o0/edit?usp=sharing"",""งบพรบ!BF14"")"),0)</f>
        <v>0</v>
      </c>
      <c r="I14" s="248">
        <f ca="1">IFERROR(__xludf.DUMMYFUNCTION("IMPORTRANGE(""https://docs.google.com/spreadsheets/d/1MeEWN-I1oV_STSDYn1IFDPWt_1FKiwhDph83XaGc0o0/edit?usp=sharing"",""งบพรบ!BG14"")"),0)</f>
        <v>0</v>
      </c>
      <c r="J14" s="248">
        <f t="shared" ca="1" si="3"/>
        <v>0</v>
      </c>
      <c r="K14" s="249">
        <f t="shared" ca="1" si="4"/>
        <v>0</v>
      </c>
      <c r="L14" s="248">
        <f ca="1">IFERROR(__xludf.DUMMYFUNCTION("IMPORTRANGE(""https://docs.google.com/spreadsheets/d/1MeEWN-I1oV_STSDYn1IFDPWt_1FKiwhDph83XaGc0o0/edit?usp=sharing"",""งบพรบ!BH14"")"),0)</f>
        <v>0</v>
      </c>
      <c r="M14" s="250">
        <f t="shared" ca="1" si="5"/>
        <v>0</v>
      </c>
      <c r="N14" s="250">
        <f t="shared" ca="1" si="6"/>
        <v>0</v>
      </c>
      <c r="O14" s="251">
        <f ca="1">IFERROR(__xludf.DUMMYFUNCTION("IMPORTRANGE(""https://docs.google.com/spreadsheets/d/1MeEWN-I1oV_STSDYn1IFDPWt_1FKiwhDph83XaGc0o0/edit?usp=sharing"",""งบพรบ!BI14"")"),0)</f>
        <v>0</v>
      </c>
      <c r="P14" s="250">
        <f t="shared" ca="1" si="18"/>
        <v>0</v>
      </c>
      <c r="Q14" s="250">
        <f t="shared" ca="1" si="8"/>
        <v>0</v>
      </c>
      <c r="R14" s="248">
        <f ca="1">IFERROR(__xludf.DUMMYFUNCTION("IMPORTRANGE(""https://docs.google.com/spreadsheets/d/1KxicF4apzSqm0-jIpmueT4kyZtE-Cwn5zskl7GD4loQ/edit?usp=sharing"",""กำแพงเพชร!I118"")"),0)</f>
        <v>0</v>
      </c>
      <c r="S14" s="248">
        <f ca="1">IFERROR(__xludf.DUMMYFUNCTION("IMPORTRANGE(""https://docs.google.com/spreadsheets/d/1KxicF4apzSqm0-jIpmueT4kyZtE-Cwn5zskl7GD4loQ/edit?usp=sharing"",""กำแพงเพชร!J118"")"),0)</f>
        <v>0</v>
      </c>
      <c r="T14" s="252">
        <f t="shared" ca="1" si="16"/>
        <v>0</v>
      </c>
    </row>
    <row r="15" spans="1:20" ht="24" customHeight="1" x14ac:dyDescent="0.3">
      <c r="A15" s="243">
        <v>2</v>
      </c>
      <c r="B15" s="244" t="s">
        <v>37</v>
      </c>
      <c r="C15" s="245">
        <f t="shared" ca="1" si="0"/>
        <v>0</v>
      </c>
      <c r="D15" s="246">
        <f t="shared" ca="1" si="20"/>
        <v>0</v>
      </c>
      <c r="E15" s="247">
        <f ca="1">IFERROR(__xludf.DUMMYFUNCTION("IMPORTRANGE(""https://docs.google.com/spreadsheets/d/1MeEWN-I1oV_STSDYn1IFDPWt_1FKiwhDph83XaGc0o0/edit?usp=sharing"",""งบพรบ!BB15"")"),0)</f>
        <v>0</v>
      </c>
      <c r="F15" s="247">
        <f ca="1">IFERROR(__xludf.DUMMYFUNCTION("IMPORTRANGE(""https://docs.google.com/spreadsheets/d/1MeEWN-I1oV_STSDYn1IFDPWt_1FKiwhDph83XaGc0o0/edit?usp=sharing"",""งบพรบ!BC15"")"),0)</f>
        <v>0</v>
      </c>
      <c r="G15" s="247">
        <f ca="1">IFERROR(__xludf.DUMMYFUNCTION("IMPORTRANGE(""https://docs.google.com/spreadsheets/d/1MeEWN-I1oV_STSDYn1IFDPWt_1FKiwhDph83XaGc0o0/edit?usp=sharing"",""งบพรบ!BD15"")"),0)</f>
        <v>0</v>
      </c>
      <c r="H15" s="247">
        <f ca="1">IFERROR(__xludf.DUMMYFUNCTION("IMPORTRANGE(""https://docs.google.com/spreadsheets/d/1MeEWN-I1oV_STSDYn1IFDPWt_1FKiwhDph83XaGc0o0/edit?usp=sharing"",""งบพรบ!BF15"")"),0)</f>
        <v>0</v>
      </c>
      <c r="I15" s="247">
        <f ca="1">IFERROR(__xludf.DUMMYFUNCTION("IMPORTRANGE(""https://docs.google.com/spreadsheets/d/1MeEWN-I1oV_STSDYn1IFDPWt_1FKiwhDph83XaGc0o0/edit?usp=sharing"",""งบพรบ!BG15"")"),0)</f>
        <v>0</v>
      </c>
      <c r="J15" s="247">
        <f t="shared" ca="1" si="3"/>
        <v>0</v>
      </c>
      <c r="K15" s="253">
        <f t="shared" ca="1" si="4"/>
        <v>0</v>
      </c>
      <c r="L15" s="247">
        <f ca="1">IFERROR(__xludf.DUMMYFUNCTION("IMPORTRANGE(""https://docs.google.com/spreadsheets/d/1MeEWN-I1oV_STSDYn1IFDPWt_1FKiwhDph83XaGc0o0/edit?usp=sharing"",""งบพรบ!BH15"")"),0)</f>
        <v>0</v>
      </c>
      <c r="M15" s="250">
        <f t="shared" ca="1" si="5"/>
        <v>0</v>
      </c>
      <c r="N15" s="250">
        <f t="shared" ca="1" si="6"/>
        <v>0</v>
      </c>
      <c r="O15" s="251">
        <f ca="1">IFERROR(__xludf.DUMMYFUNCTION("IMPORTRANGE(""https://docs.google.com/spreadsheets/d/1MeEWN-I1oV_STSDYn1IFDPWt_1FKiwhDph83XaGc0o0/edit?usp=sharing"",""งบพรบ!BI15"")"),0)</f>
        <v>0</v>
      </c>
      <c r="P15" s="250">
        <f t="shared" ca="1" si="18"/>
        <v>0</v>
      </c>
      <c r="Q15" s="250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IFERROR(__xludf.DUMMYFUNCTION("IMPORTRANGE(""https://docs.google.com/spreadsheets/d/1ZNYWeiFoFA1K1U4xKWqRX29MBvEyRHXORjo734Gnq_c/edit?usp=sharing"",""เชียงราย!I118"")"),0)</f>
        <v>0</v>
      </c>
      <c r="S15" s="248">
        <f ca="1">IFERROR(__xludf.DUMMYFUNCTION("IMPORTRANGE(""https://docs.google.com/spreadsheets/d/1ZNYWeiFoFA1K1U4xKWqRX29MBvEyRHXORjo734Gnq_c/edit?usp=sharing"",""เชียงราย!J118"")"),0)</f>
        <v>0</v>
      </c>
      <c r="T15" s="252">
        <f t="shared" ca="1" si="16"/>
        <v>0</v>
      </c>
    </row>
    <row r="16" spans="1:20" ht="24" customHeight="1" x14ac:dyDescent="0.3">
      <c r="A16" s="243">
        <v>3</v>
      </c>
      <c r="B16" s="244" t="s">
        <v>38</v>
      </c>
      <c r="C16" s="245">
        <f t="shared" ca="1" si="0"/>
        <v>0</v>
      </c>
      <c r="D16" s="246">
        <f t="shared" ca="1" si="20"/>
        <v>0</v>
      </c>
      <c r="E16" s="247">
        <f ca="1">IFERROR(__xludf.DUMMYFUNCTION("IMPORTRANGE(""https://docs.google.com/spreadsheets/d/1MeEWN-I1oV_STSDYn1IFDPWt_1FKiwhDph83XaGc0o0/edit?usp=sharing"",""งบพรบ!BB16"")"),0)</f>
        <v>0</v>
      </c>
      <c r="F16" s="247">
        <f ca="1">IFERROR(__xludf.DUMMYFUNCTION("IMPORTRANGE(""https://docs.google.com/spreadsheets/d/1MeEWN-I1oV_STSDYn1IFDPWt_1FKiwhDph83XaGc0o0/edit?usp=sharing"",""งบพรบ!BC16"")"),0)</f>
        <v>0</v>
      </c>
      <c r="G16" s="247">
        <f ca="1">IFERROR(__xludf.DUMMYFUNCTION("IMPORTRANGE(""https://docs.google.com/spreadsheets/d/1MeEWN-I1oV_STSDYn1IFDPWt_1FKiwhDph83XaGc0o0/edit?usp=sharing"",""งบพรบ!BD16"")"),0)</f>
        <v>0</v>
      </c>
      <c r="H16" s="247">
        <f ca="1">IFERROR(__xludf.DUMMYFUNCTION("IMPORTRANGE(""https://docs.google.com/spreadsheets/d/1MeEWN-I1oV_STSDYn1IFDPWt_1FKiwhDph83XaGc0o0/edit?usp=sharing"",""งบพรบ!BF16"")"),0)</f>
        <v>0</v>
      </c>
      <c r="I16" s="247">
        <f ca="1">IFERROR(__xludf.DUMMYFUNCTION("IMPORTRANGE(""https://docs.google.com/spreadsheets/d/1MeEWN-I1oV_STSDYn1IFDPWt_1FKiwhDph83XaGc0o0/edit?usp=sharing"",""งบพรบ!BG16"")"),0)</f>
        <v>0</v>
      </c>
      <c r="J16" s="247">
        <f t="shared" ca="1" si="3"/>
        <v>0</v>
      </c>
      <c r="K16" s="253">
        <f t="shared" ca="1" si="4"/>
        <v>0</v>
      </c>
      <c r="L16" s="247">
        <f ca="1">IFERROR(__xludf.DUMMYFUNCTION("IMPORTRANGE(""https://docs.google.com/spreadsheets/d/1MeEWN-I1oV_STSDYn1IFDPWt_1FKiwhDph83XaGc0o0/edit?usp=sharing"",""งบพรบ!BH16"")"),0)</f>
        <v>0</v>
      </c>
      <c r="M16" s="250">
        <f t="shared" ca="1" si="5"/>
        <v>0</v>
      </c>
      <c r="N16" s="250">
        <f t="shared" ca="1" si="6"/>
        <v>0</v>
      </c>
      <c r="O16" s="251">
        <f ca="1">IFERROR(__xludf.DUMMYFUNCTION("IMPORTRANGE(""https://docs.google.com/spreadsheets/d/1MeEWN-I1oV_STSDYn1IFDPWt_1FKiwhDph83XaGc0o0/edit?usp=sharing"",""งบพรบ!BI16"")"),0)</f>
        <v>0</v>
      </c>
      <c r="P16" s="250">
        <f t="shared" ca="1" si="18"/>
        <v>0</v>
      </c>
      <c r="Q16" s="250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IFERROR(__xludf.DUMMYFUNCTION("IMPORTRANGE(""https://docs.google.com/spreadsheets/d/1Jgv0Y7YlHDtsiDawwp-uvifEJ8HVaSn0k2aGHG8-hwM/edit?usp=sharing"",""เชียงใหม่!I118"")"),0)</f>
        <v>0</v>
      </c>
      <c r="S16" s="248">
        <f ca="1">IFERROR(__xludf.DUMMYFUNCTION("IMPORTRANGE(""https://docs.google.com/spreadsheets/d/1Jgv0Y7YlHDtsiDawwp-uvifEJ8HVaSn0k2aGHG8-hwM/edit?usp=sharing"",""เชียงใหม่!J118"")"),0)</f>
        <v>0</v>
      </c>
      <c r="T16" s="252">
        <f t="shared" ca="1" si="16"/>
        <v>0</v>
      </c>
    </row>
    <row r="17" spans="1:20" ht="24" customHeight="1" x14ac:dyDescent="0.3">
      <c r="A17" s="243">
        <v>4</v>
      </c>
      <c r="B17" s="244" t="s">
        <v>39</v>
      </c>
      <c r="C17" s="245">
        <f t="shared" ca="1" si="0"/>
        <v>0</v>
      </c>
      <c r="D17" s="246">
        <f t="shared" ca="1" si="20"/>
        <v>0</v>
      </c>
      <c r="E17" s="247">
        <f ca="1">IFERROR(__xludf.DUMMYFUNCTION("IMPORTRANGE(""https://docs.google.com/spreadsheets/d/1MeEWN-I1oV_STSDYn1IFDPWt_1FKiwhDph83XaGc0o0/edit?usp=sharing"",""งบพรบ!BB17"")"),0)</f>
        <v>0</v>
      </c>
      <c r="F17" s="247">
        <f ca="1">IFERROR(__xludf.DUMMYFUNCTION("IMPORTRANGE(""https://docs.google.com/spreadsheets/d/1MeEWN-I1oV_STSDYn1IFDPWt_1FKiwhDph83XaGc0o0/edit?usp=sharing"",""งบพรบ!BC17"")"),0)</f>
        <v>0</v>
      </c>
      <c r="G17" s="247">
        <f ca="1">IFERROR(__xludf.DUMMYFUNCTION("IMPORTRANGE(""https://docs.google.com/spreadsheets/d/1MeEWN-I1oV_STSDYn1IFDPWt_1FKiwhDph83XaGc0o0/edit?usp=sharing"",""งบพรบ!BD17"")"),0)</f>
        <v>0</v>
      </c>
      <c r="H17" s="247">
        <f ca="1">IFERROR(__xludf.DUMMYFUNCTION("IMPORTRANGE(""https://docs.google.com/spreadsheets/d/1MeEWN-I1oV_STSDYn1IFDPWt_1FKiwhDph83XaGc0o0/edit?usp=sharing"",""งบพรบ!BF17"")"),0)</f>
        <v>0</v>
      </c>
      <c r="I17" s="247">
        <f ca="1">IFERROR(__xludf.DUMMYFUNCTION("IMPORTRANGE(""https://docs.google.com/spreadsheets/d/1MeEWN-I1oV_STSDYn1IFDPWt_1FKiwhDph83XaGc0o0/edit?usp=sharing"",""งบพรบ!BG17"")"),0)</f>
        <v>0</v>
      </c>
      <c r="J17" s="247">
        <f t="shared" ca="1" si="3"/>
        <v>0</v>
      </c>
      <c r="K17" s="253">
        <f t="shared" ca="1" si="4"/>
        <v>0</v>
      </c>
      <c r="L17" s="247">
        <f ca="1">IFERROR(__xludf.DUMMYFUNCTION("IMPORTRANGE(""https://docs.google.com/spreadsheets/d/1MeEWN-I1oV_STSDYn1IFDPWt_1FKiwhDph83XaGc0o0/edit?usp=sharing"",""งบพรบ!BH17"")"),0)</f>
        <v>0</v>
      </c>
      <c r="M17" s="250">
        <f t="shared" ca="1" si="5"/>
        <v>0</v>
      </c>
      <c r="N17" s="250">
        <f t="shared" ca="1" si="6"/>
        <v>0</v>
      </c>
      <c r="O17" s="251">
        <f ca="1">IFERROR(__xludf.DUMMYFUNCTION("IMPORTRANGE(""https://docs.google.com/spreadsheets/d/1MeEWN-I1oV_STSDYn1IFDPWt_1FKiwhDph83XaGc0o0/edit?usp=sharing"",""งบพรบ!BI17"")"),0)</f>
        <v>0</v>
      </c>
      <c r="P17" s="250">
        <f t="shared" ca="1" si="18"/>
        <v>0</v>
      </c>
      <c r="Q17" s="250">
        <f t="shared" ca="1" si="8"/>
        <v>0</v>
      </c>
      <c r="R17" s="248">
        <f ca="1">IFERROR(__xludf.DUMMYFUNCTION("IMPORTRANGE(""https://docs.google.com/spreadsheets/d/1JWG2rZePOz9pe-f-ObA-yDr0VoOX2kSb0qIix2mTUo8/edit?usp=sharing"",""ตาก!I118"")"),0)</f>
        <v>0</v>
      </c>
      <c r="S17" s="248">
        <f ca="1">IFERROR(__xludf.DUMMYFUNCTION("IMPORTRANGE(""https://docs.google.com/spreadsheets/d/1JWG2rZePOz9pe-f-ObA-yDr0VoOX2kSb0qIix2mTUo8/edit?usp=sharing"",""ตาก!J118"")"),0)</f>
        <v>0</v>
      </c>
      <c r="T17" s="252">
        <f t="shared" ca="1" si="16"/>
        <v>0</v>
      </c>
    </row>
    <row r="18" spans="1:20" ht="24" customHeight="1" x14ac:dyDescent="0.3">
      <c r="A18" s="243">
        <v>5</v>
      </c>
      <c r="B18" s="244" t="s">
        <v>40</v>
      </c>
      <c r="C18" s="245">
        <f t="shared" ca="1" si="0"/>
        <v>0</v>
      </c>
      <c r="D18" s="246">
        <f t="shared" ca="1" si="20"/>
        <v>0</v>
      </c>
      <c r="E18" s="247">
        <f ca="1">IFERROR(__xludf.DUMMYFUNCTION("IMPORTRANGE(""https://docs.google.com/spreadsheets/d/1MeEWN-I1oV_STSDYn1IFDPWt_1FKiwhDph83XaGc0o0/edit?usp=sharing"",""งบพรบ!BB18"")"),0)</f>
        <v>0</v>
      </c>
      <c r="F18" s="247">
        <f ca="1">IFERROR(__xludf.DUMMYFUNCTION("IMPORTRANGE(""https://docs.google.com/spreadsheets/d/1MeEWN-I1oV_STSDYn1IFDPWt_1FKiwhDph83XaGc0o0/edit?usp=sharing"",""งบพรบ!BC18"")"),0)</f>
        <v>0</v>
      </c>
      <c r="G18" s="247">
        <f ca="1">IFERROR(__xludf.DUMMYFUNCTION("IMPORTRANGE(""https://docs.google.com/spreadsheets/d/1MeEWN-I1oV_STSDYn1IFDPWt_1FKiwhDph83XaGc0o0/edit?usp=sharing"",""งบพรบ!BD18"")"),0)</f>
        <v>0</v>
      </c>
      <c r="H18" s="247">
        <f ca="1">IFERROR(__xludf.DUMMYFUNCTION("IMPORTRANGE(""https://docs.google.com/spreadsheets/d/1MeEWN-I1oV_STSDYn1IFDPWt_1FKiwhDph83XaGc0o0/edit?usp=sharing"",""งบพรบ!BF18"")"),0)</f>
        <v>0</v>
      </c>
      <c r="I18" s="247">
        <f ca="1">IFERROR(__xludf.DUMMYFUNCTION("IMPORTRANGE(""https://docs.google.com/spreadsheets/d/1MeEWN-I1oV_STSDYn1IFDPWt_1FKiwhDph83XaGc0o0/edit?usp=sharing"",""งบพรบ!BG18"")"),0)</f>
        <v>0</v>
      </c>
      <c r="J18" s="247">
        <f t="shared" ca="1" si="3"/>
        <v>0</v>
      </c>
      <c r="K18" s="253">
        <f t="shared" ca="1" si="4"/>
        <v>0</v>
      </c>
      <c r="L18" s="247">
        <f ca="1">IFERROR(__xludf.DUMMYFUNCTION("IMPORTRANGE(""https://docs.google.com/spreadsheets/d/1MeEWN-I1oV_STSDYn1IFDPWt_1FKiwhDph83XaGc0o0/edit?usp=sharing"",""งบพรบ!BH18"")"),0)</f>
        <v>0</v>
      </c>
      <c r="M18" s="250">
        <f t="shared" ca="1" si="5"/>
        <v>0</v>
      </c>
      <c r="N18" s="250">
        <f t="shared" ca="1" si="6"/>
        <v>0</v>
      </c>
      <c r="O18" s="251">
        <f ca="1">IFERROR(__xludf.DUMMYFUNCTION("IMPORTRANGE(""https://docs.google.com/spreadsheets/d/1MeEWN-I1oV_STSDYn1IFDPWt_1FKiwhDph83XaGc0o0/edit?usp=sharing"",""งบพรบ!BI18"")"),0)</f>
        <v>0</v>
      </c>
      <c r="P18" s="250">
        <f t="shared" ca="1" si="18"/>
        <v>0</v>
      </c>
      <c r="Q18" s="250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IFERROR(__xludf.DUMMYFUNCTION("IMPORTRANGE(""https://docs.google.com/spreadsheets/d/10nSRjK08hx8Y6HgSOQKNw81lyY46Zc7U_Cj72hBMp9U/edit?usp=sharing"",""นครสวรรค์!I118"")"),0)</f>
        <v>0</v>
      </c>
      <c r="S18" s="248">
        <f ca="1">IFERROR(__xludf.DUMMYFUNCTION("IMPORTRANGE(""https://docs.google.com/spreadsheets/d/10nSRjK08hx8Y6HgSOQKNw81lyY46Zc7U_Cj72hBMp9U/edit?usp=sharing"",""นครสวรรค์!J118"")"),0)</f>
        <v>0</v>
      </c>
      <c r="T18" s="252">
        <f t="shared" ca="1" si="16"/>
        <v>0</v>
      </c>
    </row>
    <row r="19" spans="1:20" ht="24" customHeight="1" x14ac:dyDescent="0.3">
      <c r="A19" s="243">
        <v>6</v>
      </c>
      <c r="B19" s="244" t="s">
        <v>41</v>
      </c>
      <c r="C19" s="245">
        <f t="shared" ca="1" si="0"/>
        <v>2067000</v>
      </c>
      <c r="D19" s="246">
        <f t="shared" ca="1" si="20"/>
        <v>0</v>
      </c>
      <c r="E19" s="247">
        <f ca="1">IFERROR(__xludf.DUMMYFUNCTION("IMPORTRANGE(""https://docs.google.com/spreadsheets/d/1MeEWN-I1oV_STSDYn1IFDPWt_1FKiwhDph83XaGc0o0/edit?usp=sharing"",""งบพรบ!BB19"")"),0)</f>
        <v>0</v>
      </c>
      <c r="F19" s="247">
        <f ca="1">IFERROR(__xludf.DUMMYFUNCTION("IMPORTRANGE(""https://docs.google.com/spreadsheets/d/1MeEWN-I1oV_STSDYn1IFDPWt_1FKiwhDph83XaGc0o0/edit?usp=sharing"",""งบพรบ!BC19"")"),0)</f>
        <v>0</v>
      </c>
      <c r="G19" s="247">
        <f ca="1">IFERROR(__xludf.DUMMYFUNCTION("IMPORTRANGE(""https://docs.google.com/spreadsheets/d/1MeEWN-I1oV_STSDYn1IFDPWt_1FKiwhDph83XaGc0o0/edit?usp=sharing"",""งบพรบ!BD19"")"),2067000)</f>
        <v>2067000</v>
      </c>
      <c r="H19" s="247">
        <f ca="1">IFERROR(__xludf.DUMMYFUNCTION("IMPORTRANGE(""https://docs.google.com/spreadsheets/d/1MeEWN-I1oV_STSDYn1IFDPWt_1FKiwhDph83XaGc0o0/edit?usp=sharing"",""งบพรบ!BF19"")"),0)</f>
        <v>0</v>
      </c>
      <c r="I19" s="247">
        <f ca="1">IFERROR(__xludf.DUMMYFUNCTION("IMPORTRANGE(""https://docs.google.com/spreadsheets/d/1MeEWN-I1oV_STSDYn1IFDPWt_1FKiwhDph83XaGc0o0/edit?usp=sharing"",""งบพรบ!BG19"")"),1891300)</f>
        <v>1891300</v>
      </c>
      <c r="J19" s="247">
        <f t="shared" ca="1" si="3"/>
        <v>1891300</v>
      </c>
      <c r="K19" s="253">
        <f t="shared" ca="1" si="4"/>
        <v>91.49975810353169</v>
      </c>
      <c r="L19" s="247">
        <f ca="1">IFERROR(__xludf.DUMMYFUNCTION("IMPORTRANGE(""https://docs.google.com/spreadsheets/d/1MeEWN-I1oV_STSDYn1IFDPWt_1FKiwhDph83XaGc0o0/edit?usp=sharing"",""งบพรบ!BH19"")"),0)</f>
        <v>0</v>
      </c>
      <c r="M19" s="250">
        <f t="shared" ca="1" si="5"/>
        <v>0</v>
      </c>
      <c r="N19" s="250">
        <f t="shared" ca="1" si="6"/>
        <v>0</v>
      </c>
      <c r="O19" s="251">
        <f ca="1">IFERROR(__xludf.DUMMYFUNCTION("IMPORTRANGE(""https://docs.google.com/spreadsheets/d/1MeEWN-I1oV_STSDYn1IFDPWt_1FKiwhDph83XaGc0o0/edit?usp=sharing"",""งบพรบ!BI19"")"),1891300)</f>
        <v>1891300</v>
      </c>
      <c r="P19" s="250">
        <f t="shared" ca="1" si="18"/>
        <v>91.49975810353169</v>
      </c>
      <c r="Q19" s="250">
        <f t="shared" ca="1" si="8"/>
        <v>100</v>
      </c>
      <c r="R19" s="248">
        <f ca="1">IFERROR(__xludf.DUMMYFUNCTION("IMPORTRANGE(""https://docs.google.com/spreadsheets/d/1gFVb7qd7amutrIxAAoM7lcy35hllxznovot8lyOfvDo/edit?usp=sharing"",""น่าน!I118"")"),0)</f>
        <v>0</v>
      </c>
      <c r="S19" s="248">
        <f ca="1">IFERROR(__xludf.DUMMYFUNCTION("IMPORTRANGE(""https://docs.google.com/spreadsheets/d/1gFVb7qd7amutrIxAAoM7lcy35hllxznovot8lyOfvDo/edit?usp=sharing"",""น่าน!J118"")"),0)</f>
        <v>0</v>
      </c>
      <c r="T19" s="252">
        <f t="shared" ca="1" si="16"/>
        <v>0</v>
      </c>
    </row>
    <row r="20" spans="1:20" ht="24" customHeight="1" x14ac:dyDescent="0.3">
      <c r="A20" s="243">
        <v>7</v>
      </c>
      <c r="B20" s="244" t="s">
        <v>42</v>
      </c>
      <c r="C20" s="245">
        <f t="shared" ca="1" si="0"/>
        <v>0</v>
      </c>
      <c r="D20" s="246">
        <f t="shared" ca="1" si="20"/>
        <v>0</v>
      </c>
      <c r="E20" s="247">
        <f ca="1">IFERROR(__xludf.DUMMYFUNCTION("IMPORTRANGE(""https://docs.google.com/spreadsheets/d/1MeEWN-I1oV_STSDYn1IFDPWt_1FKiwhDph83XaGc0o0/edit?usp=sharing"",""งบพรบ!BB20"")"),0)</f>
        <v>0</v>
      </c>
      <c r="F20" s="247">
        <f ca="1">IFERROR(__xludf.DUMMYFUNCTION("IMPORTRANGE(""https://docs.google.com/spreadsheets/d/1MeEWN-I1oV_STSDYn1IFDPWt_1FKiwhDph83XaGc0o0/edit?usp=sharing"",""งบพรบ!BC20"")"),0)</f>
        <v>0</v>
      </c>
      <c r="G20" s="247">
        <f ca="1">IFERROR(__xludf.DUMMYFUNCTION("IMPORTRANGE(""https://docs.google.com/spreadsheets/d/1MeEWN-I1oV_STSDYn1IFDPWt_1FKiwhDph83XaGc0o0/edit?usp=sharing"",""งบพรบ!BD20"")"),0)</f>
        <v>0</v>
      </c>
      <c r="H20" s="247">
        <f ca="1">IFERROR(__xludf.DUMMYFUNCTION("IMPORTRANGE(""https://docs.google.com/spreadsheets/d/1MeEWN-I1oV_STSDYn1IFDPWt_1FKiwhDph83XaGc0o0/edit?usp=sharing"",""งบพรบ!BF20"")"),0)</f>
        <v>0</v>
      </c>
      <c r="I20" s="247">
        <f ca="1">IFERROR(__xludf.DUMMYFUNCTION("IMPORTRANGE(""https://docs.google.com/spreadsheets/d/1MeEWN-I1oV_STSDYn1IFDPWt_1FKiwhDph83XaGc0o0/edit?usp=sharing"",""งบพรบ!BG20"")"),0)</f>
        <v>0</v>
      </c>
      <c r="J20" s="247">
        <f t="shared" ca="1" si="3"/>
        <v>0</v>
      </c>
      <c r="K20" s="253">
        <f t="shared" ca="1" si="4"/>
        <v>0</v>
      </c>
      <c r="L20" s="247">
        <f ca="1">IFERROR(__xludf.DUMMYFUNCTION("IMPORTRANGE(""https://docs.google.com/spreadsheets/d/1MeEWN-I1oV_STSDYn1IFDPWt_1FKiwhDph83XaGc0o0/edit?usp=sharing"",""งบพรบ!BH20"")"),0)</f>
        <v>0</v>
      </c>
      <c r="M20" s="250">
        <f t="shared" ca="1" si="5"/>
        <v>0</v>
      </c>
      <c r="N20" s="250">
        <f t="shared" ca="1" si="6"/>
        <v>0</v>
      </c>
      <c r="O20" s="251">
        <f ca="1">IFERROR(__xludf.DUMMYFUNCTION("IMPORTRANGE(""https://docs.google.com/spreadsheets/d/1MeEWN-I1oV_STSDYn1IFDPWt_1FKiwhDph83XaGc0o0/edit?usp=sharing"",""งบพรบ!BI20"")"),0)</f>
        <v>0</v>
      </c>
      <c r="P20" s="250">
        <f t="shared" ca="1" si="18"/>
        <v>0</v>
      </c>
      <c r="Q20" s="250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IFERROR(__xludf.DUMMYFUNCTION("IMPORTRANGE(""https://docs.google.com/spreadsheets/d/1K0Aa9s-6EuHE5M0FG1F9aHLXRCOV917xvycTdLdct0w/edit?usp=sharing"",""พะเยา!I118"")"),0)</f>
        <v>0</v>
      </c>
      <c r="S20" s="248">
        <f ca="1">IFERROR(__xludf.DUMMYFUNCTION("IMPORTRANGE(""https://docs.google.com/spreadsheets/d/1K0Aa9s-6EuHE5M0FG1F9aHLXRCOV917xvycTdLdct0w/edit?usp=sharing"",""พะเยา!J118"")"),0)</f>
        <v>0</v>
      </c>
      <c r="T20" s="252">
        <f t="shared" ca="1" si="16"/>
        <v>0</v>
      </c>
    </row>
    <row r="21" spans="1:20" ht="24" customHeight="1" x14ac:dyDescent="0.3">
      <c r="A21" s="243">
        <v>8</v>
      </c>
      <c r="B21" s="244" t="s">
        <v>43</v>
      </c>
      <c r="C21" s="245">
        <f t="shared" ca="1" si="0"/>
        <v>0</v>
      </c>
      <c r="D21" s="246">
        <f t="shared" ca="1" si="20"/>
        <v>0</v>
      </c>
      <c r="E21" s="247">
        <f ca="1">IFERROR(__xludf.DUMMYFUNCTION("IMPORTRANGE(""https://docs.google.com/spreadsheets/d/1MeEWN-I1oV_STSDYn1IFDPWt_1FKiwhDph83XaGc0o0/edit?usp=sharing"",""งบพรบ!BB21"")"),0)</f>
        <v>0</v>
      </c>
      <c r="F21" s="247">
        <f ca="1">IFERROR(__xludf.DUMMYFUNCTION("IMPORTRANGE(""https://docs.google.com/spreadsheets/d/1MeEWN-I1oV_STSDYn1IFDPWt_1FKiwhDph83XaGc0o0/edit?usp=sharing"",""งบพรบ!BC21"")"),0)</f>
        <v>0</v>
      </c>
      <c r="G21" s="247">
        <f ca="1">IFERROR(__xludf.DUMMYFUNCTION("IMPORTRANGE(""https://docs.google.com/spreadsheets/d/1MeEWN-I1oV_STSDYn1IFDPWt_1FKiwhDph83XaGc0o0/edit?usp=sharing"",""งบพรบ!BD21"")"),0)</f>
        <v>0</v>
      </c>
      <c r="H21" s="247">
        <f ca="1">IFERROR(__xludf.DUMMYFUNCTION("IMPORTRANGE(""https://docs.google.com/spreadsheets/d/1MeEWN-I1oV_STSDYn1IFDPWt_1FKiwhDph83XaGc0o0/edit?usp=sharing"",""งบพรบ!BF21"")"),0)</f>
        <v>0</v>
      </c>
      <c r="I21" s="247">
        <f ca="1">IFERROR(__xludf.DUMMYFUNCTION("IMPORTRANGE(""https://docs.google.com/spreadsheets/d/1MeEWN-I1oV_STSDYn1IFDPWt_1FKiwhDph83XaGc0o0/edit?usp=sharing"",""งบพรบ!BG21"")"),0)</f>
        <v>0</v>
      </c>
      <c r="J21" s="247">
        <f t="shared" ca="1" si="3"/>
        <v>0</v>
      </c>
      <c r="K21" s="253">
        <f t="shared" ca="1" si="4"/>
        <v>0</v>
      </c>
      <c r="L21" s="247">
        <f ca="1">IFERROR(__xludf.DUMMYFUNCTION("IMPORTRANGE(""https://docs.google.com/spreadsheets/d/1MeEWN-I1oV_STSDYn1IFDPWt_1FKiwhDph83XaGc0o0/edit?usp=sharing"",""งบพรบ!BH21"")"),0)</f>
        <v>0</v>
      </c>
      <c r="M21" s="250">
        <f t="shared" ca="1" si="5"/>
        <v>0</v>
      </c>
      <c r="N21" s="250">
        <f t="shared" ca="1" si="6"/>
        <v>0</v>
      </c>
      <c r="O21" s="251">
        <f ca="1">IFERROR(__xludf.DUMMYFUNCTION("IMPORTRANGE(""https://docs.google.com/spreadsheets/d/1MeEWN-I1oV_STSDYn1IFDPWt_1FKiwhDph83XaGc0o0/edit?usp=sharing"",""งบพรบ!BI21"")"),0)</f>
        <v>0</v>
      </c>
      <c r="P21" s="250">
        <f t="shared" ca="1" si="18"/>
        <v>0</v>
      </c>
      <c r="Q21" s="250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IFERROR(__xludf.DUMMYFUNCTION("IMPORTRANGE(""https://docs.google.com/spreadsheets/d/1Y9LPKx95PyL5OKy09d-KbKJSuuEZCFdkhYjwC0XQjBA/edit?usp=sharing"",""พิจิตร!I118"")"),0)</f>
        <v>0</v>
      </c>
      <c r="S21" s="248">
        <f ca="1">IFERROR(__xludf.DUMMYFUNCTION("IMPORTRANGE(""https://docs.google.com/spreadsheets/d/1Y9LPKx95PyL5OKy09d-KbKJSuuEZCFdkhYjwC0XQjBA/edit?usp=sharing"",""พิจิตร!J118"")"),0)</f>
        <v>0</v>
      </c>
      <c r="T21" s="252">
        <f t="shared" ca="1" si="16"/>
        <v>0</v>
      </c>
    </row>
    <row r="22" spans="1:20" ht="24" customHeight="1" x14ac:dyDescent="0.3">
      <c r="A22" s="243">
        <v>9</v>
      </c>
      <c r="B22" s="244" t="s">
        <v>44</v>
      </c>
      <c r="C22" s="245">
        <f t="shared" ca="1" si="0"/>
        <v>0</v>
      </c>
      <c r="D22" s="246">
        <f t="shared" ca="1" si="20"/>
        <v>0</v>
      </c>
      <c r="E22" s="247">
        <f ca="1">IFERROR(__xludf.DUMMYFUNCTION("IMPORTRANGE(""https://docs.google.com/spreadsheets/d/1MeEWN-I1oV_STSDYn1IFDPWt_1FKiwhDph83XaGc0o0/edit?usp=sharing"",""งบพรบ!BB22"")"),0)</f>
        <v>0</v>
      </c>
      <c r="F22" s="247">
        <f ca="1">IFERROR(__xludf.DUMMYFUNCTION("IMPORTRANGE(""https://docs.google.com/spreadsheets/d/1MeEWN-I1oV_STSDYn1IFDPWt_1FKiwhDph83XaGc0o0/edit?usp=sharing"",""งบพรบ!BC22"")"),0)</f>
        <v>0</v>
      </c>
      <c r="G22" s="247">
        <f ca="1">IFERROR(__xludf.DUMMYFUNCTION("IMPORTRANGE(""https://docs.google.com/spreadsheets/d/1MeEWN-I1oV_STSDYn1IFDPWt_1FKiwhDph83XaGc0o0/edit?usp=sharing"",""งบพรบ!BD22"")"),0)</f>
        <v>0</v>
      </c>
      <c r="H22" s="247">
        <f ca="1">IFERROR(__xludf.DUMMYFUNCTION("IMPORTRANGE(""https://docs.google.com/spreadsheets/d/1MeEWN-I1oV_STSDYn1IFDPWt_1FKiwhDph83XaGc0o0/edit?usp=sharing"",""งบพรบ!BF22"")"),0)</f>
        <v>0</v>
      </c>
      <c r="I22" s="247">
        <f ca="1">IFERROR(__xludf.DUMMYFUNCTION("IMPORTRANGE(""https://docs.google.com/spreadsheets/d/1MeEWN-I1oV_STSDYn1IFDPWt_1FKiwhDph83XaGc0o0/edit?usp=sharing"",""งบพรบ!BG22"")"),0)</f>
        <v>0</v>
      </c>
      <c r="J22" s="247">
        <f t="shared" ca="1" si="3"/>
        <v>0</v>
      </c>
      <c r="K22" s="253">
        <f t="shared" ca="1" si="4"/>
        <v>0</v>
      </c>
      <c r="L22" s="247">
        <f ca="1">IFERROR(__xludf.DUMMYFUNCTION("IMPORTRANGE(""https://docs.google.com/spreadsheets/d/1MeEWN-I1oV_STSDYn1IFDPWt_1FKiwhDph83XaGc0o0/edit?usp=sharing"",""งบพรบ!BH22"")"),0)</f>
        <v>0</v>
      </c>
      <c r="M22" s="250">
        <f t="shared" ca="1" si="5"/>
        <v>0</v>
      </c>
      <c r="N22" s="250">
        <f t="shared" ca="1" si="6"/>
        <v>0</v>
      </c>
      <c r="O22" s="251">
        <f ca="1">IFERROR(__xludf.DUMMYFUNCTION("IMPORTRANGE(""https://docs.google.com/spreadsheets/d/1MeEWN-I1oV_STSDYn1IFDPWt_1FKiwhDph83XaGc0o0/edit?usp=sharing"",""งบพรบ!BI22"")"),0)</f>
        <v>0</v>
      </c>
      <c r="P22" s="250">
        <f t="shared" ca="1" si="18"/>
        <v>0</v>
      </c>
      <c r="Q22" s="250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IFERROR(__xludf.DUMMYFUNCTION("IMPORTRANGE(""https://docs.google.com/spreadsheets/d/16OMuOwy2eVqZcYWOouQtTpa8X1L23h4660uVHc0C8os/edit?usp=sharing"",""พิษณุโลก!I118"")"),0)</f>
        <v>0</v>
      </c>
      <c r="S22" s="248">
        <f ca="1">IFERROR(__xludf.DUMMYFUNCTION("IMPORTRANGE(""https://docs.google.com/spreadsheets/d/16OMuOwy2eVqZcYWOouQtTpa8X1L23h4660uVHc0C8os/edit?usp=sharing"",""พิษณุโลก!J118"")"),0)</f>
        <v>0</v>
      </c>
      <c r="T22" s="252">
        <f t="shared" ca="1" si="16"/>
        <v>0</v>
      </c>
    </row>
    <row r="23" spans="1:20" ht="24" customHeight="1" x14ac:dyDescent="0.3">
      <c r="A23" s="243">
        <v>10</v>
      </c>
      <c r="B23" s="244" t="s">
        <v>45</v>
      </c>
      <c r="C23" s="245">
        <f t="shared" ca="1" si="0"/>
        <v>0</v>
      </c>
      <c r="D23" s="246">
        <f t="shared" ca="1" si="20"/>
        <v>0</v>
      </c>
      <c r="E23" s="247">
        <f ca="1">IFERROR(__xludf.DUMMYFUNCTION("IMPORTRANGE(""https://docs.google.com/spreadsheets/d/1MeEWN-I1oV_STSDYn1IFDPWt_1FKiwhDph83XaGc0o0/edit?usp=sharing"",""งบพรบ!BB23"")"),0)</f>
        <v>0</v>
      </c>
      <c r="F23" s="247">
        <f ca="1">IFERROR(__xludf.DUMMYFUNCTION("IMPORTRANGE(""https://docs.google.com/spreadsheets/d/1MeEWN-I1oV_STSDYn1IFDPWt_1FKiwhDph83XaGc0o0/edit?usp=sharing"",""งบพรบ!BC23"")"),0)</f>
        <v>0</v>
      </c>
      <c r="G23" s="247">
        <f ca="1">IFERROR(__xludf.DUMMYFUNCTION("IMPORTRANGE(""https://docs.google.com/spreadsheets/d/1MeEWN-I1oV_STSDYn1IFDPWt_1FKiwhDph83XaGc0o0/edit?usp=sharing"",""งบพรบ!BD23"")"),0)</f>
        <v>0</v>
      </c>
      <c r="H23" s="247">
        <f ca="1">IFERROR(__xludf.DUMMYFUNCTION("IMPORTRANGE(""https://docs.google.com/spreadsheets/d/1MeEWN-I1oV_STSDYn1IFDPWt_1FKiwhDph83XaGc0o0/edit?usp=sharing"",""งบพรบ!BF23"")"),0)</f>
        <v>0</v>
      </c>
      <c r="I23" s="247">
        <f ca="1">IFERROR(__xludf.DUMMYFUNCTION("IMPORTRANGE(""https://docs.google.com/spreadsheets/d/1MeEWN-I1oV_STSDYn1IFDPWt_1FKiwhDph83XaGc0o0/edit?usp=sharing"",""งบพรบ!BG23"")"),0)</f>
        <v>0</v>
      </c>
      <c r="J23" s="247">
        <f t="shared" ca="1" si="3"/>
        <v>0</v>
      </c>
      <c r="K23" s="253">
        <f t="shared" ca="1" si="4"/>
        <v>0</v>
      </c>
      <c r="L23" s="247">
        <f ca="1">IFERROR(__xludf.DUMMYFUNCTION("IMPORTRANGE(""https://docs.google.com/spreadsheets/d/1MeEWN-I1oV_STSDYn1IFDPWt_1FKiwhDph83XaGc0o0/edit?usp=sharing"",""งบพรบ!BH23"")"),0)</f>
        <v>0</v>
      </c>
      <c r="M23" s="250">
        <f t="shared" ca="1" si="5"/>
        <v>0</v>
      </c>
      <c r="N23" s="250">
        <f t="shared" ca="1" si="6"/>
        <v>0</v>
      </c>
      <c r="O23" s="251">
        <f ca="1">IFERROR(__xludf.DUMMYFUNCTION("IMPORTRANGE(""https://docs.google.com/spreadsheets/d/1MeEWN-I1oV_STSDYn1IFDPWt_1FKiwhDph83XaGc0o0/edit?usp=sharing"",""งบพรบ!BI23"")"),0)</f>
        <v>0</v>
      </c>
      <c r="P23" s="250">
        <f t="shared" ca="1" si="18"/>
        <v>0</v>
      </c>
      <c r="Q23" s="250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IFERROR(__xludf.DUMMYFUNCTION("IMPORTRANGE(""https://docs.google.com/spreadsheets/d/1GfgTldLG6k77HXaMQzaafODklYuucJZQNs_GAPEfZyY/edit?usp=sharing"",""เพชรบูรณ์!I118"")"),0)</f>
        <v>0</v>
      </c>
      <c r="S23" s="248">
        <f ca="1">IFERROR(__xludf.DUMMYFUNCTION("IMPORTRANGE(""https://docs.google.com/spreadsheets/d/1GfgTldLG6k77HXaMQzaafODklYuucJZQNs_GAPEfZyY/edit?usp=sharing"",""เพชรบูรณ์!J118"")"),0)</f>
        <v>0</v>
      </c>
      <c r="T23" s="252">
        <f t="shared" ca="1" si="16"/>
        <v>0</v>
      </c>
    </row>
    <row r="24" spans="1:20" ht="24" customHeight="1" x14ac:dyDescent="0.3">
      <c r="A24" s="243">
        <v>11</v>
      </c>
      <c r="B24" s="244" t="s">
        <v>46</v>
      </c>
      <c r="C24" s="245">
        <f t="shared" ca="1" si="0"/>
        <v>0</v>
      </c>
      <c r="D24" s="246">
        <f t="shared" ca="1" si="20"/>
        <v>0</v>
      </c>
      <c r="E24" s="247">
        <f ca="1">IFERROR(__xludf.DUMMYFUNCTION("IMPORTRANGE(""https://docs.google.com/spreadsheets/d/1MeEWN-I1oV_STSDYn1IFDPWt_1FKiwhDph83XaGc0o0/edit?usp=sharing"",""งบพรบ!BB24"")"),0)</f>
        <v>0</v>
      </c>
      <c r="F24" s="247">
        <f ca="1">IFERROR(__xludf.DUMMYFUNCTION("IMPORTRANGE(""https://docs.google.com/spreadsheets/d/1MeEWN-I1oV_STSDYn1IFDPWt_1FKiwhDph83XaGc0o0/edit?usp=sharing"",""งบพรบ!BC24"")"),0)</f>
        <v>0</v>
      </c>
      <c r="G24" s="247">
        <f ca="1">IFERROR(__xludf.DUMMYFUNCTION("IMPORTRANGE(""https://docs.google.com/spreadsheets/d/1MeEWN-I1oV_STSDYn1IFDPWt_1FKiwhDph83XaGc0o0/edit?usp=sharing"",""งบพรบ!BD24"")"),0)</f>
        <v>0</v>
      </c>
      <c r="H24" s="247">
        <f ca="1">IFERROR(__xludf.DUMMYFUNCTION("IMPORTRANGE(""https://docs.google.com/spreadsheets/d/1MeEWN-I1oV_STSDYn1IFDPWt_1FKiwhDph83XaGc0o0/edit?usp=sharing"",""งบพรบ!BF24"")"),0)</f>
        <v>0</v>
      </c>
      <c r="I24" s="247">
        <f ca="1">IFERROR(__xludf.DUMMYFUNCTION("IMPORTRANGE(""https://docs.google.com/spreadsheets/d/1MeEWN-I1oV_STSDYn1IFDPWt_1FKiwhDph83XaGc0o0/edit?usp=sharing"",""งบพรบ!BG24"")"),0)</f>
        <v>0</v>
      </c>
      <c r="J24" s="247">
        <f t="shared" ca="1" si="3"/>
        <v>0</v>
      </c>
      <c r="K24" s="253">
        <f t="shared" ca="1" si="4"/>
        <v>0</v>
      </c>
      <c r="L24" s="247">
        <f ca="1">IFERROR(__xludf.DUMMYFUNCTION("IMPORTRANGE(""https://docs.google.com/spreadsheets/d/1MeEWN-I1oV_STSDYn1IFDPWt_1FKiwhDph83XaGc0o0/edit?usp=sharing"",""งบพรบ!BH24"")"),0)</f>
        <v>0</v>
      </c>
      <c r="M24" s="250">
        <f t="shared" ca="1" si="5"/>
        <v>0</v>
      </c>
      <c r="N24" s="250">
        <f t="shared" ca="1" si="6"/>
        <v>0</v>
      </c>
      <c r="O24" s="251">
        <f ca="1">IFERROR(__xludf.DUMMYFUNCTION("IMPORTRANGE(""https://docs.google.com/spreadsheets/d/1MeEWN-I1oV_STSDYn1IFDPWt_1FKiwhDph83XaGc0o0/edit?usp=sharing"",""งบพรบ!BI24"")"),0)</f>
        <v>0</v>
      </c>
      <c r="P24" s="250">
        <f t="shared" ca="1" si="18"/>
        <v>0</v>
      </c>
      <c r="Q24" s="250">
        <f t="shared" ca="1" si="8"/>
        <v>0</v>
      </c>
      <c r="R24" s="248">
        <f ca="1">IFERROR(__xludf.DUMMYFUNCTION("IMPORTRANGE(""https://docs.google.com/spreadsheets/d/1gvTMYAnm7v1yG1BKWFtr0DnaTsq59oW9dwWvFgq6hs0/edit?usp=sharing"",""แพร่!I118"")"),0)</f>
        <v>0</v>
      </c>
      <c r="S24" s="248">
        <f ca="1">IFERROR(__xludf.DUMMYFUNCTION("IMPORTRANGE(""https://docs.google.com/spreadsheets/d/1gvTMYAnm7v1yG1BKWFtr0DnaTsq59oW9dwWvFgq6hs0/edit?usp=sharing"",""แพร่!J118"")"),0)</f>
        <v>0</v>
      </c>
      <c r="T24" s="252">
        <f t="shared" ca="1" si="16"/>
        <v>0</v>
      </c>
    </row>
    <row r="25" spans="1:20" ht="24" customHeight="1" x14ac:dyDescent="0.3">
      <c r="A25" s="243">
        <v>12</v>
      </c>
      <c r="B25" s="244" t="s">
        <v>47</v>
      </c>
      <c r="C25" s="245">
        <f t="shared" ca="1" si="0"/>
        <v>0</v>
      </c>
      <c r="D25" s="246">
        <f t="shared" ca="1" si="20"/>
        <v>0</v>
      </c>
      <c r="E25" s="247">
        <f ca="1">IFERROR(__xludf.DUMMYFUNCTION("IMPORTRANGE(""https://docs.google.com/spreadsheets/d/1MeEWN-I1oV_STSDYn1IFDPWt_1FKiwhDph83XaGc0o0/edit?usp=sharing"",""งบพรบ!BB25"")"),0)</f>
        <v>0</v>
      </c>
      <c r="F25" s="247">
        <f ca="1">IFERROR(__xludf.DUMMYFUNCTION("IMPORTRANGE(""https://docs.google.com/spreadsheets/d/1MeEWN-I1oV_STSDYn1IFDPWt_1FKiwhDph83XaGc0o0/edit?usp=sharing"",""งบพรบ!BC25"")"),0)</f>
        <v>0</v>
      </c>
      <c r="G25" s="247">
        <f ca="1">IFERROR(__xludf.DUMMYFUNCTION("IMPORTRANGE(""https://docs.google.com/spreadsheets/d/1MeEWN-I1oV_STSDYn1IFDPWt_1FKiwhDph83XaGc0o0/edit?usp=sharing"",""งบพรบ!BD25"")"),0)</f>
        <v>0</v>
      </c>
      <c r="H25" s="247">
        <f ca="1">IFERROR(__xludf.DUMMYFUNCTION("IMPORTRANGE(""https://docs.google.com/spreadsheets/d/1MeEWN-I1oV_STSDYn1IFDPWt_1FKiwhDph83XaGc0o0/edit?usp=sharing"",""งบพรบ!BF25"")"),0)</f>
        <v>0</v>
      </c>
      <c r="I25" s="247">
        <f ca="1">IFERROR(__xludf.DUMMYFUNCTION("IMPORTRANGE(""https://docs.google.com/spreadsheets/d/1MeEWN-I1oV_STSDYn1IFDPWt_1FKiwhDph83XaGc0o0/edit?usp=sharing"",""งบพรบ!BG25"")"),0)</f>
        <v>0</v>
      </c>
      <c r="J25" s="247">
        <f t="shared" ca="1" si="3"/>
        <v>0</v>
      </c>
      <c r="K25" s="253">
        <f t="shared" ca="1" si="4"/>
        <v>0</v>
      </c>
      <c r="L25" s="247">
        <f ca="1">IFERROR(__xludf.DUMMYFUNCTION("IMPORTRANGE(""https://docs.google.com/spreadsheets/d/1MeEWN-I1oV_STSDYn1IFDPWt_1FKiwhDph83XaGc0o0/edit?usp=sharing"",""งบพรบ!BH25"")"),0)</f>
        <v>0</v>
      </c>
      <c r="M25" s="250">
        <f t="shared" ca="1" si="5"/>
        <v>0</v>
      </c>
      <c r="N25" s="250">
        <f t="shared" ca="1" si="6"/>
        <v>0</v>
      </c>
      <c r="O25" s="251">
        <f ca="1">IFERROR(__xludf.DUMMYFUNCTION("IMPORTRANGE(""https://docs.google.com/spreadsheets/d/1MeEWN-I1oV_STSDYn1IFDPWt_1FKiwhDph83XaGc0o0/edit?usp=sharing"",""งบพรบ!BI25"")"),0)</f>
        <v>0</v>
      </c>
      <c r="P25" s="250">
        <f t="shared" ca="1" si="18"/>
        <v>0</v>
      </c>
      <c r="Q25" s="250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IFERROR(__xludf.DUMMYFUNCTION("IMPORTRANGE(""https://docs.google.com/spreadsheets/d/1Wbcosgy-Xa1xXUArJSOenub6EfZHUSzc_bpJFWwQUf0/edit?usp=sharing"",""แม่ฮ่องสอน!I118"")"),0)</f>
        <v>0</v>
      </c>
      <c r="S25" s="248">
        <f ca="1">IFERROR(__xludf.DUMMYFUNCTION("IMPORTRANGE(""https://docs.google.com/spreadsheets/d/1Wbcosgy-Xa1xXUArJSOenub6EfZHUSzc_bpJFWwQUf0/edit?usp=sharing"",""แม่ฮ่องสอน!J118"")"),0)</f>
        <v>0</v>
      </c>
      <c r="T25" s="252">
        <f t="shared" ca="1" si="16"/>
        <v>0</v>
      </c>
    </row>
    <row r="26" spans="1:20" ht="24" customHeight="1" x14ac:dyDescent="0.3">
      <c r="A26" s="243">
        <v>13</v>
      </c>
      <c r="B26" s="244" t="s">
        <v>48</v>
      </c>
      <c r="C26" s="245">
        <f t="shared" ca="1" si="0"/>
        <v>0</v>
      </c>
      <c r="D26" s="246">
        <f t="shared" ca="1" si="20"/>
        <v>0</v>
      </c>
      <c r="E26" s="247">
        <f ca="1">IFERROR(__xludf.DUMMYFUNCTION("IMPORTRANGE(""https://docs.google.com/spreadsheets/d/1MeEWN-I1oV_STSDYn1IFDPWt_1FKiwhDph83XaGc0o0/edit?usp=sharing"",""งบพรบ!BB26"")"),0)</f>
        <v>0</v>
      </c>
      <c r="F26" s="247">
        <f ca="1">IFERROR(__xludf.DUMMYFUNCTION("IMPORTRANGE(""https://docs.google.com/spreadsheets/d/1MeEWN-I1oV_STSDYn1IFDPWt_1FKiwhDph83XaGc0o0/edit?usp=sharing"",""งบพรบ!BC26"")"),0)</f>
        <v>0</v>
      </c>
      <c r="G26" s="247">
        <f ca="1">IFERROR(__xludf.DUMMYFUNCTION("IMPORTRANGE(""https://docs.google.com/spreadsheets/d/1MeEWN-I1oV_STSDYn1IFDPWt_1FKiwhDph83XaGc0o0/edit?usp=sharing"",""งบพรบ!BD26"")"),0)</f>
        <v>0</v>
      </c>
      <c r="H26" s="247">
        <f ca="1">IFERROR(__xludf.DUMMYFUNCTION("IMPORTRANGE(""https://docs.google.com/spreadsheets/d/1MeEWN-I1oV_STSDYn1IFDPWt_1FKiwhDph83XaGc0o0/edit?usp=sharing"",""งบพรบ!BF26"")"),0)</f>
        <v>0</v>
      </c>
      <c r="I26" s="247">
        <f ca="1">IFERROR(__xludf.DUMMYFUNCTION("IMPORTRANGE(""https://docs.google.com/spreadsheets/d/1MeEWN-I1oV_STSDYn1IFDPWt_1FKiwhDph83XaGc0o0/edit?usp=sharing"",""งบพรบ!BG26"")"),0)</f>
        <v>0</v>
      </c>
      <c r="J26" s="247">
        <f t="shared" ca="1" si="3"/>
        <v>0</v>
      </c>
      <c r="K26" s="253">
        <f t="shared" ca="1" si="4"/>
        <v>0</v>
      </c>
      <c r="L26" s="247">
        <f ca="1">IFERROR(__xludf.DUMMYFUNCTION("IMPORTRANGE(""https://docs.google.com/spreadsheets/d/1MeEWN-I1oV_STSDYn1IFDPWt_1FKiwhDph83XaGc0o0/edit?usp=sharing"",""งบพรบ!BH26"")"),0)</f>
        <v>0</v>
      </c>
      <c r="M26" s="250">
        <f t="shared" ca="1" si="5"/>
        <v>0</v>
      </c>
      <c r="N26" s="250">
        <f t="shared" ca="1" si="6"/>
        <v>0</v>
      </c>
      <c r="O26" s="251">
        <f ca="1">IFERROR(__xludf.DUMMYFUNCTION("IMPORTRANGE(""https://docs.google.com/spreadsheets/d/1MeEWN-I1oV_STSDYn1IFDPWt_1FKiwhDph83XaGc0o0/edit?usp=sharing"",""งบพรบ!BI26"")"),0)</f>
        <v>0</v>
      </c>
      <c r="P26" s="250">
        <f t="shared" ca="1" si="18"/>
        <v>0</v>
      </c>
      <c r="Q26" s="250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IFERROR(__xludf.DUMMYFUNCTION("IMPORTRANGE(""https://docs.google.com/spreadsheets/d/1p7ERhsr0qZeSn-KSOdeHS9r0heI-lHtkcn2OH7hP0jQ/edit?usp=sharing"",""ลำปาง!I118"")"),0)</f>
        <v>0</v>
      </c>
      <c r="S26" s="248">
        <f ca="1">IFERROR(__xludf.DUMMYFUNCTION("IMPORTRANGE(""https://docs.google.com/spreadsheets/d/1p7ERhsr0qZeSn-KSOdeHS9r0heI-lHtkcn2OH7hP0jQ/edit?usp=sharing"",""ลำปาง!J118"")"),0)</f>
        <v>0</v>
      </c>
      <c r="T26" s="252">
        <f t="shared" ca="1" si="16"/>
        <v>0</v>
      </c>
    </row>
    <row r="27" spans="1:20" ht="24" customHeight="1" x14ac:dyDescent="0.3">
      <c r="A27" s="243">
        <v>14</v>
      </c>
      <c r="B27" s="244" t="s">
        <v>49</v>
      </c>
      <c r="C27" s="245">
        <f t="shared" ca="1" si="0"/>
        <v>0</v>
      </c>
      <c r="D27" s="246">
        <f t="shared" ca="1" si="20"/>
        <v>0</v>
      </c>
      <c r="E27" s="247">
        <f ca="1">IFERROR(__xludf.DUMMYFUNCTION("IMPORTRANGE(""https://docs.google.com/spreadsheets/d/1MeEWN-I1oV_STSDYn1IFDPWt_1FKiwhDph83XaGc0o0/edit?usp=sharing"",""งบพรบ!BB27"")"),0)</f>
        <v>0</v>
      </c>
      <c r="F27" s="247">
        <f ca="1">IFERROR(__xludf.DUMMYFUNCTION("IMPORTRANGE(""https://docs.google.com/spreadsheets/d/1MeEWN-I1oV_STSDYn1IFDPWt_1FKiwhDph83XaGc0o0/edit?usp=sharing"",""งบพรบ!BC27"")"),0)</f>
        <v>0</v>
      </c>
      <c r="G27" s="247">
        <f ca="1">IFERROR(__xludf.DUMMYFUNCTION("IMPORTRANGE(""https://docs.google.com/spreadsheets/d/1MeEWN-I1oV_STSDYn1IFDPWt_1FKiwhDph83XaGc0o0/edit?usp=sharing"",""งบพรบ!BD27"")"),0)</f>
        <v>0</v>
      </c>
      <c r="H27" s="247">
        <f ca="1">IFERROR(__xludf.DUMMYFUNCTION("IMPORTRANGE(""https://docs.google.com/spreadsheets/d/1MeEWN-I1oV_STSDYn1IFDPWt_1FKiwhDph83XaGc0o0/edit?usp=sharing"",""งบพรบ!BF27"")"),0)</f>
        <v>0</v>
      </c>
      <c r="I27" s="247">
        <f ca="1">IFERROR(__xludf.DUMMYFUNCTION("IMPORTRANGE(""https://docs.google.com/spreadsheets/d/1MeEWN-I1oV_STSDYn1IFDPWt_1FKiwhDph83XaGc0o0/edit?usp=sharing"",""งบพรบ!BG27"")"),0)</f>
        <v>0</v>
      </c>
      <c r="J27" s="247">
        <f t="shared" ca="1" si="3"/>
        <v>0</v>
      </c>
      <c r="K27" s="253">
        <f t="shared" ca="1" si="4"/>
        <v>0</v>
      </c>
      <c r="L27" s="247">
        <f ca="1">IFERROR(__xludf.DUMMYFUNCTION("IMPORTRANGE(""https://docs.google.com/spreadsheets/d/1MeEWN-I1oV_STSDYn1IFDPWt_1FKiwhDph83XaGc0o0/edit?usp=sharing"",""งบพรบ!BH27"")"),0)</f>
        <v>0</v>
      </c>
      <c r="M27" s="250">
        <f t="shared" ca="1" si="5"/>
        <v>0</v>
      </c>
      <c r="N27" s="250">
        <f t="shared" ca="1" si="6"/>
        <v>0</v>
      </c>
      <c r="O27" s="251">
        <f ca="1">IFERROR(__xludf.DUMMYFUNCTION("IMPORTRANGE(""https://docs.google.com/spreadsheets/d/1MeEWN-I1oV_STSDYn1IFDPWt_1FKiwhDph83XaGc0o0/edit?usp=sharing"",""งบพรบ!BI27"")"),0)</f>
        <v>0</v>
      </c>
      <c r="P27" s="250">
        <f t="shared" ca="1" si="18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IFERROR(__xludf.DUMMYFUNCTION("IMPORTRANGE(""https://docs.google.com/spreadsheets/d/1-uUXvimVhiU2U0bMN-xi2te0tS4X7DI2GLPnMjzl8cA/edit?usp=sharing"",""ลำพูน!I118"")"),0)</f>
        <v>0</v>
      </c>
      <c r="S27" s="248">
        <f ca="1">IFERROR(__xludf.DUMMYFUNCTION("IMPORTRANGE(""https://docs.google.com/spreadsheets/d/1-uUXvimVhiU2U0bMN-xi2te0tS4X7DI2GLPnMjzl8cA/edit?usp=sharing"",""ลำพูน!J118"")"),0)</f>
        <v>0</v>
      </c>
      <c r="T27" s="252">
        <f t="shared" ca="1" si="16"/>
        <v>0</v>
      </c>
    </row>
    <row r="28" spans="1:20" ht="24" customHeight="1" x14ac:dyDescent="0.3">
      <c r="A28" s="243">
        <v>15</v>
      </c>
      <c r="B28" s="244" t="s">
        <v>50</v>
      </c>
      <c r="C28" s="245">
        <f t="shared" ca="1" si="0"/>
        <v>245300</v>
      </c>
      <c r="D28" s="246">
        <f t="shared" ca="1" si="20"/>
        <v>0</v>
      </c>
      <c r="E28" s="247">
        <f ca="1">IFERROR(__xludf.DUMMYFUNCTION("IMPORTRANGE(""https://docs.google.com/spreadsheets/d/1MeEWN-I1oV_STSDYn1IFDPWt_1FKiwhDph83XaGc0o0/edit?usp=sharing"",""งบพรบ!BB28"")"),0)</f>
        <v>0</v>
      </c>
      <c r="F28" s="247">
        <f ca="1">IFERROR(__xludf.DUMMYFUNCTION("IMPORTRANGE(""https://docs.google.com/spreadsheets/d/1MeEWN-I1oV_STSDYn1IFDPWt_1FKiwhDph83XaGc0o0/edit?usp=sharing"",""งบพรบ!BC28"")"),0)</f>
        <v>0</v>
      </c>
      <c r="G28" s="247">
        <f ca="1">IFERROR(__xludf.DUMMYFUNCTION("IMPORTRANGE(""https://docs.google.com/spreadsheets/d/1MeEWN-I1oV_STSDYn1IFDPWt_1FKiwhDph83XaGc0o0/edit?usp=sharing"",""งบพรบ!BD28"")"),245300)</f>
        <v>245300</v>
      </c>
      <c r="H28" s="247">
        <f ca="1">IFERROR(__xludf.DUMMYFUNCTION("IMPORTRANGE(""https://docs.google.com/spreadsheets/d/1MeEWN-I1oV_STSDYn1IFDPWt_1FKiwhDph83XaGc0o0/edit?usp=sharing"",""งบพรบ!BF28"")"),0)</f>
        <v>0</v>
      </c>
      <c r="I28" s="247">
        <f ca="1">IFERROR(__xludf.DUMMYFUNCTION("IMPORTRANGE(""https://docs.google.com/spreadsheets/d/1MeEWN-I1oV_STSDYn1IFDPWt_1FKiwhDph83XaGc0o0/edit?usp=sharing"",""งบพรบ!BG28"")"),415250)</f>
        <v>415250</v>
      </c>
      <c r="J28" s="247">
        <f t="shared" ca="1" si="3"/>
        <v>245250</v>
      </c>
      <c r="K28" s="253">
        <f t="shared" ca="1" si="4"/>
        <v>99.979616795760293</v>
      </c>
      <c r="L28" s="247">
        <f ca="1">IFERROR(__xludf.DUMMYFUNCTION("IMPORTRANGE(""https://docs.google.com/spreadsheets/d/1MeEWN-I1oV_STSDYn1IFDPWt_1FKiwhDph83XaGc0o0/edit?usp=sharing"",""งบพรบ!BH28"")"),0)</f>
        <v>0</v>
      </c>
      <c r="M28" s="250">
        <f t="shared" ca="1" si="5"/>
        <v>0</v>
      </c>
      <c r="N28" s="250">
        <f t="shared" ca="1" si="6"/>
        <v>0</v>
      </c>
      <c r="O28" s="251">
        <f ca="1">IFERROR(__xludf.DUMMYFUNCTION("IMPORTRANGE(""https://docs.google.com/spreadsheets/d/1MeEWN-I1oV_STSDYn1IFDPWt_1FKiwhDph83XaGc0o0/edit?usp=sharing"",""งบพรบ!BI28"")"),245250)</f>
        <v>245250</v>
      </c>
      <c r="P28" s="250">
        <f t="shared" ca="1" si="18"/>
        <v>99.979616795760293</v>
      </c>
      <c r="Q28" s="250">
        <f t="shared" ca="1" si="8"/>
        <v>59.060806742925948</v>
      </c>
      <c r="R28" s="248">
        <f ca="1">IFERROR(__xludf.DUMMYFUNCTION("IMPORTRANGE(""https://docs.google.com/spreadsheets/d/17HrOaa5pBUI1onckFfumXB8xlg35qb2uBAFfF1D-Myo/edit?usp=sharing"",""สุโขทัย!I118"")"),0)</f>
        <v>0</v>
      </c>
      <c r="S28" s="248">
        <f ca="1">IFERROR(__xludf.DUMMYFUNCTION("IMPORTRANGE(""https://docs.google.com/spreadsheets/d/17HrOaa5pBUI1onckFfumXB8xlg35qb2uBAFfF1D-Myo/edit?usp=sharing"",""สุโขทัย!J118"")"),0)</f>
        <v>0</v>
      </c>
      <c r="T28" s="252">
        <f t="shared" ca="1" si="16"/>
        <v>0</v>
      </c>
    </row>
    <row r="29" spans="1:20" ht="24" customHeight="1" x14ac:dyDescent="0.3">
      <c r="A29" s="243">
        <v>16</v>
      </c>
      <c r="B29" s="244" t="s">
        <v>51</v>
      </c>
      <c r="C29" s="245">
        <f t="shared" ca="1" si="0"/>
        <v>0</v>
      </c>
      <c r="D29" s="246">
        <f t="shared" ca="1" si="20"/>
        <v>0</v>
      </c>
      <c r="E29" s="247">
        <f ca="1">IFERROR(__xludf.DUMMYFUNCTION("IMPORTRANGE(""https://docs.google.com/spreadsheets/d/1MeEWN-I1oV_STSDYn1IFDPWt_1FKiwhDph83XaGc0o0/edit?usp=sharing"",""งบพรบ!BB29"")"),0)</f>
        <v>0</v>
      </c>
      <c r="F29" s="247">
        <f ca="1">IFERROR(__xludf.DUMMYFUNCTION("IMPORTRANGE(""https://docs.google.com/spreadsheets/d/1MeEWN-I1oV_STSDYn1IFDPWt_1FKiwhDph83XaGc0o0/edit?usp=sharing"",""งบพรบ!BC29"")"),0)</f>
        <v>0</v>
      </c>
      <c r="G29" s="247">
        <f ca="1">IFERROR(__xludf.DUMMYFUNCTION("IMPORTRANGE(""https://docs.google.com/spreadsheets/d/1MeEWN-I1oV_STSDYn1IFDPWt_1FKiwhDph83XaGc0o0/edit?usp=sharing"",""งบพรบ!BD29"")"),0)</f>
        <v>0</v>
      </c>
      <c r="H29" s="247">
        <f ca="1">IFERROR(__xludf.DUMMYFUNCTION("IMPORTRANGE(""https://docs.google.com/spreadsheets/d/1MeEWN-I1oV_STSDYn1IFDPWt_1FKiwhDph83XaGc0o0/edit?usp=sharing"",""งบพรบ!BF29"")"),0)</f>
        <v>0</v>
      </c>
      <c r="I29" s="247">
        <f ca="1">IFERROR(__xludf.DUMMYFUNCTION("IMPORTRANGE(""https://docs.google.com/spreadsheets/d/1MeEWN-I1oV_STSDYn1IFDPWt_1FKiwhDph83XaGc0o0/edit?usp=sharing"",""งบพรบ!BG29"")"),0)</f>
        <v>0</v>
      </c>
      <c r="J29" s="247">
        <f t="shared" ca="1" si="3"/>
        <v>0</v>
      </c>
      <c r="K29" s="253">
        <f t="shared" ca="1" si="4"/>
        <v>0</v>
      </c>
      <c r="L29" s="247">
        <f ca="1">IFERROR(__xludf.DUMMYFUNCTION("IMPORTRANGE(""https://docs.google.com/spreadsheets/d/1MeEWN-I1oV_STSDYn1IFDPWt_1FKiwhDph83XaGc0o0/edit?usp=sharing"",""งบพรบ!BH29"")"),0)</f>
        <v>0</v>
      </c>
      <c r="M29" s="250">
        <f t="shared" ca="1" si="5"/>
        <v>0</v>
      </c>
      <c r="N29" s="250">
        <f t="shared" ca="1" si="6"/>
        <v>0</v>
      </c>
      <c r="O29" s="251">
        <f ca="1">IFERROR(__xludf.DUMMYFUNCTION("IMPORTRANGE(""https://docs.google.com/spreadsheets/d/1MeEWN-I1oV_STSDYn1IFDPWt_1FKiwhDph83XaGc0o0/edit?usp=sharing"",""งบพรบ!BI29"")"),0)</f>
        <v>0</v>
      </c>
      <c r="P29" s="250">
        <f t="shared" ca="1" si="18"/>
        <v>0</v>
      </c>
      <c r="Q29" s="250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IFERROR(__xludf.DUMMYFUNCTION("IMPORTRANGE(""https://docs.google.com/spreadsheets/d/1ubs5cl16eYL9gHbdHTJtmtYb9MGzHBs7CAphn8kNCgM/edit?usp=sharing"",""อุตรดิตถ์!I118"")"),0)</f>
        <v>0</v>
      </c>
      <c r="S29" s="248">
        <f ca="1">IFERROR(__xludf.DUMMYFUNCTION("IMPORTRANGE(""https://docs.google.com/spreadsheets/d/1ubs5cl16eYL9gHbdHTJtmtYb9MGzHBs7CAphn8kNCgM/edit?usp=sharing"",""อุตรดิตถ์!J118"")"),0)</f>
        <v>0</v>
      </c>
      <c r="T29" s="252">
        <f t="shared" ca="1" si="16"/>
        <v>0</v>
      </c>
    </row>
    <row r="30" spans="1:20" ht="24" customHeight="1" x14ac:dyDescent="0.3">
      <c r="A30" s="254">
        <v>17</v>
      </c>
      <c r="B30" s="255" t="s">
        <v>52</v>
      </c>
      <c r="C30" s="256">
        <f t="shared" ca="1" si="0"/>
        <v>0</v>
      </c>
      <c r="D30" s="257">
        <f t="shared" ca="1" si="20"/>
        <v>0</v>
      </c>
      <c r="E30" s="258">
        <f ca="1">IFERROR(__xludf.DUMMYFUNCTION("IMPORTRANGE(""https://docs.google.com/spreadsheets/d/1MeEWN-I1oV_STSDYn1IFDPWt_1FKiwhDph83XaGc0o0/edit?usp=sharing"",""งบพรบ!BB30"")"),0)</f>
        <v>0</v>
      </c>
      <c r="F30" s="258">
        <f ca="1">IFERROR(__xludf.DUMMYFUNCTION("IMPORTRANGE(""https://docs.google.com/spreadsheets/d/1MeEWN-I1oV_STSDYn1IFDPWt_1FKiwhDph83XaGc0o0/edit?usp=sharing"",""งบพรบ!BC30"")"),0)</f>
        <v>0</v>
      </c>
      <c r="G30" s="258">
        <f ca="1">IFERROR(__xludf.DUMMYFUNCTION("IMPORTRANGE(""https://docs.google.com/spreadsheets/d/1MeEWN-I1oV_STSDYn1IFDPWt_1FKiwhDph83XaGc0o0/edit?usp=sharing"",""งบพรบ!BD30"")"),0)</f>
        <v>0</v>
      </c>
      <c r="H30" s="258">
        <f ca="1">IFERROR(__xludf.DUMMYFUNCTION("IMPORTRANGE(""https://docs.google.com/spreadsheets/d/1MeEWN-I1oV_STSDYn1IFDPWt_1FKiwhDph83XaGc0o0/edit?usp=sharing"",""งบพรบ!BF30"")"),0)</f>
        <v>0</v>
      </c>
      <c r="I30" s="258">
        <f ca="1">IFERROR(__xludf.DUMMYFUNCTION("IMPORTRANGE(""https://docs.google.com/spreadsheets/d/1MeEWN-I1oV_STSDYn1IFDPWt_1FKiwhDph83XaGc0o0/edit?usp=sharing"",""งบพรบ!BG30"")"),0)</f>
        <v>0</v>
      </c>
      <c r="J30" s="258">
        <f t="shared" ca="1" si="3"/>
        <v>0</v>
      </c>
      <c r="K30" s="259">
        <f t="shared" ca="1" si="4"/>
        <v>0</v>
      </c>
      <c r="L30" s="258">
        <f ca="1">IFERROR(__xludf.DUMMYFUNCTION("IMPORTRANGE(""https://docs.google.com/spreadsheets/d/1MeEWN-I1oV_STSDYn1IFDPWt_1FKiwhDph83XaGc0o0/edit?usp=sharing"",""งบพรบ!BH30"")"),0)</f>
        <v>0</v>
      </c>
      <c r="M30" s="260">
        <f t="shared" ca="1" si="5"/>
        <v>0</v>
      </c>
      <c r="N30" s="260">
        <f t="shared" ca="1" si="6"/>
        <v>0</v>
      </c>
      <c r="O30" s="261">
        <f ca="1">IFERROR(__xludf.DUMMYFUNCTION("IMPORTRANGE(""https://docs.google.com/spreadsheets/d/1MeEWN-I1oV_STSDYn1IFDPWt_1FKiwhDph83XaGc0o0/edit?usp=sharing"",""งบพรบ!BI30"")"),0)</f>
        <v>0</v>
      </c>
      <c r="P30" s="260">
        <f t="shared" ca="1" si="18"/>
        <v>0</v>
      </c>
      <c r="Q30" s="260">
        <f t="shared" ca="1" si="8"/>
        <v>0</v>
      </c>
      <c r="R30" s="262">
        <f ca="1">IFERROR(__xludf.DUMMYFUNCTION("IMPORTRANGE(""https://docs.google.com/spreadsheets/d/1kII0BjS6CtVrBvI8IrytgPdxDrlyQDyigzMsohRtDMs/edit?usp=sharing"",""อุทัยธานี!I118"")"),0)</f>
        <v>0</v>
      </c>
      <c r="S30" s="262">
        <f ca="1">IFERROR(__xludf.DUMMYFUNCTION("IMPORTRANGE(""https://docs.google.com/spreadsheets/d/1kII0BjS6CtVrBvI8IrytgPdxDrlyQDyigzMsohRtDMs/edit?usp=sharing"",""อุทัยธานี!J118"")"),0)</f>
        <v>0</v>
      </c>
      <c r="T30" s="263">
        <f t="shared" ca="1" si="16"/>
        <v>0</v>
      </c>
    </row>
    <row r="31" spans="1:20" ht="21" customHeight="1" x14ac:dyDescent="0.3">
      <c r="A31" s="442" t="s">
        <v>53</v>
      </c>
      <c r="B31" s="414"/>
      <c r="C31" s="224">
        <f t="shared" ca="1" si="0"/>
        <v>507800</v>
      </c>
      <c r="D31" s="224">
        <f t="shared" ref="D31:I31" ca="1" si="21">SUM(D32:D51)</f>
        <v>0</v>
      </c>
      <c r="E31" s="224">
        <f t="shared" ca="1" si="21"/>
        <v>0</v>
      </c>
      <c r="F31" s="224">
        <f t="shared" ca="1" si="21"/>
        <v>0</v>
      </c>
      <c r="G31" s="224">
        <f t="shared" ca="1" si="21"/>
        <v>507800</v>
      </c>
      <c r="H31" s="224">
        <f t="shared" ca="1" si="21"/>
        <v>0</v>
      </c>
      <c r="I31" s="224">
        <f t="shared" ca="1" si="21"/>
        <v>507785</v>
      </c>
      <c r="J31" s="224">
        <f t="shared" ca="1" si="3"/>
        <v>507785</v>
      </c>
      <c r="K31" s="225">
        <f t="shared" ca="1" si="4"/>
        <v>99.9970460811343</v>
      </c>
      <c r="L31" s="224">
        <f ca="1">SUM(L32:L51)</f>
        <v>0</v>
      </c>
      <c r="M31" s="226">
        <f t="shared" ca="1" si="5"/>
        <v>0</v>
      </c>
      <c r="N31" s="226">
        <f t="shared" ca="1" si="6"/>
        <v>0</v>
      </c>
      <c r="O31" s="227">
        <f ca="1">SUM(O32:O51)</f>
        <v>507785</v>
      </c>
      <c r="P31" s="226">
        <f t="shared" ca="1" si="18"/>
        <v>99.9970460811343</v>
      </c>
      <c r="Q31" s="226">
        <f t="shared" ca="1" si="8"/>
        <v>100</v>
      </c>
      <c r="R31" s="264">
        <f t="shared" ref="R31:S31" ca="1" si="22">SUM(R32:R51)</f>
        <v>0</v>
      </c>
      <c r="S31" s="265">
        <f t="shared" ca="1" si="22"/>
        <v>0</v>
      </c>
      <c r="T31" s="266">
        <f t="shared" ca="1" si="16"/>
        <v>0</v>
      </c>
    </row>
    <row r="32" spans="1:20" ht="21" customHeight="1" x14ac:dyDescent="0.3">
      <c r="A32" s="243">
        <v>1</v>
      </c>
      <c r="B32" s="244" t="s">
        <v>54</v>
      </c>
      <c r="C32" s="245">
        <f t="shared" ca="1" si="0"/>
        <v>0</v>
      </c>
      <c r="D32" s="246">
        <f t="shared" ref="D32:D51" ca="1" si="23">+E32+F32</f>
        <v>0</v>
      </c>
      <c r="E32" s="247">
        <f ca="1">IFERROR(__xludf.DUMMYFUNCTION("IMPORTRANGE(""https://docs.google.com/spreadsheets/d/1MeEWN-I1oV_STSDYn1IFDPWt_1FKiwhDph83XaGc0o0/edit?usp=sharing"",""งบพรบ!BB32"")"),0)</f>
        <v>0</v>
      </c>
      <c r="F32" s="247">
        <f ca="1">IFERROR(__xludf.DUMMYFUNCTION("IMPORTRANGE(""https://docs.google.com/spreadsheets/d/1MeEWN-I1oV_STSDYn1IFDPWt_1FKiwhDph83XaGc0o0/edit?usp=sharing"",""งบพรบ!BC32"")"),0)</f>
        <v>0</v>
      </c>
      <c r="G32" s="248">
        <f ca="1">IFERROR(__xludf.DUMMYFUNCTION("IMPORTRANGE(""https://docs.google.com/spreadsheets/d/1MeEWN-I1oV_STSDYn1IFDPWt_1FKiwhDph83XaGc0o0/edit?usp=sharing"",""งบพรบ!BD32"")"),0)</f>
        <v>0</v>
      </c>
      <c r="H32" s="248">
        <f ca="1">IFERROR(__xludf.DUMMYFUNCTION("IMPORTRANGE(""https://docs.google.com/spreadsheets/d/1MeEWN-I1oV_STSDYn1IFDPWt_1FKiwhDph83XaGc0o0/edit?usp=sharing"",""งบพรบ!BF32"")"),0)</f>
        <v>0</v>
      </c>
      <c r="I32" s="248">
        <f ca="1">IFERROR(__xludf.DUMMYFUNCTION("IMPORTRANGE(""https://docs.google.com/spreadsheets/d/1MeEWN-I1oV_STSDYn1IFDPWt_1FKiwhDph83XaGc0o0/edit?usp=sharing"",""งบพรบ!BG32"")"),0)</f>
        <v>0</v>
      </c>
      <c r="J32" s="248">
        <f t="shared" ca="1" si="3"/>
        <v>0</v>
      </c>
      <c r="K32" s="249">
        <f t="shared" ca="1" si="4"/>
        <v>0</v>
      </c>
      <c r="L32" s="248">
        <f ca="1">IFERROR(__xludf.DUMMYFUNCTION("IMPORTRANGE(""https://docs.google.com/spreadsheets/d/1MeEWN-I1oV_STSDYn1IFDPWt_1FKiwhDph83XaGc0o0/edit?usp=sharing"",""งบพรบ!BH32"")"),0)</f>
        <v>0</v>
      </c>
      <c r="M32" s="250">
        <f t="shared" ca="1" si="5"/>
        <v>0</v>
      </c>
      <c r="N32" s="250">
        <f t="shared" ca="1" si="6"/>
        <v>0</v>
      </c>
      <c r="O32" s="251">
        <f ca="1">IFERROR(__xludf.DUMMYFUNCTION("IMPORTRANGE(""https://docs.google.com/spreadsheets/d/1MeEWN-I1oV_STSDYn1IFDPWt_1FKiwhDph83XaGc0o0/edit?usp=sharing"",""งบพรบ!BI32"")"),0)</f>
        <v>0</v>
      </c>
      <c r="P32" s="250">
        <f t="shared" ca="1" si="18"/>
        <v>0</v>
      </c>
      <c r="Q32" s="250">
        <f t="shared" ca="1" si="8"/>
        <v>0</v>
      </c>
      <c r="R32" s="248">
        <f ca="1">IFERROR(__xludf.DUMMYFUNCTION("IMPORTRANGE(""https://docs.google.com/spreadsheets/d/1fb2B9NLcpJgjIieIJvenUTNPn0TimZDUi0OtYeiSQ_s/edit?usp=sharing"",""กาฬสินธุ์!I118"")"),0)</f>
        <v>0</v>
      </c>
      <c r="S32" s="248">
        <f ca="1">IFERROR(__xludf.DUMMYFUNCTION("IMPORTRANGE(""https://docs.google.com/spreadsheets/d/1fb2B9NLcpJgjIieIJvenUTNPn0TimZDUi0OtYeiSQ_s/edit?usp=sharing"",""กาฬสินธุ์!J118"")"),0)</f>
        <v>0</v>
      </c>
      <c r="T32" s="252">
        <f t="shared" ca="1" si="16"/>
        <v>0</v>
      </c>
    </row>
    <row r="33" spans="1:20" ht="21" customHeight="1" x14ac:dyDescent="0.3">
      <c r="A33" s="243">
        <v>2</v>
      </c>
      <c r="B33" s="244" t="s">
        <v>55</v>
      </c>
      <c r="C33" s="245">
        <f t="shared" ca="1" si="0"/>
        <v>0</v>
      </c>
      <c r="D33" s="246">
        <f t="shared" ca="1" si="23"/>
        <v>0</v>
      </c>
      <c r="E33" s="247">
        <f ca="1">IFERROR(__xludf.DUMMYFUNCTION("IMPORTRANGE(""https://docs.google.com/spreadsheets/d/1MeEWN-I1oV_STSDYn1IFDPWt_1FKiwhDph83XaGc0o0/edit?usp=sharing"",""งบพรบ!BB33"")"),0)</f>
        <v>0</v>
      </c>
      <c r="F33" s="247">
        <f ca="1">IFERROR(__xludf.DUMMYFUNCTION("IMPORTRANGE(""https://docs.google.com/spreadsheets/d/1MeEWN-I1oV_STSDYn1IFDPWt_1FKiwhDph83XaGc0o0/edit?usp=sharing"",""งบพรบ!BC33"")"),0)</f>
        <v>0</v>
      </c>
      <c r="G33" s="247">
        <f ca="1">IFERROR(__xludf.DUMMYFUNCTION("IMPORTRANGE(""https://docs.google.com/spreadsheets/d/1MeEWN-I1oV_STSDYn1IFDPWt_1FKiwhDph83XaGc0o0/edit?usp=sharing"",""งบพรบ!BD33"")"),0)</f>
        <v>0</v>
      </c>
      <c r="H33" s="247">
        <f ca="1">IFERROR(__xludf.DUMMYFUNCTION("IMPORTRANGE(""https://docs.google.com/spreadsheets/d/1MeEWN-I1oV_STSDYn1IFDPWt_1FKiwhDph83XaGc0o0/edit?usp=sharing"",""งบพรบ!BF33"")"),0)</f>
        <v>0</v>
      </c>
      <c r="I33" s="247">
        <f ca="1">IFERROR(__xludf.DUMMYFUNCTION("IMPORTRANGE(""https://docs.google.com/spreadsheets/d/1MeEWN-I1oV_STSDYn1IFDPWt_1FKiwhDph83XaGc0o0/edit?usp=sharing"",""งบพรบ!BG33"")"),0)</f>
        <v>0</v>
      </c>
      <c r="J33" s="247">
        <f t="shared" ca="1" si="3"/>
        <v>0</v>
      </c>
      <c r="K33" s="253">
        <f t="shared" ca="1" si="4"/>
        <v>0</v>
      </c>
      <c r="L33" s="247">
        <f ca="1">IFERROR(__xludf.DUMMYFUNCTION("IMPORTRANGE(""https://docs.google.com/spreadsheets/d/1MeEWN-I1oV_STSDYn1IFDPWt_1FKiwhDph83XaGc0o0/edit?usp=sharing"",""งบพรบ!BH33"")"),0)</f>
        <v>0</v>
      </c>
      <c r="M33" s="250">
        <f t="shared" ca="1" si="5"/>
        <v>0</v>
      </c>
      <c r="N33" s="250">
        <f t="shared" ca="1" si="6"/>
        <v>0</v>
      </c>
      <c r="O33" s="251">
        <f ca="1">IFERROR(__xludf.DUMMYFUNCTION("IMPORTRANGE(""https://docs.google.com/spreadsheets/d/1MeEWN-I1oV_STSDYn1IFDPWt_1FKiwhDph83XaGc0o0/edit?usp=sharing"",""งบพรบ!BI33"")"),0)</f>
        <v>0</v>
      </c>
      <c r="P33" s="250">
        <f t="shared" ca="1" si="18"/>
        <v>0</v>
      </c>
      <c r="Q33" s="250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IFERROR(__xludf.DUMMYFUNCTION("IMPORTRANGE(""https://docs.google.com/spreadsheets/d/1SaMnqrwRGmFYNR0MhpWmHuL5niYUd5E7vDq8X7whAlI/edit?usp=sharing"",""ขอนแก่น!I118"")"),0)</f>
        <v>0</v>
      </c>
      <c r="S33" s="248">
        <f ca="1">IFERROR(__xludf.DUMMYFUNCTION("IMPORTRANGE(""https://docs.google.com/spreadsheets/d/1SaMnqrwRGmFYNR0MhpWmHuL5niYUd5E7vDq8X7whAlI/edit?usp=sharing"",""ขอนแก่น!J118"")"),0)</f>
        <v>0</v>
      </c>
      <c r="T33" s="252">
        <f t="shared" ca="1" si="16"/>
        <v>0</v>
      </c>
    </row>
    <row r="34" spans="1:20" ht="21" customHeight="1" x14ac:dyDescent="0.3">
      <c r="A34" s="243">
        <v>3</v>
      </c>
      <c r="B34" s="244" t="s">
        <v>56</v>
      </c>
      <c r="C34" s="245">
        <f t="shared" ca="1" si="0"/>
        <v>0</v>
      </c>
      <c r="D34" s="246">
        <f t="shared" ca="1" si="23"/>
        <v>0</v>
      </c>
      <c r="E34" s="247">
        <f ca="1">IFERROR(__xludf.DUMMYFUNCTION("IMPORTRANGE(""https://docs.google.com/spreadsheets/d/1MeEWN-I1oV_STSDYn1IFDPWt_1FKiwhDph83XaGc0o0/edit?usp=sharing"",""งบพรบ!BB34"")"),0)</f>
        <v>0</v>
      </c>
      <c r="F34" s="247">
        <f ca="1">IFERROR(__xludf.DUMMYFUNCTION("IMPORTRANGE(""https://docs.google.com/spreadsheets/d/1MeEWN-I1oV_STSDYn1IFDPWt_1FKiwhDph83XaGc0o0/edit?usp=sharing"",""งบพรบ!BC34"")"),0)</f>
        <v>0</v>
      </c>
      <c r="G34" s="247">
        <f ca="1">IFERROR(__xludf.DUMMYFUNCTION("IMPORTRANGE(""https://docs.google.com/spreadsheets/d/1MeEWN-I1oV_STSDYn1IFDPWt_1FKiwhDph83XaGc0o0/edit?usp=sharing"",""งบพรบ!BD34"")"),0)</f>
        <v>0</v>
      </c>
      <c r="H34" s="247">
        <f ca="1">IFERROR(__xludf.DUMMYFUNCTION("IMPORTRANGE(""https://docs.google.com/spreadsheets/d/1MeEWN-I1oV_STSDYn1IFDPWt_1FKiwhDph83XaGc0o0/edit?usp=sharing"",""งบพรบ!BF34"")"),0)</f>
        <v>0</v>
      </c>
      <c r="I34" s="247">
        <f ca="1">IFERROR(__xludf.DUMMYFUNCTION("IMPORTRANGE(""https://docs.google.com/spreadsheets/d/1MeEWN-I1oV_STSDYn1IFDPWt_1FKiwhDph83XaGc0o0/edit?usp=sharing"",""งบพรบ!BG34"")"),0)</f>
        <v>0</v>
      </c>
      <c r="J34" s="247">
        <f t="shared" ca="1" si="3"/>
        <v>0</v>
      </c>
      <c r="K34" s="253">
        <f t="shared" ca="1" si="4"/>
        <v>0</v>
      </c>
      <c r="L34" s="247">
        <f ca="1">IFERROR(__xludf.DUMMYFUNCTION("IMPORTRANGE(""https://docs.google.com/spreadsheets/d/1MeEWN-I1oV_STSDYn1IFDPWt_1FKiwhDph83XaGc0o0/edit?usp=sharing"",""งบพรบ!BH34"")"),0)</f>
        <v>0</v>
      </c>
      <c r="M34" s="250">
        <f t="shared" ca="1" si="5"/>
        <v>0</v>
      </c>
      <c r="N34" s="250">
        <f t="shared" ca="1" si="6"/>
        <v>0</v>
      </c>
      <c r="O34" s="251">
        <f ca="1">IFERROR(__xludf.DUMMYFUNCTION("IMPORTRANGE(""https://docs.google.com/spreadsheets/d/1MeEWN-I1oV_STSDYn1IFDPWt_1FKiwhDph83XaGc0o0/edit?usp=sharing"",""งบพรบ!BI34"")"),0)</f>
        <v>0</v>
      </c>
      <c r="P34" s="250">
        <f t="shared" ca="1" si="18"/>
        <v>0</v>
      </c>
      <c r="Q34" s="250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IFERROR(__xludf.DUMMYFUNCTION("IMPORTRANGE(""https://docs.google.com/spreadsheets/d/1xQzEtGHhTTgxHh6YUkKY1P4dRyjVhS74dGswLfAASA4/edit?usp=sharing"",""ชัยภูมิ!I118"")"),0)</f>
        <v>0</v>
      </c>
      <c r="S34" s="248">
        <f ca="1">IFERROR(__xludf.DUMMYFUNCTION("IMPORTRANGE(""https://docs.google.com/spreadsheets/d/1xQzEtGHhTTgxHh6YUkKY1P4dRyjVhS74dGswLfAASA4/edit?usp=sharing"",""ชัยภูมิ!J118"")"),0)</f>
        <v>0</v>
      </c>
      <c r="T34" s="252">
        <f t="shared" ca="1" si="16"/>
        <v>0</v>
      </c>
    </row>
    <row r="35" spans="1:20" ht="21" customHeight="1" x14ac:dyDescent="0.3">
      <c r="A35" s="243">
        <v>4</v>
      </c>
      <c r="B35" s="244" t="s">
        <v>57</v>
      </c>
      <c r="C35" s="245">
        <f t="shared" ca="1" si="0"/>
        <v>0</v>
      </c>
      <c r="D35" s="246">
        <f t="shared" ca="1" si="23"/>
        <v>0</v>
      </c>
      <c r="E35" s="247">
        <f ca="1">IFERROR(__xludf.DUMMYFUNCTION("IMPORTRANGE(""https://docs.google.com/spreadsheets/d/1MeEWN-I1oV_STSDYn1IFDPWt_1FKiwhDph83XaGc0o0/edit?usp=sharing"",""งบพรบ!BB35"")"),0)</f>
        <v>0</v>
      </c>
      <c r="F35" s="247">
        <f ca="1">IFERROR(__xludf.DUMMYFUNCTION("IMPORTRANGE(""https://docs.google.com/spreadsheets/d/1MeEWN-I1oV_STSDYn1IFDPWt_1FKiwhDph83XaGc0o0/edit?usp=sharing"",""งบพรบ!BC35"")"),0)</f>
        <v>0</v>
      </c>
      <c r="G35" s="247">
        <f ca="1">IFERROR(__xludf.DUMMYFUNCTION("IMPORTRANGE(""https://docs.google.com/spreadsheets/d/1MeEWN-I1oV_STSDYn1IFDPWt_1FKiwhDph83XaGc0o0/edit?usp=sharing"",""งบพรบ!BD35"")"),0)</f>
        <v>0</v>
      </c>
      <c r="H35" s="247">
        <f ca="1">IFERROR(__xludf.DUMMYFUNCTION("IMPORTRANGE(""https://docs.google.com/spreadsheets/d/1MeEWN-I1oV_STSDYn1IFDPWt_1FKiwhDph83XaGc0o0/edit?usp=sharing"",""งบพรบ!BF35"")"),0)</f>
        <v>0</v>
      </c>
      <c r="I35" s="247">
        <f ca="1">IFERROR(__xludf.DUMMYFUNCTION("IMPORTRANGE(""https://docs.google.com/spreadsheets/d/1MeEWN-I1oV_STSDYn1IFDPWt_1FKiwhDph83XaGc0o0/edit?usp=sharing"",""งบพรบ!BG35"")"),0)</f>
        <v>0</v>
      </c>
      <c r="J35" s="247">
        <f t="shared" ca="1" si="3"/>
        <v>0</v>
      </c>
      <c r="K35" s="253">
        <f t="shared" ca="1" si="4"/>
        <v>0</v>
      </c>
      <c r="L35" s="247">
        <f ca="1">IFERROR(__xludf.DUMMYFUNCTION("IMPORTRANGE(""https://docs.google.com/spreadsheets/d/1MeEWN-I1oV_STSDYn1IFDPWt_1FKiwhDph83XaGc0o0/edit?usp=sharing"",""งบพรบ!BH35"")"),0)</f>
        <v>0</v>
      </c>
      <c r="M35" s="250">
        <f t="shared" ca="1" si="5"/>
        <v>0</v>
      </c>
      <c r="N35" s="250">
        <f t="shared" ca="1" si="6"/>
        <v>0</v>
      </c>
      <c r="O35" s="251">
        <f ca="1">IFERROR(__xludf.DUMMYFUNCTION("IMPORTRANGE(""https://docs.google.com/spreadsheets/d/1MeEWN-I1oV_STSDYn1IFDPWt_1FKiwhDph83XaGc0o0/edit?usp=sharing"",""งบพรบ!BI35"")"),0)</f>
        <v>0</v>
      </c>
      <c r="P35" s="250">
        <f t="shared" ca="1" si="18"/>
        <v>0</v>
      </c>
      <c r="Q35" s="250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IFERROR(__xludf.DUMMYFUNCTION("IMPORTRANGE(""https://docs.google.com/spreadsheets/d/1EXMBoBxU3OFbjT2TRpneM33qFjqDzrKmn9ydcflfI0o/edit?usp=sharing"",""นครพนม!I118"")"),0)</f>
        <v>0</v>
      </c>
      <c r="S35" s="248">
        <f ca="1">IFERROR(__xludf.DUMMYFUNCTION("IMPORTRANGE(""https://docs.google.com/spreadsheets/d/1EXMBoBxU3OFbjT2TRpneM33qFjqDzrKmn9ydcflfI0o/edit?usp=sharing"",""นครพนม!J118"")"),0)</f>
        <v>0</v>
      </c>
      <c r="T35" s="252">
        <f t="shared" ca="1" si="16"/>
        <v>0</v>
      </c>
    </row>
    <row r="36" spans="1:20" ht="21" customHeight="1" x14ac:dyDescent="0.3">
      <c r="A36" s="243">
        <v>5</v>
      </c>
      <c r="B36" s="244" t="s">
        <v>58</v>
      </c>
      <c r="C36" s="245">
        <f t="shared" ca="1" si="0"/>
        <v>17000</v>
      </c>
      <c r="D36" s="246">
        <f t="shared" ca="1" si="23"/>
        <v>0</v>
      </c>
      <c r="E36" s="247">
        <f ca="1">IFERROR(__xludf.DUMMYFUNCTION("IMPORTRANGE(""https://docs.google.com/spreadsheets/d/1MeEWN-I1oV_STSDYn1IFDPWt_1FKiwhDph83XaGc0o0/edit?usp=sharing"",""งบพรบ!BB36"")"),0)</f>
        <v>0</v>
      </c>
      <c r="F36" s="247">
        <f ca="1">IFERROR(__xludf.DUMMYFUNCTION("IMPORTRANGE(""https://docs.google.com/spreadsheets/d/1MeEWN-I1oV_STSDYn1IFDPWt_1FKiwhDph83XaGc0o0/edit?usp=sharing"",""งบพรบ!BC36"")"),0)</f>
        <v>0</v>
      </c>
      <c r="G36" s="247">
        <f ca="1">IFERROR(__xludf.DUMMYFUNCTION("IMPORTRANGE(""https://docs.google.com/spreadsheets/d/1MeEWN-I1oV_STSDYn1IFDPWt_1FKiwhDph83XaGc0o0/edit?usp=sharing"",""งบพรบ!BD36"")"),17000)</f>
        <v>17000</v>
      </c>
      <c r="H36" s="247">
        <f ca="1">IFERROR(__xludf.DUMMYFUNCTION("IMPORTRANGE(""https://docs.google.com/spreadsheets/d/1MeEWN-I1oV_STSDYn1IFDPWt_1FKiwhDph83XaGc0o0/edit?usp=sharing"",""งบพรบ!BF36"")"),0)</f>
        <v>0</v>
      </c>
      <c r="I36" s="247">
        <f ca="1">IFERROR(__xludf.DUMMYFUNCTION("IMPORTRANGE(""https://docs.google.com/spreadsheets/d/1MeEWN-I1oV_STSDYn1IFDPWt_1FKiwhDph83XaGc0o0/edit?usp=sharing"",""งบพรบ!BG36"")"),17000)</f>
        <v>17000</v>
      </c>
      <c r="J36" s="247">
        <f t="shared" ca="1" si="3"/>
        <v>17000</v>
      </c>
      <c r="K36" s="253">
        <f t="shared" ca="1" si="4"/>
        <v>100</v>
      </c>
      <c r="L36" s="247">
        <f ca="1">IFERROR(__xludf.DUMMYFUNCTION("IMPORTRANGE(""https://docs.google.com/spreadsheets/d/1MeEWN-I1oV_STSDYn1IFDPWt_1FKiwhDph83XaGc0o0/edit?usp=sharing"",""งบพรบ!BH36"")"),0)</f>
        <v>0</v>
      </c>
      <c r="M36" s="250">
        <f t="shared" ca="1" si="5"/>
        <v>0</v>
      </c>
      <c r="N36" s="250">
        <f t="shared" ca="1" si="6"/>
        <v>0</v>
      </c>
      <c r="O36" s="251">
        <f ca="1">IFERROR(__xludf.DUMMYFUNCTION("IMPORTRANGE(""https://docs.google.com/spreadsheets/d/1MeEWN-I1oV_STSDYn1IFDPWt_1FKiwhDph83XaGc0o0/edit?usp=sharing"",""งบพรบ!BI36"")"),17000)</f>
        <v>17000</v>
      </c>
      <c r="P36" s="250">
        <f t="shared" ca="1" si="18"/>
        <v>100</v>
      </c>
      <c r="Q36" s="250">
        <f t="shared" ca="1" si="8"/>
        <v>100</v>
      </c>
      <c r="R36" s="248">
        <f ca="1">IFERROR(__xludf.DUMMYFUNCTION("IMPORTRANGE(""https://docs.google.com/spreadsheets/d/1bDQrolntRWtHumK8W-x-HXKntwxB9S3sF5aDeRS66Ko/edit?usp=sharing"",""นครราชสีมา!I118"")"),0)</f>
        <v>0</v>
      </c>
      <c r="S36" s="248">
        <f ca="1">IFERROR(__xludf.DUMMYFUNCTION("IMPORTRANGE(""https://docs.google.com/spreadsheets/d/1bDQrolntRWtHumK8W-x-HXKntwxB9S3sF5aDeRS66Ko/edit?usp=sharing"",""นครราชสีมา!J118"")"),0)</f>
        <v>0</v>
      </c>
      <c r="T36" s="252">
        <f t="shared" ca="1" si="16"/>
        <v>0</v>
      </c>
    </row>
    <row r="37" spans="1:20" ht="21" customHeight="1" x14ac:dyDescent="0.3">
      <c r="A37" s="243">
        <v>6</v>
      </c>
      <c r="B37" s="244" t="s">
        <v>59</v>
      </c>
      <c r="C37" s="245">
        <f t="shared" ca="1" si="0"/>
        <v>0</v>
      </c>
      <c r="D37" s="246">
        <f t="shared" ca="1" si="23"/>
        <v>0</v>
      </c>
      <c r="E37" s="247">
        <f ca="1">IFERROR(__xludf.DUMMYFUNCTION("IMPORTRANGE(""https://docs.google.com/spreadsheets/d/1MeEWN-I1oV_STSDYn1IFDPWt_1FKiwhDph83XaGc0o0/edit?usp=sharing"",""งบพรบ!BB37"")"),0)</f>
        <v>0</v>
      </c>
      <c r="F37" s="247">
        <f ca="1">IFERROR(__xludf.DUMMYFUNCTION("IMPORTRANGE(""https://docs.google.com/spreadsheets/d/1MeEWN-I1oV_STSDYn1IFDPWt_1FKiwhDph83XaGc0o0/edit?usp=sharing"",""งบพรบ!BC37"")"),0)</f>
        <v>0</v>
      </c>
      <c r="G37" s="247">
        <f ca="1">IFERROR(__xludf.DUMMYFUNCTION("IMPORTRANGE(""https://docs.google.com/spreadsheets/d/1MeEWN-I1oV_STSDYn1IFDPWt_1FKiwhDph83XaGc0o0/edit?usp=sharing"",""งบพรบ!BD37"")"),0)</f>
        <v>0</v>
      </c>
      <c r="H37" s="247">
        <f ca="1">IFERROR(__xludf.DUMMYFUNCTION("IMPORTRANGE(""https://docs.google.com/spreadsheets/d/1MeEWN-I1oV_STSDYn1IFDPWt_1FKiwhDph83XaGc0o0/edit?usp=sharing"",""งบพรบ!BF37"")"),0)</f>
        <v>0</v>
      </c>
      <c r="I37" s="247">
        <f ca="1">IFERROR(__xludf.DUMMYFUNCTION("IMPORTRANGE(""https://docs.google.com/spreadsheets/d/1MeEWN-I1oV_STSDYn1IFDPWt_1FKiwhDph83XaGc0o0/edit?usp=sharing"",""งบพรบ!BG37"")"),0)</f>
        <v>0</v>
      </c>
      <c r="J37" s="247">
        <f t="shared" ca="1" si="3"/>
        <v>0</v>
      </c>
      <c r="K37" s="253">
        <f t="shared" ca="1" si="4"/>
        <v>0</v>
      </c>
      <c r="L37" s="247">
        <f ca="1">IFERROR(__xludf.DUMMYFUNCTION("IMPORTRANGE(""https://docs.google.com/spreadsheets/d/1MeEWN-I1oV_STSDYn1IFDPWt_1FKiwhDph83XaGc0o0/edit?usp=sharing"",""งบพรบ!BH37"")"),0)</f>
        <v>0</v>
      </c>
      <c r="M37" s="250">
        <f t="shared" ca="1" si="5"/>
        <v>0</v>
      </c>
      <c r="N37" s="250">
        <f t="shared" ca="1" si="6"/>
        <v>0</v>
      </c>
      <c r="O37" s="251">
        <f ca="1">IFERROR(__xludf.DUMMYFUNCTION("IMPORTRANGE(""https://docs.google.com/spreadsheets/d/1MeEWN-I1oV_STSDYn1IFDPWt_1FKiwhDph83XaGc0o0/edit?usp=sharing"",""งบพรบ!BI37"")"),0)</f>
        <v>0</v>
      </c>
      <c r="P37" s="250">
        <f t="shared" ca="1" si="18"/>
        <v>0</v>
      </c>
      <c r="Q37" s="250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IFERROR(__xludf.DUMMYFUNCTION("IMPORTRANGE(""https://docs.google.com/spreadsheets/d/1_MzZ-2gVPiCW-d2VcafoCmFJQTSrZ6SQyFcMqRRQQ2w/edit?usp=sharing"",""บึงกาฬ!I118"")"),0)</f>
        <v>0</v>
      </c>
      <c r="S37" s="248">
        <f ca="1">IFERROR(__xludf.DUMMYFUNCTION("IMPORTRANGE(""https://docs.google.com/spreadsheets/d/1_MzZ-2gVPiCW-d2VcafoCmFJQTSrZ6SQyFcMqRRQQ2w/edit?usp=sharing"",""บึงกาฬ!J118"")"),0)</f>
        <v>0</v>
      </c>
      <c r="T37" s="252">
        <f t="shared" ca="1" si="16"/>
        <v>0</v>
      </c>
    </row>
    <row r="38" spans="1:20" ht="21" customHeight="1" x14ac:dyDescent="0.3">
      <c r="A38" s="243">
        <v>7</v>
      </c>
      <c r="B38" s="244" t="s">
        <v>60</v>
      </c>
      <c r="C38" s="245">
        <f t="shared" ca="1" si="0"/>
        <v>0</v>
      </c>
      <c r="D38" s="246">
        <f t="shared" ca="1" si="23"/>
        <v>0</v>
      </c>
      <c r="E38" s="247">
        <f ca="1">IFERROR(__xludf.DUMMYFUNCTION("IMPORTRANGE(""https://docs.google.com/spreadsheets/d/1MeEWN-I1oV_STSDYn1IFDPWt_1FKiwhDph83XaGc0o0/edit?usp=sharing"",""งบพรบ!BB38"")"),0)</f>
        <v>0</v>
      </c>
      <c r="F38" s="247">
        <f ca="1">IFERROR(__xludf.DUMMYFUNCTION("IMPORTRANGE(""https://docs.google.com/spreadsheets/d/1MeEWN-I1oV_STSDYn1IFDPWt_1FKiwhDph83XaGc0o0/edit?usp=sharing"",""งบพรบ!BC38"")"),0)</f>
        <v>0</v>
      </c>
      <c r="G38" s="247">
        <f ca="1">IFERROR(__xludf.DUMMYFUNCTION("IMPORTRANGE(""https://docs.google.com/spreadsheets/d/1MeEWN-I1oV_STSDYn1IFDPWt_1FKiwhDph83XaGc0o0/edit?usp=sharing"",""งบพรบ!BD38"")"),0)</f>
        <v>0</v>
      </c>
      <c r="H38" s="247">
        <f ca="1">IFERROR(__xludf.DUMMYFUNCTION("IMPORTRANGE(""https://docs.google.com/spreadsheets/d/1MeEWN-I1oV_STSDYn1IFDPWt_1FKiwhDph83XaGc0o0/edit?usp=sharing"",""งบพรบ!BF38"")"),0)</f>
        <v>0</v>
      </c>
      <c r="I38" s="247">
        <f ca="1">IFERROR(__xludf.DUMMYFUNCTION("IMPORTRANGE(""https://docs.google.com/spreadsheets/d/1MeEWN-I1oV_STSDYn1IFDPWt_1FKiwhDph83XaGc0o0/edit?usp=sharing"",""งบพรบ!BG38"")"),0)</f>
        <v>0</v>
      </c>
      <c r="J38" s="247">
        <f t="shared" ca="1" si="3"/>
        <v>0</v>
      </c>
      <c r="K38" s="253">
        <f t="shared" ca="1" si="4"/>
        <v>0</v>
      </c>
      <c r="L38" s="247">
        <f ca="1">IFERROR(__xludf.DUMMYFUNCTION("IMPORTRANGE(""https://docs.google.com/spreadsheets/d/1MeEWN-I1oV_STSDYn1IFDPWt_1FKiwhDph83XaGc0o0/edit?usp=sharing"",""งบพรบ!BH38"")"),0)</f>
        <v>0</v>
      </c>
      <c r="M38" s="250">
        <f t="shared" ca="1" si="5"/>
        <v>0</v>
      </c>
      <c r="N38" s="250">
        <f t="shared" ca="1" si="6"/>
        <v>0</v>
      </c>
      <c r="O38" s="251">
        <f ca="1">IFERROR(__xludf.DUMMYFUNCTION("IMPORTRANGE(""https://docs.google.com/spreadsheets/d/1MeEWN-I1oV_STSDYn1IFDPWt_1FKiwhDph83XaGc0o0/edit?usp=sharing"",""งบพรบ!BI38"")"),0)</f>
        <v>0</v>
      </c>
      <c r="P38" s="250">
        <f t="shared" ca="1" si="18"/>
        <v>0</v>
      </c>
      <c r="Q38" s="250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IFERROR(__xludf.DUMMYFUNCTION("IMPORTRANGE(""https://docs.google.com/spreadsheets/d/1B3lPpzOuaNwVItLwLEZYl_qEblfcx7dRnbRkAw0l-pE/edit?usp=sharing"",""บุรีรัมย์!I118"")"),0)</f>
        <v>0</v>
      </c>
      <c r="S38" s="248">
        <f ca="1">IFERROR(__xludf.DUMMYFUNCTION("IMPORTRANGE(""https://docs.google.com/spreadsheets/d/1B3lPpzOuaNwVItLwLEZYl_qEblfcx7dRnbRkAw0l-pE/edit?usp=sharing"",""บุรีรัมย์!J118"")"),0)</f>
        <v>0</v>
      </c>
      <c r="T38" s="252">
        <f t="shared" ca="1" si="16"/>
        <v>0</v>
      </c>
    </row>
    <row r="39" spans="1:20" ht="21" customHeight="1" x14ac:dyDescent="0.3">
      <c r="A39" s="243">
        <v>8</v>
      </c>
      <c r="B39" s="244" t="s">
        <v>61</v>
      </c>
      <c r="C39" s="245">
        <f t="shared" ca="1" si="0"/>
        <v>212000</v>
      </c>
      <c r="D39" s="246">
        <f t="shared" ca="1" si="23"/>
        <v>0</v>
      </c>
      <c r="E39" s="247">
        <f ca="1">IFERROR(__xludf.DUMMYFUNCTION("IMPORTRANGE(""https://docs.google.com/spreadsheets/d/1MeEWN-I1oV_STSDYn1IFDPWt_1FKiwhDph83XaGc0o0/edit?usp=sharing"",""งบพรบ!BB39"")"),0)</f>
        <v>0</v>
      </c>
      <c r="F39" s="247">
        <f ca="1">IFERROR(__xludf.DUMMYFUNCTION("IMPORTRANGE(""https://docs.google.com/spreadsheets/d/1MeEWN-I1oV_STSDYn1IFDPWt_1FKiwhDph83XaGc0o0/edit?usp=sharing"",""งบพรบ!BC39"")"),0)</f>
        <v>0</v>
      </c>
      <c r="G39" s="247">
        <f ca="1">IFERROR(__xludf.DUMMYFUNCTION("IMPORTRANGE(""https://docs.google.com/spreadsheets/d/1MeEWN-I1oV_STSDYn1IFDPWt_1FKiwhDph83XaGc0o0/edit?usp=sharing"",""งบพรบ!BD39"")"),212000)</f>
        <v>212000</v>
      </c>
      <c r="H39" s="247">
        <f ca="1">IFERROR(__xludf.DUMMYFUNCTION("IMPORTRANGE(""https://docs.google.com/spreadsheets/d/1MeEWN-I1oV_STSDYn1IFDPWt_1FKiwhDph83XaGc0o0/edit?usp=sharing"",""งบพรบ!BF39"")"),0)</f>
        <v>0</v>
      </c>
      <c r="I39" s="247">
        <f ca="1">IFERROR(__xludf.DUMMYFUNCTION("IMPORTRANGE(""https://docs.google.com/spreadsheets/d/1MeEWN-I1oV_STSDYn1IFDPWt_1FKiwhDph83XaGc0o0/edit?usp=sharing"",""งบพรบ!BG39"")"),212000)</f>
        <v>212000</v>
      </c>
      <c r="J39" s="247">
        <f t="shared" ca="1" si="3"/>
        <v>212000</v>
      </c>
      <c r="K39" s="253">
        <f t="shared" ca="1" si="4"/>
        <v>100</v>
      </c>
      <c r="L39" s="247">
        <f ca="1">IFERROR(__xludf.DUMMYFUNCTION("IMPORTRANGE(""https://docs.google.com/spreadsheets/d/1MeEWN-I1oV_STSDYn1IFDPWt_1FKiwhDph83XaGc0o0/edit?usp=sharing"",""งบพรบ!BH39"")"),0)</f>
        <v>0</v>
      </c>
      <c r="M39" s="250">
        <f t="shared" ca="1" si="5"/>
        <v>0</v>
      </c>
      <c r="N39" s="250">
        <f t="shared" ca="1" si="6"/>
        <v>0</v>
      </c>
      <c r="O39" s="251">
        <f ca="1">IFERROR(__xludf.DUMMYFUNCTION("IMPORTRANGE(""https://docs.google.com/spreadsheets/d/1MeEWN-I1oV_STSDYn1IFDPWt_1FKiwhDph83XaGc0o0/edit?usp=sharing"",""งบพรบ!BI39"")"),212000)</f>
        <v>212000</v>
      </c>
      <c r="P39" s="250">
        <f t="shared" ca="1" si="18"/>
        <v>100</v>
      </c>
      <c r="Q39" s="250">
        <f t="shared" ca="1" si="8"/>
        <v>100</v>
      </c>
      <c r="R39" s="248">
        <f ca="1">IFERROR(__xludf.DUMMYFUNCTION("IMPORTRANGE(""https://docs.google.com/spreadsheets/d/19GOkiOqnzYbevLYWrMk4qFOXe3rX14BkSA8X-mq-a40/edit?usp=sharing"",""มหาสารคาม!I118"")"),0)</f>
        <v>0</v>
      </c>
      <c r="S39" s="248">
        <f ca="1">IFERROR(__xludf.DUMMYFUNCTION("IMPORTRANGE(""https://docs.google.com/spreadsheets/d/19GOkiOqnzYbevLYWrMk4qFOXe3rX14BkSA8X-mq-a40/edit?usp=sharing"",""มหาสารคาม!J118"")"),0)</f>
        <v>0</v>
      </c>
      <c r="T39" s="252">
        <f t="shared" ca="1" si="16"/>
        <v>0</v>
      </c>
    </row>
    <row r="40" spans="1:20" ht="21" customHeight="1" x14ac:dyDescent="0.3">
      <c r="A40" s="243">
        <v>9</v>
      </c>
      <c r="B40" s="244" t="s">
        <v>62</v>
      </c>
      <c r="C40" s="245">
        <f t="shared" ca="1" si="0"/>
        <v>0</v>
      </c>
      <c r="D40" s="246">
        <f t="shared" ca="1" si="23"/>
        <v>0</v>
      </c>
      <c r="E40" s="247">
        <f ca="1">IFERROR(__xludf.DUMMYFUNCTION("IMPORTRANGE(""https://docs.google.com/spreadsheets/d/1MeEWN-I1oV_STSDYn1IFDPWt_1FKiwhDph83XaGc0o0/edit?usp=sharing"",""งบพรบ!BB40"")"),0)</f>
        <v>0</v>
      </c>
      <c r="F40" s="247">
        <f ca="1">IFERROR(__xludf.DUMMYFUNCTION("IMPORTRANGE(""https://docs.google.com/spreadsheets/d/1MeEWN-I1oV_STSDYn1IFDPWt_1FKiwhDph83XaGc0o0/edit?usp=sharing"",""งบพรบ!BC40"")"),0)</f>
        <v>0</v>
      </c>
      <c r="G40" s="247">
        <f ca="1">IFERROR(__xludf.DUMMYFUNCTION("IMPORTRANGE(""https://docs.google.com/spreadsheets/d/1MeEWN-I1oV_STSDYn1IFDPWt_1FKiwhDph83XaGc0o0/edit?usp=sharing"",""งบพรบ!BD40"")"),0)</f>
        <v>0</v>
      </c>
      <c r="H40" s="247">
        <f ca="1">IFERROR(__xludf.DUMMYFUNCTION("IMPORTRANGE(""https://docs.google.com/spreadsheets/d/1MeEWN-I1oV_STSDYn1IFDPWt_1FKiwhDph83XaGc0o0/edit?usp=sharing"",""งบพรบ!BF40"")"),0)</f>
        <v>0</v>
      </c>
      <c r="I40" s="247">
        <f ca="1">IFERROR(__xludf.DUMMYFUNCTION("IMPORTRANGE(""https://docs.google.com/spreadsheets/d/1MeEWN-I1oV_STSDYn1IFDPWt_1FKiwhDph83XaGc0o0/edit?usp=sharing"",""งบพรบ!BG40"")"),0)</f>
        <v>0</v>
      </c>
      <c r="J40" s="247">
        <f t="shared" ca="1" si="3"/>
        <v>0</v>
      </c>
      <c r="K40" s="253">
        <f t="shared" ca="1" si="4"/>
        <v>0</v>
      </c>
      <c r="L40" s="247">
        <f ca="1">IFERROR(__xludf.DUMMYFUNCTION("IMPORTRANGE(""https://docs.google.com/spreadsheets/d/1MeEWN-I1oV_STSDYn1IFDPWt_1FKiwhDph83XaGc0o0/edit?usp=sharing"",""งบพรบ!BH40"")"),0)</f>
        <v>0</v>
      </c>
      <c r="M40" s="250">
        <f t="shared" ca="1" si="5"/>
        <v>0</v>
      </c>
      <c r="N40" s="250">
        <f t="shared" ca="1" si="6"/>
        <v>0</v>
      </c>
      <c r="O40" s="251">
        <f ca="1">IFERROR(__xludf.DUMMYFUNCTION("IMPORTRANGE(""https://docs.google.com/spreadsheets/d/1MeEWN-I1oV_STSDYn1IFDPWt_1FKiwhDph83XaGc0o0/edit?usp=sharing"",""งบพรบ!BI40"")"),0)</f>
        <v>0</v>
      </c>
      <c r="P40" s="250">
        <f t="shared" ca="1" si="18"/>
        <v>0</v>
      </c>
      <c r="Q40" s="250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IFERROR(__xludf.DUMMYFUNCTION("IMPORTRANGE(""https://docs.google.com/spreadsheets/d/1uMKqWwuNQ-TCKboGA3Bb1qXb5uj2-faACNUINCz8PN4/edit?usp=sharing"",""มุกดาหาร!I118"")"),0)</f>
        <v>0</v>
      </c>
      <c r="S40" s="248">
        <f ca="1">IFERROR(__xludf.DUMMYFUNCTION("IMPORTRANGE(""https://docs.google.com/spreadsheets/d/1uMKqWwuNQ-TCKboGA3Bb1qXb5uj2-faACNUINCz8PN4/edit?usp=sharing"",""มุกดาหาร!J118"")"),0)</f>
        <v>0</v>
      </c>
      <c r="T40" s="252">
        <f t="shared" ca="1" si="16"/>
        <v>0</v>
      </c>
    </row>
    <row r="41" spans="1:20" ht="21" customHeight="1" x14ac:dyDescent="0.3">
      <c r="A41" s="243">
        <v>10</v>
      </c>
      <c r="B41" s="244" t="s">
        <v>63</v>
      </c>
      <c r="C41" s="245">
        <f t="shared" ca="1" si="0"/>
        <v>26800</v>
      </c>
      <c r="D41" s="246">
        <f t="shared" ca="1" si="23"/>
        <v>0</v>
      </c>
      <c r="E41" s="247">
        <f ca="1">IFERROR(__xludf.DUMMYFUNCTION("IMPORTRANGE(""https://docs.google.com/spreadsheets/d/1MeEWN-I1oV_STSDYn1IFDPWt_1FKiwhDph83XaGc0o0/edit?usp=sharing"",""งบพรบ!BB41"")"),0)</f>
        <v>0</v>
      </c>
      <c r="F41" s="247">
        <f ca="1">IFERROR(__xludf.DUMMYFUNCTION("IMPORTRANGE(""https://docs.google.com/spreadsheets/d/1MeEWN-I1oV_STSDYn1IFDPWt_1FKiwhDph83XaGc0o0/edit?usp=sharing"",""งบพรบ!BC41"")"),0)</f>
        <v>0</v>
      </c>
      <c r="G41" s="247">
        <f ca="1">IFERROR(__xludf.DUMMYFUNCTION("IMPORTRANGE(""https://docs.google.com/spreadsheets/d/1MeEWN-I1oV_STSDYn1IFDPWt_1FKiwhDph83XaGc0o0/edit?usp=sharing"",""งบพรบ!BD41"")"),26800)</f>
        <v>26800</v>
      </c>
      <c r="H41" s="247">
        <f ca="1">IFERROR(__xludf.DUMMYFUNCTION("IMPORTRANGE(""https://docs.google.com/spreadsheets/d/1MeEWN-I1oV_STSDYn1IFDPWt_1FKiwhDph83XaGc0o0/edit?usp=sharing"",""งบพรบ!BF41"")"),0)</f>
        <v>0</v>
      </c>
      <c r="I41" s="247">
        <f ca="1">IFERROR(__xludf.DUMMYFUNCTION("IMPORTRANGE(""https://docs.google.com/spreadsheets/d/1MeEWN-I1oV_STSDYn1IFDPWt_1FKiwhDph83XaGc0o0/edit?usp=sharing"",""งบพรบ!BG41"")"),26800)</f>
        <v>26800</v>
      </c>
      <c r="J41" s="247">
        <f t="shared" ca="1" si="3"/>
        <v>26800</v>
      </c>
      <c r="K41" s="253">
        <f t="shared" ca="1" si="4"/>
        <v>100</v>
      </c>
      <c r="L41" s="247">
        <f ca="1">IFERROR(__xludf.DUMMYFUNCTION("IMPORTRANGE(""https://docs.google.com/spreadsheets/d/1MeEWN-I1oV_STSDYn1IFDPWt_1FKiwhDph83XaGc0o0/edit?usp=sharing"",""งบพรบ!BH41"")"),0)</f>
        <v>0</v>
      </c>
      <c r="M41" s="250">
        <f t="shared" ca="1" si="5"/>
        <v>0</v>
      </c>
      <c r="N41" s="250">
        <f t="shared" ca="1" si="6"/>
        <v>0</v>
      </c>
      <c r="O41" s="251">
        <f ca="1">IFERROR(__xludf.DUMMYFUNCTION("IMPORTRANGE(""https://docs.google.com/spreadsheets/d/1MeEWN-I1oV_STSDYn1IFDPWt_1FKiwhDph83XaGc0o0/edit?usp=sharing"",""งบพรบ!BI41"")"),26800)</f>
        <v>26800</v>
      </c>
      <c r="P41" s="250">
        <f t="shared" ca="1" si="18"/>
        <v>100</v>
      </c>
      <c r="Q41" s="250">
        <f t="shared" ca="1" si="8"/>
        <v>100</v>
      </c>
      <c r="R41" s="248">
        <f ca="1">IFERROR(__xludf.DUMMYFUNCTION("IMPORTRANGE(""https://docs.google.com/spreadsheets/d/1oKaccgDdQABndOzGr688Dbfxb_V3YcF67VqEPBtdzsc/edit?usp=sharing"",""ยโสธร!I118"")"),0)</f>
        <v>0</v>
      </c>
      <c r="S41" s="248">
        <f ca="1">IFERROR(__xludf.DUMMYFUNCTION("IMPORTRANGE(""https://docs.google.com/spreadsheets/d/1oKaccgDdQABndOzGr688Dbfxb_V3YcF67VqEPBtdzsc/edit?usp=sharing"",""ยโสธร!J118"")"),0)</f>
        <v>0</v>
      </c>
      <c r="T41" s="252">
        <f t="shared" ca="1" si="16"/>
        <v>0</v>
      </c>
    </row>
    <row r="42" spans="1:20" ht="21" customHeight="1" x14ac:dyDescent="0.3">
      <c r="A42" s="243">
        <v>11</v>
      </c>
      <c r="B42" s="244" t="s">
        <v>64</v>
      </c>
      <c r="C42" s="245">
        <f t="shared" ca="1" si="0"/>
        <v>0</v>
      </c>
      <c r="D42" s="246">
        <f t="shared" ca="1" si="23"/>
        <v>0</v>
      </c>
      <c r="E42" s="247">
        <f ca="1">IFERROR(__xludf.DUMMYFUNCTION("IMPORTRANGE(""https://docs.google.com/spreadsheets/d/1MeEWN-I1oV_STSDYn1IFDPWt_1FKiwhDph83XaGc0o0/edit?usp=sharing"",""งบพรบ!BB42"")"),0)</f>
        <v>0</v>
      </c>
      <c r="F42" s="247">
        <f ca="1">IFERROR(__xludf.DUMMYFUNCTION("IMPORTRANGE(""https://docs.google.com/spreadsheets/d/1MeEWN-I1oV_STSDYn1IFDPWt_1FKiwhDph83XaGc0o0/edit?usp=sharing"",""งบพรบ!BC42"")"),0)</f>
        <v>0</v>
      </c>
      <c r="G42" s="247">
        <f ca="1">IFERROR(__xludf.DUMMYFUNCTION("IMPORTRANGE(""https://docs.google.com/spreadsheets/d/1MeEWN-I1oV_STSDYn1IFDPWt_1FKiwhDph83XaGc0o0/edit?usp=sharing"",""งบพรบ!BD42"")"),0)</f>
        <v>0</v>
      </c>
      <c r="H42" s="247">
        <f ca="1">IFERROR(__xludf.DUMMYFUNCTION("IMPORTRANGE(""https://docs.google.com/spreadsheets/d/1MeEWN-I1oV_STSDYn1IFDPWt_1FKiwhDph83XaGc0o0/edit?usp=sharing"",""งบพรบ!BF42"")"),0)</f>
        <v>0</v>
      </c>
      <c r="I42" s="247">
        <f ca="1">IFERROR(__xludf.DUMMYFUNCTION("IMPORTRANGE(""https://docs.google.com/spreadsheets/d/1MeEWN-I1oV_STSDYn1IFDPWt_1FKiwhDph83XaGc0o0/edit?usp=sharing"",""งบพรบ!BG42"")"),0)</f>
        <v>0</v>
      </c>
      <c r="J42" s="247">
        <f t="shared" ca="1" si="3"/>
        <v>0</v>
      </c>
      <c r="K42" s="253">
        <f t="shared" ca="1" si="4"/>
        <v>0</v>
      </c>
      <c r="L42" s="247">
        <f ca="1">IFERROR(__xludf.DUMMYFUNCTION("IMPORTRANGE(""https://docs.google.com/spreadsheets/d/1MeEWN-I1oV_STSDYn1IFDPWt_1FKiwhDph83XaGc0o0/edit?usp=sharing"",""งบพรบ!BH42"")"),0)</f>
        <v>0</v>
      </c>
      <c r="M42" s="250">
        <f t="shared" ca="1" si="5"/>
        <v>0</v>
      </c>
      <c r="N42" s="250">
        <f t="shared" ca="1" si="6"/>
        <v>0</v>
      </c>
      <c r="O42" s="251">
        <f ca="1">IFERROR(__xludf.DUMMYFUNCTION("IMPORTRANGE(""https://docs.google.com/spreadsheets/d/1MeEWN-I1oV_STSDYn1IFDPWt_1FKiwhDph83XaGc0o0/edit?usp=sharing"",""งบพรบ!BI42"")"),0)</f>
        <v>0</v>
      </c>
      <c r="P42" s="250">
        <f t="shared" ca="1" si="18"/>
        <v>0</v>
      </c>
      <c r="Q42" s="250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IFERROR(__xludf.DUMMYFUNCTION("IMPORTRANGE(""https://docs.google.com/spreadsheets/d/1BRgc8xKpxZ0PX-gauieMVkV_IOxKSotf0yW8MabGprQ/edit?usp=sharing"",""ร้อยเอ็ด!I118"")"),0)</f>
        <v>0</v>
      </c>
      <c r="S42" s="248">
        <f ca="1">IFERROR(__xludf.DUMMYFUNCTION("IMPORTRANGE(""https://docs.google.com/spreadsheets/d/1BRgc8xKpxZ0PX-gauieMVkV_IOxKSotf0yW8MabGprQ/edit?usp=sharing"",""ร้อยเอ็ด!J118"")"),0)</f>
        <v>0</v>
      </c>
      <c r="T42" s="252">
        <f t="shared" ca="1" si="16"/>
        <v>0</v>
      </c>
    </row>
    <row r="43" spans="1:20" ht="21" customHeight="1" x14ac:dyDescent="0.3">
      <c r="A43" s="243">
        <v>12</v>
      </c>
      <c r="B43" s="244" t="s">
        <v>65</v>
      </c>
      <c r="C43" s="245">
        <f t="shared" ca="1" si="0"/>
        <v>0</v>
      </c>
      <c r="D43" s="246">
        <f t="shared" ca="1" si="23"/>
        <v>0</v>
      </c>
      <c r="E43" s="247">
        <f ca="1">IFERROR(__xludf.DUMMYFUNCTION("IMPORTRANGE(""https://docs.google.com/spreadsheets/d/1MeEWN-I1oV_STSDYn1IFDPWt_1FKiwhDph83XaGc0o0/edit?usp=sharing"",""งบพรบ!BB43"")"),0)</f>
        <v>0</v>
      </c>
      <c r="F43" s="247">
        <f ca="1">IFERROR(__xludf.DUMMYFUNCTION("IMPORTRANGE(""https://docs.google.com/spreadsheets/d/1MeEWN-I1oV_STSDYn1IFDPWt_1FKiwhDph83XaGc0o0/edit?usp=sharing"",""งบพรบ!BC43"")"),0)</f>
        <v>0</v>
      </c>
      <c r="G43" s="247">
        <f ca="1">IFERROR(__xludf.DUMMYFUNCTION("IMPORTRANGE(""https://docs.google.com/spreadsheets/d/1MeEWN-I1oV_STSDYn1IFDPWt_1FKiwhDph83XaGc0o0/edit?usp=sharing"",""งบพรบ!BD43"")"),0)</f>
        <v>0</v>
      </c>
      <c r="H43" s="247">
        <f ca="1">IFERROR(__xludf.DUMMYFUNCTION("IMPORTRANGE(""https://docs.google.com/spreadsheets/d/1MeEWN-I1oV_STSDYn1IFDPWt_1FKiwhDph83XaGc0o0/edit?usp=sharing"",""งบพรบ!BF43"")"),0)</f>
        <v>0</v>
      </c>
      <c r="I43" s="247">
        <f ca="1">IFERROR(__xludf.DUMMYFUNCTION("IMPORTRANGE(""https://docs.google.com/spreadsheets/d/1MeEWN-I1oV_STSDYn1IFDPWt_1FKiwhDph83XaGc0o0/edit?usp=sharing"",""งบพรบ!BG43"")"),0)</f>
        <v>0</v>
      </c>
      <c r="J43" s="247">
        <f t="shared" ca="1" si="3"/>
        <v>0</v>
      </c>
      <c r="K43" s="253">
        <f t="shared" ca="1" si="4"/>
        <v>0</v>
      </c>
      <c r="L43" s="247">
        <f ca="1">IFERROR(__xludf.DUMMYFUNCTION("IMPORTRANGE(""https://docs.google.com/spreadsheets/d/1MeEWN-I1oV_STSDYn1IFDPWt_1FKiwhDph83XaGc0o0/edit?usp=sharing"",""งบพรบ!BH43"")"),0)</f>
        <v>0</v>
      </c>
      <c r="M43" s="250">
        <f t="shared" ca="1" si="5"/>
        <v>0</v>
      </c>
      <c r="N43" s="250">
        <f t="shared" ca="1" si="6"/>
        <v>0</v>
      </c>
      <c r="O43" s="251">
        <f ca="1">IFERROR(__xludf.DUMMYFUNCTION("IMPORTRANGE(""https://docs.google.com/spreadsheets/d/1MeEWN-I1oV_STSDYn1IFDPWt_1FKiwhDph83XaGc0o0/edit?usp=sharing"",""งบพรบ!BI43"")"),0)</f>
        <v>0</v>
      </c>
      <c r="P43" s="250">
        <f t="shared" ca="1" si="18"/>
        <v>0</v>
      </c>
      <c r="Q43" s="250">
        <f t="shared" ca="1" si="8"/>
        <v>0</v>
      </c>
      <c r="R43" s="248">
        <f ca="1">IFERROR(__xludf.DUMMYFUNCTION("IMPORTRANGE(""https://docs.google.com/spreadsheets/d/1IdolZc-dfdgMwAm_KZxYJl1sUOcIgnbGQzbWOlddedo/edit?usp=sharing"",""เลย!I118"")"),0)</f>
        <v>0</v>
      </c>
      <c r="S43" s="248">
        <f ca="1">IFERROR(__xludf.DUMMYFUNCTION("IMPORTRANGE(""https://docs.google.com/spreadsheets/d/1IdolZc-dfdgMwAm_KZxYJl1sUOcIgnbGQzbWOlddedo/edit?usp=sharing"",""เลย!J118"")"),0)</f>
        <v>0</v>
      </c>
      <c r="T43" s="252">
        <f t="shared" ca="1" si="16"/>
        <v>0</v>
      </c>
    </row>
    <row r="44" spans="1:20" ht="21" customHeight="1" x14ac:dyDescent="0.3">
      <c r="A44" s="243">
        <v>13</v>
      </c>
      <c r="B44" s="244" t="s">
        <v>66</v>
      </c>
      <c r="C44" s="245">
        <f t="shared" ca="1" si="0"/>
        <v>0</v>
      </c>
      <c r="D44" s="246">
        <f t="shared" ca="1" si="23"/>
        <v>0</v>
      </c>
      <c r="E44" s="247">
        <f ca="1">IFERROR(__xludf.DUMMYFUNCTION("IMPORTRANGE(""https://docs.google.com/spreadsheets/d/1MeEWN-I1oV_STSDYn1IFDPWt_1FKiwhDph83XaGc0o0/edit?usp=sharing"",""งบพรบ!BB44"")"),0)</f>
        <v>0</v>
      </c>
      <c r="F44" s="247">
        <f ca="1">IFERROR(__xludf.DUMMYFUNCTION("IMPORTRANGE(""https://docs.google.com/spreadsheets/d/1MeEWN-I1oV_STSDYn1IFDPWt_1FKiwhDph83XaGc0o0/edit?usp=sharing"",""งบพรบ!BC44"")"),0)</f>
        <v>0</v>
      </c>
      <c r="G44" s="247">
        <f ca="1">IFERROR(__xludf.DUMMYFUNCTION("IMPORTRANGE(""https://docs.google.com/spreadsheets/d/1MeEWN-I1oV_STSDYn1IFDPWt_1FKiwhDph83XaGc0o0/edit?usp=sharing"",""งบพรบ!BD44"")"),0)</f>
        <v>0</v>
      </c>
      <c r="H44" s="247">
        <f ca="1">IFERROR(__xludf.DUMMYFUNCTION("IMPORTRANGE(""https://docs.google.com/spreadsheets/d/1MeEWN-I1oV_STSDYn1IFDPWt_1FKiwhDph83XaGc0o0/edit?usp=sharing"",""งบพรบ!BF44"")"),0)</f>
        <v>0</v>
      </c>
      <c r="I44" s="247">
        <f ca="1">IFERROR(__xludf.DUMMYFUNCTION("IMPORTRANGE(""https://docs.google.com/spreadsheets/d/1MeEWN-I1oV_STSDYn1IFDPWt_1FKiwhDph83XaGc0o0/edit?usp=sharing"",""งบพรบ!BG44"")"),0)</f>
        <v>0</v>
      </c>
      <c r="J44" s="247">
        <f t="shared" ca="1" si="3"/>
        <v>0</v>
      </c>
      <c r="K44" s="253">
        <f t="shared" ca="1" si="4"/>
        <v>0</v>
      </c>
      <c r="L44" s="247">
        <f ca="1">IFERROR(__xludf.DUMMYFUNCTION("IMPORTRANGE(""https://docs.google.com/spreadsheets/d/1MeEWN-I1oV_STSDYn1IFDPWt_1FKiwhDph83XaGc0o0/edit?usp=sharing"",""งบพรบ!BH44"")"),0)</f>
        <v>0</v>
      </c>
      <c r="M44" s="250">
        <f t="shared" ca="1" si="5"/>
        <v>0</v>
      </c>
      <c r="N44" s="250">
        <f t="shared" ca="1" si="6"/>
        <v>0</v>
      </c>
      <c r="O44" s="251">
        <f ca="1">IFERROR(__xludf.DUMMYFUNCTION("IMPORTRANGE(""https://docs.google.com/spreadsheets/d/1MeEWN-I1oV_STSDYn1IFDPWt_1FKiwhDph83XaGc0o0/edit?usp=sharing"",""งบพรบ!BI44"")"),0)</f>
        <v>0</v>
      </c>
      <c r="P44" s="250">
        <f t="shared" ca="1" si="18"/>
        <v>0</v>
      </c>
      <c r="Q44" s="250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IFERROR(__xludf.DUMMYFUNCTION("IMPORTRANGE(""https://docs.google.com/spreadsheets/d/1tZ0nmtGuIRCaGAMXHlQU8EpR9LOAJvyKfc4f7EFmE34/edit?usp=sharing"",""ศรีสะเกษ!I118"")"),0)</f>
        <v>0</v>
      </c>
      <c r="S44" s="248">
        <f ca="1">IFERROR(__xludf.DUMMYFUNCTION("IMPORTRANGE(""https://docs.google.com/spreadsheets/d/1tZ0nmtGuIRCaGAMXHlQU8EpR9LOAJvyKfc4f7EFmE34/edit?usp=sharing"",""ศรีสะเกษ!J118"")"),0)</f>
        <v>0</v>
      </c>
      <c r="T44" s="252">
        <f t="shared" ca="1" si="16"/>
        <v>0</v>
      </c>
    </row>
    <row r="45" spans="1:20" ht="21" customHeight="1" x14ac:dyDescent="0.3">
      <c r="A45" s="243">
        <v>14</v>
      </c>
      <c r="B45" s="244" t="s">
        <v>67</v>
      </c>
      <c r="C45" s="245">
        <f t="shared" ca="1" si="0"/>
        <v>0</v>
      </c>
      <c r="D45" s="246">
        <f t="shared" ca="1" si="23"/>
        <v>0</v>
      </c>
      <c r="E45" s="247">
        <f ca="1">IFERROR(__xludf.DUMMYFUNCTION("IMPORTRANGE(""https://docs.google.com/spreadsheets/d/1MeEWN-I1oV_STSDYn1IFDPWt_1FKiwhDph83XaGc0o0/edit?usp=sharing"",""งบพรบ!BB45"")"),0)</f>
        <v>0</v>
      </c>
      <c r="F45" s="247">
        <f ca="1">IFERROR(__xludf.DUMMYFUNCTION("IMPORTRANGE(""https://docs.google.com/spreadsheets/d/1MeEWN-I1oV_STSDYn1IFDPWt_1FKiwhDph83XaGc0o0/edit?usp=sharing"",""งบพรบ!BC45"")"),0)</f>
        <v>0</v>
      </c>
      <c r="G45" s="247">
        <f ca="1">IFERROR(__xludf.DUMMYFUNCTION("IMPORTRANGE(""https://docs.google.com/spreadsheets/d/1MeEWN-I1oV_STSDYn1IFDPWt_1FKiwhDph83XaGc0o0/edit?usp=sharing"",""งบพรบ!BD45"")"),0)</f>
        <v>0</v>
      </c>
      <c r="H45" s="247">
        <f ca="1">IFERROR(__xludf.DUMMYFUNCTION("IMPORTRANGE(""https://docs.google.com/spreadsheets/d/1MeEWN-I1oV_STSDYn1IFDPWt_1FKiwhDph83XaGc0o0/edit?usp=sharing"",""งบพรบ!BF45"")"),0)</f>
        <v>0</v>
      </c>
      <c r="I45" s="247">
        <f ca="1">IFERROR(__xludf.DUMMYFUNCTION("IMPORTRANGE(""https://docs.google.com/spreadsheets/d/1MeEWN-I1oV_STSDYn1IFDPWt_1FKiwhDph83XaGc0o0/edit?usp=sharing"",""งบพรบ!BG45"")"),0)</f>
        <v>0</v>
      </c>
      <c r="J45" s="247">
        <f t="shared" ca="1" si="3"/>
        <v>0</v>
      </c>
      <c r="K45" s="253">
        <f t="shared" ca="1" si="4"/>
        <v>0</v>
      </c>
      <c r="L45" s="247">
        <f ca="1">IFERROR(__xludf.DUMMYFUNCTION("IMPORTRANGE(""https://docs.google.com/spreadsheets/d/1MeEWN-I1oV_STSDYn1IFDPWt_1FKiwhDph83XaGc0o0/edit?usp=sharing"",""งบพรบ!BH45"")"),0)</f>
        <v>0</v>
      </c>
      <c r="M45" s="250">
        <f t="shared" ca="1" si="5"/>
        <v>0</v>
      </c>
      <c r="N45" s="250">
        <f t="shared" ca="1" si="6"/>
        <v>0</v>
      </c>
      <c r="O45" s="251">
        <f ca="1">IFERROR(__xludf.DUMMYFUNCTION("IMPORTRANGE(""https://docs.google.com/spreadsheets/d/1MeEWN-I1oV_STSDYn1IFDPWt_1FKiwhDph83XaGc0o0/edit?usp=sharing"",""งบพรบ!BI45"")"),0)</f>
        <v>0</v>
      </c>
      <c r="P45" s="250">
        <f t="shared" ca="1" si="18"/>
        <v>0</v>
      </c>
      <c r="Q45" s="250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IFERROR(__xludf.DUMMYFUNCTION("IMPORTRANGE(""https://docs.google.com/spreadsheets/d/1QC8psz9w0f9IVE9Xuc2FT_btkaOzZbbUSgYObpBuetM/edit?usp=sharing"",""สกลนคร!I118"")"),0)</f>
        <v>0</v>
      </c>
      <c r="S45" s="248">
        <f ca="1">IFERROR(__xludf.DUMMYFUNCTION("IMPORTRANGE(""https://docs.google.com/spreadsheets/d/1QC8psz9w0f9IVE9Xuc2FT_btkaOzZbbUSgYObpBuetM/edit?usp=sharing"",""สกลนคร!J118"")"),0)</f>
        <v>0</v>
      </c>
      <c r="T45" s="252">
        <f t="shared" ca="1" si="16"/>
        <v>0</v>
      </c>
    </row>
    <row r="46" spans="1:20" ht="21" customHeight="1" x14ac:dyDescent="0.3">
      <c r="A46" s="243">
        <v>15</v>
      </c>
      <c r="B46" s="244" t="s">
        <v>68</v>
      </c>
      <c r="C46" s="245">
        <f t="shared" ca="1" si="0"/>
        <v>0</v>
      </c>
      <c r="D46" s="246">
        <f t="shared" ca="1" si="23"/>
        <v>0</v>
      </c>
      <c r="E46" s="247">
        <f ca="1">IFERROR(__xludf.DUMMYFUNCTION("IMPORTRANGE(""https://docs.google.com/spreadsheets/d/1MeEWN-I1oV_STSDYn1IFDPWt_1FKiwhDph83XaGc0o0/edit?usp=sharing"",""งบพรบ!BB46"")"),0)</f>
        <v>0</v>
      </c>
      <c r="F46" s="247">
        <f ca="1">IFERROR(__xludf.DUMMYFUNCTION("IMPORTRANGE(""https://docs.google.com/spreadsheets/d/1MeEWN-I1oV_STSDYn1IFDPWt_1FKiwhDph83XaGc0o0/edit?usp=sharing"",""งบพรบ!BC46"")"),0)</f>
        <v>0</v>
      </c>
      <c r="G46" s="247">
        <f ca="1">IFERROR(__xludf.DUMMYFUNCTION("IMPORTRANGE(""https://docs.google.com/spreadsheets/d/1MeEWN-I1oV_STSDYn1IFDPWt_1FKiwhDph83XaGc0o0/edit?usp=sharing"",""งบพรบ!BD46"")"),0)</f>
        <v>0</v>
      </c>
      <c r="H46" s="247">
        <f ca="1">IFERROR(__xludf.DUMMYFUNCTION("IMPORTRANGE(""https://docs.google.com/spreadsheets/d/1MeEWN-I1oV_STSDYn1IFDPWt_1FKiwhDph83XaGc0o0/edit?usp=sharing"",""งบพรบ!BF46"")"),0)</f>
        <v>0</v>
      </c>
      <c r="I46" s="247">
        <f ca="1">IFERROR(__xludf.DUMMYFUNCTION("IMPORTRANGE(""https://docs.google.com/spreadsheets/d/1MeEWN-I1oV_STSDYn1IFDPWt_1FKiwhDph83XaGc0o0/edit?usp=sharing"",""งบพรบ!BG46"")"),0)</f>
        <v>0</v>
      </c>
      <c r="J46" s="247">
        <f t="shared" ca="1" si="3"/>
        <v>0</v>
      </c>
      <c r="K46" s="253">
        <f t="shared" ca="1" si="4"/>
        <v>0</v>
      </c>
      <c r="L46" s="247">
        <f ca="1">IFERROR(__xludf.DUMMYFUNCTION("IMPORTRANGE(""https://docs.google.com/spreadsheets/d/1MeEWN-I1oV_STSDYn1IFDPWt_1FKiwhDph83XaGc0o0/edit?usp=sharing"",""งบพรบ!BH46"")"),0)</f>
        <v>0</v>
      </c>
      <c r="M46" s="250">
        <f t="shared" ca="1" si="5"/>
        <v>0</v>
      </c>
      <c r="N46" s="250">
        <f t="shared" ca="1" si="6"/>
        <v>0</v>
      </c>
      <c r="O46" s="251">
        <f ca="1">IFERROR(__xludf.DUMMYFUNCTION("IMPORTRANGE(""https://docs.google.com/spreadsheets/d/1MeEWN-I1oV_STSDYn1IFDPWt_1FKiwhDph83XaGc0o0/edit?usp=sharing"",""งบพรบ!BI46"")"),0)</f>
        <v>0</v>
      </c>
      <c r="P46" s="250">
        <f t="shared" ca="1" si="18"/>
        <v>0</v>
      </c>
      <c r="Q46" s="250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IFERROR(__xludf.DUMMYFUNCTION("IMPORTRANGE(""https://docs.google.com/spreadsheets/d/1wPdvRbu02d33MYVlbsCnyTiZpefEBs9NNktAnT1HZvw/edit?usp=sharing"",""สุรินทร์!I118"")"),0)</f>
        <v>0</v>
      </c>
      <c r="S46" s="248">
        <f ca="1">IFERROR(__xludf.DUMMYFUNCTION("IMPORTRANGE(""https://docs.google.com/spreadsheets/d/1wPdvRbu02d33MYVlbsCnyTiZpefEBs9NNktAnT1HZvw/edit?usp=sharing"",""สุรินทร์!J118"")"),0)</f>
        <v>0</v>
      </c>
      <c r="T46" s="252">
        <f t="shared" ca="1" si="16"/>
        <v>0</v>
      </c>
    </row>
    <row r="47" spans="1:20" ht="21" customHeight="1" x14ac:dyDescent="0.3">
      <c r="A47" s="243">
        <v>16</v>
      </c>
      <c r="B47" s="244" t="s">
        <v>69</v>
      </c>
      <c r="C47" s="245">
        <f t="shared" ca="1" si="0"/>
        <v>0</v>
      </c>
      <c r="D47" s="246">
        <f t="shared" ca="1" si="23"/>
        <v>0</v>
      </c>
      <c r="E47" s="247">
        <f ca="1">IFERROR(__xludf.DUMMYFUNCTION("IMPORTRANGE(""https://docs.google.com/spreadsheets/d/1MeEWN-I1oV_STSDYn1IFDPWt_1FKiwhDph83XaGc0o0/edit?usp=sharing"",""งบพรบ!BB47"")"),0)</f>
        <v>0</v>
      </c>
      <c r="F47" s="247">
        <f ca="1">IFERROR(__xludf.DUMMYFUNCTION("IMPORTRANGE(""https://docs.google.com/spreadsheets/d/1MeEWN-I1oV_STSDYn1IFDPWt_1FKiwhDph83XaGc0o0/edit?usp=sharing"",""งบพรบ!BC47"")"),0)</f>
        <v>0</v>
      </c>
      <c r="G47" s="247">
        <f ca="1">IFERROR(__xludf.DUMMYFUNCTION("IMPORTRANGE(""https://docs.google.com/spreadsheets/d/1MeEWN-I1oV_STSDYn1IFDPWt_1FKiwhDph83XaGc0o0/edit?usp=sharing"",""งบพรบ!BD47"")"),0)</f>
        <v>0</v>
      </c>
      <c r="H47" s="247">
        <f ca="1">IFERROR(__xludf.DUMMYFUNCTION("IMPORTRANGE(""https://docs.google.com/spreadsheets/d/1MeEWN-I1oV_STSDYn1IFDPWt_1FKiwhDph83XaGc0o0/edit?usp=sharing"",""งบพรบ!BF47"")"),0)</f>
        <v>0</v>
      </c>
      <c r="I47" s="247">
        <f ca="1">IFERROR(__xludf.DUMMYFUNCTION("IMPORTRANGE(""https://docs.google.com/spreadsheets/d/1MeEWN-I1oV_STSDYn1IFDPWt_1FKiwhDph83XaGc0o0/edit?usp=sharing"",""งบพรบ!BG47"")"),0)</f>
        <v>0</v>
      </c>
      <c r="J47" s="247">
        <f t="shared" ca="1" si="3"/>
        <v>0</v>
      </c>
      <c r="K47" s="253">
        <f t="shared" ca="1" si="4"/>
        <v>0</v>
      </c>
      <c r="L47" s="247">
        <f ca="1">IFERROR(__xludf.DUMMYFUNCTION("IMPORTRANGE(""https://docs.google.com/spreadsheets/d/1MeEWN-I1oV_STSDYn1IFDPWt_1FKiwhDph83XaGc0o0/edit?usp=sharing"",""งบพรบ!BH47"")"),0)</f>
        <v>0</v>
      </c>
      <c r="M47" s="250">
        <f t="shared" ca="1" si="5"/>
        <v>0</v>
      </c>
      <c r="N47" s="250">
        <f t="shared" ca="1" si="6"/>
        <v>0</v>
      </c>
      <c r="O47" s="251">
        <f ca="1">IFERROR(__xludf.DUMMYFUNCTION("IMPORTRANGE(""https://docs.google.com/spreadsheets/d/1MeEWN-I1oV_STSDYn1IFDPWt_1FKiwhDph83XaGc0o0/edit?usp=sharing"",""งบพรบ!BI47"")"),0)</f>
        <v>0</v>
      </c>
      <c r="P47" s="250">
        <f t="shared" ca="1" si="18"/>
        <v>0</v>
      </c>
      <c r="Q47" s="250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IFERROR(__xludf.DUMMYFUNCTION("IMPORTRANGE(""https://docs.google.com/spreadsheets/d/1GVExpf-Exi_2gmuqTYH28fseTB9MoKPXWcXCbSt_YrM/edit?usp=sharing"",""หนองคาย!I118"")"),0)</f>
        <v>0</v>
      </c>
      <c r="S47" s="248">
        <f ca="1">IFERROR(__xludf.DUMMYFUNCTION("IMPORTRANGE(""https://docs.google.com/spreadsheets/d/1GVExpf-Exi_2gmuqTYH28fseTB9MoKPXWcXCbSt_YrM/edit?usp=sharing"",""หนองคาย!J118"")"),0)</f>
        <v>0</v>
      </c>
      <c r="T47" s="252">
        <f t="shared" ca="1" si="16"/>
        <v>0</v>
      </c>
    </row>
    <row r="48" spans="1:20" ht="21" customHeight="1" x14ac:dyDescent="0.3">
      <c r="A48" s="243">
        <v>17</v>
      </c>
      <c r="B48" s="244" t="s">
        <v>70</v>
      </c>
      <c r="C48" s="245">
        <f t="shared" ca="1" si="0"/>
        <v>252000</v>
      </c>
      <c r="D48" s="246">
        <f t="shared" ca="1" si="23"/>
        <v>0</v>
      </c>
      <c r="E48" s="247">
        <f ca="1">IFERROR(__xludf.DUMMYFUNCTION("IMPORTRANGE(""https://docs.google.com/spreadsheets/d/1MeEWN-I1oV_STSDYn1IFDPWt_1FKiwhDph83XaGc0o0/edit?usp=sharing"",""งบพรบ!BB48"")"),0)</f>
        <v>0</v>
      </c>
      <c r="F48" s="247">
        <f ca="1">IFERROR(__xludf.DUMMYFUNCTION("IMPORTRANGE(""https://docs.google.com/spreadsheets/d/1MeEWN-I1oV_STSDYn1IFDPWt_1FKiwhDph83XaGc0o0/edit?usp=sharing"",""งบพรบ!BC48"")"),0)</f>
        <v>0</v>
      </c>
      <c r="G48" s="247">
        <f ca="1">IFERROR(__xludf.DUMMYFUNCTION("IMPORTRANGE(""https://docs.google.com/spreadsheets/d/1MeEWN-I1oV_STSDYn1IFDPWt_1FKiwhDph83XaGc0o0/edit?usp=sharing"",""งบพรบ!BD48"")"),252000)</f>
        <v>252000</v>
      </c>
      <c r="H48" s="247">
        <f ca="1">IFERROR(__xludf.DUMMYFUNCTION("IMPORTRANGE(""https://docs.google.com/spreadsheets/d/1MeEWN-I1oV_STSDYn1IFDPWt_1FKiwhDph83XaGc0o0/edit?usp=sharing"",""งบพรบ!BF48"")"),0)</f>
        <v>0</v>
      </c>
      <c r="I48" s="247">
        <f ca="1">IFERROR(__xludf.DUMMYFUNCTION("IMPORTRANGE(""https://docs.google.com/spreadsheets/d/1MeEWN-I1oV_STSDYn1IFDPWt_1FKiwhDph83XaGc0o0/edit?usp=sharing"",""งบพรบ!BG48"")"),251985)</f>
        <v>251985</v>
      </c>
      <c r="J48" s="247">
        <f t="shared" ca="1" si="3"/>
        <v>251985</v>
      </c>
      <c r="K48" s="253">
        <f t="shared" ca="1" si="4"/>
        <v>99.99404761904762</v>
      </c>
      <c r="L48" s="247">
        <f ca="1">IFERROR(__xludf.DUMMYFUNCTION("IMPORTRANGE(""https://docs.google.com/spreadsheets/d/1MeEWN-I1oV_STSDYn1IFDPWt_1FKiwhDph83XaGc0o0/edit?usp=sharing"",""งบพรบ!BH48"")"),0)</f>
        <v>0</v>
      </c>
      <c r="M48" s="250">
        <f t="shared" ca="1" si="5"/>
        <v>0</v>
      </c>
      <c r="N48" s="250">
        <f t="shared" ca="1" si="6"/>
        <v>0</v>
      </c>
      <c r="O48" s="251">
        <f ca="1">IFERROR(__xludf.DUMMYFUNCTION("IMPORTRANGE(""https://docs.google.com/spreadsheets/d/1MeEWN-I1oV_STSDYn1IFDPWt_1FKiwhDph83XaGc0o0/edit?usp=sharing"",""งบพรบ!BI48"")"),251985)</f>
        <v>251985</v>
      </c>
      <c r="P48" s="250">
        <f t="shared" ca="1" si="18"/>
        <v>99.99404761904762</v>
      </c>
      <c r="Q48" s="250">
        <f t="shared" ca="1" si="8"/>
        <v>100</v>
      </c>
      <c r="R48" s="248">
        <f ca="1">IFERROR(__xludf.DUMMYFUNCTION("IMPORTRANGE(""https://docs.google.com/spreadsheets/d/16UeMz0UgOB5BZcoxP75eYGcLFtGYRn9GoesD4OX9m5U/edit?usp=sharing"",""หนองบัวลำภู!I118"")"),0)</f>
        <v>0</v>
      </c>
      <c r="S48" s="248">
        <f ca="1">IFERROR(__xludf.DUMMYFUNCTION("IMPORTRANGE(""https://docs.google.com/spreadsheets/d/16UeMz0UgOB5BZcoxP75eYGcLFtGYRn9GoesD4OX9m5U/edit?usp=sharing"",""หนองบัวลำภู!J118"")"),0)</f>
        <v>0</v>
      </c>
      <c r="T48" s="252">
        <f t="shared" ca="1" si="16"/>
        <v>0</v>
      </c>
    </row>
    <row r="49" spans="1:20" ht="21" customHeight="1" x14ac:dyDescent="0.3">
      <c r="A49" s="243">
        <v>18</v>
      </c>
      <c r="B49" s="244" t="s">
        <v>71</v>
      </c>
      <c r="C49" s="245">
        <f t="shared" ca="1" si="0"/>
        <v>0</v>
      </c>
      <c r="D49" s="246">
        <f t="shared" ca="1" si="23"/>
        <v>0</v>
      </c>
      <c r="E49" s="247">
        <f ca="1">IFERROR(__xludf.DUMMYFUNCTION("IMPORTRANGE(""https://docs.google.com/spreadsheets/d/1MeEWN-I1oV_STSDYn1IFDPWt_1FKiwhDph83XaGc0o0/edit?usp=sharing"",""งบพรบ!BB49"")"),0)</f>
        <v>0</v>
      </c>
      <c r="F49" s="247">
        <f ca="1">IFERROR(__xludf.DUMMYFUNCTION("IMPORTRANGE(""https://docs.google.com/spreadsheets/d/1MeEWN-I1oV_STSDYn1IFDPWt_1FKiwhDph83XaGc0o0/edit?usp=sharing"",""งบพรบ!BC49"")"),0)</f>
        <v>0</v>
      </c>
      <c r="G49" s="247">
        <f ca="1">IFERROR(__xludf.DUMMYFUNCTION("IMPORTRANGE(""https://docs.google.com/spreadsheets/d/1MeEWN-I1oV_STSDYn1IFDPWt_1FKiwhDph83XaGc0o0/edit?usp=sharing"",""งบพรบ!BD49"")"),0)</f>
        <v>0</v>
      </c>
      <c r="H49" s="247">
        <f ca="1">IFERROR(__xludf.DUMMYFUNCTION("IMPORTRANGE(""https://docs.google.com/spreadsheets/d/1MeEWN-I1oV_STSDYn1IFDPWt_1FKiwhDph83XaGc0o0/edit?usp=sharing"",""งบพรบ!BF49"")"),0)</f>
        <v>0</v>
      </c>
      <c r="I49" s="247">
        <f ca="1">IFERROR(__xludf.DUMMYFUNCTION("IMPORTRANGE(""https://docs.google.com/spreadsheets/d/1MeEWN-I1oV_STSDYn1IFDPWt_1FKiwhDph83XaGc0o0/edit?usp=sharing"",""งบพรบ!BG49"")"),0)</f>
        <v>0</v>
      </c>
      <c r="J49" s="247">
        <f t="shared" ca="1" si="3"/>
        <v>0</v>
      </c>
      <c r="K49" s="253">
        <f t="shared" ca="1" si="4"/>
        <v>0</v>
      </c>
      <c r="L49" s="247">
        <f ca="1">IFERROR(__xludf.DUMMYFUNCTION("IMPORTRANGE(""https://docs.google.com/spreadsheets/d/1MeEWN-I1oV_STSDYn1IFDPWt_1FKiwhDph83XaGc0o0/edit?usp=sharing"",""งบพรบ!BH49"")"),0)</f>
        <v>0</v>
      </c>
      <c r="M49" s="250">
        <f t="shared" ca="1" si="5"/>
        <v>0</v>
      </c>
      <c r="N49" s="250">
        <f t="shared" ca="1" si="6"/>
        <v>0</v>
      </c>
      <c r="O49" s="251">
        <f ca="1">IFERROR(__xludf.DUMMYFUNCTION("IMPORTRANGE(""https://docs.google.com/spreadsheets/d/1MeEWN-I1oV_STSDYn1IFDPWt_1FKiwhDph83XaGc0o0/edit?usp=sharing"",""งบพรบ!BI49"")"),0)</f>
        <v>0</v>
      </c>
      <c r="P49" s="250">
        <f t="shared" ca="1" si="18"/>
        <v>0</v>
      </c>
      <c r="Q49" s="250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IFERROR(__xludf.DUMMYFUNCTION("IMPORTRANGE(""https://docs.google.com/spreadsheets/d/1uUP8Zo1-qaJLuIkRU0qlwLSE3DHkbdrrj2JGJiWBQZE/edit?usp=sharing"",""อำนาจเจริญ!I118"")"),0)</f>
        <v>0</v>
      </c>
      <c r="S49" s="248">
        <f ca="1">IFERROR(__xludf.DUMMYFUNCTION("IMPORTRANGE(""https://docs.google.com/spreadsheets/d/1uUP8Zo1-qaJLuIkRU0qlwLSE3DHkbdrrj2JGJiWBQZE/edit?usp=sharing"",""อำนาจเจริญ!J118"")"),0)</f>
        <v>0</v>
      </c>
      <c r="T49" s="252">
        <f t="shared" ca="1" si="16"/>
        <v>0</v>
      </c>
    </row>
    <row r="50" spans="1:20" ht="21" customHeight="1" x14ac:dyDescent="0.3">
      <c r="A50" s="243">
        <v>19</v>
      </c>
      <c r="B50" s="244" t="s">
        <v>72</v>
      </c>
      <c r="C50" s="245">
        <f t="shared" ca="1" si="0"/>
        <v>0</v>
      </c>
      <c r="D50" s="246">
        <f t="shared" ca="1" si="23"/>
        <v>0</v>
      </c>
      <c r="E50" s="247">
        <f ca="1">IFERROR(__xludf.DUMMYFUNCTION("IMPORTRANGE(""https://docs.google.com/spreadsheets/d/1MeEWN-I1oV_STSDYn1IFDPWt_1FKiwhDph83XaGc0o0/edit?usp=sharing"",""งบพรบ!BB50"")"),0)</f>
        <v>0</v>
      </c>
      <c r="F50" s="247">
        <f ca="1">IFERROR(__xludf.DUMMYFUNCTION("IMPORTRANGE(""https://docs.google.com/spreadsheets/d/1MeEWN-I1oV_STSDYn1IFDPWt_1FKiwhDph83XaGc0o0/edit?usp=sharing"",""งบพรบ!BC50"")"),0)</f>
        <v>0</v>
      </c>
      <c r="G50" s="247">
        <f ca="1">IFERROR(__xludf.DUMMYFUNCTION("IMPORTRANGE(""https://docs.google.com/spreadsheets/d/1MeEWN-I1oV_STSDYn1IFDPWt_1FKiwhDph83XaGc0o0/edit?usp=sharing"",""งบพรบ!BD50"")"),0)</f>
        <v>0</v>
      </c>
      <c r="H50" s="247">
        <f ca="1">IFERROR(__xludf.DUMMYFUNCTION("IMPORTRANGE(""https://docs.google.com/spreadsheets/d/1MeEWN-I1oV_STSDYn1IFDPWt_1FKiwhDph83XaGc0o0/edit?usp=sharing"",""งบพรบ!BF50"")"),0)</f>
        <v>0</v>
      </c>
      <c r="I50" s="247">
        <f ca="1">IFERROR(__xludf.DUMMYFUNCTION("IMPORTRANGE(""https://docs.google.com/spreadsheets/d/1MeEWN-I1oV_STSDYn1IFDPWt_1FKiwhDph83XaGc0o0/edit?usp=sharing"",""งบพรบ!BG50"")"),0)</f>
        <v>0</v>
      </c>
      <c r="J50" s="247">
        <f t="shared" ca="1" si="3"/>
        <v>0</v>
      </c>
      <c r="K50" s="253">
        <f t="shared" ca="1" si="4"/>
        <v>0</v>
      </c>
      <c r="L50" s="247">
        <f ca="1">IFERROR(__xludf.DUMMYFUNCTION("IMPORTRANGE(""https://docs.google.com/spreadsheets/d/1MeEWN-I1oV_STSDYn1IFDPWt_1FKiwhDph83XaGc0o0/edit?usp=sharing"",""งบพรบ!BH50"")"),0)</f>
        <v>0</v>
      </c>
      <c r="M50" s="250">
        <f t="shared" ca="1" si="5"/>
        <v>0</v>
      </c>
      <c r="N50" s="250">
        <f t="shared" ca="1" si="6"/>
        <v>0</v>
      </c>
      <c r="O50" s="251">
        <f ca="1">IFERROR(__xludf.DUMMYFUNCTION("IMPORTRANGE(""https://docs.google.com/spreadsheets/d/1MeEWN-I1oV_STSDYn1IFDPWt_1FKiwhDph83XaGc0o0/edit?usp=sharing"",""งบพรบ!BI50"")"),0)</f>
        <v>0</v>
      </c>
      <c r="P50" s="250">
        <f t="shared" ca="1" si="18"/>
        <v>0</v>
      </c>
      <c r="Q50" s="250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IFERROR(__xludf.DUMMYFUNCTION("IMPORTRANGE(""https://docs.google.com/spreadsheets/d/1hb_taSOHanzRjqfzWPiFo8yiT83VV1L7vvUCLhOiHKc/edit?usp=sharing"",""อุดรธานี!I118"")"),0)</f>
        <v>0</v>
      </c>
      <c r="S50" s="248">
        <f ca="1">IFERROR(__xludf.DUMMYFUNCTION("IMPORTRANGE(""https://docs.google.com/spreadsheets/d/1hb_taSOHanzRjqfzWPiFo8yiT83VV1L7vvUCLhOiHKc/edit?usp=sharing"",""อุดรธานี!J118"")"),0)</f>
        <v>0</v>
      </c>
      <c r="T50" s="252">
        <f t="shared" ca="1" si="16"/>
        <v>0</v>
      </c>
    </row>
    <row r="51" spans="1:20" ht="21" customHeight="1" x14ac:dyDescent="0.3">
      <c r="A51" s="254">
        <v>20</v>
      </c>
      <c r="B51" s="255" t="s">
        <v>73</v>
      </c>
      <c r="C51" s="256">
        <f t="shared" ca="1" si="0"/>
        <v>0</v>
      </c>
      <c r="D51" s="257">
        <f t="shared" ca="1" si="23"/>
        <v>0</v>
      </c>
      <c r="E51" s="258">
        <f ca="1">IFERROR(__xludf.DUMMYFUNCTION("IMPORTRANGE(""https://docs.google.com/spreadsheets/d/1MeEWN-I1oV_STSDYn1IFDPWt_1FKiwhDph83XaGc0o0/edit?usp=sharing"",""งบพรบ!BB51"")"),0)</f>
        <v>0</v>
      </c>
      <c r="F51" s="258">
        <f ca="1">IFERROR(__xludf.DUMMYFUNCTION("IMPORTRANGE(""https://docs.google.com/spreadsheets/d/1MeEWN-I1oV_STSDYn1IFDPWt_1FKiwhDph83XaGc0o0/edit?usp=sharing"",""งบพรบ!BC51"")"),0)</f>
        <v>0</v>
      </c>
      <c r="G51" s="258">
        <f ca="1">IFERROR(__xludf.DUMMYFUNCTION("IMPORTRANGE(""https://docs.google.com/spreadsheets/d/1MeEWN-I1oV_STSDYn1IFDPWt_1FKiwhDph83XaGc0o0/edit?usp=sharing"",""งบพรบ!BD51"")"),0)</f>
        <v>0</v>
      </c>
      <c r="H51" s="258">
        <f ca="1">IFERROR(__xludf.DUMMYFUNCTION("IMPORTRANGE(""https://docs.google.com/spreadsheets/d/1MeEWN-I1oV_STSDYn1IFDPWt_1FKiwhDph83XaGc0o0/edit?usp=sharing"",""งบพรบ!BF51"")"),0)</f>
        <v>0</v>
      </c>
      <c r="I51" s="258">
        <f ca="1">IFERROR(__xludf.DUMMYFUNCTION("IMPORTRANGE(""https://docs.google.com/spreadsheets/d/1MeEWN-I1oV_STSDYn1IFDPWt_1FKiwhDph83XaGc0o0/edit?usp=sharing"",""งบพรบ!BG51"")"),0)</f>
        <v>0</v>
      </c>
      <c r="J51" s="258">
        <f t="shared" ca="1" si="3"/>
        <v>0</v>
      </c>
      <c r="K51" s="259">
        <f t="shared" ca="1" si="4"/>
        <v>0</v>
      </c>
      <c r="L51" s="258">
        <f ca="1">IFERROR(__xludf.DUMMYFUNCTION("IMPORTRANGE(""https://docs.google.com/spreadsheets/d/1MeEWN-I1oV_STSDYn1IFDPWt_1FKiwhDph83XaGc0o0/edit?usp=sharing"",""งบพรบ!BH51"")"),0)</f>
        <v>0</v>
      </c>
      <c r="M51" s="260">
        <f t="shared" ca="1" si="5"/>
        <v>0</v>
      </c>
      <c r="N51" s="260">
        <f t="shared" ca="1" si="6"/>
        <v>0</v>
      </c>
      <c r="O51" s="261">
        <f ca="1">IFERROR(__xludf.DUMMYFUNCTION("IMPORTRANGE(""https://docs.google.com/spreadsheets/d/1MeEWN-I1oV_STSDYn1IFDPWt_1FKiwhDph83XaGc0o0/edit?usp=sharing"",""งบพรบ!BI51"")"),0)</f>
        <v>0</v>
      </c>
      <c r="P51" s="260">
        <f t="shared" ca="1" si="18"/>
        <v>0</v>
      </c>
      <c r="Q51" s="260">
        <f t="shared" ca="1" si="8"/>
        <v>0</v>
      </c>
      <c r="R51" s="262">
        <f ca="1">IFERROR(__xludf.DUMMYFUNCTION("IMPORTRANGE(""https://docs.google.com/spreadsheets/d/17IOkEwkUd63EGNfyNDnM5de9YlZ7rwzTiW6-dokVjKI/edit?usp=sharing"",""อุบลราชธานี!I118"")"),0)</f>
        <v>0</v>
      </c>
      <c r="S51" s="262">
        <f ca="1">IFERROR(__xludf.DUMMYFUNCTION("IMPORTRANGE(""https://docs.google.com/spreadsheets/d/17IOkEwkUd63EGNfyNDnM5de9YlZ7rwzTiW6-dokVjKI/edit?usp=sharing"",""อุบลราชธานี!J118"")"),0)</f>
        <v>0</v>
      </c>
      <c r="T51" s="263">
        <f t="shared" ca="1" si="16"/>
        <v>0</v>
      </c>
    </row>
    <row r="52" spans="1:20" ht="21" customHeight="1" x14ac:dyDescent="0.3">
      <c r="A52" s="443" t="s">
        <v>74</v>
      </c>
      <c r="B52" s="414"/>
      <c r="C52" s="224">
        <f t="shared" ca="1" si="0"/>
        <v>26800</v>
      </c>
      <c r="D52" s="224">
        <f t="shared" ref="D52:I52" ca="1" si="24">SUM(D53:D73)</f>
        <v>0</v>
      </c>
      <c r="E52" s="224">
        <f t="shared" ca="1" si="24"/>
        <v>0</v>
      </c>
      <c r="F52" s="224">
        <f t="shared" ca="1" si="24"/>
        <v>0</v>
      </c>
      <c r="G52" s="224">
        <f t="shared" ca="1" si="24"/>
        <v>26800</v>
      </c>
      <c r="H52" s="224">
        <f t="shared" ca="1" si="24"/>
        <v>0</v>
      </c>
      <c r="I52" s="224">
        <f t="shared" ca="1" si="24"/>
        <v>26800</v>
      </c>
      <c r="J52" s="224">
        <f t="shared" ca="1" si="3"/>
        <v>26800</v>
      </c>
      <c r="K52" s="225">
        <f t="shared" ca="1" si="4"/>
        <v>100</v>
      </c>
      <c r="L52" s="224">
        <f ca="1">SUM(L53:L73)</f>
        <v>0</v>
      </c>
      <c r="M52" s="226">
        <f t="shared" ca="1" si="5"/>
        <v>0</v>
      </c>
      <c r="N52" s="226">
        <f t="shared" ca="1" si="6"/>
        <v>0</v>
      </c>
      <c r="O52" s="227">
        <f ca="1">SUM(O53:O73)</f>
        <v>26800</v>
      </c>
      <c r="P52" s="226">
        <f t="shared" ca="1" si="18"/>
        <v>100</v>
      </c>
      <c r="Q52" s="226">
        <f t="shared" ca="1" si="8"/>
        <v>100</v>
      </c>
      <c r="R52" s="264">
        <f t="shared" ref="R52:S52" ca="1" si="25">SUM(R53:R73)</f>
        <v>0</v>
      </c>
      <c r="S52" s="265">
        <f t="shared" ca="1" si="25"/>
        <v>0</v>
      </c>
      <c r="T52" s="266">
        <f t="shared" ca="1" si="16"/>
        <v>0</v>
      </c>
    </row>
    <row r="53" spans="1:20" ht="21" customHeight="1" x14ac:dyDescent="0.3">
      <c r="A53" s="243">
        <v>1</v>
      </c>
      <c r="B53" s="244" t="s">
        <v>75</v>
      </c>
      <c r="C53" s="245">
        <f t="shared" ca="1" si="0"/>
        <v>0</v>
      </c>
      <c r="D53" s="246">
        <f t="shared" ref="D53:D73" ca="1" si="26">+E53+F53</f>
        <v>0</v>
      </c>
      <c r="E53" s="247">
        <f ca="1">IFERROR(__xludf.DUMMYFUNCTION("IMPORTRANGE(""https://docs.google.com/spreadsheets/d/1MeEWN-I1oV_STSDYn1IFDPWt_1FKiwhDph83XaGc0o0/edit?usp=sharing"",""งบพรบ!BB53"")"),0)</f>
        <v>0</v>
      </c>
      <c r="F53" s="247">
        <f ca="1">IFERROR(__xludf.DUMMYFUNCTION("IMPORTRANGE(""https://docs.google.com/spreadsheets/d/1MeEWN-I1oV_STSDYn1IFDPWt_1FKiwhDph83XaGc0o0/edit?usp=sharing"",""งบพรบ!BC53"")"),0)</f>
        <v>0</v>
      </c>
      <c r="G53" s="248">
        <f ca="1">IFERROR(__xludf.DUMMYFUNCTION("IMPORTRANGE(""https://docs.google.com/spreadsheets/d/1MeEWN-I1oV_STSDYn1IFDPWt_1FKiwhDph83XaGc0o0/edit?usp=sharing"",""งบพรบ!BD53"")"),0)</f>
        <v>0</v>
      </c>
      <c r="H53" s="248">
        <f ca="1">IFERROR(__xludf.DUMMYFUNCTION("IMPORTRANGE(""https://docs.google.com/spreadsheets/d/1MeEWN-I1oV_STSDYn1IFDPWt_1FKiwhDph83XaGc0o0/edit?usp=sharing"",""งบพรบ!BF53"")"),0)</f>
        <v>0</v>
      </c>
      <c r="I53" s="248">
        <f ca="1">IFERROR(__xludf.DUMMYFUNCTION("IMPORTRANGE(""https://docs.google.com/spreadsheets/d/1MeEWN-I1oV_STSDYn1IFDPWt_1FKiwhDph83XaGc0o0/edit?usp=sharing"",""งบพรบ!BG53"")"),0)</f>
        <v>0</v>
      </c>
      <c r="J53" s="248">
        <f t="shared" ca="1" si="3"/>
        <v>0</v>
      </c>
      <c r="K53" s="249">
        <f t="shared" ca="1" si="4"/>
        <v>0</v>
      </c>
      <c r="L53" s="248">
        <f ca="1">IFERROR(__xludf.DUMMYFUNCTION("IMPORTRANGE(""https://docs.google.com/spreadsheets/d/1MeEWN-I1oV_STSDYn1IFDPWt_1FKiwhDph83XaGc0o0/edit?usp=sharing"",""งบพรบ!BH53"")"),0)</f>
        <v>0</v>
      </c>
      <c r="M53" s="250">
        <f t="shared" ca="1" si="5"/>
        <v>0</v>
      </c>
      <c r="N53" s="250">
        <f t="shared" ca="1" si="6"/>
        <v>0</v>
      </c>
      <c r="O53" s="251">
        <f ca="1">IFERROR(__xludf.DUMMYFUNCTION("IMPORTRANGE(""https://docs.google.com/spreadsheets/d/1MeEWN-I1oV_STSDYn1IFDPWt_1FKiwhDph83XaGc0o0/edit?usp=sharing"",""งบพรบ!BI53"")"),0)</f>
        <v>0</v>
      </c>
      <c r="P53" s="250">
        <f t="shared" ca="1" si="18"/>
        <v>0</v>
      </c>
      <c r="Q53" s="250">
        <f t="shared" ca="1" si="8"/>
        <v>0</v>
      </c>
      <c r="R53" s="248">
        <f ca="1">IFERROR(__xludf.DUMMYFUNCTION("IMPORTRANGE(""https://docs.google.com/spreadsheets/d/1hKO5uv94SSRZWOvrh72HRcpyoEQF9TsE_Cvxl77XNU4/edit?usp=sharing"",""กาญจนบุรี!I118"")"),0)</f>
        <v>0</v>
      </c>
      <c r="S53" s="248">
        <f ca="1">IFERROR(__xludf.DUMMYFUNCTION("IMPORTRANGE(""https://docs.google.com/spreadsheets/d/1hKO5uv94SSRZWOvrh72HRcpyoEQF9TsE_Cvxl77XNU4/edit?usp=sharing"",""กาญจนบุรี!J118"")"),0)</f>
        <v>0</v>
      </c>
      <c r="T53" s="252">
        <f t="shared" ca="1" si="16"/>
        <v>0</v>
      </c>
    </row>
    <row r="54" spans="1:20" ht="21" customHeight="1" x14ac:dyDescent="0.3">
      <c r="A54" s="243">
        <v>2</v>
      </c>
      <c r="B54" s="244" t="s">
        <v>76</v>
      </c>
      <c r="C54" s="245">
        <f t="shared" ca="1" si="0"/>
        <v>0</v>
      </c>
      <c r="D54" s="246">
        <f t="shared" ca="1" si="26"/>
        <v>0</v>
      </c>
      <c r="E54" s="247">
        <f ca="1">IFERROR(__xludf.DUMMYFUNCTION("IMPORTRANGE(""https://docs.google.com/spreadsheets/d/1MeEWN-I1oV_STSDYn1IFDPWt_1FKiwhDph83XaGc0o0/edit?usp=sharing"",""งบพรบ!BB54"")"),0)</f>
        <v>0</v>
      </c>
      <c r="F54" s="247">
        <f ca="1">IFERROR(__xludf.DUMMYFUNCTION("IMPORTRANGE(""https://docs.google.com/spreadsheets/d/1MeEWN-I1oV_STSDYn1IFDPWt_1FKiwhDph83XaGc0o0/edit?usp=sharing"",""งบพรบ!BC54"")"),0)</f>
        <v>0</v>
      </c>
      <c r="G54" s="247">
        <f ca="1">IFERROR(__xludf.DUMMYFUNCTION("IMPORTRANGE(""https://docs.google.com/spreadsheets/d/1MeEWN-I1oV_STSDYn1IFDPWt_1FKiwhDph83XaGc0o0/edit?usp=sharing"",""งบพรบ!BD54"")"),0)</f>
        <v>0</v>
      </c>
      <c r="H54" s="247">
        <f ca="1">IFERROR(__xludf.DUMMYFUNCTION("IMPORTRANGE(""https://docs.google.com/spreadsheets/d/1MeEWN-I1oV_STSDYn1IFDPWt_1FKiwhDph83XaGc0o0/edit?usp=sharing"",""งบพรบ!BF54"")"),0)</f>
        <v>0</v>
      </c>
      <c r="I54" s="247">
        <f ca="1">IFERROR(__xludf.DUMMYFUNCTION("IMPORTRANGE(""https://docs.google.com/spreadsheets/d/1MeEWN-I1oV_STSDYn1IFDPWt_1FKiwhDph83XaGc0o0/edit?usp=sharing"",""งบพรบ!BG54"")"),0)</f>
        <v>0</v>
      </c>
      <c r="J54" s="247">
        <f t="shared" ca="1" si="3"/>
        <v>0</v>
      </c>
      <c r="K54" s="253">
        <f t="shared" ca="1" si="4"/>
        <v>0</v>
      </c>
      <c r="L54" s="247">
        <f ca="1">IFERROR(__xludf.DUMMYFUNCTION("IMPORTRANGE(""https://docs.google.com/spreadsheets/d/1MeEWN-I1oV_STSDYn1IFDPWt_1FKiwhDph83XaGc0o0/edit?usp=sharing"",""งบพรบ!BH54"")"),0)</f>
        <v>0</v>
      </c>
      <c r="M54" s="250">
        <f t="shared" ca="1" si="5"/>
        <v>0</v>
      </c>
      <c r="N54" s="250">
        <f t="shared" ca="1" si="6"/>
        <v>0</v>
      </c>
      <c r="O54" s="251">
        <f ca="1">IFERROR(__xludf.DUMMYFUNCTION("IMPORTRANGE(""https://docs.google.com/spreadsheets/d/1MeEWN-I1oV_STSDYn1IFDPWt_1FKiwhDph83XaGc0o0/edit?usp=sharing"",""งบพรบ!BI54"")"),0)</f>
        <v>0</v>
      </c>
      <c r="P54" s="250">
        <f t="shared" ca="1" si="18"/>
        <v>0</v>
      </c>
      <c r="Q54" s="250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IFERROR(__xludf.DUMMYFUNCTION("IMPORTRANGE(""https://docs.google.com/spreadsheets/d/1njBaP_xXd-Uotvo2D9zb01TTCFkLJLDK97Tk1l9Qux0/edit?usp=sharing"",""จันทบุรี!I118"")"),0)</f>
        <v>0</v>
      </c>
      <c r="S54" s="248">
        <f ca="1">IFERROR(__xludf.DUMMYFUNCTION("IMPORTRANGE(""https://docs.google.com/spreadsheets/d/1njBaP_xXd-Uotvo2D9zb01TTCFkLJLDK97Tk1l9Qux0/edit?usp=sharing"",""จันทบุรี!J118"")"),0)</f>
        <v>0</v>
      </c>
      <c r="T54" s="252">
        <f t="shared" ca="1" si="16"/>
        <v>0</v>
      </c>
    </row>
    <row r="55" spans="1:20" ht="21" customHeight="1" x14ac:dyDescent="0.3">
      <c r="A55" s="243">
        <v>3</v>
      </c>
      <c r="B55" s="244" t="s">
        <v>77</v>
      </c>
      <c r="C55" s="245">
        <f t="shared" ca="1" si="0"/>
        <v>0</v>
      </c>
      <c r="D55" s="246">
        <f t="shared" ca="1" si="26"/>
        <v>0</v>
      </c>
      <c r="E55" s="247">
        <f ca="1">IFERROR(__xludf.DUMMYFUNCTION("IMPORTRANGE(""https://docs.google.com/spreadsheets/d/1MeEWN-I1oV_STSDYn1IFDPWt_1FKiwhDph83XaGc0o0/edit?usp=sharing"",""งบพรบ!BB55"")"),0)</f>
        <v>0</v>
      </c>
      <c r="F55" s="247">
        <f ca="1">IFERROR(__xludf.DUMMYFUNCTION("IMPORTRANGE(""https://docs.google.com/spreadsheets/d/1MeEWN-I1oV_STSDYn1IFDPWt_1FKiwhDph83XaGc0o0/edit?usp=sharing"",""งบพรบ!BC55"")"),0)</f>
        <v>0</v>
      </c>
      <c r="G55" s="247">
        <f ca="1">IFERROR(__xludf.DUMMYFUNCTION("IMPORTRANGE(""https://docs.google.com/spreadsheets/d/1MeEWN-I1oV_STSDYn1IFDPWt_1FKiwhDph83XaGc0o0/edit?usp=sharing"",""งบพรบ!BD55"")"),0)</f>
        <v>0</v>
      </c>
      <c r="H55" s="247">
        <f ca="1">IFERROR(__xludf.DUMMYFUNCTION("IMPORTRANGE(""https://docs.google.com/spreadsheets/d/1MeEWN-I1oV_STSDYn1IFDPWt_1FKiwhDph83XaGc0o0/edit?usp=sharing"",""งบพรบ!BF55"")"),0)</f>
        <v>0</v>
      </c>
      <c r="I55" s="247">
        <f ca="1">IFERROR(__xludf.DUMMYFUNCTION("IMPORTRANGE(""https://docs.google.com/spreadsheets/d/1MeEWN-I1oV_STSDYn1IFDPWt_1FKiwhDph83XaGc0o0/edit?usp=sharing"",""งบพรบ!BG55"")"),0)</f>
        <v>0</v>
      </c>
      <c r="J55" s="247">
        <f t="shared" ca="1" si="3"/>
        <v>0</v>
      </c>
      <c r="K55" s="253">
        <f t="shared" ca="1" si="4"/>
        <v>0</v>
      </c>
      <c r="L55" s="247">
        <f ca="1">IFERROR(__xludf.DUMMYFUNCTION("IMPORTRANGE(""https://docs.google.com/spreadsheets/d/1MeEWN-I1oV_STSDYn1IFDPWt_1FKiwhDph83XaGc0o0/edit?usp=sharing"",""งบพรบ!BH55"")"),0)</f>
        <v>0</v>
      </c>
      <c r="M55" s="250">
        <f t="shared" ca="1" si="5"/>
        <v>0</v>
      </c>
      <c r="N55" s="250">
        <f t="shared" ca="1" si="6"/>
        <v>0</v>
      </c>
      <c r="O55" s="251">
        <f ca="1">IFERROR(__xludf.DUMMYFUNCTION("IMPORTRANGE(""https://docs.google.com/spreadsheets/d/1MeEWN-I1oV_STSDYn1IFDPWt_1FKiwhDph83XaGc0o0/edit?usp=sharing"",""งบพรบ!BI55"")"),0)</f>
        <v>0</v>
      </c>
      <c r="P55" s="250">
        <f t="shared" ca="1" si="18"/>
        <v>0</v>
      </c>
      <c r="Q55" s="250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IFERROR(__xludf.DUMMYFUNCTION("IMPORTRANGE(""https://docs.google.com/spreadsheets/d/14xp6qUzrGFnUk_qnc1eEmfiaNRd4_grkhpfQH_46fa8/edit?usp=sharing"",""ฉะเชิงเทรา!I118"")"),0)</f>
        <v>0</v>
      </c>
      <c r="S55" s="248">
        <f ca="1">IFERROR(__xludf.DUMMYFUNCTION("IMPORTRANGE(""https://docs.google.com/spreadsheets/d/14xp6qUzrGFnUk_qnc1eEmfiaNRd4_grkhpfQH_46fa8/edit?usp=sharing"",""ฉะเชิงเทรา!J118"")"),0)</f>
        <v>0</v>
      </c>
      <c r="T55" s="252">
        <f t="shared" ca="1" si="16"/>
        <v>0</v>
      </c>
    </row>
    <row r="56" spans="1:20" ht="21" customHeight="1" x14ac:dyDescent="0.3">
      <c r="A56" s="243">
        <v>4</v>
      </c>
      <c r="B56" s="244" t="s">
        <v>78</v>
      </c>
      <c r="C56" s="245">
        <f t="shared" ca="1" si="0"/>
        <v>0</v>
      </c>
      <c r="D56" s="246">
        <f t="shared" ca="1" si="26"/>
        <v>0</v>
      </c>
      <c r="E56" s="247">
        <f ca="1">IFERROR(__xludf.DUMMYFUNCTION("IMPORTRANGE(""https://docs.google.com/spreadsheets/d/1MeEWN-I1oV_STSDYn1IFDPWt_1FKiwhDph83XaGc0o0/edit?usp=sharing"",""งบพรบ!BB56"")"),0)</f>
        <v>0</v>
      </c>
      <c r="F56" s="247">
        <f ca="1">IFERROR(__xludf.DUMMYFUNCTION("IMPORTRANGE(""https://docs.google.com/spreadsheets/d/1MeEWN-I1oV_STSDYn1IFDPWt_1FKiwhDph83XaGc0o0/edit?usp=sharing"",""งบพรบ!BC56"")"),0)</f>
        <v>0</v>
      </c>
      <c r="G56" s="247">
        <f ca="1">IFERROR(__xludf.DUMMYFUNCTION("IMPORTRANGE(""https://docs.google.com/spreadsheets/d/1MeEWN-I1oV_STSDYn1IFDPWt_1FKiwhDph83XaGc0o0/edit?usp=sharing"",""งบพรบ!BD56"")"),0)</f>
        <v>0</v>
      </c>
      <c r="H56" s="247">
        <f ca="1">IFERROR(__xludf.DUMMYFUNCTION("IMPORTRANGE(""https://docs.google.com/spreadsheets/d/1MeEWN-I1oV_STSDYn1IFDPWt_1FKiwhDph83XaGc0o0/edit?usp=sharing"",""งบพรบ!BF56"")"),0)</f>
        <v>0</v>
      </c>
      <c r="I56" s="247">
        <f ca="1">IFERROR(__xludf.DUMMYFUNCTION("IMPORTRANGE(""https://docs.google.com/spreadsheets/d/1MeEWN-I1oV_STSDYn1IFDPWt_1FKiwhDph83XaGc0o0/edit?usp=sharing"",""งบพรบ!BG56"")"),0)</f>
        <v>0</v>
      </c>
      <c r="J56" s="247">
        <f t="shared" ca="1" si="3"/>
        <v>0</v>
      </c>
      <c r="K56" s="253">
        <f t="shared" ca="1" si="4"/>
        <v>0</v>
      </c>
      <c r="L56" s="247">
        <f ca="1">IFERROR(__xludf.DUMMYFUNCTION("IMPORTRANGE(""https://docs.google.com/spreadsheets/d/1MeEWN-I1oV_STSDYn1IFDPWt_1FKiwhDph83XaGc0o0/edit?usp=sharing"",""งบพรบ!BH56"")"),0)</f>
        <v>0</v>
      </c>
      <c r="M56" s="250">
        <f t="shared" ca="1" si="5"/>
        <v>0</v>
      </c>
      <c r="N56" s="250">
        <f t="shared" ca="1" si="6"/>
        <v>0</v>
      </c>
      <c r="O56" s="251">
        <f ca="1">IFERROR(__xludf.DUMMYFUNCTION("IMPORTRANGE(""https://docs.google.com/spreadsheets/d/1MeEWN-I1oV_STSDYn1IFDPWt_1FKiwhDph83XaGc0o0/edit?usp=sharing"",""งบพรบ!BI56"")"),0)</f>
        <v>0</v>
      </c>
      <c r="P56" s="250">
        <f t="shared" ca="1" si="18"/>
        <v>0</v>
      </c>
      <c r="Q56" s="250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IFERROR(__xludf.DUMMYFUNCTION("IMPORTRANGE(""https://docs.google.com/spreadsheets/d/1_Zwps30dlVa-pZFsorjVf1Pil6WXwzCsJU0U2whO3NI/edit?usp=sharing"",""ชลบุรี!I118"")"),0)</f>
        <v>0</v>
      </c>
      <c r="S56" s="248">
        <f ca="1">IFERROR(__xludf.DUMMYFUNCTION("IMPORTRANGE(""https://docs.google.com/spreadsheets/d/1_Zwps30dlVa-pZFsorjVf1Pil6WXwzCsJU0U2whO3NI/edit?usp=sharing"",""ชลบุรี!J118"")"),0)</f>
        <v>0</v>
      </c>
      <c r="T56" s="252">
        <f t="shared" ca="1" si="16"/>
        <v>0</v>
      </c>
    </row>
    <row r="57" spans="1:20" ht="21" customHeight="1" x14ac:dyDescent="0.3">
      <c r="A57" s="243">
        <v>5</v>
      </c>
      <c r="B57" s="244" t="s">
        <v>79</v>
      </c>
      <c r="C57" s="245">
        <f t="shared" ca="1" si="0"/>
        <v>0</v>
      </c>
      <c r="D57" s="246">
        <f t="shared" ca="1" si="26"/>
        <v>0</v>
      </c>
      <c r="E57" s="247">
        <f ca="1">IFERROR(__xludf.DUMMYFUNCTION("IMPORTRANGE(""https://docs.google.com/spreadsheets/d/1MeEWN-I1oV_STSDYn1IFDPWt_1FKiwhDph83XaGc0o0/edit?usp=sharing"",""งบพรบ!BB57"")"),0)</f>
        <v>0</v>
      </c>
      <c r="F57" s="247">
        <f ca="1">IFERROR(__xludf.DUMMYFUNCTION("IMPORTRANGE(""https://docs.google.com/spreadsheets/d/1MeEWN-I1oV_STSDYn1IFDPWt_1FKiwhDph83XaGc0o0/edit?usp=sharing"",""งบพรบ!BC57"")"),0)</f>
        <v>0</v>
      </c>
      <c r="G57" s="247">
        <f ca="1">IFERROR(__xludf.DUMMYFUNCTION("IMPORTRANGE(""https://docs.google.com/spreadsheets/d/1MeEWN-I1oV_STSDYn1IFDPWt_1FKiwhDph83XaGc0o0/edit?usp=sharing"",""งบพรบ!BD57"")"),0)</f>
        <v>0</v>
      </c>
      <c r="H57" s="247">
        <f ca="1">IFERROR(__xludf.DUMMYFUNCTION("IMPORTRANGE(""https://docs.google.com/spreadsheets/d/1MeEWN-I1oV_STSDYn1IFDPWt_1FKiwhDph83XaGc0o0/edit?usp=sharing"",""งบพรบ!BF57"")"),0)</f>
        <v>0</v>
      </c>
      <c r="I57" s="247">
        <f ca="1">IFERROR(__xludf.DUMMYFUNCTION("IMPORTRANGE(""https://docs.google.com/spreadsheets/d/1MeEWN-I1oV_STSDYn1IFDPWt_1FKiwhDph83XaGc0o0/edit?usp=sharing"",""งบพรบ!BG57"")"),0)</f>
        <v>0</v>
      </c>
      <c r="J57" s="247">
        <f t="shared" ca="1" si="3"/>
        <v>0</v>
      </c>
      <c r="K57" s="253">
        <f t="shared" ca="1" si="4"/>
        <v>0</v>
      </c>
      <c r="L57" s="247">
        <f ca="1">IFERROR(__xludf.DUMMYFUNCTION("IMPORTRANGE(""https://docs.google.com/spreadsheets/d/1MeEWN-I1oV_STSDYn1IFDPWt_1FKiwhDph83XaGc0o0/edit?usp=sharing"",""งบพรบ!BH57"")"),0)</f>
        <v>0</v>
      </c>
      <c r="M57" s="250">
        <f t="shared" ca="1" si="5"/>
        <v>0</v>
      </c>
      <c r="N57" s="250">
        <f t="shared" ca="1" si="6"/>
        <v>0</v>
      </c>
      <c r="O57" s="251">
        <f ca="1">IFERROR(__xludf.DUMMYFUNCTION("IMPORTRANGE(""https://docs.google.com/spreadsheets/d/1MeEWN-I1oV_STSDYn1IFDPWt_1FKiwhDph83XaGc0o0/edit?usp=sharing"",""งบพรบ!BI57"")"),0)</f>
        <v>0</v>
      </c>
      <c r="P57" s="250">
        <f t="shared" ca="1" si="18"/>
        <v>0</v>
      </c>
      <c r="Q57" s="250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IFERROR(__xludf.DUMMYFUNCTION("IMPORTRANGE(""https://docs.google.com/spreadsheets/d/1xAsT4sUbBlom7l0acStESh_15nvjZcXjZM7fK5uZSq8/edit?usp=sharing"",""ชัยนาท!I118"")"),0)</f>
        <v>0</v>
      </c>
      <c r="S57" s="248">
        <f ca="1">IFERROR(__xludf.DUMMYFUNCTION("IMPORTRANGE(""https://docs.google.com/spreadsheets/d/1xAsT4sUbBlom7l0acStESh_15nvjZcXjZM7fK5uZSq8/edit?usp=sharing"",""ชัยนาท!J118"")"),0)</f>
        <v>0</v>
      </c>
      <c r="T57" s="252">
        <f t="shared" ca="1" si="16"/>
        <v>0</v>
      </c>
    </row>
    <row r="58" spans="1:20" ht="21" customHeight="1" x14ac:dyDescent="0.3">
      <c r="A58" s="243">
        <v>6</v>
      </c>
      <c r="B58" s="244" t="s">
        <v>80</v>
      </c>
      <c r="C58" s="245">
        <f t="shared" ca="1" si="0"/>
        <v>0</v>
      </c>
      <c r="D58" s="246">
        <f t="shared" ca="1" si="26"/>
        <v>0</v>
      </c>
      <c r="E58" s="247">
        <f ca="1">IFERROR(__xludf.DUMMYFUNCTION("IMPORTRANGE(""https://docs.google.com/spreadsheets/d/1MeEWN-I1oV_STSDYn1IFDPWt_1FKiwhDph83XaGc0o0/edit?usp=sharing"",""งบพรบ!BB58"")"),0)</f>
        <v>0</v>
      </c>
      <c r="F58" s="247">
        <f ca="1">IFERROR(__xludf.DUMMYFUNCTION("IMPORTRANGE(""https://docs.google.com/spreadsheets/d/1MeEWN-I1oV_STSDYn1IFDPWt_1FKiwhDph83XaGc0o0/edit?usp=sharing"",""งบพรบ!BC58"")"),0)</f>
        <v>0</v>
      </c>
      <c r="G58" s="247">
        <f ca="1">IFERROR(__xludf.DUMMYFUNCTION("IMPORTRANGE(""https://docs.google.com/spreadsheets/d/1MeEWN-I1oV_STSDYn1IFDPWt_1FKiwhDph83XaGc0o0/edit?usp=sharing"",""งบพรบ!BD58"")"),0)</f>
        <v>0</v>
      </c>
      <c r="H58" s="247">
        <f ca="1">IFERROR(__xludf.DUMMYFUNCTION("IMPORTRANGE(""https://docs.google.com/spreadsheets/d/1MeEWN-I1oV_STSDYn1IFDPWt_1FKiwhDph83XaGc0o0/edit?usp=sharing"",""งบพรบ!BF58"")"),0)</f>
        <v>0</v>
      </c>
      <c r="I58" s="247">
        <f ca="1">IFERROR(__xludf.DUMMYFUNCTION("IMPORTRANGE(""https://docs.google.com/spreadsheets/d/1MeEWN-I1oV_STSDYn1IFDPWt_1FKiwhDph83XaGc0o0/edit?usp=sharing"",""งบพรบ!BG58"")"),0)</f>
        <v>0</v>
      </c>
      <c r="J58" s="247">
        <f t="shared" ca="1" si="3"/>
        <v>0</v>
      </c>
      <c r="K58" s="253">
        <f t="shared" ca="1" si="4"/>
        <v>0</v>
      </c>
      <c r="L58" s="247">
        <f ca="1">IFERROR(__xludf.DUMMYFUNCTION("IMPORTRANGE(""https://docs.google.com/spreadsheets/d/1MeEWN-I1oV_STSDYn1IFDPWt_1FKiwhDph83XaGc0o0/edit?usp=sharing"",""งบพรบ!BH58"")"),0)</f>
        <v>0</v>
      </c>
      <c r="M58" s="250">
        <f t="shared" ca="1" si="5"/>
        <v>0</v>
      </c>
      <c r="N58" s="250">
        <f t="shared" ca="1" si="6"/>
        <v>0</v>
      </c>
      <c r="O58" s="251">
        <f ca="1">IFERROR(__xludf.DUMMYFUNCTION("IMPORTRANGE(""https://docs.google.com/spreadsheets/d/1MeEWN-I1oV_STSDYn1IFDPWt_1FKiwhDph83XaGc0o0/edit?usp=sharing"",""งบพรบ!BI58"")"),0)</f>
        <v>0</v>
      </c>
      <c r="P58" s="250">
        <f t="shared" ca="1" si="18"/>
        <v>0</v>
      </c>
      <c r="Q58" s="250">
        <f t="shared" ca="1" si="8"/>
        <v>0</v>
      </c>
      <c r="R58" s="248">
        <f ca="1">IFERROR(__xludf.DUMMYFUNCTION("IMPORTRANGE(""https://docs.google.com/spreadsheets/d/1vWPVBOAaZ6mHSI8yf95DNqHwTJ1cpeFsvqt6cxV34QA/edit?usp=sharing"",""ตราด!I118"")"),0)</f>
        <v>0</v>
      </c>
      <c r="S58" s="248">
        <f ca="1">IFERROR(__xludf.DUMMYFUNCTION("IMPORTRANGE(""https://docs.google.com/spreadsheets/d/1vWPVBOAaZ6mHSI8yf95DNqHwTJ1cpeFsvqt6cxV34QA/edit?usp=sharing"",""ตราด!J118"")"),0)</f>
        <v>0</v>
      </c>
      <c r="T58" s="252">
        <f t="shared" ca="1" si="16"/>
        <v>0</v>
      </c>
    </row>
    <row r="59" spans="1:20" ht="21" customHeight="1" x14ac:dyDescent="0.3">
      <c r="A59" s="243">
        <v>7</v>
      </c>
      <c r="B59" s="244" t="s">
        <v>81</v>
      </c>
      <c r="C59" s="245">
        <f t="shared" ca="1" si="0"/>
        <v>0</v>
      </c>
      <c r="D59" s="246">
        <f t="shared" ca="1" si="26"/>
        <v>0</v>
      </c>
      <c r="E59" s="247">
        <f ca="1">IFERROR(__xludf.DUMMYFUNCTION("IMPORTRANGE(""https://docs.google.com/spreadsheets/d/1MeEWN-I1oV_STSDYn1IFDPWt_1FKiwhDph83XaGc0o0/edit?usp=sharing"",""งบพรบ!BB59"")"),0)</f>
        <v>0</v>
      </c>
      <c r="F59" s="247">
        <f ca="1">IFERROR(__xludf.DUMMYFUNCTION("IMPORTRANGE(""https://docs.google.com/spreadsheets/d/1MeEWN-I1oV_STSDYn1IFDPWt_1FKiwhDph83XaGc0o0/edit?usp=sharing"",""งบพรบ!BC59"")"),0)</f>
        <v>0</v>
      </c>
      <c r="G59" s="247">
        <f ca="1">IFERROR(__xludf.DUMMYFUNCTION("IMPORTRANGE(""https://docs.google.com/spreadsheets/d/1MeEWN-I1oV_STSDYn1IFDPWt_1FKiwhDph83XaGc0o0/edit?usp=sharing"",""งบพรบ!BD59"")"),0)</f>
        <v>0</v>
      </c>
      <c r="H59" s="247">
        <f ca="1">IFERROR(__xludf.DUMMYFUNCTION("IMPORTRANGE(""https://docs.google.com/spreadsheets/d/1MeEWN-I1oV_STSDYn1IFDPWt_1FKiwhDph83XaGc0o0/edit?usp=sharing"",""งบพรบ!BF59"")"),0)</f>
        <v>0</v>
      </c>
      <c r="I59" s="247">
        <f ca="1">IFERROR(__xludf.DUMMYFUNCTION("IMPORTRANGE(""https://docs.google.com/spreadsheets/d/1MeEWN-I1oV_STSDYn1IFDPWt_1FKiwhDph83XaGc0o0/edit?usp=sharing"",""งบพรบ!BG59"")"),0)</f>
        <v>0</v>
      </c>
      <c r="J59" s="247">
        <f t="shared" ca="1" si="3"/>
        <v>0</v>
      </c>
      <c r="K59" s="253">
        <f t="shared" ca="1" si="4"/>
        <v>0</v>
      </c>
      <c r="L59" s="247">
        <f ca="1">IFERROR(__xludf.DUMMYFUNCTION("IMPORTRANGE(""https://docs.google.com/spreadsheets/d/1MeEWN-I1oV_STSDYn1IFDPWt_1FKiwhDph83XaGc0o0/edit?usp=sharing"",""งบพรบ!BH59"")"),0)</f>
        <v>0</v>
      </c>
      <c r="M59" s="250">
        <f t="shared" ca="1" si="5"/>
        <v>0</v>
      </c>
      <c r="N59" s="250">
        <f t="shared" ca="1" si="6"/>
        <v>0</v>
      </c>
      <c r="O59" s="251">
        <f ca="1">IFERROR(__xludf.DUMMYFUNCTION("IMPORTRANGE(""https://docs.google.com/spreadsheets/d/1MeEWN-I1oV_STSDYn1IFDPWt_1FKiwhDph83XaGc0o0/edit?usp=sharing"",""งบพรบ!BI59"")"),0)</f>
        <v>0</v>
      </c>
      <c r="P59" s="250">
        <f t="shared" ca="1" si="18"/>
        <v>0</v>
      </c>
      <c r="Q59" s="250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IFERROR(__xludf.DUMMYFUNCTION("IMPORTRANGE(""https://docs.google.com/spreadsheets/d/1phaeSb9lTGgzDpbvVqI9hfmOQQzUom07-HEvpbARzEg/edit?usp=sharing"",""นครนายก!I118"")"),0)</f>
        <v>0</v>
      </c>
      <c r="S59" s="248">
        <f ca="1">IFERROR(__xludf.DUMMYFUNCTION("IMPORTRANGE(""https://docs.google.com/spreadsheets/d/1phaeSb9lTGgzDpbvVqI9hfmOQQzUom07-HEvpbARzEg/edit?usp=sharing"",""นครนายก!J118"")"),0)</f>
        <v>0</v>
      </c>
      <c r="T59" s="252">
        <f t="shared" ca="1" si="16"/>
        <v>0</v>
      </c>
    </row>
    <row r="60" spans="1:20" ht="21" customHeight="1" x14ac:dyDescent="0.3">
      <c r="A60" s="243">
        <v>8</v>
      </c>
      <c r="B60" s="244" t="s">
        <v>82</v>
      </c>
      <c r="C60" s="245">
        <f t="shared" ca="1" si="0"/>
        <v>0</v>
      </c>
      <c r="D60" s="246">
        <f t="shared" ca="1" si="26"/>
        <v>0</v>
      </c>
      <c r="E60" s="247">
        <f ca="1">IFERROR(__xludf.DUMMYFUNCTION("IMPORTRANGE(""https://docs.google.com/spreadsheets/d/1MeEWN-I1oV_STSDYn1IFDPWt_1FKiwhDph83XaGc0o0/edit?usp=sharing"",""งบพรบ!BB60"")"),0)</f>
        <v>0</v>
      </c>
      <c r="F60" s="247">
        <f ca="1">IFERROR(__xludf.DUMMYFUNCTION("IMPORTRANGE(""https://docs.google.com/spreadsheets/d/1MeEWN-I1oV_STSDYn1IFDPWt_1FKiwhDph83XaGc0o0/edit?usp=sharing"",""งบพรบ!BC60"")"),0)</f>
        <v>0</v>
      </c>
      <c r="G60" s="247">
        <f ca="1">IFERROR(__xludf.DUMMYFUNCTION("IMPORTRANGE(""https://docs.google.com/spreadsheets/d/1MeEWN-I1oV_STSDYn1IFDPWt_1FKiwhDph83XaGc0o0/edit?usp=sharing"",""งบพรบ!BD60"")"),0)</f>
        <v>0</v>
      </c>
      <c r="H60" s="247">
        <f ca="1">IFERROR(__xludf.DUMMYFUNCTION("IMPORTRANGE(""https://docs.google.com/spreadsheets/d/1MeEWN-I1oV_STSDYn1IFDPWt_1FKiwhDph83XaGc0o0/edit?usp=sharing"",""งบพรบ!BF60"")"),0)</f>
        <v>0</v>
      </c>
      <c r="I60" s="247">
        <f ca="1">IFERROR(__xludf.DUMMYFUNCTION("IMPORTRANGE(""https://docs.google.com/spreadsheets/d/1MeEWN-I1oV_STSDYn1IFDPWt_1FKiwhDph83XaGc0o0/edit?usp=sharing"",""งบพรบ!BG60"")"),0)</f>
        <v>0</v>
      </c>
      <c r="J60" s="247">
        <f t="shared" ca="1" si="3"/>
        <v>0</v>
      </c>
      <c r="K60" s="253">
        <f t="shared" ca="1" si="4"/>
        <v>0</v>
      </c>
      <c r="L60" s="247">
        <f ca="1">IFERROR(__xludf.DUMMYFUNCTION("IMPORTRANGE(""https://docs.google.com/spreadsheets/d/1MeEWN-I1oV_STSDYn1IFDPWt_1FKiwhDph83XaGc0o0/edit?usp=sharing"",""งบพรบ!BH60"")"),0)</f>
        <v>0</v>
      </c>
      <c r="M60" s="250">
        <f t="shared" ca="1" si="5"/>
        <v>0</v>
      </c>
      <c r="N60" s="250">
        <f t="shared" ca="1" si="6"/>
        <v>0</v>
      </c>
      <c r="O60" s="251">
        <f ca="1">IFERROR(__xludf.DUMMYFUNCTION("IMPORTRANGE(""https://docs.google.com/spreadsheets/d/1MeEWN-I1oV_STSDYn1IFDPWt_1FKiwhDph83XaGc0o0/edit?usp=sharing"",""งบพรบ!BI60"")"),0)</f>
        <v>0</v>
      </c>
      <c r="P60" s="250">
        <f t="shared" ca="1" si="18"/>
        <v>0</v>
      </c>
      <c r="Q60" s="250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IFERROR(__xludf.DUMMYFUNCTION("IMPORTRANGE(""https://docs.google.com/spreadsheets/d/1tpwhWwkqkBeiSWCcfB5f2fbwPRbM9hHOEDSDHpl2MIc/edit?usp=sharing"",""นครปฐม!I118"")"),0)</f>
        <v>0</v>
      </c>
      <c r="S60" s="248">
        <f ca="1">IFERROR(__xludf.DUMMYFUNCTION("IMPORTRANGE(""https://docs.google.com/spreadsheets/d/1tpwhWwkqkBeiSWCcfB5f2fbwPRbM9hHOEDSDHpl2MIc/edit?usp=sharing"",""นครปฐม!J118"")"),0)</f>
        <v>0</v>
      </c>
      <c r="T60" s="252">
        <f t="shared" ca="1" si="16"/>
        <v>0</v>
      </c>
    </row>
    <row r="61" spans="1:20" ht="21" customHeight="1" x14ac:dyDescent="0.3">
      <c r="A61" s="243">
        <v>9</v>
      </c>
      <c r="B61" s="244" t="s">
        <v>83</v>
      </c>
      <c r="C61" s="245">
        <f t="shared" ca="1" si="0"/>
        <v>0</v>
      </c>
      <c r="D61" s="246">
        <f t="shared" ca="1" si="26"/>
        <v>0</v>
      </c>
      <c r="E61" s="247">
        <f ca="1">IFERROR(__xludf.DUMMYFUNCTION("IMPORTRANGE(""https://docs.google.com/spreadsheets/d/1MeEWN-I1oV_STSDYn1IFDPWt_1FKiwhDph83XaGc0o0/edit?usp=sharing"",""งบพรบ!BB61"")"),0)</f>
        <v>0</v>
      </c>
      <c r="F61" s="247">
        <f ca="1">IFERROR(__xludf.DUMMYFUNCTION("IMPORTRANGE(""https://docs.google.com/spreadsheets/d/1MeEWN-I1oV_STSDYn1IFDPWt_1FKiwhDph83XaGc0o0/edit?usp=sharing"",""งบพรบ!BC61"")"),0)</f>
        <v>0</v>
      </c>
      <c r="G61" s="247">
        <f ca="1">IFERROR(__xludf.DUMMYFUNCTION("IMPORTRANGE(""https://docs.google.com/spreadsheets/d/1MeEWN-I1oV_STSDYn1IFDPWt_1FKiwhDph83XaGc0o0/edit?usp=sharing"",""งบพรบ!BD61"")"),0)</f>
        <v>0</v>
      </c>
      <c r="H61" s="247">
        <f ca="1">IFERROR(__xludf.DUMMYFUNCTION("IMPORTRANGE(""https://docs.google.com/spreadsheets/d/1MeEWN-I1oV_STSDYn1IFDPWt_1FKiwhDph83XaGc0o0/edit?usp=sharing"",""งบพรบ!BF61"")"),0)</f>
        <v>0</v>
      </c>
      <c r="I61" s="247">
        <f ca="1">IFERROR(__xludf.DUMMYFUNCTION("IMPORTRANGE(""https://docs.google.com/spreadsheets/d/1MeEWN-I1oV_STSDYn1IFDPWt_1FKiwhDph83XaGc0o0/edit?usp=sharing"",""งบพรบ!BG61"")"),0)</f>
        <v>0</v>
      </c>
      <c r="J61" s="247">
        <f t="shared" ca="1" si="3"/>
        <v>0</v>
      </c>
      <c r="K61" s="253">
        <f t="shared" ca="1" si="4"/>
        <v>0</v>
      </c>
      <c r="L61" s="247">
        <f ca="1">IFERROR(__xludf.DUMMYFUNCTION("IMPORTRANGE(""https://docs.google.com/spreadsheets/d/1MeEWN-I1oV_STSDYn1IFDPWt_1FKiwhDph83XaGc0o0/edit?usp=sharing"",""งบพรบ!BH61"")"),0)</f>
        <v>0</v>
      </c>
      <c r="M61" s="250">
        <f t="shared" ca="1" si="5"/>
        <v>0</v>
      </c>
      <c r="N61" s="250">
        <f t="shared" ca="1" si="6"/>
        <v>0</v>
      </c>
      <c r="O61" s="251">
        <f ca="1">IFERROR(__xludf.DUMMYFUNCTION("IMPORTRANGE(""https://docs.google.com/spreadsheets/d/1MeEWN-I1oV_STSDYn1IFDPWt_1FKiwhDph83XaGc0o0/edit?usp=sharing"",""งบพรบ!BI61"")"),0)</f>
        <v>0</v>
      </c>
      <c r="P61" s="250">
        <f t="shared" ca="1" si="18"/>
        <v>0</v>
      </c>
      <c r="Q61" s="250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IFERROR(__xludf.DUMMYFUNCTION("IMPORTRANGE(""https://docs.google.com/spreadsheets/d/1fJJCVBkBnhriyv0Cp5ZFMr0I_yrfdEITNpb4zILJgUQ/edit?usp=sharing"",""ปทุมธานี!I118"")"),0)</f>
        <v>0</v>
      </c>
      <c r="S61" s="248">
        <f ca="1">IFERROR(__xludf.DUMMYFUNCTION("IMPORTRANGE(""https://docs.google.com/spreadsheets/d/1fJJCVBkBnhriyv0Cp5ZFMr0I_yrfdEITNpb4zILJgUQ/edit?usp=sharing"",""ปทุมธานี!J118"")"),0)</f>
        <v>0</v>
      </c>
      <c r="T61" s="252">
        <f t="shared" ca="1" si="16"/>
        <v>0</v>
      </c>
    </row>
    <row r="62" spans="1:20" ht="21" customHeight="1" x14ac:dyDescent="0.3">
      <c r="A62" s="243">
        <v>10</v>
      </c>
      <c r="B62" s="244" t="s">
        <v>84</v>
      </c>
      <c r="C62" s="245">
        <f t="shared" ca="1" si="0"/>
        <v>0</v>
      </c>
      <c r="D62" s="246">
        <f t="shared" ca="1" si="26"/>
        <v>0</v>
      </c>
      <c r="E62" s="247">
        <f ca="1">IFERROR(__xludf.DUMMYFUNCTION("IMPORTRANGE(""https://docs.google.com/spreadsheets/d/1MeEWN-I1oV_STSDYn1IFDPWt_1FKiwhDph83XaGc0o0/edit?usp=sharing"",""งบพรบ!BB62"")"),0)</f>
        <v>0</v>
      </c>
      <c r="F62" s="247">
        <f ca="1">IFERROR(__xludf.DUMMYFUNCTION("IMPORTRANGE(""https://docs.google.com/spreadsheets/d/1MeEWN-I1oV_STSDYn1IFDPWt_1FKiwhDph83XaGc0o0/edit?usp=sharing"",""งบพรบ!BC62"")"),0)</f>
        <v>0</v>
      </c>
      <c r="G62" s="247">
        <f ca="1">IFERROR(__xludf.DUMMYFUNCTION("IMPORTRANGE(""https://docs.google.com/spreadsheets/d/1MeEWN-I1oV_STSDYn1IFDPWt_1FKiwhDph83XaGc0o0/edit?usp=sharing"",""งบพรบ!BD62"")"),0)</f>
        <v>0</v>
      </c>
      <c r="H62" s="247">
        <f ca="1">IFERROR(__xludf.DUMMYFUNCTION("IMPORTRANGE(""https://docs.google.com/spreadsheets/d/1MeEWN-I1oV_STSDYn1IFDPWt_1FKiwhDph83XaGc0o0/edit?usp=sharing"",""งบพรบ!BF62"")"),0)</f>
        <v>0</v>
      </c>
      <c r="I62" s="247">
        <f ca="1">IFERROR(__xludf.DUMMYFUNCTION("IMPORTRANGE(""https://docs.google.com/spreadsheets/d/1MeEWN-I1oV_STSDYn1IFDPWt_1FKiwhDph83XaGc0o0/edit?usp=sharing"",""งบพรบ!BG62"")"),0)</f>
        <v>0</v>
      </c>
      <c r="J62" s="247">
        <f t="shared" ca="1" si="3"/>
        <v>0</v>
      </c>
      <c r="K62" s="253">
        <f t="shared" ca="1" si="4"/>
        <v>0</v>
      </c>
      <c r="L62" s="247">
        <f ca="1">IFERROR(__xludf.DUMMYFUNCTION("IMPORTRANGE(""https://docs.google.com/spreadsheets/d/1MeEWN-I1oV_STSDYn1IFDPWt_1FKiwhDph83XaGc0o0/edit?usp=sharing"",""งบพรบ!BH62"")"),0)</f>
        <v>0</v>
      </c>
      <c r="M62" s="250">
        <f t="shared" ca="1" si="5"/>
        <v>0</v>
      </c>
      <c r="N62" s="250">
        <f t="shared" ca="1" si="6"/>
        <v>0</v>
      </c>
      <c r="O62" s="251">
        <f ca="1">IFERROR(__xludf.DUMMYFUNCTION("IMPORTRANGE(""https://docs.google.com/spreadsheets/d/1MeEWN-I1oV_STSDYn1IFDPWt_1FKiwhDph83XaGc0o0/edit?usp=sharing"",""งบพรบ!BI62"")"),0)</f>
        <v>0</v>
      </c>
      <c r="P62" s="250">
        <f t="shared" ca="1" si="18"/>
        <v>0</v>
      </c>
      <c r="Q62" s="250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IFERROR(__xludf.DUMMYFUNCTION("IMPORTRANGE(""https://docs.google.com/spreadsheets/d/1W5Jj_S0gYw6wSO7QcMI02YgyOBDKYgmm0NSUk-AQEac/edit?usp=sharing"",""ประจวบคีรีขันธ์!I118"")"),0)</f>
        <v>0</v>
      </c>
      <c r="S62" s="248">
        <f ca="1">IFERROR(__xludf.DUMMYFUNCTION("IMPORTRANGE(""https://docs.google.com/spreadsheets/d/1W5Jj_S0gYw6wSO7QcMI02YgyOBDKYgmm0NSUk-AQEac/edit?usp=sharing"",""ประจวบคีรีขันธ์!J118"")"),0)</f>
        <v>0</v>
      </c>
      <c r="T62" s="252">
        <f t="shared" ca="1" si="16"/>
        <v>0</v>
      </c>
    </row>
    <row r="63" spans="1:20" ht="21" customHeight="1" x14ac:dyDescent="0.3">
      <c r="A63" s="243">
        <v>11</v>
      </c>
      <c r="B63" s="244" t="s">
        <v>85</v>
      </c>
      <c r="C63" s="245">
        <f t="shared" ca="1" si="0"/>
        <v>0</v>
      </c>
      <c r="D63" s="246">
        <f t="shared" ca="1" si="26"/>
        <v>0</v>
      </c>
      <c r="E63" s="247">
        <f ca="1">IFERROR(__xludf.DUMMYFUNCTION("IMPORTRANGE(""https://docs.google.com/spreadsheets/d/1MeEWN-I1oV_STSDYn1IFDPWt_1FKiwhDph83XaGc0o0/edit?usp=sharing"",""งบพรบ!BB63"")"),0)</f>
        <v>0</v>
      </c>
      <c r="F63" s="247">
        <f ca="1">IFERROR(__xludf.DUMMYFUNCTION("IMPORTRANGE(""https://docs.google.com/spreadsheets/d/1MeEWN-I1oV_STSDYn1IFDPWt_1FKiwhDph83XaGc0o0/edit?usp=sharing"",""งบพรบ!BC63"")"),0)</f>
        <v>0</v>
      </c>
      <c r="G63" s="247">
        <f ca="1">IFERROR(__xludf.DUMMYFUNCTION("IMPORTRANGE(""https://docs.google.com/spreadsheets/d/1MeEWN-I1oV_STSDYn1IFDPWt_1FKiwhDph83XaGc0o0/edit?usp=sharing"",""งบพรบ!BD63"")"),0)</f>
        <v>0</v>
      </c>
      <c r="H63" s="247">
        <f ca="1">IFERROR(__xludf.DUMMYFUNCTION("IMPORTRANGE(""https://docs.google.com/spreadsheets/d/1MeEWN-I1oV_STSDYn1IFDPWt_1FKiwhDph83XaGc0o0/edit?usp=sharing"",""งบพรบ!BF63"")"),0)</f>
        <v>0</v>
      </c>
      <c r="I63" s="247">
        <f ca="1">IFERROR(__xludf.DUMMYFUNCTION("IMPORTRANGE(""https://docs.google.com/spreadsheets/d/1MeEWN-I1oV_STSDYn1IFDPWt_1FKiwhDph83XaGc0o0/edit?usp=sharing"",""งบพรบ!BG63"")"),0)</f>
        <v>0</v>
      </c>
      <c r="J63" s="247">
        <f t="shared" ca="1" si="3"/>
        <v>0</v>
      </c>
      <c r="K63" s="253">
        <f t="shared" ca="1" si="4"/>
        <v>0</v>
      </c>
      <c r="L63" s="247">
        <f ca="1">IFERROR(__xludf.DUMMYFUNCTION("IMPORTRANGE(""https://docs.google.com/spreadsheets/d/1MeEWN-I1oV_STSDYn1IFDPWt_1FKiwhDph83XaGc0o0/edit?usp=sharing"",""งบพรบ!BH63"")"),0)</f>
        <v>0</v>
      </c>
      <c r="M63" s="250">
        <f t="shared" ca="1" si="5"/>
        <v>0</v>
      </c>
      <c r="N63" s="250">
        <f t="shared" ca="1" si="6"/>
        <v>0</v>
      </c>
      <c r="O63" s="251">
        <f ca="1">IFERROR(__xludf.DUMMYFUNCTION("IMPORTRANGE(""https://docs.google.com/spreadsheets/d/1MeEWN-I1oV_STSDYn1IFDPWt_1FKiwhDph83XaGc0o0/edit?usp=sharing"",""งบพรบ!BI63"")"),0)</f>
        <v>0</v>
      </c>
      <c r="P63" s="250">
        <f t="shared" ca="1" si="18"/>
        <v>0</v>
      </c>
      <c r="Q63" s="250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IFERROR(__xludf.DUMMYFUNCTION("IMPORTRANGE(""https://docs.google.com/spreadsheets/d/1nYxRXgnCfTXtqUY1otYuTlnrzE0Tn-Y0YRsW5pkRVqo/edit?usp=sharing"",""ปราจีนบุรี!I118"")"),0)</f>
        <v>0</v>
      </c>
      <c r="S63" s="248">
        <f ca="1">IFERROR(__xludf.DUMMYFUNCTION("IMPORTRANGE(""https://docs.google.com/spreadsheets/d/1nYxRXgnCfTXtqUY1otYuTlnrzE0Tn-Y0YRsW5pkRVqo/edit?usp=sharing"",""ปราจีนบุรี!J118"")"),0)</f>
        <v>0</v>
      </c>
      <c r="T63" s="252">
        <f t="shared" ca="1" si="16"/>
        <v>0</v>
      </c>
    </row>
    <row r="64" spans="1:20" ht="21" customHeight="1" x14ac:dyDescent="0.3">
      <c r="A64" s="243">
        <v>12</v>
      </c>
      <c r="B64" s="244" t="s">
        <v>86</v>
      </c>
      <c r="C64" s="245">
        <f t="shared" ca="1" si="0"/>
        <v>0</v>
      </c>
      <c r="D64" s="246">
        <f t="shared" ca="1" si="26"/>
        <v>0</v>
      </c>
      <c r="E64" s="247">
        <f ca="1">IFERROR(__xludf.DUMMYFUNCTION("IMPORTRANGE(""https://docs.google.com/spreadsheets/d/1MeEWN-I1oV_STSDYn1IFDPWt_1FKiwhDph83XaGc0o0/edit?usp=sharing"",""งบพรบ!BB64"")"),0)</f>
        <v>0</v>
      </c>
      <c r="F64" s="247">
        <f ca="1">IFERROR(__xludf.DUMMYFUNCTION("IMPORTRANGE(""https://docs.google.com/spreadsheets/d/1MeEWN-I1oV_STSDYn1IFDPWt_1FKiwhDph83XaGc0o0/edit?usp=sharing"",""งบพรบ!BC64"")"),0)</f>
        <v>0</v>
      </c>
      <c r="G64" s="247">
        <f ca="1">IFERROR(__xludf.DUMMYFUNCTION("IMPORTRANGE(""https://docs.google.com/spreadsheets/d/1MeEWN-I1oV_STSDYn1IFDPWt_1FKiwhDph83XaGc0o0/edit?usp=sharing"",""งบพรบ!BD64"")"),0)</f>
        <v>0</v>
      </c>
      <c r="H64" s="247">
        <f ca="1">IFERROR(__xludf.DUMMYFUNCTION("IMPORTRANGE(""https://docs.google.com/spreadsheets/d/1MeEWN-I1oV_STSDYn1IFDPWt_1FKiwhDph83XaGc0o0/edit?usp=sharing"",""งบพรบ!BF64"")"),0)</f>
        <v>0</v>
      </c>
      <c r="I64" s="247">
        <f ca="1">IFERROR(__xludf.DUMMYFUNCTION("IMPORTRANGE(""https://docs.google.com/spreadsheets/d/1MeEWN-I1oV_STSDYn1IFDPWt_1FKiwhDph83XaGc0o0/edit?usp=sharing"",""งบพรบ!BG64"")"),0)</f>
        <v>0</v>
      </c>
      <c r="J64" s="247">
        <f t="shared" ca="1" si="3"/>
        <v>0</v>
      </c>
      <c r="K64" s="253">
        <f t="shared" ca="1" si="4"/>
        <v>0</v>
      </c>
      <c r="L64" s="247">
        <f ca="1">IFERROR(__xludf.DUMMYFUNCTION("IMPORTRANGE(""https://docs.google.com/spreadsheets/d/1MeEWN-I1oV_STSDYn1IFDPWt_1FKiwhDph83XaGc0o0/edit?usp=sharing"",""งบพรบ!BH64"")"),0)</f>
        <v>0</v>
      </c>
      <c r="M64" s="250">
        <f t="shared" ca="1" si="5"/>
        <v>0</v>
      </c>
      <c r="N64" s="250">
        <f t="shared" ca="1" si="6"/>
        <v>0</v>
      </c>
      <c r="O64" s="251">
        <f ca="1">IFERROR(__xludf.DUMMYFUNCTION("IMPORTRANGE(""https://docs.google.com/spreadsheets/d/1MeEWN-I1oV_STSDYn1IFDPWt_1FKiwhDph83XaGc0o0/edit?usp=sharing"",""งบพรบ!BI64"")"),0)</f>
        <v>0</v>
      </c>
      <c r="P64" s="250">
        <f t="shared" ca="1" si="18"/>
        <v>0</v>
      </c>
      <c r="Q64" s="250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IFERROR(__xludf.DUMMYFUNCTION("IMPORTRANGE(""https://docs.google.com/spreadsheets/d/1nNHCLO8ZAXOMfQvxux7cf_hrzPAh8FAvaHq_ClKbZNo/edit?usp=sharing"",""พระนครศรีอยุธยา!I118"")"),0)</f>
        <v>0</v>
      </c>
      <c r="S64" s="248">
        <f ca="1">IFERROR(__xludf.DUMMYFUNCTION("IMPORTRANGE(""https://docs.google.com/spreadsheets/d/1nNHCLO8ZAXOMfQvxux7cf_hrzPAh8FAvaHq_ClKbZNo/edit?usp=sharing"",""พระนครศรีอยุธยา!J118"")"),0)</f>
        <v>0</v>
      </c>
      <c r="T64" s="252">
        <f t="shared" ca="1" si="16"/>
        <v>0</v>
      </c>
    </row>
    <row r="65" spans="1:20" ht="21" customHeight="1" x14ac:dyDescent="0.3">
      <c r="A65" s="243">
        <v>13</v>
      </c>
      <c r="B65" s="244" t="s">
        <v>87</v>
      </c>
      <c r="C65" s="245">
        <f t="shared" ca="1" si="0"/>
        <v>0</v>
      </c>
      <c r="D65" s="246">
        <f t="shared" ca="1" si="26"/>
        <v>0</v>
      </c>
      <c r="E65" s="247">
        <f ca="1">IFERROR(__xludf.DUMMYFUNCTION("IMPORTRANGE(""https://docs.google.com/spreadsheets/d/1MeEWN-I1oV_STSDYn1IFDPWt_1FKiwhDph83XaGc0o0/edit?usp=sharing"",""งบพรบ!BB65"")"),0)</f>
        <v>0</v>
      </c>
      <c r="F65" s="247">
        <f ca="1">IFERROR(__xludf.DUMMYFUNCTION("IMPORTRANGE(""https://docs.google.com/spreadsheets/d/1MeEWN-I1oV_STSDYn1IFDPWt_1FKiwhDph83XaGc0o0/edit?usp=sharing"",""งบพรบ!BC65"")"),0)</f>
        <v>0</v>
      </c>
      <c r="G65" s="247">
        <f ca="1">IFERROR(__xludf.DUMMYFUNCTION("IMPORTRANGE(""https://docs.google.com/spreadsheets/d/1MeEWN-I1oV_STSDYn1IFDPWt_1FKiwhDph83XaGc0o0/edit?usp=sharing"",""งบพรบ!BD65"")"),0)</f>
        <v>0</v>
      </c>
      <c r="H65" s="247">
        <f ca="1">IFERROR(__xludf.DUMMYFUNCTION("IMPORTRANGE(""https://docs.google.com/spreadsheets/d/1MeEWN-I1oV_STSDYn1IFDPWt_1FKiwhDph83XaGc0o0/edit?usp=sharing"",""งบพรบ!BF65"")"),0)</f>
        <v>0</v>
      </c>
      <c r="I65" s="247">
        <f ca="1">IFERROR(__xludf.DUMMYFUNCTION("IMPORTRANGE(""https://docs.google.com/spreadsheets/d/1MeEWN-I1oV_STSDYn1IFDPWt_1FKiwhDph83XaGc0o0/edit?usp=sharing"",""งบพรบ!BG65"")"),0)</f>
        <v>0</v>
      </c>
      <c r="J65" s="247">
        <f t="shared" ca="1" si="3"/>
        <v>0</v>
      </c>
      <c r="K65" s="253">
        <f t="shared" ca="1" si="4"/>
        <v>0</v>
      </c>
      <c r="L65" s="247">
        <f ca="1">IFERROR(__xludf.DUMMYFUNCTION("IMPORTRANGE(""https://docs.google.com/spreadsheets/d/1MeEWN-I1oV_STSDYn1IFDPWt_1FKiwhDph83XaGc0o0/edit?usp=sharing"",""งบพรบ!BH65"")"),0)</f>
        <v>0</v>
      </c>
      <c r="M65" s="250">
        <f t="shared" ca="1" si="5"/>
        <v>0</v>
      </c>
      <c r="N65" s="250">
        <f t="shared" ca="1" si="6"/>
        <v>0</v>
      </c>
      <c r="O65" s="251">
        <f ca="1">IFERROR(__xludf.DUMMYFUNCTION("IMPORTRANGE(""https://docs.google.com/spreadsheets/d/1MeEWN-I1oV_STSDYn1IFDPWt_1FKiwhDph83XaGc0o0/edit?usp=sharing"",""งบพรบ!BI65"")"),0)</f>
        <v>0</v>
      </c>
      <c r="P65" s="250">
        <f t="shared" ca="1" si="18"/>
        <v>0</v>
      </c>
      <c r="Q65" s="250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IFERROR(__xludf.DUMMYFUNCTION("IMPORTRANGE(""https://docs.google.com/spreadsheets/d/1CdNicvf3i6yt4tJlCePe3V1Va76wYqW0QzMzTsaGRrA/edit?usp=sharing"",""เพชรบุรี!I118"")"),0)</f>
        <v>0</v>
      </c>
      <c r="S65" s="248">
        <f ca="1">IFERROR(__xludf.DUMMYFUNCTION("IMPORTRANGE(""https://docs.google.com/spreadsheets/d/1CdNicvf3i6yt4tJlCePe3V1Va76wYqW0QzMzTsaGRrA/edit?usp=sharing"",""เพชรบุรี!J118"")"),0)</f>
        <v>0</v>
      </c>
      <c r="T65" s="252">
        <f t="shared" ca="1" si="16"/>
        <v>0</v>
      </c>
    </row>
    <row r="66" spans="1:20" ht="21" customHeight="1" x14ac:dyDescent="0.3">
      <c r="A66" s="243">
        <v>14</v>
      </c>
      <c r="B66" s="244" t="s">
        <v>88</v>
      </c>
      <c r="C66" s="245">
        <f t="shared" ca="1" si="0"/>
        <v>0</v>
      </c>
      <c r="D66" s="246">
        <f t="shared" ca="1" si="26"/>
        <v>0</v>
      </c>
      <c r="E66" s="247">
        <f ca="1">IFERROR(__xludf.DUMMYFUNCTION("IMPORTRANGE(""https://docs.google.com/spreadsheets/d/1MeEWN-I1oV_STSDYn1IFDPWt_1FKiwhDph83XaGc0o0/edit?usp=sharing"",""งบพรบ!BB66"")"),0)</f>
        <v>0</v>
      </c>
      <c r="F66" s="247">
        <f ca="1">IFERROR(__xludf.DUMMYFUNCTION("IMPORTRANGE(""https://docs.google.com/spreadsheets/d/1MeEWN-I1oV_STSDYn1IFDPWt_1FKiwhDph83XaGc0o0/edit?usp=sharing"",""งบพรบ!BC66"")"),0)</f>
        <v>0</v>
      </c>
      <c r="G66" s="247">
        <f ca="1">IFERROR(__xludf.DUMMYFUNCTION("IMPORTRANGE(""https://docs.google.com/spreadsheets/d/1MeEWN-I1oV_STSDYn1IFDPWt_1FKiwhDph83XaGc0o0/edit?usp=sharing"",""งบพรบ!BD66"")"),0)</f>
        <v>0</v>
      </c>
      <c r="H66" s="247">
        <f ca="1">IFERROR(__xludf.DUMMYFUNCTION("IMPORTRANGE(""https://docs.google.com/spreadsheets/d/1MeEWN-I1oV_STSDYn1IFDPWt_1FKiwhDph83XaGc0o0/edit?usp=sharing"",""งบพรบ!BF66"")"),0)</f>
        <v>0</v>
      </c>
      <c r="I66" s="247">
        <f ca="1">IFERROR(__xludf.DUMMYFUNCTION("IMPORTRANGE(""https://docs.google.com/spreadsheets/d/1MeEWN-I1oV_STSDYn1IFDPWt_1FKiwhDph83XaGc0o0/edit?usp=sharing"",""งบพรบ!BG66"")"),0)</f>
        <v>0</v>
      </c>
      <c r="J66" s="247">
        <f t="shared" ca="1" si="3"/>
        <v>0</v>
      </c>
      <c r="K66" s="253">
        <f t="shared" ca="1" si="4"/>
        <v>0</v>
      </c>
      <c r="L66" s="247">
        <f ca="1">IFERROR(__xludf.DUMMYFUNCTION("IMPORTRANGE(""https://docs.google.com/spreadsheets/d/1MeEWN-I1oV_STSDYn1IFDPWt_1FKiwhDph83XaGc0o0/edit?usp=sharing"",""งบพรบ!BH66"")"),0)</f>
        <v>0</v>
      </c>
      <c r="M66" s="250">
        <f t="shared" ca="1" si="5"/>
        <v>0</v>
      </c>
      <c r="N66" s="250">
        <f t="shared" ca="1" si="6"/>
        <v>0</v>
      </c>
      <c r="O66" s="251">
        <f ca="1">IFERROR(__xludf.DUMMYFUNCTION("IMPORTRANGE(""https://docs.google.com/spreadsheets/d/1MeEWN-I1oV_STSDYn1IFDPWt_1FKiwhDph83XaGc0o0/edit?usp=sharing"",""งบพรบ!BI66"")"),0)</f>
        <v>0</v>
      </c>
      <c r="P66" s="250">
        <f t="shared" ca="1" si="18"/>
        <v>0</v>
      </c>
      <c r="Q66" s="250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IFERROR(__xludf.DUMMYFUNCTION("IMPORTRANGE(""https://docs.google.com/spreadsheets/d/1XiF77UIVHV0Kjc6xbXuOuJ10WgJYxd4p_22ngKVV5oM/edit?usp=sharing"",""ระยอง!I118"")"),0)</f>
        <v>0</v>
      </c>
      <c r="S66" s="248">
        <f ca="1">IFERROR(__xludf.DUMMYFUNCTION("IMPORTRANGE(""https://docs.google.com/spreadsheets/d/1XiF77UIVHV0Kjc6xbXuOuJ10WgJYxd4p_22ngKVV5oM/edit?usp=sharing"",""ระยอง!J118"")"),0)</f>
        <v>0</v>
      </c>
      <c r="T66" s="252">
        <f t="shared" ca="1" si="16"/>
        <v>0</v>
      </c>
    </row>
    <row r="67" spans="1:20" ht="21" customHeight="1" x14ac:dyDescent="0.3">
      <c r="A67" s="243">
        <v>15</v>
      </c>
      <c r="B67" s="244" t="s">
        <v>89</v>
      </c>
      <c r="C67" s="245">
        <f t="shared" ca="1" si="0"/>
        <v>0</v>
      </c>
      <c r="D67" s="246">
        <f t="shared" ca="1" si="26"/>
        <v>0</v>
      </c>
      <c r="E67" s="247">
        <f ca="1">IFERROR(__xludf.DUMMYFUNCTION("IMPORTRANGE(""https://docs.google.com/spreadsheets/d/1MeEWN-I1oV_STSDYn1IFDPWt_1FKiwhDph83XaGc0o0/edit?usp=sharing"",""งบพรบ!BB67"")"),0)</f>
        <v>0</v>
      </c>
      <c r="F67" s="247">
        <f ca="1">IFERROR(__xludf.DUMMYFUNCTION("IMPORTRANGE(""https://docs.google.com/spreadsheets/d/1MeEWN-I1oV_STSDYn1IFDPWt_1FKiwhDph83XaGc0o0/edit?usp=sharing"",""งบพรบ!BC67"")"),0)</f>
        <v>0</v>
      </c>
      <c r="G67" s="247">
        <f ca="1">IFERROR(__xludf.DUMMYFUNCTION("IMPORTRANGE(""https://docs.google.com/spreadsheets/d/1MeEWN-I1oV_STSDYn1IFDPWt_1FKiwhDph83XaGc0o0/edit?usp=sharing"",""งบพรบ!BD67"")"),0)</f>
        <v>0</v>
      </c>
      <c r="H67" s="247">
        <f ca="1">IFERROR(__xludf.DUMMYFUNCTION("IMPORTRANGE(""https://docs.google.com/spreadsheets/d/1MeEWN-I1oV_STSDYn1IFDPWt_1FKiwhDph83XaGc0o0/edit?usp=sharing"",""งบพรบ!BF67"")"),0)</f>
        <v>0</v>
      </c>
      <c r="I67" s="247">
        <f ca="1">IFERROR(__xludf.DUMMYFUNCTION("IMPORTRANGE(""https://docs.google.com/spreadsheets/d/1MeEWN-I1oV_STSDYn1IFDPWt_1FKiwhDph83XaGc0o0/edit?usp=sharing"",""งบพรบ!BG67"")"),0)</f>
        <v>0</v>
      </c>
      <c r="J67" s="247">
        <f t="shared" ca="1" si="3"/>
        <v>0</v>
      </c>
      <c r="K67" s="253">
        <f t="shared" ca="1" si="4"/>
        <v>0</v>
      </c>
      <c r="L67" s="247">
        <f ca="1">IFERROR(__xludf.DUMMYFUNCTION("IMPORTRANGE(""https://docs.google.com/spreadsheets/d/1MeEWN-I1oV_STSDYn1IFDPWt_1FKiwhDph83XaGc0o0/edit?usp=sharing"",""งบพรบ!BH67"")"),0)</f>
        <v>0</v>
      </c>
      <c r="M67" s="250">
        <f t="shared" ca="1" si="5"/>
        <v>0</v>
      </c>
      <c r="N67" s="250">
        <f t="shared" ca="1" si="6"/>
        <v>0</v>
      </c>
      <c r="O67" s="251">
        <f ca="1">IFERROR(__xludf.DUMMYFUNCTION("IMPORTRANGE(""https://docs.google.com/spreadsheets/d/1MeEWN-I1oV_STSDYn1IFDPWt_1FKiwhDph83XaGc0o0/edit?usp=sharing"",""งบพรบ!BI67"")"),0)</f>
        <v>0</v>
      </c>
      <c r="P67" s="250">
        <f t="shared" ca="1" si="18"/>
        <v>0</v>
      </c>
      <c r="Q67" s="250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IFERROR(__xludf.DUMMYFUNCTION("IMPORTRANGE(""https://docs.google.com/spreadsheets/d/1qU-W_9MCQD1pgIVXGEOjCFo9QqlmJywuebyGgaN92r8/edit?usp=sharing"",""ราชบุรี!I118"")"),0)</f>
        <v>0</v>
      </c>
      <c r="S67" s="248">
        <f ca="1">IFERROR(__xludf.DUMMYFUNCTION("IMPORTRANGE(""https://docs.google.com/spreadsheets/d/1qU-W_9MCQD1pgIVXGEOjCFo9QqlmJywuebyGgaN92r8/edit?usp=sharing"",""ราชบุรี!J118"")"),0)</f>
        <v>0</v>
      </c>
      <c r="T67" s="252">
        <f t="shared" ca="1" si="16"/>
        <v>0</v>
      </c>
    </row>
    <row r="68" spans="1:20" ht="24" customHeight="1" x14ac:dyDescent="0.3">
      <c r="A68" s="243">
        <v>16</v>
      </c>
      <c r="B68" s="244" t="s">
        <v>90</v>
      </c>
      <c r="C68" s="245">
        <f t="shared" ca="1" si="0"/>
        <v>0</v>
      </c>
      <c r="D68" s="246">
        <f t="shared" ca="1" si="26"/>
        <v>0</v>
      </c>
      <c r="E68" s="247">
        <f ca="1">IFERROR(__xludf.DUMMYFUNCTION("IMPORTRANGE(""https://docs.google.com/spreadsheets/d/1MeEWN-I1oV_STSDYn1IFDPWt_1FKiwhDph83XaGc0o0/edit?usp=sharing"",""งบพรบ!BB68"")"),0)</f>
        <v>0</v>
      </c>
      <c r="F68" s="247">
        <f ca="1">IFERROR(__xludf.DUMMYFUNCTION("IMPORTRANGE(""https://docs.google.com/spreadsheets/d/1MeEWN-I1oV_STSDYn1IFDPWt_1FKiwhDph83XaGc0o0/edit?usp=sharing"",""งบพรบ!BC68"")"),0)</f>
        <v>0</v>
      </c>
      <c r="G68" s="247">
        <f ca="1">IFERROR(__xludf.DUMMYFUNCTION("IMPORTRANGE(""https://docs.google.com/spreadsheets/d/1MeEWN-I1oV_STSDYn1IFDPWt_1FKiwhDph83XaGc0o0/edit?usp=sharing"",""งบพรบ!BD68"")"),0)</f>
        <v>0</v>
      </c>
      <c r="H68" s="247">
        <f ca="1">IFERROR(__xludf.DUMMYFUNCTION("IMPORTRANGE(""https://docs.google.com/spreadsheets/d/1MeEWN-I1oV_STSDYn1IFDPWt_1FKiwhDph83XaGc0o0/edit?usp=sharing"",""งบพรบ!BF68"")"),0)</f>
        <v>0</v>
      </c>
      <c r="I68" s="247">
        <f ca="1">IFERROR(__xludf.DUMMYFUNCTION("IMPORTRANGE(""https://docs.google.com/spreadsheets/d/1MeEWN-I1oV_STSDYn1IFDPWt_1FKiwhDph83XaGc0o0/edit?usp=sharing"",""งบพรบ!BG68"")"),0)</f>
        <v>0</v>
      </c>
      <c r="J68" s="247">
        <f t="shared" ca="1" si="3"/>
        <v>0</v>
      </c>
      <c r="K68" s="253">
        <f t="shared" ca="1" si="4"/>
        <v>0</v>
      </c>
      <c r="L68" s="247">
        <f ca="1">IFERROR(__xludf.DUMMYFUNCTION("IMPORTRANGE(""https://docs.google.com/spreadsheets/d/1MeEWN-I1oV_STSDYn1IFDPWt_1FKiwhDph83XaGc0o0/edit?usp=sharing"",""งบพรบ!BH68"")"),0)</f>
        <v>0</v>
      </c>
      <c r="M68" s="250">
        <f t="shared" ca="1" si="5"/>
        <v>0</v>
      </c>
      <c r="N68" s="250">
        <f t="shared" ca="1" si="6"/>
        <v>0</v>
      </c>
      <c r="O68" s="251">
        <f ca="1">IFERROR(__xludf.DUMMYFUNCTION("IMPORTRANGE(""https://docs.google.com/spreadsheets/d/1MeEWN-I1oV_STSDYn1IFDPWt_1FKiwhDph83XaGc0o0/edit?usp=sharing"",""งบพรบ!BI68"")"),0)</f>
        <v>0</v>
      </c>
      <c r="P68" s="250">
        <f t="shared" ca="1" si="18"/>
        <v>0</v>
      </c>
      <c r="Q68" s="250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IFERROR(__xludf.DUMMYFUNCTION("IMPORTRANGE(""https://docs.google.com/spreadsheets/d/1xYFIxIM_CspAP5Q-5Zx_V0T_Ut3cjryrjd2hss28vGk/edit?usp=sharing"",""ลพบุรี!I118"")"),0)</f>
        <v>0</v>
      </c>
      <c r="S68" s="248">
        <f ca="1">IFERROR(__xludf.DUMMYFUNCTION("IMPORTRANGE(""https://docs.google.com/spreadsheets/d/1xYFIxIM_CspAP5Q-5Zx_V0T_Ut3cjryrjd2hss28vGk/edit?usp=sharing"",""ลพบุรี!J118"")"),0)</f>
        <v>0</v>
      </c>
      <c r="T68" s="252">
        <f t="shared" ca="1" si="16"/>
        <v>0</v>
      </c>
    </row>
    <row r="69" spans="1:20" ht="21" customHeight="1" x14ac:dyDescent="0.3">
      <c r="A69" s="243">
        <v>17</v>
      </c>
      <c r="B69" s="244" t="s">
        <v>91</v>
      </c>
      <c r="C69" s="245">
        <f t="shared" ca="1" si="0"/>
        <v>26800</v>
      </c>
      <c r="D69" s="246">
        <f t="shared" ca="1" si="26"/>
        <v>0</v>
      </c>
      <c r="E69" s="247">
        <f ca="1">IFERROR(__xludf.DUMMYFUNCTION("IMPORTRANGE(""https://docs.google.com/spreadsheets/d/1MeEWN-I1oV_STSDYn1IFDPWt_1FKiwhDph83XaGc0o0/edit?usp=sharing"",""งบพรบ!BB69"")"),0)</f>
        <v>0</v>
      </c>
      <c r="F69" s="247">
        <f ca="1">IFERROR(__xludf.DUMMYFUNCTION("IMPORTRANGE(""https://docs.google.com/spreadsheets/d/1MeEWN-I1oV_STSDYn1IFDPWt_1FKiwhDph83XaGc0o0/edit?usp=sharing"",""งบพรบ!BC69"")"),0)</f>
        <v>0</v>
      </c>
      <c r="G69" s="247">
        <f ca="1">IFERROR(__xludf.DUMMYFUNCTION("IMPORTRANGE(""https://docs.google.com/spreadsheets/d/1MeEWN-I1oV_STSDYn1IFDPWt_1FKiwhDph83XaGc0o0/edit?usp=sharing"",""งบพรบ!BD69"")"),26800)</f>
        <v>26800</v>
      </c>
      <c r="H69" s="247">
        <f ca="1">IFERROR(__xludf.DUMMYFUNCTION("IMPORTRANGE(""https://docs.google.com/spreadsheets/d/1MeEWN-I1oV_STSDYn1IFDPWt_1FKiwhDph83XaGc0o0/edit?usp=sharing"",""งบพรบ!BF69"")"),0)</f>
        <v>0</v>
      </c>
      <c r="I69" s="247">
        <f ca="1">IFERROR(__xludf.DUMMYFUNCTION("IMPORTRANGE(""https://docs.google.com/spreadsheets/d/1MeEWN-I1oV_STSDYn1IFDPWt_1FKiwhDph83XaGc0o0/edit?usp=sharing"",""งบพรบ!BG69"")"),26800)</f>
        <v>26800</v>
      </c>
      <c r="J69" s="247">
        <f t="shared" ca="1" si="3"/>
        <v>26800</v>
      </c>
      <c r="K69" s="253">
        <f t="shared" ca="1" si="4"/>
        <v>100</v>
      </c>
      <c r="L69" s="247">
        <f ca="1">IFERROR(__xludf.DUMMYFUNCTION("IMPORTRANGE(""https://docs.google.com/spreadsheets/d/1MeEWN-I1oV_STSDYn1IFDPWt_1FKiwhDph83XaGc0o0/edit?usp=sharing"",""งบพรบ!BH69"")"),0)</f>
        <v>0</v>
      </c>
      <c r="M69" s="250">
        <f t="shared" ca="1" si="5"/>
        <v>0</v>
      </c>
      <c r="N69" s="250">
        <f t="shared" ca="1" si="6"/>
        <v>0</v>
      </c>
      <c r="O69" s="251">
        <f ca="1">IFERROR(__xludf.DUMMYFUNCTION("IMPORTRANGE(""https://docs.google.com/spreadsheets/d/1MeEWN-I1oV_STSDYn1IFDPWt_1FKiwhDph83XaGc0o0/edit?usp=sharing"",""งบพรบ!BI69"")"),26800)</f>
        <v>26800</v>
      </c>
      <c r="P69" s="250">
        <f t="shared" ca="1" si="18"/>
        <v>100</v>
      </c>
      <c r="Q69" s="250">
        <f t="shared" ca="1" si="8"/>
        <v>100</v>
      </c>
      <c r="R69" s="248">
        <f ca="1">IFERROR(__xludf.DUMMYFUNCTION("IMPORTRANGE(""https://docs.google.com/spreadsheets/d/11s9m3tKsCBdPWq6syhZm27eBGbKneDLZc75co106bio/edit?usp=sharing"",""สระแก้ว!I118"")"),0)</f>
        <v>0</v>
      </c>
      <c r="S69" s="248">
        <f ca="1">IFERROR(__xludf.DUMMYFUNCTION("IMPORTRANGE(""https://docs.google.com/spreadsheets/d/11s9m3tKsCBdPWq6syhZm27eBGbKneDLZc75co106bio/edit?usp=sharing"",""สระแก้ว!J118"")"),0)</f>
        <v>0</v>
      </c>
      <c r="T69" s="252">
        <f t="shared" ca="1" si="16"/>
        <v>0</v>
      </c>
    </row>
    <row r="70" spans="1:20" ht="21" customHeight="1" x14ac:dyDescent="0.3">
      <c r="A70" s="243">
        <v>18</v>
      </c>
      <c r="B70" s="244" t="s">
        <v>92</v>
      </c>
      <c r="C70" s="245">
        <f t="shared" ca="1" si="0"/>
        <v>0</v>
      </c>
      <c r="D70" s="246">
        <f t="shared" ca="1" si="26"/>
        <v>0</v>
      </c>
      <c r="E70" s="247">
        <f ca="1">IFERROR(__xludf.DUMMYFUNCTION("IMPORTRANGE(""https://docs.google.com/spreadsheets/d/1MeEWN-I1oV_STSDYn1IFDPWt_1FKiwhDph83XaGc0o0/edit?usp=sharing"",""งบพรบ!BB70"")"),0)</f>
        <v>0</v>
      </c>
      <c r="F70" s="247">
        <f ca="1">IFERROR(__xludf.DUMMYFUNCTION("IMPORTRANGE(""https://docs.google.com/spreadsheets/d/1MeEWN-I1oV_STSDYn1IFDPWt_1FKiwhDph83XaGc0o0/edit?usp=sharing"",""งบพรบ!BC70"")"),0)</f>
        <v>0</v>
      </c>
      <c r="G70" s="247">
        <f ca="1">IFERROR(__xludf.DUMMYFUNCTION("IMPORTRANGE(""https://docs.google.com/spreadsheets/d/1MeEWN-I1oV_STSDYn1IFDPWt_1FKiwhDph83XaGc0o0/edit?usp=sharing"",""งบพรบ!BD70"")"),0)</f>
        <v>0</v>
      </c>
      <c r="H70" s="247">
        <f ca="1">IFERROR(__xludf.DUMMYFUNCTION("IMPORTRANGE(""https://docs.google.com/spreadsheets/d/1MeEWN-I1oV_STSDYn1IFDPWt_1FKiwhDph83XaGc0o0/edit?usp=sharing"",""งบพรบ!BF70"")"),0)</f>
        <v>0</v>
      </c>
      <c r="I70" s="247">
        <f ca="1">IFERROR(__xludf.DUMMYFUNCTION("IMPORTRANGE(""https://docs.google.com/spreadsheets/d/1MeEWN-I1oV_STSDYn1IFDPWt_1FKiwhDph83XaGc0o0/edit?usp=sharing"",""งบพรบ!BG70"")"),0)</f>
        <v>0</v>
      </c>
      <c r="J70" s="247">
        <f t="shared" ca="1" si="3"/>
        <v>0</v>
      </c>
      <c r="K70" s="253">
        <f t="shared" ca="1" si="4"/>
        <v>0</v>
      </c>
      <c r="L70" s="247">
        <f ca="1">IFERROR(__xludf.DUMMYFUNCTION("IMPORTRANGE(""https://docs.google.com/spreadsheets/d/1MeEWN-I1oV_STSDYn1IFDPWt_1FKiwhDph83XaGc0o0/edit?usp=sharing"",""งบพรบ!BH70"")"),0)</f>
        <v>0</v>
      </c>
      <c r="M70" s="250">
        <f t="shared" ca="1" si="5"/>
        <v>0</v>
      </c>
      <c r="N70" s="250">
        <f t="shared" ca="1" si="6"/>
        <v>0</v>
      </c>
      <c r="O70" s="251">
        <f ca="1">IFERROR(__xludf.DUMMYFUNCTION("IMPORTRANGE(""https://docs.google.com/spreadsheets/d/1MeEWN-I1oV_STSDYn1IFDPWt_1FKiwhDph83XaGc0o0/edit?usp=sharing"",""งบพรบ!BI70"")"),0)</f>
        <v>0</v>
      </c>
      <c r="P70" s="250">
        <f t="shared" ca="1" si="18"/>
        <v>0</v>
      </c>
      <c r="Q70" s="250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IFERROR(__xludf.DUMMYFUNCTION("IMPORTRANGE(""https://docs.google.com/spreadsheets/d/1Nn1EvsFPtXldgpgVb3Rcng2K2cls68LFQsBh2FyW0Bg/edit?usp=sharing"",""สระบุรี!I118"")"),0)</f>
        <v>0</v>
      </c>
      <c r="S70" s="248">
        <f ca="1">IFERROR(__xludf.DUMMYFUNCTION("IMPORTRANGE(""https://docs.google.com/spreadsheets/d/1Nn1EvsFPtXldgpgVb3Rcng2K2cls68LFQsBh2FyW0Bg/edit?usp=sharing"",""สระบุรี!J118"")"),0)</f>
        <v>0</v>
      </c>
      <c r="T70" s="252">
        <f t="shared" ca="1" si="16"/>
        <v>0</v>
      </c>
    </row>
    <row r="71" spans="1:20" ht="21" customHeight="1" x14ac:dyDescent="0.3">
      <c r="A71" s="243">
        <v>19</v>
      </c>
      <c r="B71" s="244" t="s">
        <v>93</v>
      </c>
      <c r="C71" s="245">
        <f t="shared" ca="1" si="0"/>
        <v>0</v>
      </c>
      <c r="D71" s="246">
        <f t="shared" ca="1" si="26"/>
        <v>0</v>
      </c>
      <c r="E71" s="247">
        <f ca="1">IFERROR(__xludf.DUMMYFUNCTION("IMPORTRANGE(""https://docs.google.com/spreadsheets/d/1MeEWN-I1oV_STSDYn1IFDPWt_1FKiwhDph83XaGc0o0/edit?usp=sharing"",""งบพรบ!BB71"")"),0)</f>
        <v>0</v>
      </c>
      <c r="F71" s="247">
        <f ca="1">IFERROR(__xludf.DUMMYFUNCTION("IMPORTRANGE(""https://docs.google.com/spreadsheets/d/1MeEWN-I1oV_STSDYn1IFDPWt_1FKiwhDph83XaGc0o0/edit?usp=sharing"",""งบพรบ!BC71"")"),0)</f>
        <v>0</v>
      </c>
      <c r="G71" s="247">
        <f ca="1">IFERROR(__xludf.DUMMYFUNCTION("IMPORTRANGE(""https://docs.google.com/spreadsheets/d/1MeEWN-I1oV_STSDYn1IFDPWt_1FKiwhDph83XaGc0o0/edit?usp=sharing"",""งบพรบ!BD71"")"),0)</f>
        <v>0</v>
      </c>
      <c r="H71" s="247">
        <f ca="1">IFERROR(__xludf.DUMMYFUNCTION("IMPORTRANGE(""https://docs.google.com/spreadsheets/d/1MeEWN-I1oV_STSDYn1IFDPWt_1FKiwhDph83XaGc0o0/edit?usp=sharing"",""งบพรบ!BF71"")"),0)</f>
        <v>0</v>
      </c>
      <c r="I71" s="247">
        <f ca="1">IFERROR(__xludf.DUMMYFUNCTION("IMPORTRANGE(""https://docs.google.com/spreadsheets/d/1MeEWN-I1oV_STSDYn1IFDPWt_1FKiwhDph83XaGc0o0/edit?usp=sharing"",""งบพรบ!BG71"")"),0)</f>
        <v>0</v>
      </c>
      <c r="J71" s="247">
        <f t="shared" ca="1" si="3"/>
        <v>0</v>
      </c>
      <c r="K71" s="253">
        <f t="shared" ca="1" si="4"/>
        <v>0</v>
      </c>
      <c r="L71" s="247">
        <f ca="1">IFERROR(__xludf.DUMMYFUNCTION("IMPORTRANGE(""https://docs.google.com/spreadsheets/d/1MeEWN-I1oV_STSDYn1IFDPWt_1FKiwhDph83XaGc0o0/edit?usp=sharing"",""งบพรบ!BH71"")"),0)</f>
        <v>0</v>
      </c>
      <c r="M71" s="250">
        <f t="shared" ca="1" si="5"/>
        <v>0</v>
      </c>
      <c r="N71" s="250">
        <f t="shared" ca="1" si="6"/>
        <v>0</v>
      </c>
      <c r="O71" s="251">
        <f ca="1">IFERROR(__xludf.DUMMYFUNCTION("IMPORTRANGE(""https://docs.google.com/spreadsheets/d/1MeEWN-I1oV_STSDYn1IFDPWt_1FKiwhDph83XaGc0o0/edit?usp=sharing"",""งบพรบ!BI71"")"),0)</f>
        <v>0</v>
      </c>
      <c r="P71" s="250">
        <f t="shared" ca="1" si="18"/>
        <v>0</v>
      </c>
      <c r="Q71" s="250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IFERROR(__xludf.DUMMYFUNCTION("IMPORTRANGE(""https://docs.google.com/spreadsheets/d/149xufxukrnEciK3WPbNpHwUK8BKEJxp3UcBG3Al6dA4/edit?usp=sharing"",""สิงห์บุรี!I118"")"),0)</f>
        <v>0</v>
      </c>
      <c r="S71" s="248">
        <f ca="1">IFERROR(__xludf.DUMMYFUNCTION("IMPORTRANGE(""https://docs.google.com/spreadsheets/d/149xufxukrnEciK3WPbNpHwUK8BKEJxp3UcBG3Al6dA4/edit?usp=sharing"",""สิงห์บุรี!J118"")"),0)</f>
        <v>0</v>
      </c>
      <c r="T71" s="252">
        <f t="shared" ca="1" si="16"/>
        <v>0</v>
      </c>
    </row>
    <row r="72" spans="1:20" ht="21" customHeight="1" x14ac:dyDescent="0.3">
      <c r="A72" s="243">
        <v>20</v>
      </c>
      <c r="B72" s="244" t="s">
        <v>94</v>
      </c>
      <c r="C72" s="245">
        <f t="shared" ca="1" si="0"/>
        <v>0</v>
      </c>
      <c r="D72" s="246">
        <f t="shared" ca="1" si="26"/>
        <v>0</v>
      </c>
      <c r="E72" s="247">
        <f ca="1">IFERROR(__xludf.DUMMYFUNCTION("IMPORTRANGE(""https://docs.google.com/spreadsheets/d/1MeEWN-I1oV_STSDYn1IFDPWt_1FKiwhDph83XaGc0o0/edit?usp=sharing"",""งบพรบ!BB72"")"),0)</f>
        <v>0</v>
      </c>
      <c r="F72" s="247">
        <f ca="1">IFERROR(__xludf.DUMMYFUNCTION("IMPORTRANGE(""https://docs.google.com/spreadsheets/d/1MeEWN-I1oV_STSDYn1IFDPWt_1FKiwhDph83XaGc0o0/edit?usp=sharing"",""งบพรบ!BC72"")"),0)</f>
        <v>0</v>
      </c>
      <c r="G72" s="247">
        <f ca="1">IFERROR(__xludf.DUMMYFUNCTION("IMPORTRANGE(""https://docs.google.com/spreadsheets/d/1MeEWN-I1oV_STSDYn1IFDPWt_1FKiwhDph83XaGc0o0/edit?usp=sharing"",""งบพรบ!BD72"")"),0)</f>
        <v>0</v>
      </c>
      <c r="H72" s="247">
        <f ca="1">IFERROR(__xludf.DUMMYFUNCTION("IMPORTRANGE(""https://docs.google.com/spreadsheets/d/1MeEWN-I1oV_STSDYn1IFDPWt_1FKiwhDph83XaGc0o0/edit?usp=sharing"",""งบพรบ!BF72"")"),0)</f>
        <v>0</v>
      </c>
      <c r="I72" s="247">
        <f ca="1">IFERROR(__xludf.DUMMYFUNCTION("IMPORTRANGE(""https://docs.google.com/spreadsheets/d/1MeEWN-I1oV_STSDYn1IFDPWt_1FKiwhDph83XaGc0o0/edit?usp=sharing"",""งบพรบ!BG72"")"),0)</f>
        <v>0</v>
      </c>
      <c r="J72" s="247">
        <f t="shared" ca="1" si="3"/>
        <v>0</v>
      </c>
      <c r="K72" s="253">
        <f t="shared" ca="1" si="4"/>
        <v>0</v>
      </c>
      <c r="L72" s="247">
        <f ca="1">IFERROR(__xludf.DUMMYFUNCTION("IMPORTRANGE(""https://docs.google.com/spreadsheets/d/1MeEWN-I1oV_STSDYn1IFDPWt_1FKiwhDph83XaGc0o0/edit?usp=sharing"",""งบพรบ!BH72"")"),0)</f>
        <v>0</v>
      </c>
      <c r="M72" s="250">
        <f t="shared" ca="1" si="5"/>
        <v>0</v>
      </c>
      <c r="N72" s="250">
        <f t="shared" ca="1" si="6"/>
        <v>0</v>
      </c>
      <c r="O72" s="251">
        <f ca="1">IFERROR(__xludf.DUMMYFUNCTION("IMPORTRANGE(""https://docs.google.com/spreadsheets/d/1MeEWN-I1oV_STSDYn1IFDPWt_1FKiwhDph83XaGc0o0/edit?usp=sharing"",""งบพรบ!BI72"")"),0)</f>
        <v>0</v>
      </c>
      <c r="P72" s="250">
        <f t="shared" ca="1" si="18"/>
        <v>0</v>
      </c>
      <c r="Q72" s="250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IFERROR(__xludf.DUMMYFUNCTION("IMPORTRANGE(""https://docs.google.com/spreadsheets/d/132g-zJpz2uMKimp17uOIx8A7o3w1Z25zwJyXnwsB56c/edit?usp=sharing"",""สุพรรณบุรี!I118"")"),0)</f>
        <v>0</v>
      </c>
      <c r="S72" s="248">
        <f ca="1">IFERROR(__xludf.DUMMYFUNCTION("IMPORTRANGE(""https://docs.google.com/spreadsheets/d/132g-zJpz2uMKimp17uOIx8A7o3w1Z25zwJyXnwsB56c/edit?usp=sharing"",""สุพรรณบุรี!J118"")"),0)</f>
        <v>0</v>
      </c>
      <c r="T72" s="252">
        <f t="shared" ca="1" si="16"/>
        <v>0</v>
      </c>
    </row>
    <row r="73" spans="1:20" ht="21" customHeight="1" x14ac:dyDescent="0.3">
      <c r="A73" s="254">
        <v>21</v>
      </c>
      <c r="B73" s="255" t="s">
        <v>95</v>
      </c>
      <c r="C73" s="256">
        <f t="shared" ca="1" si="0"/>
        <v>0</v>
      </c>
      <c r="D73" s="257">
        <f t="shared" ca="1" si="26"/>
        <v>0</v>
      </c>
      <c r="E73" s="258">
        <f ca="1">IFERROR(__xludf.DUMMYFUNCTION("IMPORTRANGE(""https://docs.google.com/spreadsheets/d/1MeEWN-I1oV_STSDYn1IFDPWt_1FKiwhDph83XaGc0o0/edit?usp=sharing"",""งบพรบ!BB73"")"),0)</f>
        <v>0</v>
      </c>
      <c r="F73" s="258">
        <f ca="1">IFERROR(__xludf.DUMMYFUNCTION("IMPORTRANGE(""https://docs.google.com/spreadsheets/d/1MeEWN-I1oV_STSDYn1IFDPWt_1FKiwhDph83XaGc0o0/edit?usp=sharing"",""งบพรบ!BC73"")"),0)</f>
        <v>0</v>
      </c>
      <c r="G73" s="258">
        <f ca="1">IFERROR(__xludf.DUMMYFUNCTION("IMPORTRANGE(""https://docs.google.com/spreadsheets/d/1MeEWN-I1oV_STSDYn1IFDPWt_1FKiwhDph83XaGc0o0/edit?usp=sharing"",""งบพรบ!BD73"")"),0)</f>
        <v>0</v>
      </c>
      <c r="H73" s="258">
        <f ca="1">IFERROR(__xludf.DUMMYFUNCTION("IMPORTRANGE(""https://docs.google.com/spreadsheets/d/1MeEWN-I1oV_STSDYn1IFDPWt_1FKiwhDph83XaGc0o0/edit?usp=sharing"",""งบพรบ!BF73"")"),0)</f>
        <v>0</v>
      </c>
      <c r="I73" s="258">
        <f ca="1">IFERROR(__xludf.DUMMYFUNCTION("IMPORTRANGE(""https://docs.google.com/spreadsheets/d/1MeEWN-I1oV_STSDYn1IFDPWt_1FKiwhDph83XaGc0o0/edit?usp=sharing"",""งบพรบ!BG73"")"),0)</f>
        <v>0</v>
      </c>
      <c r="J73" s="258">
        <f t="shared" ca="1" si="3"/>
        <v>0</v>
      </c>
      <c r="K73" s="259">
        <f t="shared" ca="1" si="4"/>
        <v>0</v>
      </c>
      <c r="L73" s="258">
        <f ca="1">IFERROR(__xludf.DUMMYFUNCTION("IMPORTRANGE(""https://docs.google.com/spreadsheets/d/1MeEWN-I1oV_STSDYn1IFDPWt_1FKiwhDph83XaGc0o0/edit?usp=sharing"",""งบพรบ!BH73"")"),0)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IFERROR(__xludf.DUMMYFUNCTION("IMPORTRANGE(""https://docs.google.com/spreadsheets/d/1MeEWN-I1oV_STSDYn1IFDPWt_1FKiwhDph83XaGc0o0/edit?usp=sharing"",""งบพรบ!BI73"")"),0)</f>
        <v>0</v>
      </c>
      <c r="P73" s="260">
        <f t="shared" ca="1" si="18"/>
        <v>0</v>
      </c>
      <c r="Q73" s="260">
        <f t="shared" ca="1" si="8"/>
        <v>0</v>
      </c>
      <c r="R73" s="262">
        <f ca="1">IFERROR(__xludf.DUMMYFUNCTION("IMPORTRANGE(""https://docs.google.com/spreadsheets/d/12Q_U0nVnFdxDFwa0pej9xvx8ZvLC9Dpi_vRro_aiG5g/edit?usp=sharing"",""อ่างทอง!I118"")"),0)</f>
        <v>0</v>
      </c>
      <c r="S73" s="262">
        <f ca="1">IFERROR(__xludf.DUMMYFUNCTION("IMPORTRANGE(""https://docs.google.com/spreadsheets/d/12Q_U0nVnFdxDFwa0pej9xvx8ZvLC9Dpi_vRro_aiG5g/edit?usp=sharing"",""อ่างทอง!J118"")"),0)</f>
        <v>0</v>
      </c>
      <c r="T73" s="263">
        <f t="shared" ca="1" si="16"/>
        <v>0</v>
      </c>
    </row>
    <row r="74" spans="1:20" ht="21" customHeight="1" x14ac:dyDescent="0.3">
      <c r="A74" s="442" t="s">
        <v>96</v>
      </c>
      <c r="B74" s="414"/>
      <c r="C74" s="224">
        <f t="shared" ca="1" si="0"/>
        <v>42000</v>
      </c>
      <c r="D74" s="224">
        <f t="shared" ref="D74:I74" ca="1" si="27">SUM(D75:D88)</f>
        <v>0</v>
      </c>
      <c r="E74" s="224">
        <f t="shared" ca="1" si="27"/>
        <v>0</v>
      </c>
      <c r="F74" s="224">
        <f t="shared" ca="1" si="27"/>
        <v>0</v>
      </c>
      <c r="G74" s="224">
        <f t="shared" ca="1" si="27"/>
        <v>42000</v>
      </c>
      <c r="H74" s="224">
        <f t="shared" ca="1" si="27"/>
        <v>0</v>
      </c>
      <c r="I74" s="224">
        <f t="shared" ca="1" si="27"/>
        <v>42000</v>
      </c>
      <c r="J74" s="224">
        <f t="shared" ca="1" si="3"/>
        <v>42000</v>
      </c>
      <c r="K74" s="225">
        <f t="shared" ca="1" si="4"/>
        <v>100</v>
      </c>
      <c r="L74" s="224">
        <f ca="1">SUM(L75:L88)</f>
        <v>0</v>
      </c>
      <c r="M74" s="226">
        <f t="shared" ca="1" si="5"/>
        <v>0</v>
      </c>
      <c r="N74" s="226">
        <f t="shared" ca="1" si="6"/>
        <v>0</v>
      </c>
      <c r="O74" s="227">
        <f ca="1">SUM(O75:O88)</f>
        <v>42000</v>
      </c>
      <c r="P74" s="226">
        <f t="shared" ca="1" si="18"/>
        <v>100</v>
      </c>
      <c r="Q74" s="226">
        <f t="shared" ca="1" si="8"/>
        <v>100</v>
      </c>
      <c r="R74" s="264">
        <f t="shared" ref="R74:S74" ca="1" si="28">SUM(R75:R88)</f>
        <v>0</v>
      </c>
      <c r="S74" s="265">
        <f t="shared" ca="1" si="28"/>
        <v>0</v>
      </c>
      <c r="T74" s="266">
        <f t="shared" ca="1" si="16"/>
        <v>0</v>
      </c>
    </row>
    <row r="75" spans="1:20" ht="21" customHeight="1" x14ac:dyDescent="0.3">
      <c r="A75" s="243">
        <v>1</v>
      </c>
      <c r="B75" s="244" t="s">
        <v>97</v>
      </c>
      <c r="C75" s="245">
        <f t="shared" ca="1" si="0"/>
        <v>0</v>
      </c>
      <c r="D75" s="246">
        <f t="shared" ref="D75:D88" ca="1" si="29">+E75+F75</f>
        <v>0</v>
      </c>
      <c r="E75" s="247">
        <f ca="1">IFERROR(__xludf.DUMMYFUNCTION("IMPORTRANGE(""https://docs.google.com/spreadsheets/d/1MeEWN-I1oV_STSDYn1IFDPWt_1FKiwhDph83XaGc0o0/edit?usp=sharing"",""งบพรบ!BB75"")"),0)</f>
        <v>0</v>
      </c>
      <c r="F75" s="247">
        <f ca="1">IFERROR(__xludf.DUMMYFUNCTION("IMPORTRANGE(""https://docs.google.com/spreadsheets/d/1MeEWN-I1oV_STSDYn1IFDPWt_1FKiwhDph83XaGc0o0/edit?usp=sharing"",""งบพรบ!BC75"")"),0)</f>
        <v>0</v>
      </c>
      <c r="G75" s="247">
        <f ca="1">IFERROR(__xludf.DUMMYFUNCTION("IMPORTRANGE(""https://docs.google.com/spreadsheets/d/1MeEWN-I1oV_STSDYn1IFDPWt_1FKiwhDph83XaGc0o0/edit?usp=sharing"",""งบพรบ!BD75"")"),0)</f>
        <v>0</v>
      </c>
      <c r="H75" s="247">
        <f ca="1">IFERROR(__xludf.DUMMYFUNCTION("IMPORTRANGE(""https://docs.google.com/spreadsheets/d/1MeEWN-I1oV_STSDYn1IFDPWt_1FKiwhDph83XaGc0o0/edit?usp=sharing"",""งบพรบ!BF75"")"),0)</f>
        <v>0</v>
      </c>
      <c r="I75" s="247">
        <f ca="1">IFERROR(__xludf.DUMMYFUNCTION("IMPORTRANGE(""https://docs.google.com/spreadsheets/d/1MeEWN-I1oV_STSDYn1IFDPWt_1FKiwhDph83XaGc0o0/edit?usp=sharing"",""งบพรบ!BG75"")"),0)</f>
        <v>0</v>
      </c>
      <c r="J75" s="247">
        <f t="shared" ca="1" si="3"/>
        <v>0</v>
      </c>
      <c r="K75" s="253">
        <f t="shared" ca="1" si="4"/>
        <v>0</v>
      </c>
      <c r="L75" s="247">
        <f ca="1">IFERROR(__xludf.DUMMYFUNCTION("IMPORTRANGE(""https://docs.google.com/spreadsheets/d/1MeEWN-I1oV_STSDYn1IFDPWt_1FKiwhDph83XaGc0o0/edit?usp=sharing"",""งบพรบ!BH75"")"),0)</f>
        <v>0</v>
      </c>
      <c r="M75" s="250">
        <f t="shared" ca="1" si="5"/>
        <v>0</v>
      </c>
      <c r="N75" s="250">
        <f t="shared" ca="1" si="6"/>
        <v>0</v>
      </c>
      <c r="O75" s="251">
        <f ca="1">IFERROR(__xludf.DUMMYFUNCTION("IMPORTRANGE(""https://docs.google.com/spreadsheets/d/1MeEWN-I1oV_STSDYn1IFDPWt_1FKiwhDph83XaGc0o0/edit?usp=sharing"",""งบพรบ!BI75"")"),0)</f>
        <v>0</v>
      </c>
      <c r="P75" s="250">
        <f t="shared" ca="1" si="18"/>
        <v>0</v>
      </c>
      <c r="Q75" s="250">
        <f t="shared" ca="1" si="8"/>
        <v>0</v>
      </c>
      <c r="R75" s="248">
        <f ca="1">IFERROR(__xludf.DUMMYFUNCTION("IMPORTRANGE(""https://docs.google.com/spreadsheets/d/1kC41EOXpGBFOW658Fs3oD8beYlym0-zO54WY-2Qnp9I/edit?usp=sharing"",""กระบี่!I118"")"),0)</f>
        <v>0</v>
      </c>
      <c r="S75" s="248">
        <f ca="1">IFERROR(__xludf.DUMMYFUNCTION("IMPORTRANGE(""https://docs.google.com/spreadsheets/d/1kC41EOXpGBFOW658Fs3oD8beYlym0-zO54WY-2Qnp9I/edit?usp=sharing"",""กระบี่!J118"")"),0)</f>
        <v>0</v>
      </c>
      <c r="T75" s="252">
        <f t="shared" ca="1" si="16"/>
        <v>0</v>
      </c>
    </row>
    <row r="76" spans="1:20" ht="21" customHeight="1" x14ac:dyDescent="0.3">
      <c r="A76" s="243">
        <v>2</v>
      </c>
      <c r="B76" s="244" t="s">
        <v>98</v>
      </c>
      <c r="C76" s="245">
        <f t="shared" ca="1" si="0"/>
        <v>0</v>
      </c>
      <c r="D76" s="246">
        <f t="shared" ca="1" si="29"/>
        <v>0</v>
      </c>
      <c r="E76" s="247">
        <f ca="1">IFERROR(__xludf.DUMMYFUNCTION("IMPORTRANGE(""https://docs.google.com/spreadsheets/d/1MeEWN-I1oV_STSDYn1IFDPWt_1FKiwhDph83XaGc0o0/edit?usp=sharing"",""งบพรบ!BB76"")"),0)</f>
        <v>0</v>
      </c>
      <c r="F76" s="247">
        <f ca="1">IFERROR(__xludf.DUMMYFUNCTION("IMPORTRANGE(""https://docs.google.com/spreadsheets/d/1MeEWN-I1oV_STSDYn1IFDPWt_1FKiwhDph83XaGc0o0/edit?usp=sharing"",""งบพรบ!BC76"")"),0)</f>
        <v>0</v>
      </c>
      <c r="G76" s="247">
        <f ca="1">IFERROR(__xludf.DUMMYFUNCTION("IMPORTRANGE(""https://docs.google.com/spreadsheets/d/1MeEWN-I1oV_STSDYn1IFDPWt_1FKiwhDph83XaGc0o0/edit?usp=sharing"",""งบพรบ!BD76"")"),0)</f>
        <v>0</v>
      </c>
      <c r="H76" s="247">
        <f ca="1">IFERROR(__xludf.DUMMYFUNCTION("IMPORTRANGE(""https://docs.google.com/spreadsheets/d/1MeEWN-I1oV_STSDYn1IFDPWt_1FKiwhDph83XaGc0o0/edit?usp=sharing"",""งบพรบ!BF76"")"),0)</f>
        <v>0</v>
      </c>
      <c r="I76" s="247">
        <f ca="1">IFERROR(__xludf.DUMMYFUNCTION("IMPORTRANGE(""https://docs.google.com/spreadsheets/d/1MeEWN-I1oV_STSDYn1IFDPWt_1FKiwhDph83XaGc0o0/edit?usp=sharing"",""งบพรบ!BG76"")"),0)</f>
        <v>0</v>
      </c>
      <c r="J76" s="247">
        <f t="shared" ca="1" si="3"/>
        <v>0</v>
      </c>
      <c r="K76" s="253">
        <f t="shared" ca="1" si="4"/>
        <v>0</v>
      </c>
      <c r="L76" s="247">
        <f ca="1">IFERROR(__xludf.DUMMYFUNCTION("IMPORTRANGE(""https://docs.google.com/spreadsheets/d/1MeEWN-I1oV_STSDYn1IFDPWt_1FKiwhDph83XaGc0o0/edit?usp=sharing"",""งบพรบ!BH76"")"),0)</f>
        <v>0</v>
      </c>
      <c r="M76" s="250">
        <f t="shared" ca="1" si="5"/>
        <v>0</v>
      </c>
      <c r="N76" s="250">
        <f t="shared" ca="1" si="6"/>
        <v>0</v>
      </c>
      <c r="O76" s="251">
        <f ca="1">IFERROR(__xludf.DUMMYFUNCTION("IMPORTRANGE(""https://docs.google.com/spreadsheets/d/1MeEWN-I1oV_STSDYn1IFDPWt_1FKiwhDph83XaGc0o0/edit?usp=sharing"",""งบพรบ!BI76"")"),0)</f>
        <v>0</v>
      </c>
      <c r="P76" s="250">
        <f t="shared" ca="1" si="18"/>
        <v>0</v>
      </c>
      <c r="Q76" s="250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IFERROR(__xludf.DUMMYFUNCTION("IMPORTRANGE(""https://docs.google.com/spreadsheets/d/1FbzMZY_f3MDiEuK7RpCQKrilJ_kpX0Wm7QBZ1L7EjIU/edit?usp=sharing"",""ชุมพร!I118"")"),0)</f>
        <v>0</v>
      </c>
      <c r="S76" s="248">
        <f ca="1">IFERROR(__xludf.DUMMYFUNCTION("IMPORTRANGE(""https://docs.google.com/spreadsheets/d/1FbzMZY_f3MDiEuK7RpCQKrilJ_kpX0Wm7QBZ1L7EjIU/edit?usp=sharing"",""ชุมพร!J118"")"),0)</f>
        <v>0</v>
      </c>
      <c r="T76" s="252">
        <f t="shared" ca="1" si="16"/>
        <v>0</v>
      </c>
    </row>
    <row r="77" spans="1:20" ht="21" customHeight="1" x14ac:dyDescent="0.3">
      <c r="A77" s="243">
        <v>3</v>
      </c>
      <c r="B77" s="244" t="s">
        <v>99</v>
      </c>
      <c r="C77" s="245">
        <f t="shared" ca="1" si="0"/>
        <v>0</v>
      </c>
      <c r="D77" s="246">
        <f t="shared" ca="1" si="29"/>
        <v>0</v>
      </c>
      <c r="E77" s="247">
        <f ca="1">IFERROR(__xludf.DUMMYFUNCTION("IMPORTRANGE(""https://docs.google.com/spreadsheets/d/1MeEWN-I1oV_STSDYn1IFDPWt_1FKiwhDph83XaGc0o0/edit?usp=sharing"",""งบพรบ!BB77"")"),0)</f>
        <v>0</v>
      </c>
      <c r="F77" s="247">
        <f ca="1">IFERROR(__xludf.DUMMYFUNCTION("IMPORTRANGE(""https://docs.google.com/spreadsheets/d/1MeEWN-I1oV_STSDYn1IFDPWt_1FKiwhDph83XaGc0o0/edit?usp=sharing"",""งบพรบ!BC77"")"),0)</f>
        <v>0</v>
      </c>
      <c r="G77" s="247">
        <f ca="1">IFERROR(__xludf.DUMMYFUNCTION("IMPORTRANGE(""https://docs.google.com/spreadsheets/d/1MeEWN-I1oV_STSDYn1IFDPWt_1FKiwhDph83XaGc0o0/edit?usp=sharing"",""งบพรบ!BD77"")"),0)</f>
        <v>0</v>
      </c>
      <c r="H77" s="247">
        <f ca="1">IFERROR(__xludf.DUMMYFUNCTION("IMPORTRANGE(""https://docs.google.com/spreadsheets/d/1MeEWN-I1oV_STSDYn1IFDPWt_1FKiwhDph83XaGc0o0/edit?usp=sharing"",""งบพรบ!BF77"")"),0)</f>
        <v>0</v>
      </c>
      <c r="I77" s="247">
        <f ca="1">IFERROR(__xludf.DUMMYFUNCTION("IMPORTRANGE(""https://docs.google.com/spreadsheets/d/1MeEWN-I1oV_STSDYn1IFDPWt_1FKiwhDph83XaGc0o0/edit?usp=sharing"",""งบพรบ!BG77"")"),0)</f>
        <v>0</v>
      </c>
      <c r="J77" s="247">
        <f t="shared" ca="1" si="3"/>
        <v>0</v>
      </c>
      <c r="K77" s="253">
        <f t="shared" ca="1" si="4"/>
        <v>0</v>
      </c>
      <c r="L77" s="247">
        <f ca="1">IFERROR(__xludf.DUMMYFUNCTION("IMPORTRANGE(""https://docs.google.com/spreadsheets/d/1MeEWN-I1oV_STSDYn1IFDPWt_1FKiwhDph83XaGc0o0/edit?usp=sharing"",""งบพรบ!BH77"")"),0)</f>
        <v>0</v>
      </c>
      <c r="M77" s="250">
        <f t="shared" ca="1" si="5"/>
        <v>0</v>
      </c>
      <c r="N77" s="250">
        <f t="shared" ca="1" si="6"/>
        <v>0</v>
      </c>
      <c r="O77" s="251">
        <f ca="1">IFERROR(__xludf.DUMMYFUNCTION("IMPORTRANGE(""https://docs.google.com/spreadsheets/d/1MeEWN-I1oV_STSDYn1IFDPWt_1FKiwhDph83XaGc0o0/edit?usp=sharing"",""งบพรบ!BI77"")"),0)</f>
        <v>0</v>
      </c>
      <c r="P77" s="250">
        <f t="shared" ca="1" si="18"/>
        <v>0</v>
      </c>
      <c r="Q77" s="250">
        <f t="shared" ca="1" si="8"/>
        <v>0</v>
      </c>
      <c r="R77" s="248">
        <f ca="1">IFERROR(__xludf.DUMMYFUNCTION("IMPORTRANGE(""https://docs.google.com/spreadsheets/d/1v5sN-00LrXuhBxw4dkh2GrG_z4l5oAqOdJRBCsUyMaM/edit?usp=sharing"",""ตรัง!I118"")"),0)</f>
        <v>0</v>
      </c>
      <c r="S77" s="248">
        <f ca="1">IFERROR(__xludf.DUMMYFUNCTION("IMPORTRANGE(""https://docs.google.com/spreadsheets/d/1v5sN-00LrXuhBxw4dkh2GrG_z4l5oAqOdJRBCsUyMaM/edit?usp=sharing"",""ตรัง!J118"")"),0)</f>
        <v>0</v>
      </c>
      <c r="T77" s="252">
        <f t="shared" ca="1" si="16"/>
        <v>0</v>
      </c>
    </row>
    <row r="78" spans="1:20" ht="21" customHeight="1" x14ac:dyDescent="0.3">
      <c r="A78" s="243">
        <v>4</v>
      </c>
      <c r="B78" s="244" t="s">
        <v>100</v>
      </c>
      <c r="C78" s="245">
        <f t="shared" ca="1" si="0"/>
        <v>42000</v>
      </c>
      <c r="D78" s="246">
        <f t="shared" ca="1" si="29"/>
        <v>0</v>
      </c>
      <c r="E78" s="247">
        <f ca="1">IFERROR(__xludf.DUMMYFUNCTION("IMPORTRANGE(""https://docs.google.com/spreadsheets/d/1MeEWN-I1oV_STSDYn1IFDPWt_1FKiwhDph83XaGc0o0/edit?usp=sharing"",""งบพรบ!BB78"")"),0)</f>
        <v>0</v>
      </c>
      <c r="F78" s="247">
        <f ca="1">IFERROR(__xludf.DUMMYFUNCTION("IMPORTRANGE(""https://docs.google.com/spreadsheets/d/1MeEWN-I1oV_STSDYn1IFDPWt_1FKiwhDph83XaGc0o0/edit?usp=sharing"",""งบพรบ!BC78"")"),0)</f>
        <v>0</v>
      </c>
      <c r="G78" s="247">
        <f ca="1">IFERROR(__xludf.DUMMYFUNCTION("IMPORTRANGE(""https://docs.google.com/spreadsheets/d/1MeEWN-I1oV_STSDYn1IFDPWt_1FKiwhDph83XaGc0o0/edit?usp=sharing"",""งบพรบ!BD78"")"),42000)</f>
        <v>42000</v>
      </c>
      <c r="H78" s="247">
        <f ca="1">IFERROR(__xludf.DUMMYFUNCTION("IMPORTRANGE(""https://docs.google.com/spreadsheets/d/1MeEWN-I1oV_STSDYn1IFDPWt_1FKiwhDph83XaGc0o0/edit?usp=sharing"",""งบพรบ!BF78"")"),0)</f>
        <v>0</v>
      </c>
      <c r="I78" s="247">
        <f ca="1">IFERROR(__xludf.DUMMYFUNCTION("IMPORTRANGE(""https://docs.google.com/spreadsheets/d/1MeEWN-I1oV_STSDYn1IFDPWt_1FKiwhDph83XaGc0o0/edit?usp=sharing"",""งบพรบ!BG78"")"),42000)</f>
        <v>42000</v>
      </c>
      <c r="J78" s="247">
        <f t="shared" ca="1" si="3"/>
        <v>42000</v>
      </c>
      <c r="K78" s="253">
        <f t="shared" ca="1" si="4"/>
        <v>100</v>
      </c>
      <c r="L78" s="247">
        <f ca="1">IFERROR(__xludf.DUMMYFUNCTION("IMPORTRANGE(""https://docs.google.com/spreadsheets/d/1MeEWN-I1oV_STSDYn1IFDPWt_1FKiwhDph83XaGc0o0/edit?usp=sharing"",""งบพรบ!BH78"")"),0)</f>
        <v>0</v>
      </c>
      <c r="M78" s="250">
        <f t="shared" ca="1" si="5"/>
        <v>0</v>
      </c>
      <c r="N78" s="250">
        <f t="shared" ca="1" si="6"/>
        <v>0</v>
      </c>
      <c r="O78" s="251">
        <f ca="1">IFERROR(__xludf.DUMMYFUNCTION("IMPORTRANGE(""https://docs.google.com/spreadsheets/d/1MeEWN-I1oV_STSDYn1IFDPWt_1FKiwhDph83XaGc0o0/edit?usp=sharing"",""งบพรบ!BI78"")"),42000)</f>
        <v>42000</v>
      </c>
      <c r="P78" s="250">
        <f t="shared" ca="1" si="18"/>
        <v>100</v>
      </c>
      <c r="Q78" s="250">
        <f t="shared" ca="1" si="8"/>
        <v>100</v>
      </c>
      <c r="R78" s="248">
        <f ca="1">IFERROR(__xludf.DUMMYFUNCTION("IMPORTRANGE(""https://docs.google.com/spreadsheets/d/1T5rRTzFc79aSIvqnzkZNvwPstq829QYz_xALlO1Z0s8/edit?usp=sharing"",""นครศรีธรรมราช!I118"")"),0)</f>
        <v>0</v>
      </c>
      <c r="S78" s="248">
        <f ca="1">IFERROR(__xludf.DUMMYFUNCTION("IMPORTRANGE(""https://docs.google.com/spreadsheets/d/1T5rRTzFc79aSIvqnzkZNvwPstq829QYz_xALlO1Z0s8/edit?usp=sharing"",""นครศรีธรรมราช!J118"")"),0)</f>
        <v>0</v>
      </c>
      <c r="T78" s="252">
        <f t="shared" ca="1" si="16"/>
        <v>0</v>
      </c>
    </row>
    <row r="79" spans="1:20" ht="21" customHeight="1" x14ac:dyDescent="0.3">
      <c r="A79" s="243">
        <v>5</v>
      </c>
      <c r="B79" s="244" t="s">
        <v>101</v>
      </c>
      <c r="C79" s="245">
        <f t="shared" ca="1" si="0"/>
        <v>0</v>
      </c>
      <c r="D79" s="246">
        <f t="shared" ca="1" si="29"/>
        <v>0</v>
      </c>
      <c r="E79" s="247">
        <f ca="1">IFERROR(__xludf.DUMMYFUNCTION("IMPORTRANGE(""https://docs.google.com/spreadsheets/d/1MeEWN-I1oV_STSDYn1IFDPWt_1FKiwhDph83XaGc0o0/edit?usp=sharing"",""งบพรบ!BB79"")"),0)</f>
        <v>0</v>
      </c>
      <c r="F79" s="247">
        <f ca="1">IFERROR(__xludf.DUMMYFUNCTION("IMPORTRANGE(""https://docs.google.com/spreadsheets/d/1MeEWN-I1oV_STSDYn1IFDPWt_1FKiwhDph83XaGc0o0/edit?usp=sharing"",""งบพรบ!BC79"")"),0)</f>
        <v>0</v>
      </c>
      <c r="G79" s="247">
        <f ca="1">IFERROR(__xludf.DUMMYFUNCTION("IMPORTRANGE(""https://docs.google.com/spreadsheets/d/1MeEWN-I1oV_STSDYn1IFDPWt_1FKiwhDph83XaGc0o0/edit?usp=sharing"",""งบพรบ!BD79"")"),0)</f>
        <v>0</v>
      </c>
      <c r="H79" s="247">
        <f ca="1">IFERROR(__xludf.DUMMYFUNCTION("IMPORTRANGE(""https://docs.google.com/spreadsheets/d/1MeEWN-I1oV_STSDYn1IFDPWt_1FKiwhDph83XaGc0o0/edit?usp=sharing"",""งบพรบ!BF79"")"),0)</f>
        <v>0</v>
      </c>
      <c r="I79" s="247">
        <f ca="1">IFERROR(__xludf.DUMMYFUNCTION("IMPORTRANGE(""https://docs.google.com/spreadsheets/d/1MeEWN-I1oV_STSDYn1IFDPWt_1FKiwhDph83XaGc0o0/edit?usp=sharing"",""งบพรบ!BG79"")"),0)</f>
        <v>0</v>
      </c>
      <c r="J79" s="247">
        <f t="shared" ca="1" si="3"/>
        <v>0</v>
      </c>
      <c r="K79" s="253">
        <f t="shared" ca="1" si="4"/>
        <v>0</v>
      </c>
      <c r="L79" s="247">
        <f ca="1">IFERROR(__xludf.DUMMYFUNCTION("IMPORTRANGE(""https://docs.google.com/spreadsheets/d/1MeEWN-I1oV_STSDYn1IFDPWt_1FKiwhDph83XaGc0o0/edit?usp=sharing"",""งบพรบ!BH79"")"),0)</f>
        <v>0</v>
      </c>
      <c r="M79" s="250">
        <f t="shared" ca="1" si="5"/>
        <v>0</v>
      </c>
      <c r="N79" s="250">
        <f t="shared" ca="1" si="6"/>
        <v>0</v>
      </c>
      <c r="O79" s="251">
        <f ca="1">IFERROR(__xludf.DUMMYFUNCTION("IMPORTRANGE(""https://docs.google.com/spreadsheets/d/1MeEWN-I1oV_STSDYn1IFDPWt_1FKiwhDph83XaGc0o0/edit?usp=sharing"",""งบพรบ!BI79"")"),0)</f>
        <v>0</v>
      </c>
      <c r="P79" s="250">
        <f t="shared" ca="1" si="18"/>
        <v>0</v>
      </c>
      <c r="Q79" s="250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IFERROR(__xludf.DUMMYFUNCTION("IMPORTRANGE(""https://docs.google.com/spreadsheets/d/1BeghqumK0IvCmRd2QOy6_afsZq7ZtAGrSnVJy2u7WmY/edit?usp=sharing"",""นราธิวาส!I118"")"),0)</f>
        <v>0</v>
      </c>
      <c r="S79" s="248">
        <f ca="1">IFERROR(__xludf.DUMMYFUNCTION("IMPORTRANGE(""https://docs.google.com/spreadsheets/d/1BeghqumK0IvCmRd2QOy6_afsZq7ZtAGrSnVJy2u7WmY/edit?usp=sharing"",""นราธิวาส!J118"")"),0)</f>
        <v>0</v>
      </c>
      <c r="T79" s="252">
        <f t="shared" ca="1" si="16"/>
        <v>0</v>
      </c>
    </row>
    <row r="80" spans="1:20" ht="21" customHeight="1" x14ac:dyDescent="0.3">
      <c r="A80" s="243">
        <v>6</v>
      </c>
      <c r="B80" s="244" t="s">
        <v>102</v>
      </c>
      <c r="C80" s="245">
        <f t="shared" ca="1" si="0"/>
        <v>0</v>
      </c>
      <c r="D80" s="246">
        <f t="shared" ca="1" si="29"/>
        <v>0</v>
      </c>
      <c r="E80" s="247">
        <f ca="1">IFERROR(__xludf.DUMMYFUNCTION("IMPORTRANGE(""https://docs.google.com/spreadsheets/d/1MeEWN-I1oV_STSDYn1IFDPWt_1FKiwhDph83XaGc0o0/edit?usp=sharing"",""งบพรบ!BB80"")"),0)</f>
        <v>0</v>
      </c>
      <c r="F80" s="247">
        <f ca="1">IFERROR(__xludf.DUMMYFUNCTION("IMPORTRANGE(""https://docs.google.com/spreadsheets/d/1MeEWN-I1oV_STSDYn1IFDPWt_1FKiwhDph83XaGc0o0/edit?usp=sharing"",""งบพรบ!BC80"")"),0)</f>
        <v>0</v>
      </c>
      <c r="G80" s="247">
        <f ca="1">IFERROR(__xludf.DUMMYFUNCTION("IMPORTRANGE(""https://docs.google.com/spreadsheets/d/1MeEWN-I1oV_STSDYn1IFDPWt_1FKiwhDph83XaGc0o0/edit?usp=sharing"",""งบพรบ!BD80"")"),0)</f>
        <v>0</v>
      </c>
      <c r="H80" s="247">
        <f ca="1">IFERROR(__xludf.DUMMYFUNCTION("IMPORTRANGE(""https://docs.google.com/spreadsheets/d/1MeEWN-I1oV_STSDYn1IFDPWt_1FKiwhDph83XaGc0o0/edit?usp=sharing"",""งบพรบ!BF80"")"),0)</f>
        <v>0</v>
      </c>
      <c r="I80" s="247">
        <f ca="1">IFERROR(__xludf.DUMMYFUNCTION("IMPORTRANGE(""https://docs.google.com/spreadsheets/d/1MeEWN-I1oV_STSDYn1IFDPWt_1FKiwhDph83XaGc0o0/edit?usp=sharing"",""งบพรบ!BG80"")"),0)</f>
        <v>0</v>
      </c>
      <c r="J80" s="247">
        <f t="shared" ca="1" si="3"/>
        <v>0</v>
      </c>
      <c r="K80" s="253">
        <f t="shared" ca="1" si="4"/>
        <v>0</v>
      </c>
      <c r="L80" s="247">
        <f ca="1">IFERROR(__xludf.DUMMYFUNCTION("IMPORTRANGE(""https://docs.google.com/spreadsheets/d/1MeEWN-I1oV_STSDYn1IFDPWt_1FKiwhDph83XaGc0o0/edit?usp=sharing"",""งบพรบ!BH80"")"),0)</f>
        <v>0</v>
      </c>
      <c r="M80" s="250">
        <f t="shared" ca="1" si="5"/>
        <v>0</v>
      </c>
      <c r="N80" s="250">
        <f t="shared" ca="1" si="6"/>
        <v>0</v>
      </c>
      <c r="O80" s="251">
        <f ca="1">IFERROR(__xludf.DUMMYFUNCTION("IMPORTRANGE(""https://docs.google.com/spreadsheets/d/1MeEWN-I1oV_STSDYn1IFDPWt_1FKiwhDph83XaGc0o0/edit?usp=sharing"",""งบพรบ!BI80"")"),0)</f>
        <v>0</v>
      </c>
      <c r="P80" s="250">
        <f t="shared" ca="1" si="18"/>
        <v>0</v>
      </c>
      <c r="Q80" s="250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IFERROR(__xludf.DUMMYFUNCTION("IMPORTRANGE(""https://docs.google.com/spreadsheets/d/1IwnW3-jjRf74MCLW-6PiFwMUffRQXZwZA7YM609NmRc/edit?usp=sharing"",""ปัตตานี!I118"")"),0)</f>
        <v>0</v>
      </c>
      <c r="S80" s="248">
        <f ca="1">IFERROR(__xludf.DUMMYFUNCTION("IMPORTRANGE(""https://docs.google.com/spreadsheets/d/1IwnW3-jjRf74MCLW-6PiFwMUffRQXZwZA7YM609NmRc/edit?usp=sharing"",""ปัตตานี!J118"")"),0)</f>
        <v>0</v>
      </c>
      <c r="T80" s="252">
        <f t="shared" ca="1" si="16"/>
        <v>0</v>
      </c>
    </row>
    <row r="81" spans="1:20" ht="21" customHeight="1" x14ac:dyDescent="0.3">
      <c r="A81" s="243">
        <v>7</v>
      </c>
      <c r="B81" s="244" t="s">
        <v>103</v>
      </c>
      <c r="C81" s="245">
        <f t="shared" ca="1" si="0"/>
        <v>0</v>
      </c>
      <c r="D81" s="246">
        <f t="shared" ca="1" si="29"/>
        <v>0</v>
      </c>
      <c r="E81" s="247">
        <f ca="1">IFERROR(__xludf.DUMMYFUNCTION("IMPORTRANGE(""https://docs.google.com/spreadsheets/d/1MeEWN-I1oV_STSDYn1IFDPWt_1FKiwhDph83XaGc0o0/edit?usp=sharing"",""งบพรบ!BB81"")"),0)</f>
        <v>0</v>
      </c>
      <c r="F81" s="247">
        <f ca="1">IFERROR(__xludf.DUMMYFUNCTION("IMPORTRANGE(""https://docs.google.com/spreadsheets/d/1MeEWN-I1oV_STSDYn1IFDPWt_1FKiwhDph83XaGc0o0/edit?usp=sharing"",""งบพรบ!BC81"")"),0)</f>
        <v>0</v>
      </c>
      <c r="G81" s="247">
        <f ca="1">IFERROR(__xludf.DUMMYFUNCTION("IMPORTRANGE(""https://docs.google.com/spreadsheets/d/1MeEWN-I1oV_STSDYn1IFDPWt_1FKiwhDph83XaGc0o0/edit?usp=sharing"",""งบพรบ!BD81"")"),0)</f>
        <v>0</v>
      </c>
      <c r="H81" s="247">
        <f ca="1">IFERROR(__xludf.DUMMYFUNCTION("IMPORTRANGE(""https://docs.google.com/spreadsheets/d/1MeEWN-I1oV_STSDYn1IFDPWt_1FKiwhDph83XaGc0o0/edit?usp=sharing"",""งบพรบ!BF81"")"),0)</f>
        <v>0</v>
      </c>
      <c r="I81" s="247">
        <f ca="1">IFERROR(__xludf.DUMMYFUNCTION("IMPORTRANGE(""https://docs.google.com/spreadsheets/d/1MeEWN-I1oV_STSDYn1IFDPWt_1FKiwhDph83XaGc0o0/edit?usp=sharing"",""งบพรบ!BG81"")"),0)</f>
        <v>0</v>
      </c>
      <c r="J81" s="247">
        <f t="shared" ca="1" si="3"/>
        <v>0</v>
      </c>
      <c r="K81" s="253">
        <f t="shared" ca="1" si="4"/>
        <v>0</v>
      </c>
      <c r="L81" s="247">
        <f ca="1">IFERROR(__xludf.DUMMYFUNCTION("IMPORTRANGE(""https://docs.google.com/spreadsheets/d/1MeEWN-I1oV_STSDYn1IFDPWt_1FKiwhDph83XaGc0o0/edit?usp=sharing"",""งบพรบ!BH81"")"),0)</f>
        <v>0</v>
      </c>
      <c r="M81" s="250">
        <f t="shared" ca="1" si="5"/>
        <v>0</v>
      </c>
      <c r="N81" s="250">
        <f t="shared" ca="1" si="6"/>
        <v>0</v>
      </c>
      <c r="O81" s="251">
        <f ca="1">IFERROR(__xludf.DUMMYFUNCTION("IMPORTRANGE(""https://docs.google.com/spreadsheets/d/1MeEWN-I1oV_STSDYn1IFDPWt_1FKiwhDph83XaGc0o0/edit?usp=sharing"",""งบพรบ!BI81"")"),0)</f>
        <v>0</v>
      </c>
      <c r="P81" s="250">
        <f t="shared" ca="1" si="18"/>
        <v>0</v>
      </c>
      <c r="Q81" s="250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IFERROR(__xludf.DUMMYFUNCTION("IMPORTRANGE(""https://docs.google.com/spreadsheets/d/1vl4QWbWdFruual5o_wdo6ZSqXZ_it806oja4CctTLKs/edit?usp=sharing"",""พังงา!I118"")"),0)</f>
        <v>0</v>
      </c>
      <c r="S81" s="248">
        <f ca="1">IFERROR(__xludf.DUMMYFUNCTION("IMPORTRANGE(""https://docs.google.com/spreadsheets/d/1vl4QWbWdFruual5o_wdo6ZSqXZ_it806oja4CctTLKs/edit?usp=sharing"",""พังงา!J118"")"),0)</f>
        <v>0</v>
      </c>
      <c r="T81" s="252">
        <f t="shared" ca="1" si="16"/>
        <v>0</v>
      </c>
    </row>
    <row r="82" spans="1:20" ht="21" customHeight="1" x14ac:dyDescent="0.3">
      <c r="A82" s="243">
        <v>8</v>
      </c>
      <c r="B82" s="244" t="s">
        <v>104</v>
      </c>
      <c r="C82" s="245">
        <f t="shared" ca="1" si="0"/>
        <v>0</v>
      </c>
      <c r="D82" s="246">
        <f t="shared" ca="1" si="29"/>
        <v>0</v>
      </c>
      <c r="E82" s="247">
        <f ca="1">IFERROR(__xludf.DUMMYFUNCTION("IMPORTRANGE(""https://docs.google.com/spreadsheets/d/1MeEWN-I1oV_STSDYn1IFDPWt_1FKiwhDph83XaGc0o0/edit?usp=sharing"",""งบพรบ!BB82"")"),0)</f>
        <v>0</v>
      </c>
      <c r="F82" s="247">
        <f ca="1">IFERROR(__xludf.DUMMYFUNCTION("IMPORTRANGE(""https://docs.google.com/spreadsheets/d/1MeEWN-I1oV_STSDYn1IFDPWt_1FKiwhDph83XaGc0o0/edit?usp=sharing"",""งบพรบ!BC82"")"),0)</f>
        <v>0</v>
      </c>
      <c r="G82" s="247">
        <f ca="1">IFERROR(__xludf.DUMMYFUNCTION("IMPORTRANGE(""https://docs.google.com/spreadsheets/d/1MeEWN-I1oV_STSDYn1IFDPWt_1FKiwhDph83XaGc0o0/edit?usp=sharing"",""งบพรบ!BD82"")"),0)</f>
        <v>0</v>
      </c>
      <c r="H82" s="247">
        <f ca="1">IFERROR(__xludf.DUMMYFUNCTION("IMPORTRANGE(""https://docs.google.com/spreadsheets/d/1MeEWN-I1oV_STSDYn1IFDPWt_1FKiwhDph83XaGc0o0/edit?usp=sharing"",""งบพรบ!BF82"")"),0)</f>
        <v>0</v>
      </c>
      <c r="I82" s="247">
        <f ca="1">IFERROR(__xludf.DUMMYFUNCTION("IMPORTRANGE(""https://docs.google.com/spreadsheets/d/1MeEWN-I1oV_STSDYn1IFDPWt_1FKiwhDph83XaGc0o0/edit?usp=sharing"",""งบพรบ!BG82"")"),0)</f>
        <v>0</v>
      </c>
      <c r="J82" s="247">
        <f t="shared" ca="1" si="3"/>
        <v>0</v>
      </c>
      <c r="K82" s="253">
        <f t="shared" ca="1" si="4"/>
        <v>0</v>
      </c>
      <c r="L82" s="247">
        <f ca="1">IFERROR(__xludf.DUMMYFUNCTION("IMPORTRANGE(""https://docs.google.com/spreadsheets/d/1MeEWN-I1oV_STSDYn1IFDPWt_1FKiwhDph83XaGc0o0/edit?usp=sharing"",""งบพรบ!BH82"")"),0)</f>
        <v>0</v>
      </c>
      <c r="M82" s="250">
        <f t="shared" ca="1" si="5"/>
        <v>0</v>
      </c>
      <c r="N82" s="250">
        <f t="shared" ca="1" si="6"/>
        <v>0</v>
      </c>
      <c r="O82" s="251">
        <f ca="1">IFERROR(__xludf.DUMMYFUNCTION("IMPORTRANGE(""https://docs.google.com/spreadsheets/d/1MeEWN-I1oV_STSDYn1IFDPWt_1FKiwhDph83XaGc0o0/edit?usp=sharing"",""งบพรบ!BI82"")"),0)</f>
        <v>0</v>
      </c>
      <c r="P82" s="250">
        <f t="shared" ca="1" si="18"/>
        <v>0</v>
      </c>
      <c r="Q82" s="250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IFERROR(__xludf.DUMMYFUNCTION("IMPORTRANGE(""https://docs.google.com/spreadsheets/d/1b6QssHQp2FoAPSMKHOy273KNzAomaIKhtdlvuZ_zDNE/edit?usp=sharing"",""พัทลุง!I118"")"),0)</f>
        <v>0</v>
      </c>
      <c r="S82" s="248">
        <f ca="1">IFERROR(__xludf.DUMMYFUNCTION("IMPORTRANGE(""https://docs.google.com/spreadsheets/d/1b6QssHQp2FoAPSMKHOy273KNzAomaIKhtdlvuZ_zDNE/edit?usp=sharing"",""พัทลุง!J118"")"),0)</f>
        <v>0</v>
      </c>
      <c r="T82" s="252">
        <f t="shared" ca="1" si="16"/>
        <v>0</v>
      </c>
    </row>
    <row r="83" spans="1:20" ht="21" customHeight="1" x14ac:dyDescent="0.3">
      <c r="A83" s="243">
        <v>9</v>
      </c>
      <c r="B83" s="244" t="s">
        <v>105</v>
      </c>
      <c r="C83" s="245">
        <f t="shared" ca="1" si="0"/>
        <v>0</v>
      </c>
      <c r="D83" s="246">
        <f t="shared" ca="1" si="29"/>
        <v>0</v>
      </c>
      <c r="E83" s="247">
        <f ca="1">IFERROR(__xludf.DUMMYFUNCTION("IMPORTRANGE(""https://docs.google.com/spreadsheets/d/1MeEWN-I1oV_STSDYn1IFDPWt_1FKiwhDph83XaGc0o0/edit?usp=sharing"",""งบพรบ!BB83"")"),0)</f>
        <v>0</v>
      </c>
      <c r="F83" s="247">
        <f ca="1">IFERROR(__xludf.DUMMYFUNCTION("IMPORTRANGE(""https://docs.google.com/spreadsheets/d/1MeEWN-I1oV_STSDYn1IFDPWt_1FKiwhDph83XaGc0o0/edit?usp=sharing"",""งบพรบ!BC83"")"),0)</f>
        <v>0</v>
      </c>
      <c r="G83" s="247">
        <f ca="1">IFERROR(__xludf.DUMMYFUNCTION("IMPORTRANGE(""https://docs.google.com/spreadsheets/d/1MeEWN-I1oV_STSDYn1IFDPWt_1FKiwhDph83XaGc0o0/edit?usp=sharing"",""งบพรบ!BD83"")"),0)</f>
        <v>0</v>
      </c>
      <c r="H83" s="247">
        <f ca="1">IFERROR(__xludf.DUMMYFUNCTION("IMPORTRANGE(""https://docs.google.com/spreadsheets/d/1MeEWN-I1oV_STSDYn1IFDPWt_1FKiwhDph83XaGc0o0/edit?usp=sharing"",""งบพรบ!BF83"")"),0)</f>
        <v>0</v>
      </c>
      <c r="I83" s="247">
        <f ca="1">IFERROR(__xludf.DUMMYFUNCTION("IMPORTRANGE(""https://docs.google.com/spreadsheets/d/1MeEWN-I1oV_STSDYn1IFDPWt_1FKiwhDph83XaGc0o0/edit?usp=sharing"",""งบพรบ!BG83"")"),0)</f>
        <v>0</v>
      </c>
      <c r="J83" s="247">
        <f t="shared" ca="1" si="3"/>
        <v>0</v>
      </c>
      <c r="K83" s="253">
        <f t="shared" ca="1" si="4"/>
        <v>0</v>
      </c>
      <c r="L83" s="247">
        <f ca="1">IFERROR(__xludf.DUMMYFUNCTION("IMPORTRANGE(""https://docs.google.com/spreadsheets/d/1MeEWN-I1oV_STSDYn1IFDPWt_1FKiwhDph83XaGc0o0/edit?usp=sharing"",""งบพรบ!BH83"")"),0)</f>
        <v>0</v>
      </c>
      <c r="M83" s="250">
        <f t="shared" ca="1" si="5"/>
        <v>0</v>
      </c>
      <c r="N83" s="250">
        <f t="shared" ca="1" si="6"/>
        <v>0</v>
      </c>
      <c r="O83" s="251">
        <f ca="1">IFERROR(__xludf.DUMMYFUNCTION("IMPORTRANGE(""https://docs.google.com/spreadsheets/d/1MeEWN-I1oV_STSDYn1IFDPWt_1FKiwhDph83XaGc0o0/edit?usp=sharing"",""งบพรบ!BI83"")"),0)</f>
        <v>0</v>
      </c>
      <c r="P83" s="250">
        <f t="shared" ca="1" si="18"/>
        <v>0</v>
      </c>
      <c r="Q83" s="250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IFERROR(__xludf.DUMMYFUNCTION("IMPORTRANGE(""https://docs.google.com/spreadsheets/d/1o7UZe4_OqlqtLDHrj01Z2YFRSZDf1DMy1n3XViHaxRc/edit?usp=sharing"",""ภูเก็ต!I118"")"),0)</f>
        <v>0</v>
      </c>
      <c r="S83" s="248">
        <f ca="1">IFERROR(__xludf.DUMMYFUNCTION("IMPORTRANGE(""https://docs.google.com/spreadsheets/d/1o7UZe4_OqlqtLDHrj01Z2YFRSZDf1DMy1n3XViHaxRc/edit?usp=sharing"",""ภูเก็ต!J118"")"),0)</f>
        <v>0</v>
      </c>
      <c r="T83" s="252">
        <f t="shared" ca="1" si="16"/>
        <v>0</v>
      </c>
    </row>
    <row r="84" spans="1:20" ht="21" customHeight="1" x14ac:dyDescent="0.3">
      <c r="A84" s="243">
        <v>10</v>
      </c>
      <c r="B84" s="244" t="s">
        <v>106</v>
      </c>
      <c r="C84" s="245">
        <f t="shared" ca="1" si="0"/>
        <v>0</v>
      </c>
      <c r="D84" s="246">
        <f t="shared" ca="1" si="29"/>
        <v>0</v>
      </c>
      <c r="E84" s="247">
        <f ca="1">IFERROR(__xludf.DUMMYFUNCTION("IMPORTRANGE(""https://docs.google.com/spreadsheets/d/1MeEWN-I1oV_STSDYn1IFDPWt_1FKiwhDph83XaGc0o0/edit?usp=sharing"",""งบพรบ!BB84"")"),0)</f>
        <v>0</v>
      </c>
      <c r="F84" s="247">
        <f ca="1">IFERROR(__xludf.DUMMYFUNCTION("IMPORTRANGE(""https://docs.google.com/spreadsheets/d/1MeEWN-I1oV_STSDYn1IFDPWt_1FKiwhDph83XaGc0o0/edit?usp=sharing"",""งบพรบ!BC84"")"),0)</f>
        <v>0</v>
      </c>
      <c r="G84" s="247">
        <f ca="1">IFERROR(__xludf.DUMMYFUNCTION("IMPORTRANGE(""https://docs.google.com/spreadsheets/d/1MeEWN-I1oV_STSDYn1IFDPWt_1FKiwhDph83XaGc0o0/edit?usp=sharing"",""งบพรบ!BD84"")"),0)</f>
        <v>0</v>
      </c>
      <c r="H84" s="247">
        <f ca="1">IFERROR(__xludf.DUMMYFUNCTION("IMPORTRANGE(""https://docs.google.com/spreadsheets/d/1MeEWN-I1oV_STSDYn1IFDPWt_1FKiwhDph83XaGc0o0/edit?usp=sharing"",""งบพรบ!BF84"")"),0)</f>
        <v>0</v>
      </c>
      <c r="I84" s="247">
        <f ca="1">IFERROR(__xludf.DUMMYFUNCTION("IMPORTRANGE(""https://docs.google.com/spreadsheets/d/1MeEWN-I1oV_STSDYn1IFDPWt_1FKiwhDph83XaGc0o0/edit?usp=sharing"",""งบพรบ!BG84"")"),0)</f>
        <v>0</v>
      </c>
      <c r="J84" s="247">
        <f t="shared" ca="1" si="3"/>
        <v>0</v>
      </c>
      <c r="K84" s="253">
        <f t="shared" ca="1" si="4"/>
        <v>0</v>
      </c>
      <c r="L84" s="247">
        <f ca="1">IFERROR(__xludf.DUMMYFUNCTION("IMPORTRANGE(""https://docs.google.com/spreadsheets/d/1MeEWN-I1oV_STSDYn1IFDPWt_1FKiwhDph83XaGc0o0/edit?usp=sharing"",""งบพรบ!BH84"")"),0)</f>
        <v>0</v>
      </c>
      <c r="M84" s="250">
        <f t="shared" ca="1" si="5"/>
        <v>0</v>
      </c>
      <c r="N84" s="250">
        <f t="shared" ca="1" si="6"/>
        <v>0</v>
      </c>
      <c r="O84" s="251">
        <f ca="1">IFERROR(__xludf.DUMMYFUNCTION("IMPORTRANGE(""https://docs.google.com/spreadsheets/d/1MeEWN-I1oV_STSDYn1IFDPWt_1FKiwhDph83XaGc0o0/edit?usp=sharing"",""งบพรบ!BI84"")"),0)</f>
        <v>0</v>
      </c>
      <c r="P84" s="250">
        <f t="shared" ca="1" si="18"/>
        <v>0</v>
      </c>
      <c r="Q84" s="250">
        <f t="shared" ca="1" si="8"/>
        <v>0</v>
      </c>
      <c r="R84" s="248">
        <f ca="1">IFERROR(__xludf.DUMMYFUNCTION("IMPORTRANGE(""https://docs.google.com/spreadsheets/d/1ctPm1vUzcUCPuOj9-eoHUD85PqINFqUB0TjdSWmR5-c/edit?usp=sharing"",""ยะลา!I118"")"),0)</f>
        <v>0</v>
      </c>
      <c r="S84" s="248">
        <f ca="1">IFERROR(__xludf.DUMMYFUNCTION("IMPORTRANGE(""https://docs.google.com/spreadsheets/d/1ctPm1vUzcUCPuOj9-eoHUD85PqINFqUB0TjdSWmR5-c/edit?usp=sharing"",""ยะลา!J118"")"),0)</f>
        <v>0</v>
      </c>
      <c r="T84" s="252">
        <f t="shared" ca="1" si="16"/>
        <v>0</v>
      </c>
    </row>
    <row r="85" spans="1:20" ht="21" customHeight="1" x14ac:dyDescent="0.3">
      <c r="A85" s="243">
        <v>11</v>
      </c>
      <c r="B85" s="244" t="s">
        <v>107</v>
      </c>
      <c r="C85" s="245">
        <f t="shared" ca="1" si="0"/>
        <v>0</v>
      </c>
      <c r="D85" s="246">
        <f t="shared" ca="1" si="29"/>
        <v>0</v>
      </c>
      <c r="E85" s="247">
        <f ca="1">IFERROR(__xludf.DUMMYFUNCTION("IMPORTRANGE(""https://docs.google.com/spreadsheets/d/1MeEWN-I1oV_STSDYn1IFDPWt_1FKiwhDph83XaGc0o0/edit?usp=sharing"",""งบพรบ!BB85"")"),0)</f>
        <v>0</v>
      </c>
      <c r="F85" s="247">
        <f ca="1">IFERROR(__xludf.DUMMYFUNCTION("IMPORTRANGE(""https://docs.google.com/spreadsheets/d/1MeEWN-I1oV_STSDYn1IFDPWt_1FKiwhDph83XaGc0o0/edit?usp=sharing"",""งบพรบ!BC85"")"),0)</f>
        <v>0</v>
      </c>
      <c r="G85" s="247">
        <f ca="1">IFERROR(__xludf.DUMMYFUNCTION("IMPORTRANGE(""https://docs.google.com/spreadsheets/d/1MeEWN-I1oV_STSDYn1IFDPWt_1FKiwhDph83XaGc0o0/edit?usp=sharing"",""งบพรบ!BD85"")"),0)</f>
        <v>0</v>
      </c>
      <c r="H85" s="247">
        <f ca="1">IFERROR(__xludf.DUMMYFUNCTION("IMPORTRANGE(""https://docs.google.com/spreadsheets/d/1MeEWN-I1oV_STSDYn1IFDPWt_1FKiwhDph83XaGc0o0/edit?usp=sharing"",""งบพรบ!BF85"")"),0)</f>
        <v>0</v>
      </c>
      <c r="I85" s="247">
        <f ca="1">IFERROR(__xludf.DUMMYFUNCTION("IMPORTRANGE(""https://docs.google.com/spreadsheets/d/1MeEWN-I1oV_STSDYn1IFDPWt_1FKiwhDph83XaGc0o0/edit?usp=sharing"",""งบพรบ!BG85"")"),0)</f>
        <v>0</v>
      </c>
      <c r="J85" s="247">
        <f t="shared" ca="1" si="3"/>
        <v>0</v>
      </c>
      <c r="K85" s="253">
        <f t="shared" ca="1" si="4"/>
        <v>0</v>
      </c>
      <c r="L85" s="247">
        <f ca="1">IFERROR(__xludf.DUMMYFUNCTION("IMPORTRANGE(""https://docs.google.com/spreadsheets/d/1MeEWN-I1oV_STSDYn1IFDPWt_1FKiwhDph83XaGc0o0/edit?usp=sharing"",""งบพรบ!BH85"")"),0)</f>
        <v>0</v>
      </c>
      <c r="M85" s="250">
        <f t="shared" ca="1" si="5"/>
        <v>0</v>
      </c>
      <c r="N85" s="250">
        <f t="shared" ca="1" si="6"/>
        <v>0</v>
      </c>
      <c r="O85" s="251">
        <f ca="1">IFERROR(__xludf.DUMMYFUNCTION("IMPORTRANGE(""https://docs.google.com/spreadsheets/d/1MeEWN-I1oV_STSDYn1IFDPWt_1FKiwhDph83XaGc0o0/edit?usp=sharing"",""งบพรบ!BI85"")"),0)</f>
        <v>0</v>
      </c>
      <c r="P85" s="250">
        <f t="shared" ca="1" si="18"/>
        <v>0</v>
      </c>
      <c r="Q85" s="250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IFERROR(__xludf.DUMMYFUNCTION("IMPORTRANGE(""https://docs.google.com/spreadsheets/d/1YiDIE7Klmt8osgdapRqYWNr7iPGFSsiJqq46S7PYRE0/edit?usp=sharing"",""ระนอง!I118"")"),0)</f>
        <v>0</v>
      </c>
      <c r="S85" s="248">
        <f ca="1">IFERROR(__xludf.DUMMYFUNCTION("IMPORTRANGE(""https://docs.google.com/spreadsheets/d/1YiDIE7Klmt8osgdapRqYWNr7iPGFSsiJqq46S7PYRE0/edit?usp=sharing"",""ระนอง!J118"")"),0)</f>
        <v>0</v>
      </c>
      <c r="T85" s="252">
        <f t="shared" ca="1" si="16"/>
        <v>0</v>
      </c>
    </row>
    <row r="86" spans="1:20" ht="24" customHeight="1" x14ac:dyDescent="0.3">
      <c r="A86" s="243">
        <v>12</v>
      </c>
      <c r="B86" s="244" t="s">
        <v>108</v>
      </c>
      <c r="C86" s="245">
        <f t="shared" ca="1" si="0"/>
        <v>0</v>
      </c>
      <c r="D86" s="246">
        <f t="shared" ca="1" si="29"/>
        <v>0</v>
      </c>
      <c r="E86" s="247">
        <f ca="1">IFERROR(__xludf.DUMMYFUNCTION("IMPORTRANGE(""https://docs.google.com/spreadsheets/d/1MeEWN-I1oV_STSDYn1IFDPWt_1FKiwhDph83XaGc0o0/edit?usp=sharing"",""งบพรบ!BB86"")"),0)</f>
        <v>0</v>
      </c>
      <c r="F86" s="247">
        <f ca="1">IFERROR(__xludf.DUMMYFUNCTION("IMPORTRANGE(""https://docs.google.com/spreadsheets/d/1MeEWN-I1oV_STSDYn1IFDPWt_1FKiwhDph83XaGc0o0/edit?usp=sharing"",""งบพรบ!BC86"")"),0)</f>
        <v>0</v>
      </c>
      <c r="G86" s="247">
        <f ca="1">IFERROR(__xludf.DUMMYFUNCTION("IMPORTRANGE(""https://docs.google.com/spreadsheets/d/1MeEWN-I1oV_STSDYn1IFDPWt_1FKiwhDph83XaGc0o0/edit?usp=sharing"",""งบพรบ!BD86"")"),0)</f>
        <v>0</v>
      </c>
      <c r="H86" s="247">
        <f ca="1">IFERROR(__xludf.DUMMYFUNCTION("IMPORTRANGE(""https://docs.google.com/spreadsheets/d/1MeEWN-I1oV_STSDYn1IFDPWt_1FKiwhDph83XaGc0o0/edit?usp=sharing"",""งบพรบ!BF86"")"),0)</f>
        <v>0</v>
      </c>
      <c r="I86" s="247">
        <f ca="1">IFERROR(__xludf.DUMMYFUNCTION("IMPORTRANGE(""https://docs.google.com/spreadsheets/d/1MeEWN-I1oV_STSDYn1IFDPWt_1FKiwhDph83XaGc0o0/edit?usp=sharing"",""งบพรบ!BG86"")"),0)</f>
        <v>0</v>
      </c>
      <c r="J86" s="247">
        <f t="shared" ca="1" si="3"/>
        <v>0</v>
      </c>
      <c r="K86" s="253">
        <f t="shared" ca="1" si="4"/>
        <v>0</v>
      </c>
      <c r="L86" s="247">
        <f ca="1">IFERROR(__xludf.DUMMYFUNCTION("IMPORTRANGE(""https://docs.google.com/spreadsheets/d/1MeEWN-I1oV_STSDYn1IFDPWt_1FKiwhDph83XaGc0o0/edit?usp=sharing"",""งบพรบ!BH86"")"),0)</f>
        <v>0</v>
      </c>
      <c r="M86" s="250">
        <f t="shared" ca="1" si="5"/>
        <v>0</v>
      </c>
      <c r="N86" s="250">
        <f t="shared" ca="1" si="6"/>
        <v>0</v>
      </c>
      <c r="O86" s="251">
        <f ca="1">IFERROR(__xludf.DUMMYFUNCTION("IMPORTRANGE(""https://docs.google.com/spreadsheets/d/1MeEWN-I1oV_STSDYn1IFDPWt_1FKiwhDph83XaGc0o0/edit?usp=sharing"",""งบพรบ!BI86"")"),0)</f>
        <v>0</v>
      </c>
      <c r="P86" s="250">
        <f t="shared" ca="1" si="18"/>
        <v>0</v>
      </c>
      <c r="Q86" s="250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IFERROR(__xludf.DUMMYFUNCTION("IMPORTRANGE(""https://docs.google.com/spreadsheets/d/16o_4B-V7AWw_6E93bSpXj_XxVv1oVQctk-B6z1dNEWU/edit?usp=sharing"",""สงขลา!I118"")"),0)</f>
        <v>0</v>
      </c>
      <c r="S86" s="248">
        <f ca="1">IFERROR(__xludf.DUMMYFUNCTION("IMPORTRANGE(""https://docs.google.com/spreadsheets/d/16o_4B-V7AWw_6E93bSpXj_XxVv1oVQctk-B6z1dNEWU/edit?usp=sharing"",""สงขลา!J118"")"),0)</f>
        <v>0</v>
      </c>
      <c r="T86" s="252">
        <f t="shared" ca="1" si="16"/>
        <v>0</v>
      </c>
    </row>
    <row r="87" spans="1:20" ht="24" customHeight="1" x14ac:dyDescent="0.3">
      <c r="A87" s="243">
        <v>13</v>
      </c>
      <c r="B87" s="244" t="s">
        <v>109</v>
      </c>
      <c r="C87" s="245">
        <f t="shared" ca="1" si="0"/>
        <v>0</v>
      </c>
      <c r="D87" s="246">
        <f t="shared" ca="1" si="29"/>
        <v>0</v>
      </c>
      <c r="E87" s="247">
        <f ca="1">IFERROR(__xludf.DUMMYFUNCTION("IMPORTRANGE(""https://docs.google.com/spreadsheets/d/1MeEWN-I1oV_STSDYn1IFDPWt_1FKiwhDph83XaGc0o0/edit?usp=sharing"",""งบพรบ!BB87"")"),0)</f>
        <v>0</v>
      </c>
      <c r="F87" s="247">
        <f ca="1">IFERROR(__xludf.DUMMYFUNCTION("IMPORTRANGE(""https://docs.google.com/spreadsheets/d/1MeEWN-I1oV_STSDYn1IFDPWt_1FKiwhDph83XaGc0o0/edit?usp=sharing"",""งบพรบ!BC87"")"),0)</f>
        <v>0</v>
      </c>
      <c r="G87" s="247">
        <f ca="1">IFERROR(__xludf.DUMMYFUNCTION("IMPORTRANGE(""https://docs.google.com/spreadsheets/d/1MeEWN-I1oV_STSDYn1IFDPWt_1FKiwhDph83XaGc0o0/edit?usp=sharing"",""งบพรบ!BD87"")"),0)</f>
        <v>0</v>
      </c>
      <c r="H87" s="247">
        <f ca="1">IFERROR(__xludf.DUMMYFUNCTION("IMPORTRANGE(""https://docs.google.com/spreadsheets/d/1MeEWN-I1oV_STSDYn1IFDPWt_1FKiwhDph83XaGc0o0/edit?usp=sharing"",""งบพรบ!BF87"")"),0)</f>
        <v>0</v>
      </c>
      <c r="I87" s="247">
        <f ca="1">IFERROR(__xludf.DUMMYFUNCTION("IMPORTRANGE(""https://docs.google.com/spreadsheets/d/1MeEWN-I1oV_STSDYn1IFDPWt_1FKiwhDph83XaGc0o0/edit?usp=sharing"",""งบพรบ!BG87"")"),0)</f>
        <v>0</v>
      </c>
      <c r="J87" s="247">
        <f t="shared" ca="1" si="3"/>
        <v>0</v>
      </c>
      <c r="K87" s="253">
        <f t="shared" ca="1" si="4"/>
        <v>0</v>
      </c>
      <c r="L87" s="247">
        <f ca="1">IFERROR(__xludf.DUMMYFUNCTION("IMPORTRANGE(""https://docs.google.com/spreadsheets/d/1MeEWN-I1oV_STSDYn1IFDPWt_1FKiwhDph83XaGc0o0/edit?usp=sharing"",""งบพรบ!BH87"")"),0)</f>
        <v>0</v>
      </c>
      <c r="M87" s="250">
        <f t="shared" ca="1" si="5"/>
        <v>0</v>
      </c>
      <c r="N87" s="250">
        <f t="shared" ca="1" si="6"/>
        <v>0</v>
      </c>
      <c r="O87" s="251">
        <f ca="1">IFERROR(__xludf.DUMMYFUNCTION("IMPORTRANGE(""https://docs.google.com/spreadsheets/d/1MeEWN-I1oV_STSDYn1IFDPWt_1FKiwhDph83XaGc0o0/edit?usp=sharing"",""งบพรบ!BI87"")"),0)</f>
        <v>0</v>
      </c>
      <c r="P87" s="250">
        <f t="shared" ca="1" si="18"/>
        <v>0</v>
      </c>
      <c r="Q87" s="250">
        <f t="shared" ca="1" si="8"/>
        <v>0</v>
      </c>
      <c r="R87" s="248">
        <f ca="1">IFERROR(__xludf.DUMMYFUNCTION("IMPORTRANGE(""https://docs.google.com/spreadsheets/d/16cywr71Fj4fA5OGRHsZh30ZG2gwJhMAQv69oVBzYHv0/edit?usp=sharing"",""สตูล!I118"")"),0)</f>
        <v>0</v>
      </c>
      <c r="S87" s="248">
        <f ca="1">IFERROR(__xludf.DUMMYFUNCTION("IMPORTRANGE(""https://docs.google.com/spreadsheets/d/16cywr71Fj4fA5OGRHsZh30ZG2gwJhMAQv69oVBzYHv0/edit?usp=sharing"",""สตูล!J118"")"),0)</f>
        <v>0</v>
      </c>
      <c r="T87" s="252">
        <f t="shared" ca="1" si="16"/>
        <v>0</v>
      </c>
    </row>
    <row r="88" spans="1:20" ht="24" customHeight="1" x14ac:dyDescent="0.3">
      <c r="A88" s="254">
        <v>14</v>
      </c>
      <c r="B88" s="255" t="s">
        <v>110</v>
      </c>
      <c r="C88" s="256">
        <f t="shared" ca="1" si="0"/>
        <v>0</v>
      </c>
      <c r="D88" s="257">
        <f t="shared" ca="1" si="29"/>
        <v>0</v>
      </c>
      <c r="E88" s="258">
        <f ca="1">IFERROR(__xludf.DUMMYFUNCTION("IMPORTRANGE(""https://docs.google.com/spreadsheets/d/1MeEWN-I1oV_STSDYn1IFDPWt_1FKiwhDph83XaGc0o0/edit?usp=sharing"",""งบพรบ!BB88"")"),0)</f>
        <v>0</v>
      </c>
      <c r="F88" s="258">
        <f ca="1">IFERROR(__xludf.DUMMYFUNCTION("IMPORTRANGE(""https://docs.google.com/spreadsheets/d/1MeEWN-I1oV_STSDYn1IFDPWt_1FKiwhDph83XaGc0o0/edit?usp=sharing"",""งบพรบ!BC88"")"),0)</f>
        <v>0</v>
      </c>
      <c r="G88" s="258">
        <f ca="1">IFERROR(__xludf.DUMMYFUNCTION("IMPORTRANGE(""https://docs.google.com/spreadsheets/d/1MeEWN-I1oV_STSDYn1IFDPWt_1FKiwhDph83XaGc0o0/edit?usp=sharing"",""งบพรบ!BD88"")"),0)</f>
        <v>0</v>
      </c>
      <c r="H88" s="258">
        <f ca="1">IFERROR(__xludf.DUMMYFUNCTION("IMPORTRANGE(""https://docs.google.com/spreadsheets/d/1MeEWN-I1oV_STSDYn1IFDPWt_1FKiwhDph83XaGc0o0/edit?usp=sharing"",""งบพรบ!BF88"")"),0)</f>
        <v>0</v>
      </c>
      <c r="I88" s="258">
        <f ca="1">IFERROR(__xludf.DUMMYFUNCTION("IMPORTRANGE(""https://docs.google.com/spreadsheets/d/1MeEWN-I1oV_STSDYn1IFDPWt_1FKiwhDph83XaGc0o0/edit?usp=sharing"",""งบพรบ!BG88"")"),0)</f>
        <v>0</v>
      </c>
      <c r="J88" s="258">
        <f t="shared" ca="1" si="3"/>
        <v>0</v>
      </c>
      <c r="K88" s="259">
        <f t="shared" ca="1" si="4"/>
        <v>0</v>
      </c>
      <c r="L88" s="258">
        <f ca="1">IFERROR(__xludf.DUMMYFUNCTION("IMPORTRANGE(""https://docs.google.com/spreadsheets/d/1MeEWN-I1oV_STSDYn1IFDPWt_1FKiwhDph83XaGc0o0/edit?usp=sharing"",""งบพรบ!BH88"")"),0)</f>
        <v>0</v>
      </c>
      <c r="M88" s="260">
        <f t="shared" ca="1" si="5"/>
        <v>0</v>
      </c>
      <c r="N88" s="260">
        <f t="shared" ca="1" si="6"/>
        <v>0</v>
      </c>
      <c r="O88" s="261">
        <f ca="1">IFERROR(__xludf.DUMMYFUNCTION("IMPORTRANGE(""https://docs.google.com/spreadsheets/d/1MeEWN-I1oV_STSDYn1IFDPWt_1FKiwhDph83XaGc0o0/edit?usp=sharing"",""งบพรบ!BI88"")"),0)</f>
        <v>0</v>
      </c>
      <c r="P88" s="260">
        <f t="shared" ca="1" si="18"/>
        <v>0</v>
      </c>
      <c r="Q88" s="260">
        <f t="shared" ca="1" si="8"/>
        <v>0</v>
      </c>
      <c r="R88" s="262">
        <f ca="1">IFERROR(__xludf.DUMMYFUNCTION("IMPORTRANGE(""https://docs.google.com/spreadsheets/d/1vO9Sws6kMtrVtyvrAJptINXjK8TFBoX9xLYOVK_C8bQ/edit?usp=sharing"",""สุราษฎร์ธานี!I118"")"),0)</f>
        <v>0</v>
      </c>
      <c r="S88" s="262">
        <f ca="1">IFERROR(__xludf.DUMMYFUNCTION("IMPORTRANGE(""https://docs.google.com/spreadsheets/d/1vO9Sws6kMtrVtyvrAJptINXjK8TFBoX9xLYOVK_C8bQ/edit?usp=sharing"",""สุราษฎร์ธานี!J118"")"),0)</f>
        <v>0</v>
      </c>
      <c r="T88" s="267">
        <f t="shared" ca="1" si="16"/>
        <v>0</v>
      </c>
    </row>
    <row r="89" spans="1:20" ht="21" hidden="1" customHeight="1" x14ac:dyDescent="0.3">
      <c r="A89" s="441" t="s">
        <v>111</v>
      </c>
      <c r="B89" s="414"/>
      <c r="C89" s="230">
        <f t="shared" ca="1" si="0"/>
        <v>0</v>
      </c>
      <c r="D89" s="230">
        <f t="shared" ref="D89:I89" ca="1" si="30">+D90+D91+D92+D93+D94+D95+D96+D97+D98+D99+D100+D101+D102+D103</f>
        <v>0</v>
      </c>
      <c r="E89" s="230">
        <f t="shared" ca="1" si="30"/>
        <v>0</v>
      </c>
      <c r="F89" s="230">
        <f t="shared" ca="1" si="30"/>
        <v>0</v>
      </c>
      <c r="G89" s="230">
        <f t="shared" ca="1" si="30"/>
        <v>0</v>
      </c>
      <c r="H89" s="230">
        <f t="shared" ca="1" si="30"/>
        <v>0</v>
      </c>
      <c r="I89" s="230">
        <f t="shared" ca="1" si="30"/>
        <v>0</v>
      </c>
      <c r="J89" s="230">
        <f t="shared" ca="1" si="3"/>
        <v>0</v>
      </c>
      <c r="K89" s="231">
        <f t="shared" ca="1" si="4"/>
        <v>0</v>
      </c>
      <c r="L89" s="230">
        <f ca="1">+L90+L91+L92+L93+L94+L95+L96+L97+L98+L99+L100+L101+L102+L103</f>
        <v>0</v>
      </c>
      <c r="M89" s="232">
        <f t="shared" ca="1" si="5"/>
        <v>0</v>
      </c>
      <c r="N89" s="232">
        <f t="shared" ca="1" si="6"/>
        <v>0</v>
      </c>
      <c r="O89" s="233">
        <f ca="1">+O90+O91+O92+O93+O94+O95+O96+O97+O98+O99+O100+O101+O102+O103</f>
        <v>0</v>
      </c>
      <c r="P89" s="232">
        <f t="shared" ca="1" si="18"/>
        <v>0</v>
      </c>
      <c r="Q89" s="232">
        <f t="shared" ca="1" si="8"/>
        <v>0</v>
      </c>
      <c r="R89" s="268"/>
      <c r="S89" s="269"/>
      <c r="T89" s="270"/>
    </row>
    <row r="90" spans="1:20" ht="24" hidden="1" customHeight="1" x14ac:dyDescent="0.3">
      <c r="A90" s="243">
        <v>1</v>
      </c>
      <c r="B90" s="244" t="s">
        <v>112</v>
      </c>
      <c r="C90" s="245">
        <f t="shared" ca="1" si="0"/>
        <v>0</v>
      </c>
      <c r="D90" s="246">
        <f t="shared" ref="D90:D103" ca="1" si="31">+E90+F90</f>
        <v>0</v>
      </c>
      <c r="E90" s="247">
        <f ca="1">IFERROR(__xludf.DUMMYFUNCTION("IMPORTRANGE(""https://docs.google.com/spreadsheets/d/1MeEWN-I1oV_STSDYn1IFDPWt_1FKiwhDph83XaGc0o0/edit?usp=sharing"",""งบพรบ!BB90"")"),0)</f>
        <v>0</v>
      </c>
      <c r="F90" s="247">
        <f ca="1">IFERROR(__xludf.DUMMYFUNCTION("IMPORTRANGE(""https://docs.google.com/spreadsheets/d/1MeEWN-I1oV_STSDYn1IFDPWt_1FKiwhDph83XaGc0o0/edit?usp=sharing"",""งบพรบ!BC90"")"),0)</f>
        <v>0</v>
      </c>
      <c r="G90" s="247">
        <f ca="1">IFERROR(__xludf.DUMMYFUNCTION("IMPORTRANGE(""https://docs.google.com/spreadsheets/d/1MeEWN-I1oV_STSDYn1IFDPWt_1FKiwhDph83XaGc0o0/edit?usp=sharing"",""งบพรบ!BD90"")"),0)</f>
        <v>0</v>
      </c>
      <c r="H90" s="247">
        <f ca="1">IFERROR(__xludf.DUMMYFUNCTION("IMPORTRANGE(""https://docs.google.com/spreadsheets/d/1MeEWN-I1oV_STSDYn1IFDPWt_1FKiwhDph83XaGc0o0/edit?usp=sharing"",""งบพรบ!BF90"")"),0)</f>
        <v>0</v>
      </c>
      <c r="I90" s="247">
        <f ca="1">IFERROR(__xludf.DUMMYFUNCTION("IMPORTRANGE(""https://docs.google.com/spreadsheets/d/1MeEWN-I1oV_STSDYn1IFDPWt_1FKiwhDph83XaGc0o0/edit?usp=sharing"",""งบพรบ!BG90"")"),0)</f>
        <v>0</v>
      </c>
      <c r="J90" s="247">
        <f t="shared" ca="1" si="3"/>
        <v>0</v>
      </c>
      <c r="K90" s="253">
        <f t="shared" ca="1" si="4"/>
        <v>0</v>
      </c>
      <c r="L90" s="247">
        <f ca="1">IFERROR(__xludf.DUMMYFUNCTION("IMPORTRANGE(""https://docs.google.com/spreadsheets/d/1MeEWN-I1oV_STSDYn1IFDPWt_1FKiwhDph83XaGc0o0/edit?usp=sharing"",""งบพรบ!BH90"")"),0)</f>
        <v>0</v>
      </c>
      <c r="M90" s="250">
        <f t="shared" ca="1" si="5"/>
        <v>0</v>
      </c>
      <c r="N90" s="250">
        <f t="shared" ca="1" si="6"/>
        <v>0</v>
      </c>
      <c r="O90" s="251">
        <f ca="1">IFERROR(__xludf.DUMMYFUNCTION("IMPORTRANGE(""https://docs.google.com/spreadsheets/d/1MeEWN-I1oV_STSDYn1IFDPWt_1FKiwhDph83XaGc0o0/edit?usp=sharing"",""งบพรบ!BI90"")"),0)</f>
        <v>0</v>
      </c>
      <c r="P90" s="250">
        <f t="shared" ca="1" si="18"/>
        <v>0</v>
      </c>
      <c r="Q90" s="250">
        <f t="shared" ca="1" si="8"/>
        <v>0</v>
      </c>
      <c r="R90" s="271"/>
      <c r="S90" s="271"/>
      <c r="T90" s="272"/>
    </row>
    <row r="91" spans="1:20" ht="24" hidden="1" customHeight="1" x14ac:dyDescent="0.3">
      <c r="A91" s="243">
        <v>2</v>
      </c>
      <c r="B91" s="244" t="s">
        <v>113</v>
      </c>
      <c r="C91" s="245">
        <f t="shared" ca="1" si="0"/>
        <v>0</v>
      </c>
      <c r="D91" s="246">
        <f t="shared" ca="1" si="31"/>
        <v>0</v>
      </c>
      <c r="E91" s="247">
        <f ca="1">IFERROR(__xludf.DUMMYFUNCTION("IMPORTRANGE(""https://docs.google.com/spreadsheets/d/1MeEWN-I1oV_STSDYn1IFDPWt_1FKiwhDph83XaGc0o0/edit?usp=sharing"",""งบพรบ!BB91"")"),0)</f>
        <v>0</v>
      </c>
      <c r="F91" s="247">
        <f ca="1">IFERROR(__xludf.DUMMYFUNCTION("IMPORTRANGE(""https://docs.google.com/spreadsheets/d/1MeEWN-I1oV_STSDYn1IFDPWt_1FKiwhDph83XaGc0o0/edit?usp=sharing"",""งบพรบ!BC91"")"),0)</f>
        <v>0</v>
      </c>
      <c r="G91" s="247">
        <f ca="1">IFERROR(__xludf.DUMMYFUNCTION("IMPORTRANGE(""https://docs.google.com/spreadsheets/d/1MeEWN-I1oV_STSDYn1IFDPWt_1FKiwhDph83XaGc0o0/edit?usp=sharing"",""งบพรบ!BD91"")"),0)</f>
        <v>0</v>
      </c>
      <c r="H91" s="247">
        <f ca="1">IFERROR(__xludf.DUMMYFUNCTION("IMPORTRANGE(""https://docs.google.com/spreadsheets/d/1MeEWN-I1oV_STSDYn1IFDPWt_1FKiwhDph83XaGc0o0/edit?usp=sharing"",""งบพรบ!BF91"")"),0)</f>
        <v>0</v>
      </c>
      <c r="I91" s="247">
        <f ca="1">IFERROR(__xludf.DUMMYFUNCTION("IMPORTRANGE(""https://docs.google.com/spreadsheets/d/1MeEWN-I1oV_STSDYn1IFDPWt_1FKiwhDph83XaGc0o0/edit?usp=sharing"",""งบพรบ!BG91"")"),0)</f>
        <v>0</v>
      </c>
      <c r="J91" s="247">
        <f t="shared" ca="1" si="3"/>
        <v>0</v>
      </c>
      <c r="K91" s="253">
        <f t="shared" ca="1" si="4"/>
        <v>0</v>
      </c>
      <c r="L91" s="247">
        <f ca="1">IFERROR(__xludf.DUMMYFUNCTION("IMPORTRANGE(""https://docs.google.com/spreadsheets/d/1MeEWN-I1oV_STSDYn1IFDPWt_1FKiwhDph83XaGc0o0/edit?usp=sharing"",""งบพรบ!BH91"")"),0)</f>
        <v>0</v>
      </c>
      <c r="M91" s="250">
        <f t="shared" ca="1" si="5"/>
        <v>0</v>
      </c>
      <c r="N91" s="250">
        <f t="shared" ca="1" si="6"/>
        <v>0</v>
      </c>
      <c r="O91" s="251">
        <f ca="1">IFERROR(__xludf.DUMMYFUNCTION("IMPORTRANGE(""https://docs.google.com/spreadsheets/d/1MeEWN-I1oV_STSDYn1IFDPWt_1FKiwhDph83XaGc0o0/edit?usp=sharing"",""งบพรบ!BI91"")"),0)</f>
        <v>0</v>
      </c>
      <c r="P91" s="250">
        <f t="shared" ca="1" si="18"/>
        <v>0</v>
      </c>
      <c r="Q91" s="250">
        <f t="shared" ca="1" si="8"/>
        <v>0</v>
      </c>
      <c r="R91" s="271"/>
      <c r="S91" s="271"/>
      <c r="T91" s="272"/>
    </row>
    <row r="92" spans="1:20" ht="24" hidden="1" customHeight="1" x14ac:dyDescent="0.3">
      <c r="A92" s="243">
        <v>3</v>
      </c>
      <c r="B92" s="244" t="s">
        <v>114</v>
      </c>
      <c r="C92" s="245">
        <f t="shared" ca="1" si="0"/>
        <v>0</v>
      </c>
      <c r="D92" s="246">
        <f t="shared" ca="1" si="31"/>
        <v>0</v>
      </c>
      <c r="E92" s="247">
        <f ca="1">IFERROR(__xludf.DUMMYFUNCTION("IMPORTRANGE(""https://docs.google.com/spreadsheets/d/1MeEWN-I1oV_STSDYn1IFDPWt_1FKiwhDph83XaGc0o0/edit?usp=sharing"",""งบพรบ!BB92"")"),0)</f>
        <v>0</v>
      </c>
      <c r="F92" s="247">
        <f ca="1">IFERROR(__xludf.DUMMYFUNCTION("IMPORTRANGE(""https://docs.google.com/spreadsheets/d/1MeEWN-I1oV_STSDYn1IFDPWt_1FKiwhDph83XaGc0o0/edit?usp=sharing"",""งบพรบ!BC92"")"),0)</f>
        <v>0</v>
      </c>
      <c r="G92" s="247">
        <f ca="1">IFERROR(__xludf.DUMMYFUNCTION("IMPORTRANGE(""https://docs.google.com/spreadsheets/d/1MeEWN-I1oV_STSDYn1IFDPWt_1FKiwhDph83XaGc0o0/edit?usp=sharing"",""งบพรบ!BD92"")"),0)</f>
        <v>0</v>
      </c>
      <c r="H92" s="247">
        <f ca="1">IFERROR(__xludf.DUMMYFUNCTION("IMPORTRANGE(""https://docs.google.com/spreadsheets/d/1MeEWN-I1oV_STSDYn1IFDPWt_1FKiwhDph83XaGc0o0/edit?usp=sharing"",""งบพรบ!BF92"")"),0)</f>
        <v>0</v>
      </c>
      <c r="I92" s="247">
        <f ca="1">IFERROR(__xludf.DUMMYFUNCTION("IMPORTRANGE(""https://docs.google.com/spreadsheets/d/1MeEWN-I1oV_STSDYn1IFDPWt_1FKiwhDph83XaGc0o0/edit?usp=sharing"",""งบพรบ!BG92"")"),0)</f>
        <v>0</v>
      </c>
      <c r="J92" s="247">
        <f t="shared" ca="1" si="3"/>
        <v>0</v>
      </c>
      <c r="K92" s="253">
        <f t="shared" ca="1" si="4"/>
        <v>0</v>
      </c>
      <c r="L92" s="247">
        <f ca="1">IFERROR(__xludf.DUMMYFUNCTION("IMPORTRANGE(""https://docs.google.com/spreadsheets/d/1MeEWN-I1oV_STSDYn1IFDPWt_1FKiwhDph83XaGc0o0/edit?usp=sharing"",""งบพรบ!BH92"")"),0)</f>
        <v>0</v>
      </c>
      <c r="M92" s="250">
        <f t="shared" ca="1" si="5"/>
        <v>0</v>
      </c>
      <c r="N92" s="250">
        <f t="shared" ca="1" si="6"/>
        <v>0</v>
      </c>
      <c r="O92" s="251">
        <f ca="1">IFERROR(__xludf.DUMMYFUNCTION("IMPORTRANGE(""https://docs.google.com/spreadsheets/d/1MeEWN-I1oV_STSDYn1IFDPWt_1FKiwhDph83XaGc0o0/edit?usp=sharing"",""งบพรบ!BI92"")"),0)</f>
        <v>0</v>
      </c>
      <c r="P92" s="250">
        <f t="shared" ca="1" si="18"/>
        <v>0</v>
      </c>
      <c r="Q92" s="250">
        <f t="shared" ca="1" si="8"/>
        <v>0</v>
      </c>
      <c r="R92" s="271"/>
      <c r="S92" s="271"/>
      <c r="T92" s="272"/>
    </row>
    <row r="93" spans="1:20" ht="24" hidden="1" customHeight="1" x14ac:dyDescent="0.3">
      <c r="A93" s="243">
        <f t="shared" ref="A93:A103" si="32">+A92+1</f>
        <v>4</v>
      </c>
      <c r="B93" s="244" t="s">
        <v>115</v>
      </c>
      <c r="C93" s="245">
        <f t="shared" ca="1" si="0"/>
        <v>0</v>
      </c>
      <c r="D93" s="246">
        <f t="shared" ca="1" si="31"/>
        <v>0</v>
      </c>
      <c r="E93" s="247">
        <f ca="1">IFERROR(__xludf.DUMMYFUNCTION("IMPORTRANGE(""https://docs.google.com/spreadsheets/d/1MeEWN-I1oV_STSDYn1IFDPWt_1FKiwhDph83XaGc0o0/edit?usp=sharing"",""งบพรบ!BB93"")"),0)</f>
        <v>0</v>
      </c>
      <c r="F93" s="247">
        <f ca="1">IFERROR(__xludf.DUMMYFUNCTION("IMPORTRANGE(""https://docs.google.com/spreadsheets/d/1MeEWN-I1oV_STSDYn1IFDPWt_1FKiwhDph83XaGc0o0/edit?usp=sharing"",""งบพรบ!BC93"")"),0)</f>
        <v>0</v>
      </c>
      <c r="G93" s="247">
        <f ca="1">IFERROR(__xludf.DUMMYFUNCTION("IMPORTRANGE(""https://docs.google.com/spreadsheets/d/1MeEWN-I1oV_STSDYn1IFDPWt_1FKiwhDph83XaGc0o0/edit?usp=sharing"",""งบพรบ!BD93"")"),0)</f>
        <v>0</v>
      </c>
      <c r="H93" s="247">
        <f ca="1">IFERROR(__xludf.DUMMYFUNCTION("IMPORTRANGE(""https://docs.google.com/spreadsheets/d/1MeEWN-I1oV_STSDYn1IFDPWt_1FKiwhDph83XaGc0o0/edit?usp=sharing"",""งบพรบ!BF93"")"),0)</f>
        <v>0</v>
      </c>
      <c r="I93" s="247">
        <f ca="1">IFERROR(__xludf.DUMMYFUNCTION("IMPORTRANGE(""https://docs.google.com/spreadsheets/d/1MeEWN-I1oV_STSDYn1IFDPWt_1FKiwhDph83XaGc0o0/edit?usp=sharing"",""งบพรบ!BG93"")"),0)</f>
        <v>0</v>
      </c>
      <c r="J93" s="247">
        <f t="shared" ca="1" si="3"/>
        <v>0</v>
      </c>
      <c r="K93" s="253">
        <f t="shared" ca="1" si="4"/>
        <v>0</v>
      </c>
      <c r="L93" s="247">
        <f ca="1">IFERROR(__xludf.DUMMYFUNCTION("IMPORTRANGE(""https://docs.google.com/spreadsheets/d/1MeEWN-I1oV_STSDYn1IFDPWt_1FKiwhDph83XaGc0o0/edit?usp=sharing"",""งบพรบ!BH93"")"),0)</f>
        <v>0</v>
      </c>
      <c r="M93" s="250">
        <f t="shared" ca="1" si="5"/>
        <v>0</v>
      </c>
      <c r="N93" s="250">
        <f t="shared" ca="1" si="6"/>
        <v>0</v>
      </c>
      <c r="O93" s="251">
        <f ca="1">IFERROR(__xludf.DUMMYFUNCTION("IMPORTRANGE(""https://docs.google.com/spreadsheets/d/1MeEWN-I1oV_STSDYn1IFDPWt_1FKiwhDph83XaGc0o0/edit?usp=sharing"",""งบพรบ!BI93"")"),0)</f>
        <v>0</v>
      </c>
      <c r="P93" s="250">
        <f t="shared" ca="1" si="18"/>
        <v>0</v>
      </c>
      <c r="Q93" s="250">
        <f t="shared" ca="1" si="8"/>
        <v>0</v>
      </c>
      <c r="R93" s="271"/>
      <c r="S93" s="271"/>
      <c r="T93" s="272"/>
    </row>
    <row r="94" spans="1:20" ht="24" hidden="1" customHeight="1" x14ac:dyDescent="0.3">
      <c r="A94" s="243">
        <f t="shared" si="32"/>
        <v>5</v>
      </c>
      <c r="B94" s="244" t="s">
        <v>116</v>
      </c>
      <c r="C94" s="245">
        <f t="shared" ca="1" si="0"/>
        <v>0</v>
      </c>
      <c r="D94" s="246">
        <f t="shared" ca="1" si="31"/>
        <v>0</v>
      </c>
      <c r="E94" s="247">
        <f ca="1">IFERROR(__xludf.DUMMYFUNCTION("IMPORTRANGE(""https://docs.google.com/spreadsheets/d/1MeEWN-I1oV_STSDYn1IFDPWt_1FKiwhDph83XaGc0o0/edit?usp=sharing"",""งบพรบ!BB94"")"),0)</f>
        <v>0</v>
      </c>
      <c r="F94" s="247">
        <f ca="1">IFERROR(__xludf.DUMMYFUNCTION("IMPORTRANGE(""https://docs.google.com/spreadsheets/d/1MeEWN-I1oV_STSDYn1IFDPWt_1FKiwhDph83XaGc0o0/edit?usp=sharing"",""งบพรบ!BC94"")"),0)</f>
        <v>0</v>
      </c>
      <c r="G94" s="247">
        <f ca="1">IFERROR(__xludf.DUMMYFUNCTION("IMPORTRANGE(""https://docs.google.com/spreadsheets/d/1MeEWN-I1oV_STSDYn1IFDPWt_1FKiwhDph83XaGc0o0/edit?usp=sharing"",""งบพรบ!BD94"")"),0)</f>
        <v>0</v>
      </c>
      <c r="H94" s="247">
        <f ca="1">IFERROR(__xludf.DUMMYFUNCTION("IMPORTRANGE(""https://docs.google.com/spreadsheets/d/1MeEWN-I1oV_STSDYn1IFDPWt_1FKiwhDph83XaGc0o0/edit?usp=sharing"",""งบพรบ!BF94"")"),0)</f>
        <v>0</v>
      </c>
      <c r="I94" s="247">
        <f ca="1">IFERROR(__xludf.DUMMYFUNCTION("IMPORTRANGE(""https://docs.google.com/spreadsheets/d/1MeEWN-I1oV_STSDYn1IFDPWt_1FKiwhDph83XaGc0o0/edit?usp=sharing"",""งบพรบ!BG94"")"),0)</f>
        <v>0</v>
      </c>
      <c r="J94" s="247">
        <f t="shared" ca="1" si="3"/>
        <v>0</v>
      </c>
      <c r="K94" s="253">
        <f t="shared" ca="1" si="4"/>
        <v>0</v>
      </c>
      <c r="L94" s="247">
        <f ca="1">IFERROR(__xludf.DUMMYFUNCTION("IMPORTRANGE(""https://docs.google.com/spreadsheets/d/1MeEWN-I1oV_STSDYn1IFDPWt_1FKiwhDph83XaGc0o0/edit?usp=sharing"",""งบพรบ!BH94"")"),0)</f>
        <v>0</v>
      </c>
      <c r="M94" s="250">
        <f t="shared" ca="1" si="5"/>
        <v>0</v>
      </c>
      <c r="N94" s="250">
        <f t="shared" ca="1" si="6"/>
        <v>0</v>
      </c>
      <c r="O94" s="251">
        <f ca="1">IFERROR(__xludf.DUMMYFUNCTION("IMPORTRANGE(""https://docs.google.com/spreadsheets/d/1MeEWN-I1oV_STSDYn1IFDPWt_1FKiwhDph83XaGc0o0/edit?usp=sharing"",""งบพรบ!BI94"")"),0)</f>
        <v>0</v>
      </c>
      <c r="P94" s="250">
        <f t="shared" ca="1" si="18"/>
        <v>0</v>
      </c>
      <c r="Q94" s="250">
        <f t="shared" ca="1" si="8"/>
        <v>0</v>
      </c>
      <c r="R94" s="271"/>
      <c r="S94" s="271"/>
      <c r="T94" s="272"/>
    </row>
    <row r="95" spans="1:20" ht="24" hidden="1" customHeight="1" x14ac:dyDescent="0.3">
      <c r="A95" s="243">
        <f t="shared" si="32"/>
        <v>6</v>
      </c>
      <c r="B95" s="244" t="s">
        <v>117</v>
      </c>
      <c r="C95" s="245">
        <f t="shared" ca="1" si="0"/>
        <v>0</v>
      </c>
      <c r="D95" s="246">
        <f t="shared" ca="1" si="31"/>
        <v>0</v>
      </c>
      <c r="E95" s="247">
        <f ca="1">IFERROR(__xludf.DUMMYFUNCTION("IMPORTRANGE(""https://docs.google.com/spreadsheets/d/1MeEWN-I1oV_STSDYn1IFDPWt_1FKiwhDph83XaGc0o0/edit?usp=sharing"",""งบพรบ!BB95"")"),0)</f>
        <v>0</v>
      </c>
      <c r="F95" s="247">
        <f ca="1">IFERROR(__xludf.DUMMYFUNCTION("IMPORTRANGE(""https://docs.google.com/spreadsheets/d/1MeEWN-I1oV_STSDYn1IFDPWt_1FKiwhDph83XaGc0o0/edit?usp=sharing"",""งบพรบ!BC95"")"),0)</f>
        <v>0</v>
      </c>
      <c r="G95" s="247">
        <f ca="1">IFERROR(__xludf.DUMMYFUNCTION("IMPORTRANGE(""https://docs.google.com/spreadsheets/d/1MeEWN-I1oV_STSDYn1IFDPWt_1FKiwhDph83XaGc0o0/edit?usp=sharing"",""งบพรบ!BD95"")"),0)</f>
        <v>0</v>
      </c>
      <c r="H95" s="247">
        <f ca="1">IFERROR(__xludf.DUMMYFUNCTION("IMPORTRANGE(""https://docs.google.com/spreadsheets/d/1MeEWN-I1oV_STSDYn1IFDPWt_1FKiwhDph83XaGc0o0/edit?usp=sharing"",""งบพรบ!BF95"")"),0)</f>
        <v>0</v>
      </c>
      <c r="I95" s="247">
        <f ca="1">IFERROR(__xludf.DUMMYFUNCTION("IMPORTRANGE(""https://docs.google.com/spreadsheets/d/1MeEWN-I1oV_STSDYn1IFDPWt_1FKiwhDph83XaGc0o0/edit?usp=sharing"",""งบพรบ!BG95"")"),0)</f>
        <v>0</v>
      </c>
      <c r="J95" s="247">
        <f t="shared" ca="1" si="3"/>
        <v>0</v>
      </c>
      <c r="K95" s="253">
        <f t="shared" ca="1" si="4"/>
        <v>0</v>
      </c>
      <c r="L95" s="247">
        <f ca="1">IFERROR(__xludf.DUMMYFUNCTION("IMPORTRANGE(""https://docs.google.com/spreadsheets/d/1MeEWN-I1oV_STSDYn1IFDPWt_1FKiwhDph83XaGc0o0/edit?usp=sharing"",""งบพรบ!BH95"")"),0)</f>
        <v>0</v>
      </c>
      <c r="M95" s="250">
        <f t="shared" ca="1" si="5"/>
        <v>0</v>
      </c>
      <c r="N95" s="250">
        <f t="shared" ca="1" si="6"/>
        <v>0</v>
      </c>
      <c r="O95" s="251">
        <f ca="1">IFERROR(__xludf.DUMMYFUNCTION("IMPORTRANGE(""https://docs.google.com/spreadsheets/d/1MeEWN-I1oV_STSDYn1IFDPWt_1FKiwhDph83XaGc0o0/edit?usp=sharing"",""งบพรบ!BI95"")"),0)</f>
        <v>0</v>
      </c>
      <c r="P95" s="250">
        <f t="shared" ca="1" si="18"/>
        <v>0</v>
      </c>
      <c r="Q95" s="250">
        <f t="shared" ca="1" si="8"/>
        <v>0</v>
      </c>
      <c r="R95" s="271"/>
      <c r="S95" s="271"/>
      <c r="T95" s="272"/>
    </row>
    <row r="96" spans="1:20" ht="24" hidden="1" customHeight="1" x14ac:dyDescent="0.3">
      <c r="A96" s="243">
        <f t="shared" si="32"/>
        <v>7</v>
      </c>
      <c r="B96" s="244" t="s">
        <v>118</v>
      </c>
      <c r="C96" s="245">
        <f t="shared" ca="1" si="0"/>
        <v>0</v>
      </c>
      <c r="D96" s="246">
        <f t="shared" ca="1" si="31"/>
        <v>0</v>
      </c>
      <c r="E96" s="247">
        <f ca="1">IFERROR(__xludf.DUMMYFUNCTION("IMPORTRANGE(""https://docs.google.com/spreadsheets/d/1MeEWN-I1oV_STSDYn1IFDPWt_1FKiwhDph83XaGc0o0/edit?usp=sharing"",""งบพรบ!BB96"")"),0)</f>
        <v>0</v>
      </c>
      <c r="F96" s="247">
        <f ca="1">IFERROR(__xludf.DUMMYFUNCTION("IMPORTRANGE(""https://docs.google.com/spreadsheets/d/1MeEWN-I1oV_STSDYn1IFDPWt_1FKiwhDph83XaGc0o0/edit?usp=sharing"",""งบพรบ!BC96"")"),0)</f>
        <v>0</v>
      </c>
      <c r="G96" s="247">
        <f ca="1">IFERROR(__xludf.DUMMYFUNCTION("IMPORTRANGE(""https://docs.google.com/spreadsheets/d/1MeEWN-I1oV_STSDYn1IFDPWt_1FKiwhDph83XaGc0o0/edit?usp=sharing"",""งบพรบ!BD96"")"),0)</f>
        <v>0</v>
      </c>
      <c r="H96" s="247">
        <f ca="1">IFERROR(__xludf.DUMMYFUNCTION("IMPORTRANGE(""https://docs.google.com/spreadsheets/d/1MeEWN-I1oV_STSDYn1IFDPWt_1FKiwhDph83XaGc0o0/edit?usp=sharing"",""งบพรบ!BF96"")"),0)</f>
        <v>0</v>
      </c>
      <c r="I96" s="247">
        <f ca="1">IFERROR(__xludf.DUMMYFUNCTION("IMPORTRANGE(""https://docs.google.com/spreadsheets/d/1MeEWN-I1oV_STSDYn1IFDPWt_1FKiwhDph83XaGc0o0/edit?usp=sharing"",""งบพรบ!BG96"")"),0)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IFERROR(__xludf.DUMMYFUNCTION("IMPORTRANGE(""https://docs.google.com/spreadsheets/d/1MeEWN-I1oV_STSDYn1IFDPWt_1FKiwhDph83XaGc0o0/edit?usp=sharing"",""งบพรบ!BH96"")"),0)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IFERROR(__xludf.DUMMYFUNCTION("IMPORTRANGE(""https://docs.google.com/spreadsheets/d/1MeEWN-I1oV_STSDYn1IFDPWt_1FKiwhDph83XaGc0o0/edit?usp=sharing"",""งบพรบ!BI96"")"),0)</f>
        <v>0</v>
      </c>
      <c r="P96" s="250">
        <f t="shared" ca="1" si="18"/>
        <v>0</v>
      </c>
      <c r="Q96" s="250">
        <f t="shared" ca="1" si="8"/>
        <v>0</v>
      </c>
      <c r="R96" s="271"/>
      <c r="S96" s="271"/>
      <c r="T96" s="272"/>
    </row>
    <row r="97" spans="1:20" ht="24" hidden="1" customHeight="1" x14ac:dyDescent="0.3">
      <c r="A97" s="243">
        <f t="shared" si="32"/>
        <v>8</v>
      </c>
      <c r="B97" s="244" t="s">
        <v>119</v>
      </c>
      <c r="C97" s="245">
        <f t="shared" ca="1" si="0"/>
        <v>0</v>
      </c>
      <c r="D97" s="246">
        <f t="shared" ca="1" si="31"/>
        <v>0</v>
      </c>
      <c r="E97" s="247">
        <f ca="1">IFERROR(__xludf.DUMMYFUNCTION("IMPORTRANGE(""https://docs.google.com/spreadsheets/d/1MeEWN-I1oV_STSDYn1IFDPWt_1FKiwhDph83XaGc0o0/edit?usp=sharing"",""งบพรบ!BB97"")"),0)</f>
        <v>0</v>
      </c>
      <c r="F97" s="247">
        <f ca="1">IFERROR(__xludf.DUMMYFUNCTION("IMPORTRANGE(""https://docs.google.com/spreadsheets/d/1MeEWN-I1oV_STSDYn1IFDPWt_1FKiwhDph83XaGc0o0/edit?usp=sharing"",""งบพรบ!BC97"")"),0)</f>
        <v>0</v>
      </c>
      <c r="G97" s="247">
        <f ca="1">IFERROR(__xludf.DUMMYFUNCTION("IMPORTRANGE(""https://docs.google.com/spreadsheets/d/1MeEWN-I1oV_STSDYn1IFDPWt_1FKiwhDph83XaGc0o0/edit?usp=sharing"",""งบพรบ!BD97"")"),0)</f>
        <v>0</v>
      </c>
      <c r="H97" s="247">
        <f ca="1">IFERROR(__xludf.DUMMYFUNCTION("IMPORTRANGE(""https://docs.google.com/spreadsheets/d/1MeEWN-I1oV_STSDYn1IFDPWt_1FKiwhDph83XaGc0o0/edit?usp=sharing"",""งบพรบ!BF97"")"),0)</f>
        <v>0</v>
      </c>
      <c r="I97" s="247">
        <f ca="1">IFERROR(__xludf.DUMMYFUNCTION("IMPORTRANGE(""https://docs.google.com/spreadsheets/d/1MeEWN-I1oV_STSDYn1IFDPWt_1FKiwhDph83XaGc0o0/edit?usp=sharing"",""งบพรบ!BG97"")"),0)</f>
        <v>0</v>
      </c>
      <c r="J97" s="247">
        <f t="shared" ca="1" si="3"/>
        <v>0</v>
      </c>
      <c r="K97" s="253">
        <f t="shared" ca="1" si="4"/>
        <v>0</v>
      </c>
      <c r="L97" s="247">
        <f ca="1">IFERROR(__xludf.DUMMYFUNCTION("IMPORTRANGE(""https://docs.google.com/spreadsheets/d/1MeEWN-I1oV_STSDYn1IFDPWt_1FKiwhDph83XaGc0o0/edit?usp=sharing"",""งบพรบ!BH97"")"),0)</f>
        <v>0</v>
      </c>
      <c r="M97" s="250">
        <f t="shared" ca="1" si="5"/>
        <v>0</v>
      </c>
      <c r="N97" s="250">
        <f t="shared" ca="1" si="6"/>
        <v>0</v>
      </c>
      <c r="O97" s="251">
        <f ca="1">IFERROR(__xludf.DUMMYFUNCTION("IMPORTRANGE(""https://docs.google.com/spreadsheets/d/1MeEWN-I1oV_STSDYn1IFDPWt_1FKiwhDph83XaGc0o0/edit?usp=sharing"",""งบพรบ!BI97"")"),0)</f>
        <v>0</v>
      </c>
      <c r="P97" s="250">
        <f t="shared" ca="1" si="18"/>
        <v>0</v>
      </c>
      <c r="Q97" s="250">
        <f t="shared" ca="1" si="8"/>
        <v>0</v>
      </c>
      <c r="R97" s="271"/>
      <c r="S97" s="271"/>
      <c r="T97" s="272"/>
    </row>
    <row r="98" spans="1:20" ht="24" hidden="1" customHeight="1" x14ac:dyDescent="0.3">
      <c r="A98" s="243">
        <f t="shared" si="32"/>
        <v>9</v>
      </c>
      <c r="B98" s="244" t="s">
        <v>120</v>
      </c>
      <c r="C98" s="245">
        <f t="shared" ca="1" si="0"/>
        <v>0</v>
      </c>
      <c r="D98" s="246">
        <f t="shared" ca="1" si="31"/>
        <v>0</v>
      </c>
      <c r="E98" s="247">
        <f ca="1">IFERROR(__xludf.DUMMYFUNCTION("IMPORTRANGE(""https://docs.google.com/spreadsheets/d/1MeEWN-I1oV_STSDYn1IFDPWt_1FKiwhDph83XaGc0o0/edit?usp=sharing"",""งบพรบ!BB98"")"),0)</f>
        <v>0</v>
      </c>
      <c r="F98" s="247">
        <f ca="1">IFERROR(__xludf.DUMMYFUNCTION("IMPORTRANGE(""https://docs.google.com/spreadsheets/d/1MeEWN-I1oV_STSDYn1IFDPWt_1FKiwhDph83XaGc0o0/edit?usp=sharing"",""งบพรบ!BC98"")"),0)</f>
        <v>0</v>
      </c>
      <c r="G98" s="247">
        <f ca="1">IFERROR(__xludf.DUMMYFUNCTION("IMPORTRANGE(""https://docs.google.com/spreadsheets/d/1MeEWN-I1oV_STSDYn1IFDPWt_1FKiwhDph83XaGc0o0/edit?usp=sharing"",""งบพรบ!BD98"")"),0)</f>
        <v>0</v>
      </c>
      <c r="H98" s="247">
        <f ca="1">IFERROR(__xludf.DUMMYFUNCTION("IMPORTRANGE(""https://docs.google.com/spreadsheets/d/1MeEWN-I1oV_STSDYn1IFDPWt_1FKiwhDph83XaGc0o0/edit?usp=sharing"",""งบพรบ!BF98"")"),0)</f>
        <v>0</v>
      </c>
      <c r="I98" s="247">
        <f ca="1">IFERROR(__xludf.DUMMYFUNCTION("IMPORTRANGE(""https://docs.google.com/spreadsheets/d/1MeEWN-I1oV_STSDYn1IFDPWt_1FKiwhDph83XaGc0o0/edit?usp=sharing"",""งบพรบ!BG98"")"),0)</f>
        <v>0</v>
      </c>
      <c r="J98" s="247">
        <f t="shared" ca="1" si="3"/>
        <v>0</v>
      </c>
      <c r="K98" s="253">
        <f t="shared" ca="1" si="4"/>
        <v>0</v>
      </c>
      <c r="L98" s="247">
        <f ca="1">IFERROR(__xludf.DUMMYFUNCTION("IMPORTRANGE(""https://docs.google.com/spreadsheets/d/1MeEWN-I1oV_STSDYn1IFDPWt_1FKiwhDph83XaGc0o0/edit?usp=sharing"",""งบพรบ!BH98"")"),0)</f>
        <v>0</v>
      </c>
      <c r="M98" s="250">
        <f t="shared" ca="1" si="5"/>
        <v>0</v>
      </c>
      <c r="N98" s="250">
        <f t="shared" ca="1" si="6"/>
        <v>0</v>
      </c>
      <c r="O98" s="251">
        <f ca="1">IFERROR(__xludf.DUMMYFUNCTION("IMPORTRANGE(""https://docs.google.com/spreadsheets/d/1MeEWN-I1oV_STSDYn1IFDPWt_1FKiwhDph83XaGc0o0/edit?usp=sharing"",""งบพรบ!BI98"")"),0)</f>
        <v>0</v>
      </c>
      <c r="P98" s="250">
        <f t="shared" ca="1" si="18"/>
        <v>0</v>
      </c>
      <c r="Q98" s="250">
        <f t="shared" ca="1" si="8"/>
        <v>0</v>
      </c>
      <c r="R98" s="271"/>
      <c r="S98" s="271"/>
      <c r="T98" s="272"/>
    </row>
    <row r="99" spans="1:20" ht="24" hidden="1" customHeight="1" x14ac:dyDescent="0.3">
      <c r="A99" s="243">
        <f t="shared" si="32"/>
        <v>10</v>
      </c>
      <c r="B99" s="244" t="s">
        <v>121</v>
      </c>
      <c r="C99" s="245">
        <f t="shared" ca="1" si="0"/>
        <v>0</v>
      </c>
      <c r="D99" s="246">
        <f t="shared" ca="1" si="31"/>
        <v>0</v>
      </c>
      <c r="E99" s="247">
        <f ca="1">IFERROR(__xludf.DUMMYFUNCTION("IMPORTRANGE(""https://docs.google.com/spreadsheets/d/1MeEWN-I1oV_STSDYn1IFDPWt_1FKiwhDph83XaGc0o0/edit?usp=sharing"",""งบพรบ!BB99"")"),0)</f>
        <v>0</v>
      </c>
      <c r="F99" s="247">
        <f ca="1">IFERROR(__xludf.DUMMYFUNCTION("IMPORTRANGE(""https://docs.google.com/spreadsheets/d/1MeEWN-I1oV_STSDYn1IFDPWt_1FKiwhDph83XaGc0o0/edit?usp=sharing"",""งบพรบ!BC99"")"),0)</f>
        <v>0</v>
      </c>
      <c r="G99" s="247">
        <f ca="1">IFERROR(__xludf.DUMMYFUNCTION("IMPORTRANGE(""https://docs.google.com/spreadsheets/d/1MeEWN-I1oV_STSDYn1IFDPWt_1FKiwhDph83XaGc0o0/edit?usp=sharing"",""งบพรบ!BD99"")"),0)</f>
        <v>0</v>
      </c>
      <c r="H99" s="247">
        <f ca="1">IFERROR(__xludf.DUMMYFUNCTION("IMPORTRANGE(""https://docs.google.com/spreadsheets/d/1MeEWN-I1oV_STSDYn1IFDPWt_1FKiwhDph83XaGc0o0/edit?usp=sharing"",""งบพรบ!BF99"")"),0)</f>
        <v>0</v>
      </c>
      <c r="I99" s="247">
        <f ca="1">IFERROR(__xludf.DUMMYFUNCTION("IMPORTRANGE(""https://docs.google.com/spreadsheets/d/1MeEWN-I1oV_STSDYn1IFDPWt_1FKiwhDph83XaGc0o0/edit?usp=sharing"",""งบพรบ!BG99"")"),0)</f>
        <v>0</v>
      </c>
      <c r="J99" s="247">
        <f t="shared" ca="1" si="3"/>
        <v>0</v>
      </c>
      <c r="K99" s="253">
        <f t="shared" ca="1" si="4"/>
        <v>0</v>
      </c>
      <c r="L99" s="247">
        <f ca="1">IFERROR(__xludf.DUMMYFUNCTION("IMPORTRANGE(""https://docs.google.com/spreadsheets/d/1MeEWN-I1oV_STSDYn1IFDPWt_1FKiwhDph83XaGc0o0/edit?usp=sharing"",""งบพรบ!BH99"")"),0)</f>
        <v>0</v>
      </c>
      <c r="M99" s="250">
        <f t="shared" ca="1" si="5"/>
        <v>0</v>
      </c>
      <c r="N99" s="250">
        <f t="shared" ca="1" si="6"/>
        <v>0</v>
      </c>
      <c r="O99" s="251">
        <f ca="1">IFERROR(__xludf.DUMMYFUNCTION("IMPORTRANGE(""https://docs.google.com/spreadsheets/d/1MeEWN-I1oV_STSDYn1IFDPWt_1FKiwhDph83XaGc0o0/edit?usp=sharing"",""งบพรบ!BI99"")"),0)</f>
        <v>0</v>
      </c>
      <c r="P99" s="250">
        <f t="shared" ca="1" si="18"/>
        <v>0</v>
      </c>
      <c r="Q99" s="250">
        <f t="shared" ca="1" si="8"/>
        <v>0</v>
      </c>
      <c r="R99" s="271"/>
      <c r="S99" s="271"/>
      <c r="T99" s="272"/>
    </row>
    <row r="100" spans="1:20" ht="24" hidden="1" customHeight="1" x14ac:dyDescent="0.3">
      <c r="A100" s="243">
        <f t="shared" si="32"/>
        <v>11</v>
      </c>
      <c r="B100" s="244" t="s">
        <v>122</v>
      </c>
      <c r="C100" s="245">
        <f t="shared" ca="1" si="0"/>
        <v>0</v>
      </c>
      <c r="D100" s="246">
        <f t="shared" ca="1" si="31"/>
        <v>0</v>
      </c>
      <c r="E100" s="247">
        <f ca="1">IFERROR(__xludf.DUMMYFUNCTION("IMPORTRANGE(""https://docs.google.com/spreadsheets/d/1MeEWN-I1oV_STSDYn1IFDPWt_1FKiwhDph83XaGc0o0/edit?usp=sharing"",""งบพรบ!BB100"")"),0)</f>
        <v>0</v>
      </c>
      <c r="F100" s="247">
        <f ca="1">IFERROR(__xludf.DUMMYFUNCTION("IMPORTRANGE(""https://docs.google.com/spreadsheets/d/1MeEWN-I1oV_STSDYn1IFDPWt_1FKiwhDph83XaGc0o0/edit?usp=sharing"",""งบพรบ!BC100"")"),0)</f>
        <v>0</v>
      </c>
      <c r="G100" s="247">
        <f ca="1">IFERROR(__xludf.DUMMYFUNCTION("IMPORTRANGE(""https://docs.google.com/spreadsheets/d/1MeEWN-I1oV_STSDYn1IFDPWt_1FKiwhDph83XaGc0o0/edit?usp=sharing"",""งบพรบ!BD100"")"),0)</f>
        <v>0</v>
      </c>
      <c r="H100" s="247">
        <f ca="1">IFERROR(__xludf.DUMMYFUNCTION("IMPORTRANGE(""https://docs.google.com/spreadsheets/d/1MeEWN-I1oV_STSDYn1IFDPWt_1FKiwhDph83XaGc0o0/edit?usp=sharing"",""งบพรบ!BF100"")"),0)</f>
        <v>0</v>
      </c>
      <c r="I100" s="247">
        <f ca="1">IFERROR(__xludf.DUMMYFUNCTION("IMPORTRANGE(""https://docs.google.com/spreadsheets/d/1MeEWN-I1oV_STSDYn1IFDPWt_1FKiwhDph83XaGc0o0/edit?usp=sharing"",""งบพรบ!BG100"")"),0)</f>
        <v>0</v>
      </c>
      <c r="J100" s="247">
        <f t="shared" ca="1" si="3"/>
        <v>0</v>
      </c>
      <c r="K100" s="253">
        <f t="shared" ca="1" si="4"/>
        <v>0</v>
      </c>
      <c r="L100" s="247">
        <f ca="1">IFERROR(__xludf.DUMMYFUNCTION("IMPORTRANGE(""https://docs.google.com/spreadsheets/d/1MeEWN-I1oV_STSDYn1IFDPWt_1FKiwhDph83XaGc0o0/edit?usp=sharing"",""งบพรบ!BH100"")"),0)</f>
        <v>0</v>
      </c>
      <c r="M100" s="250">
        <f t="shared" ca="1" si="5"/>
        <v>0</v>
      </c>
      <c r="N100" s="250">
        <f t="shared" ca="1" si="6"/>
        <v>0</v>
      </c>
      <c r="O100" s="251">
        <f ca="1">IFERROR(__xludf.DUMMYFUNCTION("IMPORTRANGE(""https://docs.google.com/spreadsheets/d/1MeEWN-I1oV_STSDYn1IFDPWt_1FKiwhDph83XaGc0o0/edit?usp=sharing"",""งบพรบ!BI100"")"),0)</f>
        <v>0</v>
      </c>
      <c r="P100" s="250">
        <f t="shared" ca="1" si="18"/>
        <v>0</v>
      </c>
      <c r="Q100" s="250">
        <f t="shared" ca="1" si="8"/>
        <v>0</v>
      </c>
      <c r="R100" s="271"/>
      <c r="S100" s="271"/>
      <c r="T100" s="272"/>
    </row>
    <row r="101" spans="1:20" ht="24" hidden="1" customHeight="1" x14ac:dyDescent="0.3">
      <c r="A101" s="243">
        <f t="shared" si="32"/>
        <v>12</v>
      </c>
      <c r="B101" s="244" t="s">
        <v>123</v>
      </c>
      <c r="C101" s="245">
        <f t="shared" ca="1" si="0"/>
        <v>0</v>
      </c>
      <c r="D101" s="246">
        <f t="shared" ca="1" si="31"/>
        <v>0</v>
      </c>
      <c r="E101" s="247">
        <f ca="1">IFERROR(__xludf.DUMMYFUNCTION("IMPORTRANGE(""https://docs.google.com/spreadsheets/d/1MeEWN-I1oV_STSDYn1IFDPWt_1FKiwhDph83XaGc0o0/edit?usp=sharing"",""งบพรบ!BB101"")"),0)</f>
        <v>0</v>
      </c>
      <c r="F101" s="247">
        <f ca="1">IFERROR(__xludf.DUMMYFUNCTION("IMPORTRANGE(""https://docs.google.com/spreadsheets/d/1MeEWN-I1oV_STSDYn1IFDPWt_1FKiwhDph83XaGc0o0/edit?usp=sharing"",""งบพรบ!BC101"")"),0)</f>
        <v>0</v>
      </c>
      <c r="G101" s="247">
        <f ca="1">IFERROR(__xludf.DUMMYFUNCTION("IMPORTRANGE(""https://docs.google.com/spreadsheets/d/1MeEWN-I1oV_STSDYn1IFDPWt_1FKiwhDph83XaGc0o0/edit?usp=sharing"",""งบพรบ!BD101"")"),0)</f>
        <v>0</v>
      </c>
      <c r="H101" s="247">
        <f ca="1">IFERROR(__xludf.DUMMYFUNCTION("IMPORTRANGE(""https://docs.google.com/spreadsheets/d/1MeEWN-I1oV_STSDYn1IFDPWt_1FKiwhDph83XaGc0o0/edit?usp=sharing"",""งบพรบ!BF101"")"),0)</f>
        <v>0</v>
      </c>
      <c r="I101" s="247">
        <f ca="1">IFERROR(__xludf.DUMMYFUNCTION("IMPORTRANGE(""https://docs.google.com/spreadsheets/d/1MeEWN-I1oV_STSDYn1IFDPWt_1FKiwhDph83XaGc0o0/edit?usp=sharing"",""งบพรบ!BG101"")"),0)</f>
        <v>0</v>
      </c>
      <c r="J101" s="247">
        <f t="shared" ca="1" si="3"/>
        <v>0</v>
      </c>
      <c r="K101" s="253">
        <f t="shared" ca="1" si="4"/>
        <v>0</v>
      </c>
      <c r="L101" s="247">
        <f ca="1">IFERROR(__xludf.DUMMYFUNCTION("IMPORTRANGE(""https://docs.google.com/spreadsheets/d/1MeEWN-I1oV_STSDYn1IFDPWt_1FKiwhDph83XaGc0o0/edit?usp=sharing"",""งบพรบ!BH101"")"),0)</f>
        <v>0</v>
      </c>
      <c r="M101" s="250">
        <f t="shared" ca="1" si="5"/>
        <v>0</v>
      </c>
      <c r="N101" s="250">
        <f t="shared" ca="1" si="6"/>
        <v>0</v>
      </c>
      <c r="O101" s="251">
        <f ca="1">IFERROR(__xludf.DUMMYFUNCTION("IMPORTRANGE(""https://docs.google.com/spreadsheets/d/1MeEWN-I1oV_STSDYn1IFDPWt_1FKiwhDph83XaGc0o0/edit?usp=sharing"",""งบพรบ!BI101"")"),0)</f>
        <v>0</v>
      </c>
      <c r="P101" s="250">
        <f t="shared" ca="1" si="18"/>
        <v>0</v>
      </c>
      <c r="Q101" s="250">
        <f t="shared" ca="1" si="8"/>
        <v>0</v>
      </c>
      <c r="R101" s="271"/>
      <c r="S101" s="271"/>
      <c r="T101" s="272"/>
    </row>
    <row r="102" spans="1:20" ht="24" hidden="1" customHeight="1" x14ac:dyDescent="0.3">
      <c r="A102" s="243">
        <f t="shared" si="32"/>
        <v>13</v>
      </c>
      <c r="B102" s="244" t="s">
        <v>124</v>
      </c>
      <c r="C102" s="245">
        <f t="shared" ca="1" si="0"/>
        <v>0</v>
      </c>
      <c r="D102" s="246">
        <f t="shared" ca="1" si="31"/>
        <v>0</v>
      </c>
      <c r="E102" s="247">
        <f ca="1">IFERROR(__xludf.DUMMYFUNCTION("IMPORTRANGE(""https://docs.google.com/spreadsheets/d/1MeEWN-I1oV_STSDYn1IFDPWt_1FKiwhDph83XaGc0o0/edit?usp=sharing"",""งบพรบ!BB102"")"),0)</f>
        <v>0</v>
      </c>
      <c r="F102" s="247">
        <f ca="1">IFERROR(__xludf.DUMMYFUNCTION("IMPORTRANGE(""https://docs.google.com/spreadsheets/d/1MeEWN-I1oV_STSDYn1IFDPWt_1FKiwhDph83XaGc0o0/edit?usp=sharing"",""งบพรบ!BC102"")"),0)</f>
        <v>0</v>
      </c>
      <c r="G102" s="247">
        <f ca="1">IFERROR(__xludf.DUMMYFUNCTION("IMPORTRANGE(""https://docs.google.com/spreadsheets/d/1MeEWN-I1oV_STSDYn1IFDPWt_1FKiwhDph83XaGc0o0/edit?usp=sharing"",""งบพรบ!BD102"")"),0)</f>
        <v>0</v>
      </c>
      <c r="H102" s="247">
        <f ca="1">IFERROR(__xludf.DUMMYFUNCTION("IMPORTRANGE(""https://docs.google.com/spreadsheets/d/1MeEWN-I1oV_STSDYn1IFDPWt_1FKiwhDph83XaGc0o0/edit?usp=sharing"",""งบพรบ!BF102"")"),0)</f>
        <v>0</v>
      </c>
      <c r="I102" s="247">
        <f ca="1">IFERROR(__xludf.DUMMYFUNCTION("IMPORTRANGE(""https://docs.google.com/spreadsheets/d/1MeEWN-I1oV_STSDYn1IFDPWt_1FKiwhDph83XaGc0o0/edit?usp=sharing"",""งบพรบ!BG102"")"),0)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IFERROR(__xludf.DUMMYFUNCTION("IMPORTRANGE(""https://docs.google.com/spreadsheets/d/1MeEWN-I1oV_STSDYn1IFDPWt_1FKiwhDph83XaGc0o0/edit?usp=sharing"",""งบพรบ!BH102"")"),0)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IFERROR(__xludf.DUMMYFUNCTION("IMPORTRANGE(""https://docs.google.com/spreadsheets/d/1MeEWN-I1oV_STSDYn1IFDPWt_1FKiwhDph83XaGc0o0/edit?usp=sharing"",""งบพรบ!BI102"")"),0)</f>
        <v>0</v>
      </c>
      <c r="P102" s="250">
        <f t="shared" ca="1" si="18"/>
        <v>0</v>
      </c>
      <c r="Q102" s="250">
        <f t="shared" ca="1" si="8"/>
        <v>0</v>
      </c>
      <c r="R102" s="271"/>
      <c r="S102" s="271"/>
      <c r="T102" s="272"/>
    </row>
    <row r="103" spans="1:20" ht="24" hidden="1" customHeight="1" x14ac:dyDescent="0.3">
      <c r="A103" s="254">
        <f t="shared" si="32"/>
        <v>14</v>
      </c>
      <c r="B103" s="255" t="s">
        <v>125</v>
      </c>
      <c r="C103" s="256">
        <f t="shared" ca="1" si="0"/>
        <v>0</v>
      </c>
      <c r="D103" s="257">
        <f t="shared" ca="1" si="31"/>
        <v>0</v>
      </c>
      <c r="E103" s="258">
        <f ca="1">IFERROR(__xludf.DUMMYFUNCTION("IMPORTRANGE(""https://docs.google.com/spreadsheets/d/1MeEWN-I1oV_STSDYn1IFDPWt_1FKiwhDph83XaGc0o0/edit?usp=sharing"",""งบพรบ!BB103"")"),0)</f>
        <v>0</v>
      </c>
      <c r="F103" s="258">
        <f ca="1">IFERROR(__xludf.DUMMYFUNCTION("IMPORTRANGE(""https://docs.google.com/spreadsheets/d/1MeEWN-I1oV_STSDYn1IFDPWt_1FKiwhDph83XaGc0o0/edit?usp=sharing"",""งบพรบ!BC103"")"),0)</f>
        <v>0</v>
      </c>
      <c r="G103" s="258">
        <f ca="1">IFERROR(__xludf.DUMMYFUNCTION("IMPORTRANGE(""https://docs.google.com/spreadsheets/d/1MeEWN-I1oV_STSDYn1IFDPWt_1FKiwhDph83XaGc0o0/edit?usp=sharing"",""งบพรบ!BD103"")"),0)</f>
        <v>0</v>
      </c>
      <c r="H103" s="258">
        <f ca="1">IFERROR(__xludf.DUMMYFUNCTION("IMPORTRANGE(""https://docs.google.com/spreadsheets/d/1MeEWN-I1oV_STSDYn1IFDPWt_1FKiwhDph83XaGc0o0/edit?usp=sharing"",""งบพรบ!BF103"")"),0)</f>
        <v>0</v>
      </c>
      <c r="I103" s="258">
        <f ca="1">IFERROR(__xludf.DUMMYFUNCTION("IMPORTRANGE(""https://docs.google.com/spreadsheets/d/1MeEWN-I1oV_STSDYn1IFDPWt_1FKiwhDph83XaGc0o0/edit?usp=sharing"",""งบพรบ!BG103"")"),0)</f>
        <v>0</v>
      </c>
      <c r="J103" s="258">
        <f t="shared" ca="1" si="3"/>
        <v>0</v>
      </c>
      <c r="K103" s="259">
        <f t="shared" ca="1" si="4"/>
        <v>0</v>
      </c>
      <c r="L103" s="258">
        <f ca="1">IFERROR(__xludf.DUMMYFUNCTION("IMPORTRANGE(""https://docs.google.com/spreadsheets/d/1MeEWN-I1oV_STSDYn1IFDPWt_1FKiwhDph83XaGc0o0/edit?usp=sharing"",""งบพรบ!BH103"")"),0)</f>
        <v>0</v>
      </c>
      <c r="M103" s="260">
        <f t="shared" ca="1" si="5"/>
        <v>0</v>
      </c>
      <c r="N103" s="260">
        <f t="shared" ca="1" si="6"/>
        <v>0</v>
      </c>
      <c r="O103" s="261">
        <f ca="1">IFERROR(__xludf.DUMMYFUNCTION("IMPORTRANGE(""https://docs.google.com/spreadsheets/d/1MeEWN-I1oV_STSDYn1IFDPWt_1FKiwhDph83XaGc0o0/edit?usp=sharing"",""งบพรบ!BI103"")"),0)</f>
        <v>0</v>
      </c>
      <c r="P103" s="260">
        <f t="shared" ca="1" si="18"/>
        <v>0</v>
      </c>
      <c r="Q103" s="260">
        <f t="shared" ca="1" si="8"/>
        <v>0</v>
      </c>
      <c r="R103" s="273"/>
      <c r="S103" s="273"/>
      <c r="T103" s="274"/>
    </row>
    <row r="104" spans="1:20" ht="21" hidden="1" customHeight="1" x14ac:dyDescent="0.3">
      <c r="A104" s="441" t="s">
        <v>126</v>
      </c>
      <c r="B104" s="414"/>
      <c r="C104" s="230">
        <f t="shared" ca="1" si="0"/>
        <v>0</v>
      </c>
      <c r="D104" s="230">
        <f ca="1">SUM(D105:D116)</f>
        <v>0</v>
      </c>
      <c r="E104" s="230">
        <f ca="1">IFERROR(__xludf.DUMMYFUNCTION("IMPORTRANGE(""https://docs.google.com/spreadsheets/d/1MeEWN-I1oV_STSDYn1IFDPWt_1FKiwhDph83XaGc0o0/edit?usp=sharing"",""งบพรบ!BB104"")"),0)</f>
        <v>0</v>
      </c>
      <c r="F104" s="230">
        <f ca="1">IFERROR(__xludf.DUMMYFUNCTION("IMPORTRANGE(""https://docs.google.com/spreadsheets/d/1MeEWN-I1oV_STSDYn1IFDPWt_1FKiwhDph83XaGc0o0/edit?usp=sharing"",""งบพรบ!BC104"")"),0)</f>
        <v>0</v>
      </c>
      <c r="G104" s="230">
        <f ca="1">IFERROR(__xludf.DUMMYFUNCTION("IMPORTRANGE(""https://docs.google.com/spreadsheets/d/1MeEWN-I1oV_STSDYn1IFDPWt_1FKiwhDph83XaGc0o0/edit?usp=sharing"",""งบพรบ!BD104"")"),0)</f>
        <v>0</v>
      </c>
      <c r="H104" s="230">
        <f ca="1">IFERROR(__xludf.DUMMYFUNCTION("IMPORTRANGE(""https://docs.google.com/spreadsheets/d/1MeEWN-I1oV_STSDYn1IFDPWt_1FKiwhDph83XaGc0o0/edit?usp=sharing"",""งบพรบ!BF104"")"),0)</f>
        <v>0</v>
      </c>
      <c r="I104" s="230">
        <f ca="1">IFERROR(__xludf.DUMMYFUNCTION("IMPORTRANGE(""https://docs.google.com/spreadsheets/d/1MeEWN-I1oV_STSDYn1IFDPWt_1FKiwhDph83XaGc0o0/edit?usp=sharing"",""งบพรบ!BG104"")"),5765)</f>
        <v>5765</v>
      </c>
      <c r="J104" s="230">
        <f t="shared" ca="1" si="3"/>
        <v>0</v>
      </c>
      <c r="K104" s="231">
        <f t="shared" ca="1" si="4"/>
        <v>0</v>
      </c>
      <c r="L104" s="230">
        <f ca="1">IFERROR(__xludf.DUMMYFUNCTION("IMPORTRANGE(""https://docs.google.com/spreadsheets/d/1MeEWN-I1oV_STSDYn1IFDPWt_1FKiwhDph83XaGc0o0/edit?usp=sharing"",""งบพรบ!BH104"")"),0)</f>
        <v>0</v>
      </c>
      <c r="M104" s="230">
        <f t="shared" ca="1" si="5"/>
        <v>0</v>
      </c>
      <c r="N104" s="230">
        <f t="shared" ca="1" si="6"/>
        <v>0</v>
      </c>
      <c r="O104" s="230">
        <f ca="1">IFERROR(__xludf.DUMMYFUNCTION("IMPORTRANGE(""https://docs.google.com/spreadsheets/d/1MeEWN-I1oV_STSDYn1IFDPWt_1FKiwhDph83XaGc0o0/edit?usp=sharing"",""งบพรบ!BI104"")"),0)</f>
        <v>0</v>
      </c>
      <c r="P104" s="230">
        <f t="shared" ca="1" si="18"/>
        <v>0</v>
      </c>
      <c r="Q104" s="230">
        <f t="shared" ca="1" si="8"/>
        <v>0</v>
      </c>
      <c r="R104" s="234"/>
      <c r="S104" s="234"/>
      <c r="T104" s="234"/>
    </row>
    <row r="105" spans="1:20" ht="24" hidden="1" customHeight="1" x14ac:dyDescent="0.3">
      <c r="A105" s="243">
        <v>1</v>
      </c>
      <c r="B105" s="275" t="s">
        <v>127</v>
      </c>
      <c r="C105" s="245">
        <f t="shared" ca="1" si="0"/>
        <v>0</v>
      </c>
      <c r="D105" s="246">
        <f t="shared" ref="D105:D116" ca="1" si="33">+E105+F105</f>
        <v>0</v>
      </c>
      <c r="E105" s="247">
        <f ca="1">IFERROR(__xludf.DUMMYFUNCTION("IMPORTRANGE(""https://docs.google.com/spreadsheets/d/1MeEWN-I1oV_STSDYn1IFDPWt_1FKiwhDph83XaGc0o0/edit?usp=sharing"",""งบพรบ!BB105"")"),0)</f>
        <v>0</v>
      </c>
      <c r="F105" s="247">
        <f ca="1">IFERROR(__xludf.DUMMYFUNCTION("IMPORTRANGE(""https://docs.google.com/spreadsheets/d/1MeEWN-I1oV_STSDYn1IFDPWt_1FKiwhDph83XaGc0o0/edit?usp=sharing"",""งบพรบ!BC105"")"),0)</f>
        <v>0</v>
      </c>
      <c r="G105" s="247">
        <f ca="1">IFERROR(__xludf.DUMMYFUNCTION("IMPORTRANGE(""https://docs.google.com/spreadsheets/d/1MeEWN-I1oV_STSDYn1IFDPWt_1FKiwhDph83XaGc0o0/edit?usp=sharing"",""งบพรบ!BD105"")"),0)</f>
        <v>0</v>
      </c>
      <c r="H105" s="247">
        <f ca="1">IFERROR(__xludf.DUMMYFUNCTION("IMPORTRANGE(""https://docs.google.com/spreadsheets/d/1MeEWN-I1oV_STSDYn1IFDPWt_1FKiwhDph83XaGc0o0/edit?usp=sharing"",""งบพรบ!BF105"")"),0)</f>
        <v>0</v>
      </c>
      <c r="I105" s="247">
        <f ca="1">IFERROR(__xludf.DUMMYFUNCTION("IMPORTRANGE(""https://docs.google.com/spreadsheets/d/1MeEWN-I1oV_STSDYn1IFDPWt_1FKiwhDph83XaGc0o0/edit?usp=sharing"",""งบพรบ!BG105"")"),0)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IFERROR(__xludf.DUMMYFUNCTION("IMPORTRANGE(""https://docs.google.com/spreadsheets/d/1MeEWN-I1oV_STSDYn1IFDPWt_1FKiwhDph83XaGc0o0/edit?usp=sharing"",""งบพรบ!BH105"")"),0)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IFERROR(__xludf.DUMMYFUNCTION("IMPORTRANGE(""https://docs.google.com/spreadsheets/d/1MeEWN-I1oV_STSDYn1IFDPWt_1FKiwhDph83XaGc0o0/edit?usp=sharing"",""งบพรบ!BI105"")"),0)</f>
        <v>0</v>
      </c>
      <c r="P105" s="250">
        <f t="shared" ca="1" si="18"/>
        <v>0</v>
      </c>
      <c r="Q105" s="250">
        <f t="shared" ca="1" si="8"/>
        <v>0</v>
      </c>
      <c r="R105" s="271"/>
      <c r="S105" s="271"/>
      <c r="T105" s="271"/>
    </row>
    <row r="106" spans="1:20" ht="24" hidden="1" customHeight="1" x14ac:dyDescent="0.3">
      <c r="A106" s="243">
        <v>2</v>
      </c>
      <c r="B106" s="275" t="s">
        <v>128</v>
      </c>
      <c r="C106" s="245">
        <f t="shared" ca="1" si="0"/>
        <v>0</v>
      </c>
      <c r="D106" s="246">
        <f t="shared" ca="1" si="33"/>
        <v>0</v>
      </c>
      <c r="E106" s="247">
        <f ca="1">IFERROR(__xludf.DUMMYFUNCTION("IMPORTRANGE(""https://docs.google.com/spreadsheets/d/1MeEWN-I1oV_STSDYn1IFDPWt_1FKiwhDph83XaGc0o0/edit?usp=sharing"",""งบพรบ!BB106"")"),0)</f>
        <v>0</v>
      </c>
      <c r="F106" s="247">
        <f ca="1">IFERROR(__xludf.DUMMYFUNCTION("IMPORTRANGE(""https://docs.google.com/spreadsheets/d/1MeEWN-I1oV_STSDYn1IFDPWt_1FKiwhDph83XaGc0o0/edit?usp=sharing"",""งบพรบ!BC106"")"),0)</f>
        <v>0</v>
      </c>
      <c r="G106" s="247">
        <f ca="1">IFERROR(__xludf.DUMMYFUNCTION("IMPORTRANGE(""https://docs.google.com/spreadsheets/d/1MeEWN-I1oV_STSDYn1IFDPWt_1FKiwhDph83XaGc0o0/edit?usp=sharing"",""งบพรบ!BD106"")"),0)</f>
        <v>0</v>
      </c>
      <c r="H106" s="247">
        <f ca="1">IFERROR(__xludf.DUMMYFUNCTION("IMPORTRANGE(""https://docs.google.com/spreadsheets/d/1MeEWN-I1oV_STSDYn1IFDPWt_1FKiwhDph83XaGc0o0/edit?usp=sharing"",""งบพรบ!BF106"")"),0)</f>
        <v>0</v>
      </c>
      <c r="I106" s="247">
        <f ca="1">IFERROR(__xludf.DUMMYFUNCTION("IMPORTRANGE(""https://docs.google.com/spreadsheets/d/1MeEWN-I1oV_STSDYn1IFDPWt_1FKiwhDph83XaGc0o0/edit?usp=sharing"",""งบพรบ!BG106"")"),0)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IFERROR(__xludf.DUMMYFUNCTION("IMPORTRANGE(""https://docs.google.com/spreadsheets/d/1MeEWN-I1oV_STSDYn1IFDPWt_1FKiwhDph83XaGc0o0/edit?usp=sharing"",""งบพรบ!BH106"")"),0)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IFERROR(__xludf.DUMMYFUNCTION("IMPORTRANGE(""https://docs.google.com/spreadsheets/d/1MeEWN-I1oV_STSDYn1IFDPWt_1FKiwhDph83XaGc0o0/edit?usp=sharing"",""งบพรบ!BI106"")"),0)</f>
        <v>0</v>
      </c>
      <c r="P106" s="250">
        <f t="shared" ca="1" si="18"/>
        <v>0</v>
      </c>
      <c r="Q106" s="250">
        <f t="shared" ca="1" si="8"/>
        <v>0</v>
      </c>
      <c r="R106" s="271"/>
      <c r="S106" s="271"/>
      <c r="T106" s="271"/>
    </row>
    <row r="107" spans="1:20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33"/>
        <v>0</v>
      </c>
      <c r="E107" s="247">
        <f ca="1">IFERROR(__xludf.DUMMYFUNCTION("IMPORTRANGE(""https://docs.google.com/spreadsheets/d/1MeEWN-I1oV_STSDYn1IFDPWt_1FKiwhDph83XaGc0o0/edit?usp=sharing"",""งบพรบ!BB107"")"),0)</f>
        <v>0</v>
      </c>
      <c r="F107" s="247">
        <f ca="1">IFERROR(__xludf.DUMMYFUNCTION("IMPORTRANGE(""https://docs.google.com/spreadsheets/d/1MeEWN-I1oV_STSDYn1IFDPWt_1FKiwhDph83XaGc0o0/edit?usp=sharing"",""งบพรบ!BC107"")"),0)</f>
        <v>0</v>
      </c>
      <c r="G107" s="247">
        <f ca="1">IFERROR(__xludf.DUMMYFUNCTION("IMPORTRANGE(""https://docs.google.com/spreadsheets/d/1MeEWN-I1oV_STSDYn1IFDPWt_1FKiwhDph83XaGc0o0/edit?usp=sharing"",""งบพรบ!BD107"")"),0)</f>
        <v>0</v>
      </c>
      <c r="H107" s="247">
        <f ca="1">IFERROR(__xludf.DUMMYFUNCTION("IMPORTRANGE(""https://docs.google.com/spreadsheets/d/1MeEWN-I1oV_STSDYn1IFDPWt_1FKiwhDph83XaGc0o0/edit?usp=sharing"",""งบพรบ!BF107"")"),0)</f>
        <v>0</v>
      </c>
      <c r="I107" s="247">
        <f ca="1">IFERROR(__xludf.DUMMYFUNCTION("IMPORTRANGE(""https://docs.google.com/spreadsheets/d/1MeEWN-I1oV_STSDYn1IFDPWt_1FKiwhDph83XaGc0o0/edit?usp=sharing"",""งบพรบ!BG107"")"),0)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IFERROR(__xludf.DUMMYFUNCTION("IMPORTRANGE(""https://docs.google.com/spreadsheets/d/1MeEWN-I1oV_STSDYn1IFDPWt_1FKiwhDph83XaGc0o0/edit?usp=sharing"",""งบพรบ!BH107"")"),0)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IFERROR(__xludf.DUMMYFUNCTION("IMPORTRANGE(""https://docs.google.com/spreadsheets/d/1MeEWN-I1oV_STSDYn1IFDPWt_1FKiwhDph83XaGc0o0/edit?usp=sharing"",""งบพรบ!BI107"")"),0)</f>
        <v>0</v>
      </c>
      <c r="P107" s="250">
        <f t="shared" ca="1" si="18"/>
        <v>0</v>
      </c>
      <c r="Q107" s="250">
        <f t="shared" ca="1" si="8"/>
        <v>0</v>
      </c>
      <c r="R107" s="271"/>
      <c r="S107" s="271"/>
      <c r="T107" s="271"/>
    </row>
    <row r="108" spans="1:20" ht="24" hidden="1" customHeight="1" x14ac:dyDescent="0.3">
      <c r="A108" s="276">
        <v>4</v>
      </c>
      <c r="B108" s="275" t="s">
        <v>130</v>
      </c>
      <c r="C108" s="245">
        <f t="shared" ca="1" si="0"/>
        <v>0</v>
      </c>
      <c r="D108" s="246">
        <f t="shared" ca="1" si="33"/>
        <v>0</v>
      </c>
      <c r="E108" s="247">
        <f ca="1">IFERROR(__xludf.DUMMYFUNCTION("IMPORTRANGE(""https://docs.google.com/spreadsheets/d/1MeEWN-I1oV_STSDYn1IFDPWt_1FKiwhDph83XaGc0o0/edit?usp=sharing"",""งบพรบ!BB108"")"),0)</f>
        <v>0</v>
      </c>
      <c r="F108" s="247">
        <f ca="1">IFERROR(__xludf.DUMMYFUNCTION("IMPORTRANGE(""https://docs.google.com/spreadsheets/d/1MeEWN-I1oV_STSDYn1IFDPWt_1FKiwhDph83XaGc0o0/edit?usp=sharing"",""งบพรบ!BC108"")"),0)</f>
        <v>0</v>
      </c>
      <c r="G108" s="247">
        <f ca="1">IFERROR(__xludf.DUMMYFUNCTION("IMPORTRANGE(""https://docs.google.com/spreadsheets/d/1MeEWN-I1oV_STSDYn1IFDPWt_1FKiwhDph83XaGc0o0/edit?usp=sharing"",""งบพรบ!BD108"")"),0)</f>
        <v>0</v>
      </c>
      <c r="H108" s="247">
        <f ca="1">IFERROR(__xludf.DUMMYFUNCTION("IMPORTRANGE(""https://docs.google.com/spreadsheets/d/1MeEWN-I1oV_STSDYn1IFDPWt_1FKiwhDph83XaGc0o0/edit?usp=sharing"",""งบพรบ!BF108"")"),0)</f>
        <v>0</v>
      </c>
      <c r="I108" s="247">
        <f ca="1">IFERROR(__xludf.DUMMYFUNCTION("IMPORTRANGE(""https://docs.google.com/spreadsheets/d/1MeEWN-I1oV_STSDYn1IFDPWt_1FKiwhDph83XaGc0o0/edit?usp=sharing"",""งบพรบ!BG108"")"),0)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IFERROR(__xludf.DUMMYFUNCTION("IMPORTRANGE(""https://docs.google.com/spreadsheets/d/1MeEWN-I1oV_STSDYn1IFDPWt_1FKiwhDph83XaGc0o0/edit?usp=sharing"",""งบพรบ!BH108"")"),0)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IFERROR(__xludf.DUMMYFUNCTION("IMPORTRANGE(""https://docs.google.com/spreadsheets/d/1MeEWN-I1oV_STSDYn1IFDPWt_1FKiwhDph83XaGc0o0/edit?usp=sharing"",""งบพรบ!BI108"")"),0)</f>
        <v>0</v>
      </c>
      <c r="P108" s="250">
        <f t="shared" ca="1" si="18"/>
        <v>0</v>
      </c>
      <c r="Q108" s="250">
        <f t="shared" ca="1" si="8"/>
        <v>0</v>
      </c>
      <c r="R108" s="271"/>
      <c r="S108" s="271"/>
      <c r="T108" s="271"/>
    </row>
    <row r="109" spans="1:20" ht="24" hidden="1" customHeight="1" x14ac:dyDescent="0.3">
      <c r="A109" s="276">
        <v>5</v>
      </c>
      <c r="B109" s="275" t="s">
        <v>131</v>
      </c>
      <c r="C109" s="245">
        <f t="shared" ca="1" si="0"/>
        <v>0</v>
      </c>
      <c r="D109" s="246">
        <f t="shared" ca="1" si="33"/>
        <v>0</v>
      </c>
      <c r="E109" s="247">
        <f ca="1">IFERROR(__xludf.DUMMYFUNCTION("IMPORTRANGE(""https://docs.google.com/spreadsheets/d/1MeEWN-I1oV_STSDYn1IFDPWt_1FKiwhDph83XaGc0o0/edit?usp=sharing"",""งบพรบ!BB109"")"),0)</f>
        <v>0</v>
      </c>
      <c r="F109" s="247">
        <f ca="1">IFERROR(__xludf.DUMMYFUNCTION("IMPORTRANGE(""https://docs.google.com/spreadsheets/d/1MeEWN-I1oV_STSDYn1IFDPWt_1FKiwhDph83XaGc0o0/edit?usp=sharing"",""งบพรบ!BC109"")"),0)</f>
        <v>0</v>
      </c>
      <c r="G109" s="247">
        <f ca="1">IFERROR(__xludf.DUMMYFUNCTION("IMPORTRANGE(""https://docs.google.com/spreadsheets/d/1MeEWN-I1oV_STSDYn1IFDPWt_1FKiwhDph83XaGc0o0/edit?usp=sharing"",""งบพรบ!BD109"")"),0)</f>
        <v>0</v>
      </c>
      <c r="H109" s="247">
        <f ca="1">IFERROR(__xludf.DUMMYFUNCTION("IMPORTRANGE(""https://docs.google.com/spreadsheets/d/1MeEWN-I1oV_STSDYn1IFDPWt_1FKiwhDph83XaGc0o0/edit?usp=sharing"",""งบพรบ!BF109"")"),0)</f>
        <v>0</v>
      </c>
      <c r="I109" s="247">
        <f ca="1">IFERROR(__xludf.DUMMYFUNCTION("IMPORTRANGE(""https://docs.google.com/spreadsheets/d/1MeEWN-I1oV_STSDYn1IFDPWt_1FKiwhDph83XaGc0o0/edit?usp=sharing"",""งบพรบ!BG109"")"),0)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IFERROR(__xludf.DUMMYFUNCTION("IMPORTRANGE(""https://docs.google.com/spreadsheets/d/1MeEWN-I1oV_STSDYn1IFDPWt_1FKiwhDph83XaGc0o0/edit?usp=sharing"",""งบพรบ!BH109"")"),0)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IFERROR(__xludf.DUMMYFUNCTION("IMPORTRANGE(""https://docs.google.com/spreadsheets/d/1MeEWN-I1oV_STSDYn1IFDPWt_1FKiwhDph83XaGc0o0/edit?usp=sharing"",""งบพรบ!BI109"")"),0)</f>
        <v>0</v>
      </c>
      <c r="P109" s="250">
        <f t="shared" ca="1" si="18"/>
        <v>0</v>
      </c>
      <c r="Q109" s="250">
        <f t="shared" ca="1" si="8"/>
        <v>0</v>
      </c>
      <c r="R109" s="271"/>
      <c r="S109" s="271"/>
      <c r="T109" s="271"/>
    </row>
    <row r="110" spans="1:20" ht="24" hidden="1" customHeight="1" x14ac:dyDescent="0.3">
      <c r="A110" s="276">
        <v>6</v>
      </c>
      <c r="B110" s="275" t="s">
        <v>132</v>
      </c>
      <c r="C110" s="245">
        <f t="shared" ca="1" si="0"/>
        <v>0</v>
      </c>
      <c r="D110" s="246">
        <f t="shared" ca="1" si="33"/>
        <v>0</v>
      </c>
      <c r="E110" s="247">
        <f ca="1">IFERROR(__xludf.DUMMYFUNCTION("IMPORTRANGE(""https://docs.google.com/spreadsheets/d/1MeEWN-I1oV_STSDYn1IFDPWt_1FKiwhDph83XaGc0o0/edit?usp=sharing"",""งบพรบ!BB110"")"),0)</f>
        <v>0</v>
      </c>
      <c r="F110" s="247">
        <f ca="1">IFERROR(__xludf.DUMMYFUNCTION("IMPORTRANGE(""https://docs.google.com/spreadsheets/d/1MeEWN-I1oV_STSDYn1IFDPWt_1FKiwhDph83XaGc0o0/edit?usp=sharing"",""งบพรบ!BC110"")"),0)</f>
        <v>0</v>
      </c>
      <c r="G110" s="247">
        <f ca="1">IFERROR(__xludf.DUMMYFUNCTION("IMPORTRANGE(""https://docs.google.com/spreadsheets/d/1MeEWN-I1oV_STSDYn1IFDPWt_1FKiwhDph83XaGc0o0/edit?usp=sharing"",""งบพรบ!BD110"")"),0)</f>
        <v>0</v>
      </c>
      <c r="H110" s="247">
        <f ca="1">IFERROR(__xludf.DUMMYFUNCTION("IMPORTRANGE(""https://docs.google.com/spreadsheets/d/1MeEWN-I1oV_STSDYn1IFDPWt_1FKiwhDph83XaGc0o0/edit?usp=sharing"",""งบพรบ!BF110"")"),0)</f>
        <v>0</v>
      </c>
      <c r="I110" s="247">
        <f ca="1">IFERROR(__xludf.DUMMYFUNCTION("IMPORTRANGE(""https://docs.google.com/spreadsheets/d/1MeEWN-I1oV_STSDYn1IFDPWt_1FKiwhDph83XaGc0o0/edit?usp=sharing"",""งบพรบ!BG110"")"),0)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IFERROR(__xludf.DUMMYFUNCTION("IMPORTRANGE(""https://docs.google.com/spreadsheets/d/1MeEWN-I1oV_STSDYn1IFDPWt_1FKiwhDph83XaGc0o0/edit?usp=sharing"",""งบพรบ!BH110"")"),0)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IFERROR(__xludf.DUMMYFUNCTION("IMPORTRANGE(""https://docs.google.com/spreadsheets/d/1MeEWN-I1oV_STSDYn1IFDPWt_1FKiwhDph83XaGc0o0/edit?usp=sharing"",""งบพรบ!BI110"")"),0)</f>
        <v>0</v>
      </c>
      <c r="P110" s="250">
        <f t="shared" ca="1" si="18"/>
        <v>0</v>
      </c>
      <c r="Q110" s="250">
        <f t="shared" ca="1" si="8"/>
        <v>0</v>
      </c>
      <c r="R110" s="271"/>
      <c r="S110" s="271"/>
      <c r="T110" s="271"/>
    </row>
    <row r="111" spans="1:20" ht="24" hidden="1" customHeight="1" x14ac:dyDescent="0.3">
      <c r="A111" s="276">
        <v>7</v>
      </c>
      <c r="B111" s="275" t="s">
        <v>133</v>
      </c>
      <c r="C111" s="245">
        <f t="shared" ca="1" si="0"/>
        <v>0</v>
      </c>
      <c r="D111" s="246">
        <f t="shared" ca="1" si="33"/>
        <v>0</v>
      </c>
      <c r="E111" s="247">
        <f ca="1">IFERROR(__xludf.DUMMYFUNCTION("IMPORTRANGE(""https://docs.google.com/spreadsheets/d/1MeEWN-I1oV_STSDYn1IFDPWt_1FKiwhDph83XaGc0o0/edit?usp=sharing"",""งบพรบ!BB111"")"),0)</f>
        <v>0</v>
      </c>
      <c r="F111" s="247">
        <f ca="1">IFERROR(__xludf.DUMMYFUNCTION("IMPORTRANGE(""https://docs.google.com/spreadsheets/d/1MeEWN-I1oV_STSDYn1IFDPWt_1FKiwhDph83XaGc0o0/edit?usp=sharing"",""งบพรบ!BC111"")"),0)</f>
        <v>0</v>
      </c>
      <c r="G111" s="247">
        <f ca="1">IFERROR(__xludf.DUMMYFUNCTION("IMPORTRANGE(""https://docs.google.com/spreadsheets/d/1MeEWN-I1oV_STSDYn1IFDPWt_1FKiwhDph83XaGc0o0/edit?usp=sharing"",""งบพรบ!BD111"")"),0)</f>
        <v>0</v>
      </c>
      <c r="H111" s="247">
        <f ca="1">IFERROR(__xludf.DUMMYFUNCTION("IMPORTRANGE(""https://docs.google.com/spreadsheets/d/1MeEWN-I1oV_STSDYn1IFDPWt_1FKiwhDph83XaGc0o0/edit?usp=sharing"",""งบพรบ!BF111"")"),0)</f>
        <v>0</v>
      </c>
      <c r="I111" s="247">
        <f ca="1">IFERROR(__xludf.DUMMYFUNCTION("IMPORTRANGE(""https://docs.google.com/spreadsheets/d/1MeEWN-I1oV_STSDYn1IFDPWt_1FKiwhDph83XaGc0o0/edit?usp=sharing"",""งบพรบ!BG111"")"),0)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IFERROR(__xludf.DUMMYFUNCTION("IMPORTRANGE(""https://docs.google.com/spreadsheets/d/1MeEWN-I1oV_STSDYn1IFDPWt_1FKiwhDph83XaGc0o0/edit?usp=sharing"",""งบพรบ!BH111"")"),0)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IFERROR(__xludf.DUMMYFUNCTION("IMPORTRANGE(""https://docs.google.com/spreadsheets/d/1MeEWN-I1oV_STSDYn1IFDPWt_1FKiwhDph83XaGc0o0/edit?usp=sharing"",""งบพรบ!BI111"")"),0)</f>
        <v>0</v>
      </c>
      <c r="P111" s="250">
        <f t="shared" ca="1" si="18"/>
        <v>0</v>
      </c>
      <c r="Q111" s="250">
        <f t="shared" ca="1" si="8"/>
        <v>0</v>
      </c>
      <c r="R111" s="271"/>
      <c r="S111" s="271"/>
      <c r="T111" s="271"/>
    </row>
    <row r="112" spans="1:20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33"/>
        <v>0</v>
      </c>
      <c r="E112" s="247">
        <f ca="1">IFERROR(__xludf.DUMMYFUNCTION("IMPORTRANGE(""https://docs.google.com/spreadsheets/d/1MeEWN-I1oV_STSDYn1IFDPWt_1FKiwhDph83XaGc0o0/edit?usp=sharing"",""งบพรบ!BB112"")"),0)</f>
        <v>0</v>
      </c>
      <c r="F112" s="247">
        <f ca="1">IFERROR(__xludf.DUMMYFUNCTION("IMPORTRANGE(""https://docs.google.com/spreadsheets/d/1MeEWN-I1oV_STSDYn1IFDPWt_1FKiwhDph83XaGc0o0/edit?usp=sharing"",""งบพรบ!BC112"")"),0)</f>
        <v>0</v>
      </c>
      <c r="G112" s="247">
        <f ca="1">IFERROR(__xludf.DUMMYFUNCTION("IMPORTRANGE(""https://docs.google.com/spreadsheets/d/1MeEWN-I1oV_STSDYn1IFDPWt_1FKiwhDph83XaGc0o0/edit?usp=sharing"",""งบพรบ!BD112"")"),0)</f>
        <v>0</v>
      </c>
      <c r="H112" s="247">
        <f ca="1">IFERROR(__xludf.DUMMYFUNCTION("IMPORTRANGE(""https://docs.google.com/spreadsheets/d/1MeEWN-I1oV_STSDYn1IFDPWt_1FKiwhDph83XaGc0o0/edit?usp=sharing"",""งบพรบ!BF112"")"),0)</f>
        <v>0</v>
      </c>
      <c r="I112" s="247">
        <f ca="1">IFERROR(__xludf.DUMMYFUNCTION("IMPORTRANGE(""https://docs.google.com/spreadsheets/d/1MeEWN-I1oV_STSDYn1IFDPWt_1FKiwhDph83XaGc0o0/edit?usp=sharing"",""งบพรบ!BG112"")"),0)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IFERROR(__xludf.DUMMYFUNCTION("IMPORTRANGE(""https://docs.google.com/spreadsheets/d/1MeEWN-I1oV_STSDYn1IFDPWt_1FKiwhDph83XaGc0o0/edit?usp=sharing"",""งบพรบ!BH112"")"),0)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IFERROR(__xludf.DUMMYFUNCTION("IMPORTRANGE(""https://docs.google.com/spreadsheets/d/1MeEWN-I1oV_STSDYn1IFDPWt_1FKiwhDph83XaGc0o0/edit?usp=sharing"",""งบพรบ!BI112"")"),0)</f>
        <v>0</v>
      </c>
      <c r="P112" s="250">
        <f t="shared" ca="1" si="18"/>
        <v>0</v>
      </c>
      <c r="Q112" s="250">
        <f t="shared" ca="1" si="8"/>
        <v>0</v>
      </c>
      <c r="R112" s="271"/>
      <c r="S112" s="271"/>
      <c r="T112" s="271"/>
    </row>
    <row r="113" spans="1:20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33"/>
        <v>0</v>
      </c>
      <c r="E113" s="247">
        <f ca="1">IFERROR(__xludf.DUMMYFUNCTION("IMPORTRANGE(""https://docs.google.com/spreadsheets/d/1MeEWN-I1oV_STSDYn1IFDPWt_1FKiwhDph83XaGc0o0/edit?usp=sharing"",""งบพรบ!BB113"")"),0)</f>
        <v>0</v>
      </c>
      <c r="F113" s="247">
        <f ca="1">IFERROR(__xludf.DUMMYFUNCTION("IMPORTRANGE(""https://docs.google.com/spreadsheets/d/1MeEWN-I1oV_STSDYn1IFDPWt_1FKiwhDph83XaGc0o0/edit?usp=sharing"",""งบพรบ!BC113"")"),0)</f>
        <v>0</v>
      </c>
      <c r="G113" s="247">
        <f ca="1">IFERROR(__xludf.DUMMYFUNCTION("IMPORTRANGE(""https://docs.google.com/spreadsheets/d/1MeEWN-I1oV_STSDYn1IFDPWt_1FKiwhDph83XaGc0o0/edit?usp=sharing"",""งบพรบ!BD113"")"),0)</f>
        <v>0</v>
      </c>
      <c r="H113" s="247">
        <f ca="1">IFERROR(__xludf.DUMMYFUNCTION("IMPORTRANGE(""https://docs.google.com/spreadsheets/d/1MeEWN-I1oV_STSDYn1IFDPWt_1FKiwhDph83XaGc0o0/edit?usp=sharing"",""งบพรบ!BF113"")"),0)</f>
        <v>0</v>
      </c>
      <c r="I113" s="247">
        <f ca="1">IFERROR(__xludf.DUMMYFUNCTION("IMPORTRANGE(""https://docs.google.com/spreadsheets/d/1MeEWN-I1oV_STSDYn1IFDPWt_1FKiwhDph83XaGc0o0/edit?usp=sharing"",""งบพรบ!BG113"")"),0)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IFERROR(__xludf.DUMMYFUNCTION("IMPORTRANGE(""https://docs.google.com/spreadsheets/d/1MeEWN-I1oV_STSDYn1IFDPWt_1FKiwhDph83XaGc0o0/edit?usp=sharing"",""งบพรบ!BH113"")"),0)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IFERROR(__xludf.DUMMYFUNCTION("IMPORTRANGE(""https://docs.google.com/spreadsheets/d/1MeEWN-I1oV_STSDYn1IFDPWt_1FKiwhDph83XaGc0o0/edit?usp=sharing"",""งบพรบ!BI113"")"),0)</f>
        <v>0</v>
      </c>
      <c r="P113" s="250">
        <f t="shared" ca="1" si="18"/>
        <v>0</v>
      </c>
      <c r="Q113" s="250">
        <f t="shared" ca="1" si="8"/>
        <v>0</v>
      </c>
      <c r="R113" s="271"/>
      <c r="S113" s="271"/>
      <c r="T113" s="271"/>
    </row>
    <row r="114" spans="1:20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33"/>
        <v>0</v>
      </c>
      <c r="E114" s="247">
        <f ca="1">IFERROR(__xludf.DUMMYFUNCTION("IMPORTRANGE(""https://docs.google.com/spreadsheets/d/1MeEWN-I1oV_STSDYn1IFDPWt_1FKiwhDph83XaGc0o0/edit?usp=sharing"",""งบพรบ!BB114"")"),0)</f>
        <v>0</v>
      </c>
      <c r="F114" s="247">
        <f ca="1">IFERROR(__xludf.DUMMYFUNCTION("IMPORTRANGE(""https://docs.google.com/spreadsheets/d/1MeEWN-I1oV_STSDYn1IFDPWt_1FKiwhDph83XaGc0o0/edit?usp=sharing"",""งบพรบ!BC114"")"),0)</f>
        <v>0</v>
      </c>
      <c r="G114" s="247">
        <f ca="1">IFERROR(__xludf.DUMMYFUNCTION("IMPORTRANGE(""https://docs.google.com/spreadsheets/d/1MeEWN-I1oV_STSDYn1IFDPWt_1FKiwhDph83XaGc0o0/edit?usp=sharing"",""งบพรบ!BD114"")"),0)</f>
        <v>0</v>
      </c>
      <c r="H114" s="247">
        <f ca="1">IFERROR(__xludf.DUMMYFUNCTION("IMPORTRANGE(""https://docs.google.com/spreadsheets/d/1MeEWN-I1oV_STSDYn1IFDPWt_1FKiwhDph83XaGc0o0/edit?usp=sharing"",""งบพรบ!BF114"")"),0)</f>
        <v>0</v>
      </c>
      <c r="I114" s="247">
        <f ca="1">IFERROR(__xludf.DUMMYFUNCTION("IMPORTRANGE(""https://docs.google.com/spreadsheets/d/1MeEWN-I1oV_STSDYn1IFDPWt_1FKiwhDph83XaGc0o0/edit?usp=sharing"",""งบพรบ!BG114"")"),0)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IFERROR(__xludf.DUMMYFUNCTION("IMPORTRANGE(""https://docs.google.com/spreadsheets/d/1MeEWN-I1oV_STSDYn1IFDPWt_1FKiwhDph83XaGc0o0/edit?usp=sharing"",""งบพรบ!BH114"")"),0)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IFERROR(__xludf.DUMMYFUNCTION("IMPORTRANGE(""https://docs.google.com/spreadsheets/d/1MeEWN-I1oV_STSDYn1IFDPWt_1FKiwhDph83XaGc0o0/edit?usp=sharing"",""งบพรบ!BI114"")"),0)</f>
        <v>0</v>
      </c>
      <c r="P114" s="250">
        <f t="shared" ca="1" si="18"/>
        <v>0</v>
      </c>
      <c r="Q114" s="250">
        <f t="shared" ca="1" si="8"/>
        <v>0</v>
      </c>
      <c r="R114" s="271"/>
      <c r="S114" s="271"/>
      <c r="T114" s="271"/>
    </row>
    <row r="115" spans="1:20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33"/>
        <v>0</v>
      </c>
      <c r="E115" s="247">
        <f ca="1">IFERROR(__xludf.DUMMYFUNCTION("IMPORTRANGE(""https://docs.google.com/spreadsheets/d/1MeEWN-I1oV_STSDYn1IFDPWt_1FKiwhDph83XaGc0o0/edit?usp=sharing"",""งบพรบ!BB115"")"),0)</f>
        <v>0</v>
      </c>
      <c r="F115" s="247">
        <f ca="1">IFERROR(__xludf.DUMMYFUNCTION("IMPORTRANGE(""https://docs.google.com/spreadsheets/d/1MeEWN-I1oV_STSDYn1IFDPWt_1FKiwhDph83XaGc0o0/edit?usp=sharing"",""งบพรบ!BC115"")"),0)</f>
        <v>0</v>
      </c>
      <c r="G115" s="247">
        <f ca="1">IFERROR(__xludf.DUMMYFUNCTION("IMPORTRANGE(""https://docs.google.com/spreadsheets/d/1MeEWN-I1oV_STSDYn1IFDPWt_1FKiwhDph83XaGc0o0/edit?usp=sharing"",""งบพรบ!BD115"")"),0)</f>
        <v>0</v>
      </c>
      <c r="H115" s="247">
        <f ca="1">IFERROR(__xludf.DUMMYFUNCTION("IMPORTRANGE(""https://docs.google.com/spreadsheets/d/1MeEWN-I1oV_STSDYn1IFDPWt_1FKiwhDph83XaGc0o0/edit?usp=sharing"",""งบพรบ!BF115"")"),0)</f>
        <v>0</v>
      </c>
      <c r="I115" s="247">
        <f ca="1">IFERROR(__xludf.DUMMYFUNCTION("IMPORTRANGE(""https://docs.google.com/spreadsheets/d/1MeEWN-I1oV_STSDYn1IFDPWt_1FKiwhDph83XaGc0o0/edit?usp=sharing"",""งบพรบ!BG115"")"),0)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IFERROR(__xludf.DUMMYFUNCTION("IMPORTRANGE(""https://docs.google.com/spreadsheets/d/1MeEWN-I1oV_STSDYn1IFDPWt_1FKiwhDph83XaGc0o0/edit?usp=sharing"",""งบพรบ!BH115"")"),0)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IFERROR(__xludf.DUMMYFUNCTION("IMPORTRANGE(""https://docs.google.com/spreadsheets/d/1MeEWN-I1oV_STSDYn1IFDPWt_1FKiwhDph83XaGc0o0/edit?usp=sharing"",""งบพรบ!BI115"")"),0)</f>
        <v>0</v>
      </c>
      <c r="P115" s="250">
        <f t="shared" ca="1" si="18"/>
        <v>0</v>
      </c>
      <c r="Q115" s="250">
        <f t="shared" ca="1" si="8"/>
        <v>0</v>
      </c>
      <c r="R115" s="271"/>
      <c r="S115" s="271"/>
      <c r="T115" s="271"/>
    </row>
    <row r="116" spans="1:20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33"/>
        <v>0</v>
      </c>
      <c r="E116" s="277">
        <f ca="1">IFERROR(__xludf.DUMMYFUNCTION("IMPORTRANGE(""https://docs.google.com/spreadsheets/d/1MeEWN-I1oV_STSDYn1IFDPWt_1FKiwhDph83XaGc0o0/edit?usp=sharing"",""งบพรบ!BB116"")"),0)</f>
        <v>0</v>
      </c>
      <c r="F116" s="277">
        <f ca="1">IFERROR(__xludf.DUMMYFUNCTION("IMPORTRANGE(""https://docs.google.com/spreadsheets/d/1MeEWN-I1oV_STSDYn1IFDPWt_1FKiwhDph83XaGc0o0/edit?usp=sharing"",""งบพรบ!BC116"")"),0)</f>
        <v>0</v>
      </c>
      <c r="G116" s="277">
        <f ca="1">IFERROR(__xludf.DUMMYFUNCTION("IMPORTRANGE(""https://docs.google.com/spreadsheets/d/1MeEWN-I1oV_STSDYn1IFDPWt_1FKiwhDph83XaGc0o0/edit?usp=sharing"",""งบพรบ!BD116"")"),0)</f>
        <v>0</v>
      </c>
      <c r="H116" s="277">
        <f ca="1">IFERROR(__xludf.DUMMYFUNCTION("IMPORTRANGE(""https://docs.google.com/spreadsheets/d/1MeEWN-I1oV_STSDYn1IFDPWt_1FKiwhDph83XaGc0o0/edit?usp=sharing"",""งบพรบ!BF116"")"),0)</f>
        <v>0</v>
      </c>
      <c r="I116" s="277">
        <f ca="1">IFERROR(__xludf.DUMMYFUNCTION("IMPORTRANGE(""https://docs.google.com/spreadsheets/d/1MeEWN-I1oV_STSDYn1IFDPWt_1FKiwhDph83XaGc0o0/edit?usp=sharing"",""งบพรบ!BG116"")"),0)</f>
        <v>0</v>
      </c>
      <c r="J116" s="247">
        <f t="shared" ca="1" si="3"/>
        <v>0</v>
      </c>
      <c r="K116" s="253">
        <f t="shared" ca="1" si="4"/>
        <v>0</v>
      </c>
      <c r="L116" s="277">
        <f ca="1">IFERROR(__xludf.DUMMYFUNCTION("IMPORTRANGE(""https://docs.google.com/spreadsheets/d/1MeEWN-I1oV_STSDYn1IFDPWt_1FKiwhDph83XaGc0o0/edit?usp=sharing"",""งบพรบ!BH116"")"),0)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IFERROR(__xludf.DUMMYFUNCTION("IMPORTRANGE(""https://docs.google.com/spreadsheets/d/1MeEWN-I1oV_STSDYn1IFDPWt_1FKiwhDph83XaGc0o0/edit?usp=sharing"",""งบพรบ!BI116"")"),0)</f>
        <v>0</v>
      </c>
      <c r="P116" s="250">
        <f t="shared" ca="1" si="18"/>
        <v>0</v>
      </c>
      <c r="Q116" s="250">
        <f t="shared" ca="1" si="8"/>
        <v>0</v>
      </c>
      <c r="R116" s="271"/>
      <c r="S116" s="271"/>
      <c r="T116" s="271"/>
    </row>
    <row r="117" spans="1:20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279"/>
      <c r="S117" s="279"/>
      <c r="T117" s="279"/>
    </row>
    <row r="118" spans="1:20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279"/>
      <c r="S118" s="279"/>
      <c r="T118" s="279"/>
    </row>
    <row r="119" spans="1:20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279"/>
      <c r="S119" s="279"/>
      <c r="T119" s="279"/>
    </row>
    <row r="120" spans="1:20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279"/>
      <c r="S120" s="279"/>
      <c r="T120" s="279"/>
    </row>
    <row r="121" spans="1:20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279"/>
      <c r="S121" s="279"/>
      <c r="T121" s="279"/>
    </row>
    <row r="122" spans="1:20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279"/>
      <c r="S122" s="279"/>
      <c r="T122" s="279"/>
    </row>
    <row r="123" spans="1:20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279"/>
      <c r="S123" s="279"/>
      <c r="T123" s="279"/>
    </row>
    <row r="124" spans="1:20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279"/>
      <c r="S124" s="279"/>
      <c r="T124" s="279"/>
    </row>
    <row r="125" spans="1:20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279"/>
      <c r="S125" s="279"/>
      <c r="T125" s="279"/>
    </row>
    <row r="126" spans="1:20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279"/>
      <c r="S126" s="279"/>
      <c r="T126" s="279"/>
    </row>
    <row r="127" spans="1:20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279"/>
      <c r="S127" s="279"/>
      <c r="T127" s="279"/>
    </row>
    <row r="128" spans="1:20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279"/>
      <c r="S128" s="279"/>
      <c r="T128" s="279"/>
    </row>
    <row r="129" spans="1:20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279"/>
      <c r="S129" s="279"/>
      <c r="T129" s="279"/>
    </row>
    <row r="130" spans="1:20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279"/>
      <c r="S130" s="279"/>
      <c r="T130" s="279"/>
    </row>
    <row r="131" spans="1:20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279"/>
      <c r="S131" s="279"/>
      <c r="T131" s="279"/>
    </row>
    <row r="132" spans="1:20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279"/>
      <c r="S132" s="279"/>
      <c r="T132" s="279"/>
    </row>
    <row r="133" spans="1:20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279"/>
      <c r="S133" s="279"/>
      <c r="T133" s="279"/>
    </row>
    <row r="134" spans="1:20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279"/>
      <c r="S134" s="279"/>
      <c r="T134" s="279"/>
    </row>
    <row r="135" spans="1:20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279"/>
      <c r="S135" s="279"/>
      <c r="T135" s="279"/>
    </row>
    <row r="136" spans="1:20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279"/>
      <c r="S136" s="279"/>
      <c r="T136" s="279"/>
    </row>
    <row r="137" spans="1:20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279"/>
      <c r="S137" s="279"/>
      <c r="T137" s="279"/>
    </row>
    <row r="138" spans="1:20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279"/>
      <c r="S138" s="279"/>
      <c r="T138" s="279"/>
    </row>
    <row r="139" spans="1:20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279"/>
      <c r="S139" s="279"/>
      <c r="T139" s="279"/>
    </row>
    <row r="140" spans="1:20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279"/>
      <c r="S140" s="279"/>
      <c r="T140" s="279"/>
    </row>
    <row r="141" spans="1:20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279"/>
      <c r="S141" s="279"/>
      <c r="T141" s="279"/>
    </row>
    <row r="142" spans="1:20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279"/>
      <c r="S142" s="279"/>
      <c r="T142" s="279"/>
    </row>
    <row r="143" spans="1:20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279"/>
      <c r="S143" s="279"/>
      <c r="T143" s="279"/>
    </row>
    <row r="144" spans="1:20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279"/>
      <c r="S144" s="279"/>
      <c r="T144" s="279"/>
    </row>
    <row r="145" spans="1:20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279"/>
      <c r="S145" s="279"/>
      <c r="T145" s="279"/>
    </row>
    <row r="146" spans="1:20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279"/>
      <c r="S146" s="279"/>
      <c r="T146" s="279"/>
    </row>
    <row r="147" spans="1:20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279"/>
      <c r="S147" s="279"/>
      <c r="T147" s="279"/>
    </row>
    <row r="148" spans="1:20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279"/>
      <c r="S148" s="279"/>
      <c r="T148" s="279"/>
    </row>
    <row r="149" spans="1:20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279"/>
      <c r="S149" s="279"/>
      <c r="T149" s="279"/>
    </row>
    <row r="150" spans="1:20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279"/>
      <c r="S150" s="279"/>
      <c r="T150" s="279"/>
    </row>
    <row r="151" spans="1:20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279"/>
      <c r="S151" s="279"/>
      <c r="T151" s="279"/>
    </row>
    <row r="152" spans="1:20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279"/>
      <c r="S152" s="279"/>
      <c r="T152" s="279"/>
    </row>
    <row r="153" spans="1:20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279"/>
      <c r="S153" s="279"/>
      <c r="T153" s="279"/>
    </row>
    <row r="154" spans="1:20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279"/>
      <c r="S154" s="279"/>
      <c r="T154" s="279"/>
    </row>
    <row r="155" spans="1:20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279"/>
      <c r="S155" s="279"/>
      <c r="T155" s="279"/>
    </row>
    <row r="156" spans="1:20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279"/>
      <c r="S156" s="279"/>
      <c r="T156" s="279"/>
    </row>
    <row r="157" spans="1:20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279"/>
      <c r="S157" s="279"/>
      <c r="T157" s="279"/>
    </row>
    <row r="158" spans="1:20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279"/>
      <c r="S158" s="279"/>
      <c r="T158" s="279"/>
    </row>
    <row r="159" spans="1:20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279"/>
      <c r="S159" s="279"/>
      <c r="T159" s="279"/>
    </row>
    <row r="160" spans="1:20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279"/>
      <c r="S160" s="279"/>
      <c r="T160" s="279"/>
    </row>
    <row r="161" spans="1:20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279"/>
      <c r="S161" s="279"/>
      <c r="T161" s="279"/>
    </row>
    <row r="162" spans="1:20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279"/>
      <c r="S162" s="279"/>
      <c r="T162" s="279"/>
    </row>
    <row r="163" spans="1:20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279"/>
      <c r="S163" s="279"/>
      <c r="T163" s="279"/>
    </row>
    <row r="164" spans="1:20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279"/>
      <c r="S164" s="279"/>
      <c r="T164" s="279"/>
    </row>
    <row r="165" spans="1:20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279"/>
      <c r="S165" s="279"/>
      <c r="T165" s="279"/>
    </row>
    <row r="166" spans="1:20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279"/>
      <c r="S166" s="279"/>
      <c r="T166" s="279"/>
    </row>
    <row r="167" spans="1:20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279"/>
      <c r="S167" s="279"/>
      <c r="T167" s="279"/>
    </row>
    <row r="168" spans="1:20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279"/>
      <c r="S168" s="279"/>
      <c r="T168" s="279"/>
    </row>
    <row r="169" spans="1:20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279"/>
      <c r="S169" s="279"/>
      <c r="T169" s="279"/>
    </row>
    <row r="170" spans="1:20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279"/>
      <c r="S170" s="279"/>
      <c r="T170" s="279"/>
    </row>
    <row r="171" spans="1:20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279"/>
      <c r="S171" s="279"/>
      <c r="T171" s="279"/>
    </row>
    <row r="172" spans="1:20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279"/>
      <c r="S172" s="279"/>
      <c r="T172" s="279"/>
    </row>
    <row r="173" spans="1:20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279"/>
      <c r="S173" s="279"/>
      <c r="T173" s="279"/>
    </row>
    <row r="174" spans="1:20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279"/>
      <c r="S174" s="279"/>
      <c r="T174" s="279"/>
    </row>
    <row r="175" spans="1:20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279"/>
      <c r="S175" s="279"/>
      <c r="T175" s="279"/>
    </row>
    <row r="176" spans="1:20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279"/>
      <c r="S176" s="279"/>
      <c r="T176" s="279"/>
    </row>
    <row r="177" spans="1:20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279"/>
      <c r="S177" s="279"/>
      <c r="T177" s="279"/>
    </row>
    <row r="178" spans="1:20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279"/>
      <c r="S178" s="279"/>
      <c r="T178" s="279"/>
    </row>
    <row r="179" spans="1:20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279"/>
      <c r="S179" s="279"/>
      <c r="T179" s="279"/>
    </row>
    <row r="180" spans="1:20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279"/>
      <c r="S180" s="279"/>
      <c r="T180" s="279"/>
    </row>
    <row r="181" spans="1:20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279"/>
      <c r="S181" s="279"/>
      <c r="T181" s="279"/>
    </row>
    <row r="182" spans="1:20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279"/>
      <c r="S182" s="279"/>
      <c r="T182" s="279"/>
    </row>
    <row r="183" spans="1:20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279"/>
      <c r="S183" s="279"/>
      <c r="T183" s="279"/>
    </row>
    <row r="184" spans="1:20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279"/>
      <c r="S184" s="279"/>
      <c r="T184" s="279"/>
    </row>
    <row r="185" spans="1:20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279"/>
      <c r="S185" s="279"/>
      <c r="T185" s="279"/>
    </row>
    <row r="186" spans="1:20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279"/>
      <c r="S186" s="279"/>
      <c r="T186" s="279"/>
    </row>
    <row r="187" spans="1:20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279"/>
      <c r="S187" s="279"/>
      <c r="T187" s="279"/>
    </row>
    <row r="188" spans="1:20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279"/>
      <c r="S188" s="279"/>
      <c r="T188" s="279"/>
    </row>
    <row r="189" spans="1:20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279"/>
      <c r="S189" s="279"/>
      <c r="T189" s="279"/>
    </row>
    <row r="190" spans="1:20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279"/>
      <c r="S190" s="279"/>
      <c r="T190" s="279"/>
    </row>
    <row r="191" spans="1:20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279"/>
      <c r="S191" s="279"/>
      <c r="T191" s="279"/>
    </row>
    <row r="192" spans="1:20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279"/>
      <c r="S192" s="279"/>
      <c r="T192" s="279"/>
    </row>
    <row r="193" spans="1:20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279"/>
      <c r="S193" s="279"/>
      <c r="T193" s="279"/>
    </row>
    <row r="194" spans="1:20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279"/>
      <c r="S194" s="279"/>
      <c r="T194" s="279"/>
    </row>
    <row r="195" spans="1:20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279"/>
      <c r="S195" s="279"/>
      <c r="T195" s="279"/>
    </row>
    <row r="196" spans="1:20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279"/>
      <c r="S196" s="279"/>
      <c r="T196" s="279"/>
    </row>
    <row r="197" spans="1:20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279"/>
      <c r="S197" s="279"/>
      <c r="T197" s="279"/>
    </row>
    <row r="198" spans="1:20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279"/>
      <c r="S198" s="279"/>
      <c r="T198" s="279"/>
    </row>
    <row r="199" spans="1:20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279"/>
      <c r="S199" s="279"/>
      <c r="T199" s="279"/>
    </row>
    <row r="200" spans="1:20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279"/>
      <c r="S200" s="279"/>
      <c r="T200" s="279"/>
    </row>
    <row r="201" spans="1:20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279"/>
      <c r="S201" s="279"/>
      <c r="T201" s="279"/>
    </row>
    <row r="202" spans="1:20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279"/>
      <c r="S202" s="279"/>
      <c r="T202" s="279"/>
    </row>
    <row r="203" spans="1:20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279"/>
      <c r="S203" s="279"/>
      <c r="T203" s="279"/>
    </row>
    <row r="204" spans="1:20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279"/>
      <c r="S204" s="279"/>
      <c r="T204" s="279"/>
    </row>
    <row r="205" spans="1:20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279"/>
      <c r="S205" s="279"/>
      <c r="T205" s="279"/>
    </row>
    <row r="206" spans="1:20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279"/>
      <c r="S206" s="279"/>
      <c r="T206" s="279"/>
    </row>
    <row r="207" spans="1:20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279"/>
      <c r="S207" s="279"/>
      <c r="T207" s="279"/>
    </row>
    <row r="208" spans="1:20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279"/>
      <c r="S208" s="279"/>
      <c r="T208" s="279"/>
    </row>
    <row r="209" spans="1:20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279"/>
      <c r="S209" s="279"/>
      <c r="T209" s="279"/>
    </row>
    <row r="210" spans="1:20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279"/>
      <c r="S210" s="279"/>
      <c r="T210" s="279"/>
    </row>
    <row r="211" spans="1:20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279"/>
      <c r="S211" s="279"/>
      <c r="T211" s="279"/>
    </row>
    <row r="212" spans="1:20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279"/>
      <c r="S212" s="279"/>
      <c r="T212" s="279"/>
    </row>
    <row r="213" spans="1:20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279"/>
      <c r="S213" s="279"/>
      <c r="T213" s="279"/>
    </row>
    <row r="214" spans="1:20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279"/>
      <c r="S214" s="279"/>
      <c r="T214" s="279"/>
    </row>
    <row r="215" spans="1:20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279"/>
      <c r="S215" s="279"/>
      <c r="T215" s="279"/>
    </row>
    <row r="216" spans="1:20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279"/>
      <c r="S216" s="279"/>
      <c r="T216" s="279"/>
    </row>
    <row r="217" spans="1:20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279"/>
      <c r="S217" s="279"/>
      <c r="T217" s="279"/>
    </row>
    <row r="218" spans="1:20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279"/>
      <c r="S218" s="279"/>
      <c r="T218" s="279"/>
    </row>
    <row r="219" spans="1:20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279"/>
      <c r="S219" s="279"/>
      <c r="T219" s="279"/>
    </row>
    <row r="220" spans="1:20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279"/>
      <c r="S220" s="279"/>
      <c r="T220" s="279"/>
    </row>
    <row r="221" spans="1:20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279"/>
      <c r="S221" s="279"/>
      <c r="T221" s="279"/>
    </row>
    <row r="222" spans="1:20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279"/>
      <c r="S222" s="279"/>
      <c r="T222" s="279"/>
    </row>
    <row r="223" spans="1:20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279"/>
      <c r="S223" s="279"/>
      <c r="T223" s="279"/>
    </row>
    <row r="224" spans="1:20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279"/>
      <c r="S224" s="279"/>
      <c r="T224" s="279"/>
    </row>
    <row r="225" spans="1:20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279"/>
      <c r="S225" s="279"/>
      <c r="T225" s="279"/>
    </row>
    <row r="226" spans="1:20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279"/>
      <c r="S226" s="279"/>
      <c r="T226" s="279"/>
    </row>
    <row r="227" spans="1:20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279"/>
      <c r="S227" s="279"/>
      <c r="T227" s="279"/>
    </row>
    <row r="228" spans="1:20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279"/>
      <c r="S228" s="279"/>
      <c r="T228" s="279"/>
    </row>
    <row r="229" spans="1:20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279"/>
      <c r="S229" s="279"/>
      <c r="T229" s="279"/>
    </row>
    <row r="230" spans="1:20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279"/>
      <c r="S230" s="279"/>
      <c r="T230" s="279"/>
    </row>
    <row r="231" spans="1:20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279"/>
      <c r="S231" s="279"/>
      <c r="T231" s="279"/>
    </row>
    <row r="232" spans="1:20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279"/>
      <c r="S232" s="279"/>
      <c r="T232" s="279"/>
    </row>
    <row r="233" spans="1:20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279"/>
      <c r="S233" s="279"/>
      <c r="T233" s="279"/>
    </row>
    <row r="234" spans="1:20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279"/>
      <c r="S234" s="279"/>
      <c r="T234" s="279"/>
    </row>
    <row r="235" spans="1:20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279"/>
      <c r="S235" s="279"/>
      <c r="T235" s="279"/>
    </row>
    <row r="236" spans="1:20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279"/>
      <c r="S236" s="279"/>
      <c r="T236" s="279"/>
    </row>
    <row r="237" spans="1:20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279"/>
      <c r="S237" s="279"/>
      <c r="T237" s="279"/>
    </row>
    <row r="238" spans="1:20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279"/>
      <c r="S238" s="279"/>
      <c r="T238" s="279"/>
    </row>
    <row r="239" spans="1:20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279"/>
      <c r="S239" s="279"/>
      <c r="T239" s="279"/>
    </row>
    <row r="240" spans="1:20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279"/>
      <c r="S240" s="279"/>
      <c r="T240" s="279"/>
    </row>
    <row r="241" spans="1:20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279"/>
      <c r="S241" s="279"/>
      <c r="T241" s="279"/>
    </row>
    <row r="242" spans="1:20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279"/>
      <c r="S242" s="279"/>
      <c r="T242" s="279"/>
    </row>
    <row r="243" spans="1:20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279"/>
      <c r="S243" s="279"/>
      <c r="T243" s="279"/>
    </row>
    <row r="244" spans="1:20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279"/>
      <c r="S244" s="279"/>
      <c r="T244" s="279"/>
    </row>
    <row r="245" spans="1:20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279"/>
      <c r="S245" s="279"/>
      <c r="T245" s="279"/>
    </row>
    <row r="246" spans="1:20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279"/>
      <c r="S246" s="279"/>
      <c r="T246" s="279"/>
    </row>
    <row r="247" spans="1:20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279"/>
      <c r="S247" s="279"/>
      <c r="T247" s="279"/>
    </row>
    <row r="248" spans="1:20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279"/>
      <c r="S248" s="279"/>
      <c r="T248" s="279"/>
    </row>
    <row r="249" spans="1:20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279"/>
      <c r="S249" s="279"/>
      <c r="T249" s="279"/>
    </row>
    <row r="250" spans="1:20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279"/>
      <c r="S250" s="279"/>
      <c r="T250" s="279"/>
    </row>
    <row r="251" spans="1:20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279"/>
      <c r="S251" s="279"/>
      <c r="T251" s="279"/>
    </row>
    <row r="252" spans="1:20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279"/>
      <c r="S252" s="279"/>
      <c r="T252" s="279"/>
    </row>
    <row r="253" spans="1:20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279"/>
      <c r="S253" s="279"/>
      <c r="T253" s="279"/>
    </row>
    <row r="254" spans="1:20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279"/>
      <c r="S254" s="279"/>
      <c r="T254" s="279"/>
    </row>
    <row r="255" spans="1:20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279"/>
      <c r="S255" s="279"/>
      <c r="T255" s="279"/>
    </row>
    <row r="256" spans="1:20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279"/>
      <c r="S256" s="279"/>
      <c r="T256" s="279"/>
    </row>
    <row r="257" spans="1:20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279"/>
      <c r="S257" s="279"/>
      <c r="T257" s="279"/>
    </row>
    <row r="258" spans="1:20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279"/>
      <c r="S258" s="279"/>
      <c r="T258" s="279"/>
    </row>
    <row r="259" spans="1:20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279"/>
      <c r="S259" s="279"/>
      <c r="T259" s="279"/>
    </row>
    <row r="260" spans="1:20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279"/>
      <c r="S260" s="279"/>
      <c r="T260" s="279"/>
    </row>
    <row r="261" spans="1:20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279"/>
      <c r="S261" s="279"/>
      <c r="T261" s="279"/>
    </row>
    <row r="262" spans="1:20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279"/>
      <c r="S262" s="279"/>
      <c r="T262" s="279"/>
    </row>
    <row r="263" spans="1:20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279"/>
      <c r="S263" s="279"/>
      <c r="T263" s="279"/>
    </row>
    <row r="264" spans="1:20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279"/>
      <c r="S264" s="279"/>
      <c r="T264" s="279"/>
    </row>
    <row r="265" spans="1:20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279"/>
      <c r="S265" s="279"/>
      <c r="T265" s="279"/>
    </row>
    <row r="266" spans="1:20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279"/>
      <c r="S266" s="279"/>
      <c r="T266" s="279"/>
    </row>
    <row r="267" spans="1:20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279"/>
      <c r="S267" s="279"/>
      <c r="T267" s="279"/>
    </row>
    <row r="268" spans="1:20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279"/>
      <c r="S268" s="279"/>
      <c r="T268" s="279"/>
    </row>
    <row r="269" spans="1:20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279"/>
      <c r="S269" s="279"/>
      <c r="T269" s="279"/>
    </row>
    <row r="270" spans="1:20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279"/>
      <c r="S270" s="279"/>
      <c r="T270" s="279"/>
    </row>
    <row r="271" spans="1:20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279"/>
      <c r="S271" s="279"/>
      <c r="T271" s="279"/>
    </row>
    <row r="272" spans="1:20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279"/>
      <c r="S272" s="279"/>
      <c r="T272" s="279"/>
    </row>
    <row r="273" spans="1:20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279"/>
      <c r="S273" s="279"/>
      <c r="T273" s="279"/>
    </row>
    <row r="274" spans="1:20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279"/>
      <c r="S274" s="279"/>
      <c r="T274" s="279"/>
    </row>
    <row r="275" spans="1:20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279"/>
      <c r="S275" s="279"/>
      <c r="T275" s="279"/>
    </row>
    <row r="276" spans="1:20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279"/>
      <c r="S276" s="279"/>
      <c r="T276" s="279"/>
    </row>
    <row r="277" spans="1:20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279"/>
      <c r="S277" s="279"/>
      <c r="T277" s="279"/>
    </row>
    <row r="278" spans="1:20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279"/>
      <c r="S278" s="279"/>
      <c r="T278" s="279"/>
    </row>
    <row r="279" spans="1:20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279"/>
      <c r="S279" s="279"/>
      <c r="T279" s="279"/>
    </row>
    <row r="280" spans="1:20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279"/>
      <c r="S280" s="279"/>
      <c r="T280" s="279"/>
    </row>
    <row r="281" spans="1:20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279"/>
      <c r="S281" s="279"/>
      <c r="T281" s="279"/>
    </row>
    <row r="282" spans="1:20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279"/>
      <c r="S282" s="279"/>
      <c r="T282" s="279"/>
    </row>
    <row r="283" spans="1:20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279"/>
      <c r="S283" s="279"/>
      <c r="T283" s="279"/>
    </row>
    <row r="284" spans="1:20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279"/>
      <c r="S284" s="279"/>
      <c r="T284" s="279"/>
    </row>
    <row r="285" spans="1:20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279"/>
      <c r="S285" s="279"/>
      <c r="T285" s="279"/>
    </row>
    <row r="286" spans="1:20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279"/>
      <c r="S286" s="279"/>
      <c r="T286" s="279"/>
    </row>
    <row r="287" spans="1:20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279"/>
      <c r="S287" s="279"/>
      <c r="T287" s="279"/>
    </row>
    <row r="288" spans="1:20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279"/>
      <c r="S288" s="279"/>
      <c r="T288" s="279"/>
    </row>
    <row r="289" spans="1:20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279"/>
      <c r="S289" s="279"/>
      <c r="T289" s="279"/>
    </row>
    <row r="290" spans="1:20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279"/>
      <c r="S290" s="279"/>
      <c r="T290" s="279"/>
    </row>
    <row r="291" spans="1:20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279"/>
      <c r="S291" s="279"/>
      <c r="T291" s="279"/>
    </row>
    <row r="292" spans="1:20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279"/>
      <c r="S292" s="279"/>
      <c r="T292" s="279"/>
    </row>
    <row r="293" spans="1:20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279"/>
      <c r="S293" s="279"/>
      <c r="T293" s="279"/>
    </row>
    <row r="294" spans="1:20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279"/>
      <c r="S294" s="279"/>
      <c r="T294" s="279"/>
    </row>
    <row r="295" spans="1:20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279"/>
      <c r="S295" s="279"/>
      <c r="T295" s="279"/>
    </row>
    <row r="296" spans="1:20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279"/>
      <c r="S296" s="279"/>
      <c r="T296" s="279"/>
    </row>
    <row r="297" spans="1:20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279"/>
      <c r="S297" s="279"/>
      <c r="T297" s="279"/>
    </row>
    <row r="298" spans="1:20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279"/>
      <c r="S298" s="279"/>
      <c r="T298" s="279"/>
    </row>
    <row r="299" spans="1:20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279"/>
      <c r="S299" s="279"/>
      <c r="T299" s="279"/>
    </row>
    <row r="300" spans="1:20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279"/>
      <c r="S300" s="279"/>
      <c r="T300" s="279"/>
    </row>
    <row r="301" spans="1:20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279"/>
      <c r="S301" s="279"/>
      <c r="T301" s="279"/>
    </row>
    <row r="302" spans="1:20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279"/>
      <c r="S302" s="279"/>
      <c r="T302" s="279"/>
    </row>
    <row r="303" spans="1:20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279"/>
      <c r="S303" s="279"/>
      <c r="T303" s="279"/>
    </row>
    <row r="304" spans="1:20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279"/>
      <c r="S304" s="279"/>
      <c r="T304" s="279"/>
    </row>
    <row r="305" spans="1:20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279"/>
      <c r="S305" s="279"/>
      <c r="T305" s="279"/>
    </row>
    <row r="306" spans="1:20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279"/>
      <c r="S306" s="279"/>
      <c r="T306" s="279"/>
    </row>
    <row r="307" spans="1:20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279"/>
      <c r="S307" s="279"/>
      <c r="T307" s="279"/>
    </row>
    <row r="308" spans="1:20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279"/>
      <c r="S308" s="279"/>
      <c r="T308" s="279"/>
    </row>
    <row r="309" spans="1:20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279"/>
      <c r="S309" s="279"/>
      <c r="T309" s="279"/>
    </row>
    <row r="310" spans="1:20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279"/>
      <c r="S310" s="279"/>
      <c r="T310" s="279"/>
    </row>
    <row r="311" spans="1:20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279"/>
      <c r="S311" s="279"/>
      <c r="T311" s="279"/>
    </row>
    <row r="312" spans="1:20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279"/>
      <c r="S312" s="279"/>
      <c r="T312" s="279"/>
    </row>
    <row r="313" spans="1:20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279"/>
      <c r="S313" s="279"/>
      <c r="T313" s="279"/>
    </row>
    <row r="314" spans="1:20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279"/>
      <c r="S314" s="279"/>
      <c r="T314" s="279"/>
    </row>
    <row r="315" spans="1:20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279"/>
      <c r="S315" s="279"/>
      <c r="T315" s="279"/>
    </row>
    <row r="316" spans="1:20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279"/>
      <c r="S316" s="279"/>
      <c r="T316" s="279"/>
    </row>
    <row r="317" spans="1:20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279"/>
      <c r="S317" s="279"/>
      <c r="T317" s="279"/>
    </row>
    <row r="318" spans="1:20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279"/>
      <c r="S318" s="279"/>
      <c r="T318" s="279"/>
    </row>
    <row r="319" spans="1:20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279"/>
      <c r="S319" s="279"/>
      <c r="T319" s="279"/>
    </row>
    <row r="320" spans="1:20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279"/>
      <c r="S320" s="279"/>
      <c r="T320" s="279"/>
    </row>
    <row r="321" spans="1:20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279"/>
      <c r="S321" s="279"/>
      <c r="T321" s="279"/>
    </row>
    <row r="322" spans="1:20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279"/>
      <c r="S322" s="279"/>
      <c r="T322" s="279"/>
    </row>
    <row r="323" spans="1:20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279"/>
      <c r="S323" s="279"/>
      <c r="T323" s="279"/>
    </row>
    <row r="324" spans="1:20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279"/>
      <c r="S324" s="279"/>
      <c r="T324" s="279"/>
    </row>
    <row r="325" spans="1:20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279"/>
      <c r="S325" s="279"/>
      <c r="T325" s="279"/>
    </row>
    <row r="326" spans="1:20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279"/>
      <c r="S326" s="279"/>
      <c r="T326" s="279"/>
    </row>
    <row r="327" spans="1:20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279"/>
      <c r="S327" s="279"/>
      <c r="T327" s="279"/>
    </row>
    <row r="328" spans="1:20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279"/>
      <c r="S328" s="279"/>
      <c r="T328" s="279"/>
    </row>
    <row r="329" spans="1:20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279"/>
      <c r="S329" s="279"/>
      <c r="T329" s="279"/>
    </row>
    <row r="330" spans="1:20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279"/>
      <c r="S330" s="279"/>
      <c r="T330" s="279"/>
    </row>
    <row r="331" spans="1:20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279"/>
      <c r="S331" s="279"/>
      <c r="T331" s="279"/>
    </row>
    <row r="332" spans="1:20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279"/>
      <c r="S332" s="279"/>
      <c r="T332" s="279"/>
    </row>
    <row r="333" spans="1:20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279"/>
      <c r="S333" s="279"/>
      <c r="T333" s="279"/>
    </row>
    <row r="334" spans="1:20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279"/>
      <c r="S334" s="279"/>
      <c r="T334" s="279"/>
    </row>
    <row r="335" spans="1:20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279"/>
      <c r="S335" s="279"/>
      <c r="T335" s="279"/>
    </row>
    <row r="336" spans="1:20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279"/>
      <c r="S336" s="279"/>
      <c r="T336" s="279"/>
    </row>
    <row r="337" spans="1:20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279"/>
      <c r="S337" s="279"/>
      <c r="T337" s="279"/>
    </row>
    <row r="338" spans="1:20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279"/>
      <c r="S338" s="279"/>
      <c r="T338" s="279"/>
    </row>
    <row r="339" spans="1:20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279"/>
      <c r="S339" s="279"/>
      <c r="T339" s="279"/>
    </row>
    <row r="340" spans="1:20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279"/>
      <c r="S340" s="279"/>
      <c r="T340" s="279"/>
    </row>
    <row r="341" spans="1:20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279"/>
      <c r="S341" s="279"/>
      <c r="T341" s="279"/>
    </row>
    <row r="342" spans="1:20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279"/>
      <c r="S342" s="279"/>
      <c r="T342" s="279"/>
    </row>
    <row r="343" spans="1:20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279"/>
      <c r="S343" s="279"/>
      <c r="T343" s="279"/>
    </row>
    <row r="344" spans="1:20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279"/>
      <c r="S344" s="279"/>
      <c r="T344" s="279"/>
    </row>
    <row r="345" spans="1:20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279"/>
      <c r="S345" s="279"/>
      <c r="T345" s="279"/>
    </row>
    <row r="346" spans="1:20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279"/>
      <c r="S346" s="279"/>
      <c r="T346" s="279"/>
    </row>
    <row r="347" spans="1:20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279"/>
      <c r="S347" s="279"/>
      <c r="T347" s="279"/>
    </row>
    <row r="348" spans="1:20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279"/>
      <c r="S348" s="279"/>
      <c r="T348" s="279"/>
    </row>
    <row r="349" spans="1:20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279"/>
      <c r="S349" s="279"/>
      <c r="T349" s="279"/>
    </row>
    <row r="350" spans="1:20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279"/>
      <c r="S350" s="279"/>
      <c r="T350" s="279"/>
    </row>
    <row r="351" spans="1:20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279"/>
      <c r="S351" s="279"/>
      <c r="T351" s="279"/>
    </row>
    <row r="352" spans="1:20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279"/>
      <c r="S352" s="279"/>
      <c r="T352" s="279"/>
    </row>
    <row r="353" spans="1:20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279"/>
      <c r="S353" s="279"/>
      <c r="T353" s="279"/>
    </row>
    <row r="354" spans="1:20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279"/>
      <c r="S354" s="279"/>
      <c r="T354" s="279"/>
    </row>
    <row r="355" spans="1:20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279"/>
      <c r="S355" s="279"/>
      <c r="T355" s="279"/>
    </row>
    <row r="356" spans="1:20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279"/>
      <c r="S356" s="279"/>
      <c r="T356" s="279"/>
    </row>
    <row r="357" spans="1:20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279"/>
      <c r="S357" s="279"/>
      <c r="T357" s="279"/>
    </row>
    <row r="358" spans="1:20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279"/>
      <c r="S358" s="279"/>
      <c r="T358" s="279"/>
    </row>
    <row r="359" spans="1:20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279"/>
      <c r="S359" s="279"/>
      <c r="T359" s="279"/>
    </row>
    <row r="360" spans="1:20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279"/>
      <c r="S360" s="279"/>
      <c r="T360" s="279"/>
    </row>
    <row r="361" spans="1:20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279"/>
      <c r="S361" s="279"/>
      <c r="T361" s="279"/>
    </row>
    <row r="362" spans="1:20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279"/>
      <c r="S362" s="279"/>
      <c r="T362" s="279"/>
    </row>
    <row r="363" spans="1:20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279"/>
      <c r="S363" s="279"/>
      <c r="T363" s="279"/>
    </row>
    <row r="364" spans="1:20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279"/>
      <c r="S364" s="279"/>
      <c r="T364" s="279"/>
    </row>
    <row r="365" spans="1:20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279"/>
      <c r="S365" s="279"/>
      <c r="T365" s="279"/>
    </row>
    <row r="366" spans="1:20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279"/>
      <c r="S366" s="279"/>
      <c r="T366" s="279"/>
    </row>
    <row r="367" spans="1:20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279"/>
      <c r="S367" s="279"/>
      <c r="T367" s="279"/>
    </row>
    <row r="368" spans="1:20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279"/>
      <c r="S368" s="279"/>
      <c r="T368" s="279"/>
    </row>
    <row r="369" spans="1:20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279"/>
      <c r="S369" s="279"/>
      <c r="T369" s="279"/>
    </row>
    <row r="370" spans="1:20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279"/>
      <c r="S370" s="279"/>
      <c r="T370" s="279"/>
    </row>
    <row r="371" spans="1:20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279"/>
      <c r="S371" s="279"/>
      <c r="T371" s="279"/>
    </row>
    <row r="372" spans="1:20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279"/>
      <c r="S372" s="279"/>
      <c r="T372" s="279"/>
    </row>
    <row r="373" spans="1:20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279"/>
      <c r="S373" s="279"/>
      <c r="T373" s="279"/>
    </row>
    <row r="374" spans="1:20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279"/>
      <c r="S374" s="279"/>
      <c r="T374" s="279"/>
    </row>
    <row r="375" spans="1:20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279"/>
      <c r="S375" s="279"/>
      <c r="T375" s="279"/>
    </row>
    <row r="376" spans="1:20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279"/>
      <c r="S376" s="279"/>
      <c r="T376" s="279"/>
    </row>
    <row r="377" spans="1:20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279"/>
      <c r="S377" s="279"/>
      <c r="T377" s="279"/>
    </row>
    <row r="378" spans="1:20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279"/>
      <c r="S378" s="279"/>
      <c r="T378" s="279"/>
    </row>
    <row r="379" spans="1:20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279"/>
      <c r="S379" s="279"/>
      <c r="T379" s="279"/>
    </row>
    <row r="380" spans="1:20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279"/>
      <c r="S380" s="279"/>
      <c r="T380" s="279"/>
    </row>
    <row r="381" spans="1:20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279"/>
      <c r="S381" s="279"/>
      <c r="T381" s="279"/>
    </row>
    <row r="382" spans="1:20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279"/>
      <c r="S382" s="279"/>
      <c r="T382" s="279"/>
    </row>
    <row r="383" spans="1:20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279"/>
      <c r="S383" s="279"/>
      <c r="T383" s="279"/>
    </row>
    <row r="384" spans="1:20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279"/>
      <c r="S384" s="279"/>
      <c r="T384" s="279"/>
    </row>
    <row r="385" spans="1:20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279"/>
      <c r="S385" s="279"/>
      <c r="T385" s="279"/>
    </row>
    <row r="386" spans="1:20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279"/>
      <c r="S386" s="279"/>
      <c r="T386" s="279"/>
    </row>
    <row r="387" spans="1:20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279"/>
      <c r="S387" s="279"/>
      <c r="T387" s="279"/>
    </row>
    <row r="388" spans="1:20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279"/>
      <c r="S388" s="279"/>
      <c r="T388" s="279"/>
    </row>
    <row r="389" spans="1:20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279"/>
      <c r="S389" s="279"/>
      <c r="T389" s="279"/>
    </row>
    <row r="390" spans="1:20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279"/>
      <c r="S390" s="279"/>
      <c r="T390" s="279"/>
    </row>
    <row r="391" spans="1:20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279"/>
      <c r="S391" s="279"/>
      <c r="T391" s="279"/>
    </row>
    <row r="392" spans="1:20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279"/>
      <c r="S392" s="279"/>
      <c r="T392" s="279"/>
    </row>
    <row r="393" spans="1:20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279"/>
      <c r="S393" s="279"/>
      <c r="T393" s="279"/>
    </row>
    <row r="394" spans="1:20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279"/>
      <c r="S394" s="279"/>
      <c r="T394" s="279"/>
    </row>
    <row r="395" spans="1:20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279"/>
      <c r="S395" s="279"/>
      <c r="T395" s="279"/>
    </row>
    <row r="396" spans="1:20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279"/>
      <c r="S396" s="279"/>
      <c r="T396" s="279"/>
    </row>
    <row r="397" spans="1:20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279"/>
      <c r="S397" s="279"/>
      <c r="T397" s="279"/>
    </row>
    <row r="398" spans="1:20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279"/>
      <c r="S398" s="279"/>
      <c r="T398" s="279"/>
    </row>
    <row r="399" spans="1:20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279"/>
      <c r="S399" s="279"/>
      <c r="T399" s="279"/>
    </row>
    <row r="400" spans="1:20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279"/>
      <c r="S400" s="279"/>
      <c r="T400" s="279"/>
    </row>
    <row r="401" spans="1:20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279"/>
      <c r="S401" s="279"/>
      <c r="T401" s="279"/>
    </row>
    <row r="402" spans="1:20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279"/>
      <c r="S402" s="279"/>
      <c r="T402" s="279"/>
    </row>
    <row r="403" spans="1:20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279"/>
      <c r="S403" s="279"/>
      <c r="T403" s="279"/>
    </row>
    <row r="404" spans="1:20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279"/>
      <c r="S404" s="279"/>
      <c r="T404" s="279"/>
    </row>
    <row r="405" spans="1:20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279"/>
      <c r="S405" s="279"/>
      <c r="T405" s="279"/>
    </row>
    <row r="406" spans="1:20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279"/>
      <c r="S406" s="279"/>
      <c r="T406" s="279"/>
    </row>
    <row r="407" spans="1:20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279"/>
      <c r="S407" s="279"/>
      <c r="T407" s="279"/>
    </row>
    <row r="408" spans="1:20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279"/>
      <c r="S408" s="279"/>
      <c r="T408" s="279"/>
    </row>
    <row r="409" spans="1:20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279"/>
      <c r="S409" s="279"/>
      <c r="T409" s="279"/>
    </row>
    <row r="410" spans="1:20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279"/>
      <c r="S410" s="279"/>
      <c r="T410" s="279"/>
    </row>
    <row r="411" spans="1:20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279"/>
      <c r="S411" s="279"/>
      <c r="T411" s="279"/>
    </row>
    <row r="412" spans="1:20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279"/>
      <c r="S412" s="279"/>
      <c r="T412" s="279"/>
    </row>
    <row r="413" spans="1:20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279"/>
      <c r="S413" s="279"/>
      <c r="T413" s="279"/>
    </row>
    <row r="414" spans="1:20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279"/>
      <c r="S414" s="279"/>
      <c r="T414" s="279"/>
    </row>
    <row r="415" spans="1:20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279"/>
      <c r="S415" s="279"/>
      <c r="T415" s="279"/>
    </row>
    <row r="416" spans="1:20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279"/>
      <c r="S416" s="279"/>
      <c r="T416" s="279"/>
    </row>
    <row r="417" spans="1:20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279"/>
      <c r="S417" s="279"/>
      <c r="T417" s="279"/>
    </row>
    <row r="418" spans="1:20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279"/>
      <c r="S418" s="279"/>
      <c r="T418" s="279"/>
    </row>
    <row r="419" spans="1:20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279"/>
      <c r="S419" s="279"/>
      <c r="T419" s="279"/>
    </row>
    <row r="420" spans="1:20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279"/>
      <c r="S420" s="279"/>
      <c r="T420" s="279"/>
    </row>
    <row r="421" spans="1:20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279"/>
      <c r="S421" s="279"/>
      <c r="T421" s="279"/>
    </row>
    <row r="422" spans="1:20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279"/>
      <c r="S422" s="279"/>
      <c r="T422" s="279"/>
    </row>
    <row r="423" spans="1:20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279"/>
      <c r="S423" s="279"/>
      <c r="T423" s="279"/>
    </row>
    <row r="424" spans="1:20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279"/>
      <c r="S424" s="279"/>
      <c r="T424" s="279"/>
    </row>
    <row r="425" spans="1:20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279"/>
      <c r="S425" s="279"/>
      <c r="T425" s="279"/>
    </row>
    <row r="426" spans="1:20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279"/>
      <c r="S426" s="279"/>
      <c r="T426" s="279"/>
    </row>
    <row r="427" spans="1:20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279"/>
      <c r="S427" s="279"/>
      <c r="T427" s="279"/>
    </row>
    <row r="428" spans="1:20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279"/>
      <c r="S428" s="279"/>
      <c r="T428" s="279"/>
    </row>
    <row r="429" spans="1:20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279"/>
      <c r="S429" s="279"/>
      <c r="T429" s="279"/>
    </row>
    <row r="430" spans="1:20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279"/>
      <c r="S430" s="279"/>
      <c r="T430" s="279"/>
    </row>
    <row r="431" spans="1:20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279"/>
      <c r="S431" s="279"/>
      <c r="T431" s="279"/>
    </row>
    <row r="432" spans="1:20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279"/>
      <c r="S432" s="279"/>
      <c r="T432" s="279"/>
    </row>
    <row r="433" spans="1:20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279"/>
      <c r="S433" s="279"/>
      <c r="T433" s="279"/>
    </row>
    <row r="434" spans="1:20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279"/>
      <c r="S434" s="279"/>
      <c r="T434" s="279"/>
    </row>
    <row r="435" spans="1:20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279"/>
      <c r="S435" s="279"/>
      <c r="T435" s="279"/>
    </row>
    <row r="436" spans="1:20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279"/>
      <c r="S436" s="279"/>
      <c r="T436" s="279"/>
    </row>
    <row r="437" spans="1:20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279"/>
      <c r="S437" s="279"/>
      <c r="T437" s="279"/>
    </row>
    <row r="438" spans="1:20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279"/>
      <c r="S438" s="279"/>
      <c r="T438" s="279"/>
    </row>
    <row r="439" spans="1:20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279"/>
      <c r="S439" s="279"/>
      <c r="T439" s="279"/>
    </row>
    <row r="440" spans="1:20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279"/>
      <c r="S440" s="279"/>
      <c r="T440" s="279"/>
    </row>
    <row r="441" spans="1:20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279"/>
      <c r="S441" s="279"/>
      <c r="T441" s="279"/>
    </row>
    <row r="442" spans="1:20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279"/>
      <c r="S442" s="279"/>
      <c r="T442" s="279"/>
    </row>
    <row r="443" spans="1:20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279"/>
      <c r="S443" s="279"/>
      <c r="T443" s="279"/>
    </row>
    <row r="444" spans="1:20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279"/>
      <c r="S444" s="279"/>
      <c r="T444" s="279"/>
    </row>
    <row r="445" spans="1:20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279"/>
      <c r="S445" s="279"/>
      <c r="T445" s="279"/>
    </row>
    <row r="446" spans="1:20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279"/>
      <c r="S446" s="279"/>
      <c r="T446" s="279"/>
    </row>
    <row r="447" spans="1:20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279"/>
      <c r="S447" s="279"/>
      <c r="T447" s="279"/>
    </row>
    <row r="448" spans="1:20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279"/>
      <c r="S448" s="279"/>
      <c r="T448" s="279"/>
    </row>
    <row r="449" spans="1:20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279"/>
      <c r="S449" s="279"/>
      <c r="T449" s="279"/>
    </row>
    <row r="450" spans="1:20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279"/>
      <c r="S450" s="279"/>
      <c r="T450" s="279"/>
    </row>
    <row r="451" spans="1:20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279"/>
      <c r="S451" s="279"/>
      <c r="T451" s="279"/>
    </row>
    <row r="452" spans="1:20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279"/>
      <c r="S452" s="279"/>
      <c r="T452" s="279"/>
    </row>
    <row r="453" spans="1:20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279"/>
      <c r="S453" s="279"/>
      <c r="T453" s="279"/>
    </row>
    <row r="454" spans="1:20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279"/>
      <c r="S454" s="279"/>
      <c r="T454" s="279"/>
    </row>
    <row r="455" spans="1:20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279"/>
      <c r="S455" s="279"/>
      <c r="T455" s="279"/>
    </row>
    <row r="456" spans="1:20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279"/>
      <c r="S456" s="279"/>
      <c r="T456" s="279"/>
    </row>
    <row r="457" spans="1:20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279"/>
      <c r="S457" s="279"/>
      <c r="T457" s="279"/>
    </row>
    <row r="458" spans="1:20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279"/>
      <c r="S458" s="279"/>
      <c r="T458" s="279"/>
    </row>
    <row r="459" spans="1:20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279"/>
      <c r="S459" s="279"/>
      <c r="T459" s="279"/>
    </row>
    <row r="460" spans="1:20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279"/>
      <c r="S460" s="279"/>
      <c r="T460" s="279"/>
    </row>
    <row r="461" spans="1:20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279"/>
      <c r="S461" s="279"/>
      <c r="T461" s="279"/>
    </row>
    <row r="462" spans="1:20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279"/>
      <c r="S462" s="279"/>
      <c r="T462" s="279"/>
    </row>
    <row r="463" spans="1:20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279"/>
      <c r="S463" s="279"/>
      <c r="T463" s="279"/>
    </row>
    <row r="464" spans="1:20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279"/>
      <c r="S464" s="279"/>
      <c r="T464" s="279"/>
    </row>
    <row r="465" spans="1:20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279"/>
      <c r="S465" s="279"/>
      <c r="T465" s="279"/>
    </row>
    <row r="466" spans="1:20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279"/>
      <c r="S466" s="279"/>
      <c r="T466" s="279"/>
    </row>
    <row r="467" spans="1:20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279"/>
      <c r="S467" s="279"/>
      <c r="T467" s="279"/>
    </row>
    <row r="468" spans="1:20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279"/>
      <c r="S468" s="279"/>
      <c r="T468" s="279"/>
    </row>
    <row r="469" spans="1:20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279"/>
      <c r="S469" s="279"/>
      <c r="T469" s="279"/>
    </row>
    <row r="470" spans="1:20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279"/>
      <c r="S470" s="279"/>
      <c r="T470" s="279"/>
    </row>
    <row r="471" spans="1:20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279"/>
      <c r="S471" s="279"/>
      <c r="T471" s="279"/>
    </row>
    <row r="472" spans="1:20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279"/>
      <c r="S472" s="279"/>
      <c r="T472" s="279"/>
    </row>
    <row r="473" spans="1:20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279"/>
      <c r="S473" s="279"/>
      <c r="T473" s="279"/>
    </row>
    <row r="474" spans="1:20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279"/>
      <c r="S474" s="279"/>
      <c r="T474" s="279"/>
    </row>
    <row r="475" spans="1:20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279"/>
      <c r="S475" s="279"/>
      <c r="T475" s="279"/>
    </row>
    <row r="476" spans="1:20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279"/>
      <c r="S476" s="279"/>
      <c r="T476" s="279"/>
    </row>
    <row r="477" spans="1:20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279"/>
      <c r="S477" s="279"/>
      <c r="T477" s="279"/>
    </row>
    <row r="478" spans="1:20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279"/>
      <c r="S478" s="279"/>
      <c r="T478" s="279"/>
    </row>
    <row r="479" spans="1:20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279"/>
      <c r="S479" s="279"/>
      <c r="T479" s="279"/>
    </row>
    <row r="480" spans="1:20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279"/>
      <c r="S480" s="279"/>
      <c r="T480" s="279"/>
    </row>
    <row r="481" spans="1:20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279"/>
      <c r="S481" s="279"/>
      <c r="T481" s="279"/>
    </row>
    <row r="482" spans="1:20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279"/>
      <c r="S482" s="279"/>
      <c r="T482" s="279"/>
    </row>
    <row r="483" spans="1:20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279"/>
      <c r="S483" s="279"/>
      <c r="T483" s="279"/>
    </row>
    <row r="484" spans="1:20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279"/>
      <c r="S484" s="279"/>
      <c r="T484" s="279"/>
    </row>
    <row r="485" spans="1:20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279"/>
      <c r="S485" s="279"/>
      <c r="T485" s="279"/>
    </row>
    <row r="486" spans="1:20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279"/>
      <c r="S486" s="279"/>
      <c r="T486" s="279"/>
    </row>
    <row r="487" spans="1:20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279"/>
      <c r="S487" s="279"/>
      <c r="T487" s="279"/>
    </row>
    <row r="488" spans="1:20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279"/>
      <c r="S488" s="279"/>
      <c r="T488" s="279"/>
    </row>
    <row r="489" spans="1:20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279"/>
      <c r="S489" s="279"/>
      <c r="T489" s="279"/>
    </row>
    <row r="490" spans="1:20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279"/>
      <c r="S490" s="279"/>
      <c r="T490" s="279"/>
    </row>
    <row r="491" spans="1:20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279"/>
      <c r="S491" s="279"/>
      <c r="T491" s="279"/>
    </row>
    <row r="492" spans="1:20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279"/>
      <c r="S492" s="279"/>
      <c r="T492" s="279"/>
    </row>
    <row r="493" spans="1:20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279"/>
      <c r="S493" s="279"/>
      <c r="T493" s="279"/>
    </row>
    <row r="494" spans="1:20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279"/>
      <c r="S494" s="279"/>
      <c r="T494" s="279"/>
    </row>
    <row r="495" spans="1:20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279"/>
      <c r="S495" s="279"/>
      <c r="T495" s="279"/>
    </row>
    <row r="496" spans="1:20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279"/>
      <c r="S496" s="279"/>
      <c r="T496" s="279"/>
    </row>
    <row r="497" spans="1:20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279"/>
      <c r="S497" s="279"/>
      <c r="T497" s="279"/>
    </row>
    <row r="498" spans="1:20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279"/>
      <c r="S498" s="279"/>
      <c r="T498" s="279"/>
    </row>
    <row r="499" spans="1:20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279"/>
      <c r="S499" s="279"/>
      <c r="T499" s="279"/>
    </row>
    <row r="500" spans="1:20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279"/>
      <c r="S500" s="279"/>
      <c r="T500" s="279"/>
    </row>
    <row r="501" spans="1:20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279"/>
      <c r="S501" s="279"/>
      <c r="T501" s="279"/>
    </row>
    <row r="502" spans="1:20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279"/>
      <c r="S502" s="279"/>
      <c r="T502" s="279"/>
    </row>
    <row r="503" spans="1:20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279"/>
      <c r="S503" s="279"/>
      <c r="T503" s="279"/>
    </row>
    <row r="504" spans="1:20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279"/>
      <c r="S504" s="279"/>
      <c r="T504" s="279"/>
    </row>
    <row r="505" spans="1:20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279"/>
      <c r="S505" s="279"/>
      <c r="T505" s="279"/>
    </row>
    <row r="506" spans="1:20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279"/>
      <c r="S506" s="279"/>
      <c r="T506" s="279"/>
    </row>
    <row r="507" spans="1:20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279"/>
      <c r="S507" s="279"/>
      <c r="T507" s="279"/>
    </row>
    <row r="508" spans="1:20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279"/>
      <c r="S508" s="279"/>
      <c r="T508" s="279"/>
    </row>
    <row r="509" spans="1:20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279"/>
      <c r="S509" s="279"/>
      <c r="T509" s="279"/>
    </row>
    <row r="510" spans="1:20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279"/>
      <c r="S510" s="279"/>
      <c r="T510" s="279"/>
    </row>
    <row r="511" spans="1:20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279"/>
      <c r="S511" s="279"/>
      <c r="T511" s="279"/>
    </row>
    <row r="512" spans="1:20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279"/>
      <c r="S512" s="279"/>
      <c r="T512" s="279"/>
    </row>
    <row r="513" spans="1:20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279"/>
      <c r="S513" s="279"/>
      <c r="T513" s="279"/>
    </row>
    <row r="514" spans="1:20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279"/>
      <c r="S514" s="279"/>
      <c r="T514" s="279"/>
    </row>
    <row r="515" spans="1:20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279"/>
      <c r="S515" s="279"/>
      <c r="T515" s="279"/>
    </row>
    <row r="516" spans="1:20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279"/>
      <c r="S516" s="279"/>
      <c r="T516" s="279"/>
    </row>
    <row r="517" spans="1:20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279"/>
      <c r="S517" s="279"/>
      <c r="T517" s="279"/>
    </row>
    <row r="518" spans="1:20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279"/>
      <c r="S518" s="279"/>
      <c r="T518" s="279"/>
    </row>
    <row r="519" spans="1:20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279"/>
      <c r="S519" s="279"/>
      <c r="T519" s="279"/>
    </row>
    <row r="520" spans="1:20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279"/>
      <c r="S520" s="279"/>
      <c r="T520" s="279"/>
    </row>
    <row r="521" spans="1:20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279"/>
      <c r="S521" s="279"/>
      <c r="T521" s="279"/>
    </row>
    <row r="522" spans="1:20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279"/>
      <c r="S522" s="279"/>
      <c r="T522" s="279"/>
    </row>
    <row r="523" spans="1:20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279"/>
      <c r="S523" s="279"/>
      <c r="T523" s="279"/>
    </row>
    <row r="524" spans="1:20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279"/>
      <c r="S524" s="279"/>
      <c r="T524" s="279"/>
    </row>
    <row r="525" spans="1:20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279"/>
      <c r="S525" s="279"/>
      <c r="T525" s="279"/>
    </row>
    <row r="526" spans="1:20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279"/>
      <c r="S526" s="279"/>
      <c r="T526" s="279"/>
    </row>
    <row r="527" spans="1:20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279"/>
      <c r="S527" s="279"/>
      <c r="T527" s="279"/>
    </row>
    <row r="528" spans="1:20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279"/>
      <c r="S528" s="279"/>
      <c r="T528" s="279"/>
    </row>
    <row r="529" spans="1:20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279"/>
      <c r="S529" s="279"/>
      <c r="T529" s="279"/>
    </row>
    <row r="530" spans="1:20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279"/>
      <c r="S530" s="279"/>
      <c r="T530" s="279"/>
    </row>
    <row r="531" spans="1:20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279"/>
      <c r="S531" s="279"/>
      <c r="T531" s="279"/>
    </row>
    <row r="532" spans="1:20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279"/>
      <c r="S532" s="279"/>
      <c r="T532" s="279"/>
    </row>
    <row r="533" spans="1:20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279"/>
      <c r="S533" s="279"/>
      <c r="T533" s="279"/>
    </row>
    <row r="534" spans="1:20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279"/>
      <c r="S534" s="279"/>
      <c r="T534" s="279"/>
    </row>
    <row r="535" spans="1:20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279"/>
      <c r="S535" s="279"/>
      <c r="T535" s="279"/>
    </row>
    <row r="536" spans="1:20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279"/>
      <c r="S536" s="279"/>
      <c r="T536" s="279"/>
    </row>
    <row r="537" spans="1:20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279"/>
      <c r="S537" s="279"/>
      <c r="T537" s="279"/>
    </row>
    <row r="538" spans="1:20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279"/>
      <c r="S538" s="279"/>
      <c r="T538" s="279"/>
    </row>
    <row r="539" spans="1:20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279"/>
      <c r="S539" s="279"/>
      <c r="T539" s="279"/>
    </row>
    <row r="540" spans="1:20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279"/>
      <c r="S540" s="279"/>
      <c r="T540" s="279"/>
    </row>
    <row r="541" spans="1:20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279"/>
      <c r="S541" s="279"/>
      <c r="T541" s="279"/>
    </row>
    <row r="542" spans="1:20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279"/>
      <c r="S542" s="279"/>
      <c r="T542" s="279"/>
    </row>
    <row r="543" spans="1:20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279"/>
      <c r="S543" s="279"/>
      <c r="T543" s="279"/>
    </row>
    <row r="544" spans="1:20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279"/>
      <c r="S544" s="279"/>
      <c r="T544" s="279"/>
    </row>
    <row r="545" spans="1:20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279"/>
      <c r="S545" s="279"/>
      <c r="T545" s="279"/>
    </row>
    <row r="546" spans="1:20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279"/>
      <c r="S546" s="279"/>
      <c r="T546" s="279"/>
    </row>
    <row r="547" spans="1:20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279"/>
      <c r="S547" s="279"/>
      <c r="T547" s="279"/>
    </row>
    <row r="548" spans="1:20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279"/>
      <c r="S548" s="279"/>
      <c r="T548" s="279"/>
    </row>
    <row r="549" spans="1:20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279"/>
      <c r="S549" s="279"/>
      <c r="T549" s="279"/>
    </row>
    <row r="550" spans="1:20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279"/>
      <c r="S550" s="279"/>
      <c r="T550" s="279"/>
    </row>
    <row r="551" spans="1:20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279"/>
      <c r="S551" s="279"/>
      <c r="T551" s="279"/>
    </row>
    <row r="552" spans="1:20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279"/>
      <c r="S552" s="279"/>
      <c r="T552" s="279"/>
    </row>
    <row r="553" spans="1:20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279"/>
      <c r="S553" s="279"/>
      <c r="T553" s="279"/>
    </row>
    <row r="554" spans="1:20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279"/>
      <c r="S554" s="279"/>
      <c r="T554" s="279"/>
    </row>
    <row r="555" spans="1:20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279"/>
      <c r="S555" s="279"/>
      <c r="T555" s="279"/>
    </row>
    <row r="556" spans="1:20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279"/>
      <c r="S556" s="279"/>
      <c r="T556" s="279"/>
    </row>
    <row r="557" spans="1:20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279"/>
      <c r="S557" s="279"/>
      <c r="T557" s="279"/>
    </row>
    <row r="558" spans="1:20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279"/>
      <c r="S558" s="279"/>
      <c r="T558" s="279"/>
    </row>
    <row r="559" spans="1:20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279"/>
      <c r="S559" s="279"/>
      <c r="T559" s="279"/>
    </row>
    <row r="560" spans="1:20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279"/>
      <c r="S560" s="279"/>
      <c r="T560" s="279"/>
    </row>
    <row r="561" spans="1:20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279"/>
      <c r="S561" s="279"/>
      <c r="T561" s="279"/>
    </row>
    <row r="562" spans="1:20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279"/>
      <c r="S562" s="279"/>
      <c r="T562" s="279"/>
    </row>
    <row r="563" spans="1:20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279"/>
      <c r="S563" s="279"/>
      <c r="T563" s="279"/>
    </row>
    <row r="564" spans="1:20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279"/>
      <c r="S564" s="279"/>
      <c r="T564" s="279"/>
    </row>
    <row r="565" spans="1:20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279"/>
      <c r="S565" s="279"/>
      <c r="T565" s="279"/>
    </row>
    <row r="566" spans="1:20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279"/>
      <c r="S566" s="279"/>
      <c r="T566" s="279"/>
    </row>
    <row r="567" spans="1:20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279"/>
      <c r="S567" s="279"/>
      <c r="T567" s="279"/>
    </row>
    <row r="568" spans="1:20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279"/>
      <c r="S568" s="279"/>
      <c r="T568" s="279"/>
    </row>
    <row r="569" spans="1:20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279"/>
      <c r="S569" s="279"/>
      <c r="T569" s="279"/>
    </row>
    <row r="570" spans="1:20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279"/>
      <c r="S570" s="279"/>
      <c r="T570" s="279"/>
    </row>
    <row r="571" spans="1:20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279"/>
      <c r="S571" s="279"/>
      <c r="T571" s="279"/>
    </row>
    <row r="572" spans="1:20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279"/>
      <c r="S572" s="279"/>
      <c r="T572" s="279"/>
    </row>
    <row r="573" spans="1:20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279"/>
      <c r="S573" s="279"/>
      <c r="T573" s="279"/>
    </row>
    <row r="574" spans="1:20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279"/>
      <c r="S574" s="279"/>
      <c r="T574" s="279"/>
    </row>
    <row r="575" spans="1:20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279"/>
      <c r="S575" s="279"/>
      <c r="T575" s="279"/>
    </row>
    <row r="576" spans="1:20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279"/>
      <c r="S576" s="279"/>
      <c r="T576" s="279"/>
    </row>
    <row r="577" spans="1:20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279"/>
      <c r="S577" s="279"/>
      <c r="T577" s="279"/>
    </row>
    <row r="578" spans="1:20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279"/>
      <c r="S578" s="279"/>
      <c r="T578" s="279"/>
    </row>
    <row r="579" spans="1:20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279"/>
      <c r="S579" s="279"/>
      <c r="T579" s="279"/>
    </row>
    <row r="580" spans="1:20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279"/>
      <c r="S580" s="279"/>
      <c r="T580" s="279"/>
    </row>
    <row r="581" spans="1:20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279"/>
      <c r="S581" s="279"/>
      <c r="T581" s="279"/>
    </row>
    <row r="582" spans="1:20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279"/>
      <c r="S582" s="279"/>
      <c r="T582" s="279"/>
    </row>
    <row r="583" spans="1:20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279"/>
      <c r="S583" s="279"/>
      <c r="T583" s="279"/>
    </row>
    <row r="584" spans="1:20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279"/>
      <c r="S584" s="279"/>
      <c r="T584" s="279"/>
    </row>
    <row r="585" spans="1:20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279"/>
      <c r="S585" s="279"/>
      <c r="T585" s="279"/>
    </row>
    <row r="586" spans="1:20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279"/>
      <c r="S586" s="279"/>
      <c r="T586" s="279"/>
    </row>
    <row r="587" spans="1:20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279"/>
      <c r="S587" s="279"/>
      <c r="T587" s="279"/>
    </row>
    <row r="588" spans="1:20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279"/>
      <c r="S588" s="279"/>
      <c r="T588" s="279"/>
    </row>
    <row r="589" spans="1:20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279"/>
      <c r="S589" s="279"/>
      <c r="T589" s="279"/>
    </row>
    <row r="590" spans="1:20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279"/>
      <c r="S590" s="279"/>
      <c r="T590" s="279"/>
    </row>
    <row r="591" spans="1:20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279"/>
      <c r="S591" s="279"/>
      <c r="T591" s="279"/>
    </row>
    <row r="592" spans="1:20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279"/>
      <c r="S592" s="279"/>
      <c r="T592" s="279"/>
    </row>
    <row r="593" spans="1:20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279"/>
      <c r="S593" s="279"/>
      <c r="T593" s="279"/>
    </row>
    <row r="594" spans="1:20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279"/>
      <c r="S594" s="279"/>
      <c r="T594" s="279"/>
    </row>
    <row r="595" spans="1:20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279"/>
      <c r="S595" s="279"/>
      <c r="T595" s="279"/>
    </row>
    <row r="596" spans="1:20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279"/>
      <c r="S596" s="279"/>
      <c r="T596" s="279"/>
    </row>
    <row r="597" spans="1:20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279"/>
      <c r="S597" s="279"/>
      <c r="T597" s="279"/>
    </row>
    <row r="598" spans="1:20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279"/>
      <c r="S598" s="279"/>
      <c r="T598" s="279"/>
    </row>
    <row r="599" spans="1:20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279"/>
      <c r="S599" s="279"/>
      <c r="T599" s="279"/>
    </row>
    <row r="600" spans="1:20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279"/>
      <c r="S600" s="279"/>
      <c r="T600" s="279"/>
    </row>
    <row r="601" spans="1:20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279"/>
      <c r="S601" s="279"/>
      <c r="T601" s="279"/>
    </row>
    <row r="602" spans="1:20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279"/>
      <c r="S602" s="279"/>
      <c r="T602" s="279"/>
    </row>
    <row r="603" spans="1:20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279"/>
      <c r="S603" s="279"/>
      <c r="T603" s="279"/>
    </row>
    <row r="604" spans="1:20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279"/>
      <c r="S604" s="279"/>
      <c r="T604" s="279"/>
    </row>
    <row r="605" spans="1:20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279"/>
      <c r="S605" s="279"/>
      <c r="T605" s="279"/>
    </row>
    <row r="606" spans="1:20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279"/>
      <c r="S606" s="279"/>
      <c r="T606" s="279"/>
    </row>
    <row r="607" spans="1:20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279"/>
      <c r="S607" s="279"/>
      <c r="T607" s="279"/>
    </row>
    <row r="608" spans="1:20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279"/>
      <c r="S608" s="279"/>
      <c r="T608" s="279"/>
    </row>
    <row r="609" spans="1:20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279"/>
      <c r="S609" s="279"/>
      <c r="T609" s="279"/>
    </row>
    <row r="610" spans="1:20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279"/>
      <c r="S610" s="279"/>
      <c r="T610" s="279"/>
    </row>
    <row r="611" spans="1:20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279"/>
      <c r="S611" s="279"/>
      <c r="T611" s="279"/>
    </row>
    <row r="612" spans="1:20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279"/>
      <c r="S612" s="279"/>
      <c r="T612" s="279"/>
    </row>
    <row r="613" spans="1:20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279"/>
      <c r="S613" s="279"/>
      <c r="T613" s="279"/>
    </row>
    <row r="614" spans="1:20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279"/>
      <c r="S614" s="279"/>
      <c r="T614" s="279"/>
    </row>
    <row r="615" spans="1:20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279"/>
      <c r="S615" s="279"/>
      <c r="T615" s="279"/>
    </row>
    <row r="616" spans="1:20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279"/>
      <c r="S616" s="279"/>
      <c r="T616" s="279"/>
    </row>
    <row r="617" spans="1:20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279"/>
      <c r="S617" s="279"/>
      <c r="T617" s="279"/>
    </row>
    <row r="618" spans="1:20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279"/>
      <c r="S618" s="279"/>
      <c r="T618" s="279"/>
    </row>
    <row r="619" spans="1:20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279"/>
      <c r="S619" s="279"/>
      <c r="T619" s="279"/>
    </row>
    <row r="620" spans="1:20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279"/>
      <c r="S620" s="279"/>
      <c r="T620" s="279"/>
    </row>
    <row r="621" spans="1:20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279"/>
      <c r="S621" s="279"/>
      <c r="T621" s="279"/>
    </row>
    <row r="622" spans="1:20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279"/>
      <c r="S622" s="279"/>
      <c r="T622" s="279"/>
    </row>
    <row r="623" spans="1:20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279"/>
      <c r="S623" s="279"/>
      <c r="T623" s="279"/>
    </row>
    <row r="624" spans="1:20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279"/>
      <c r="S624" s="279"/>
      <c r="T624" s="279"/>
    </row>
    <row r="625" spans="1:20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279"/>
      <c r="S625" s="279"/>
      <c r="T625" s="279"/>
    </row>
    <row r="626" spans="1:20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279"/>
      <c r="S626" s="279"/>
      <c r="T626" s="279"/>
    </row>
    <row r="627" spans="1:20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279"/>
      <c r="S627" s="279"/>
      <c r="T627" s="279"/>
    </row>
    <row r="628" spans="1:20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279"/>
      <c r="S628" s="279"/>
      <c r="T628" s="279"/>
    </row>
    <row r="629" spans="1:20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279"/>
      <c r="S629" s="279"/>
      <c r="T629" s="279"/>
    </row>
    <row r="630" spans="1:20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279"/>
      <c r="S630" s="279"/>
      <c r="T630" s="279"/>
    </row>
    <row r="631" spans="1:20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279"/>
      <c r="S631" s="279"/>
      <c r="T631" s="279"/>
    </row>
    <row r="632" spans="1:20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279"/>
      <c r="S632" s="279"/>
      <c r="T632" s="279"/>
    </row>
    <row r="633" spans="1:20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279"/>
      <c r="S633" s="279"/>
      <c r="T633" s="279"/>
    </row>
    <row r="634" spans="1:20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279"/>
      <c r="S634" s="279"/>
      <c r="T634" s="279"/>
    </row>
    <row r="635" spans="1:20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279"/>
      <c r="S635" s="279"/>
      <c r="T635" s="279"/>
    </row>
    <row r="636" spans="1:20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279"/>
      <c r="S636" s="279"/>
      <c r="T636" s="279"/>
    </row>
    <row r="637" spans="1:20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279"/>
      <c r="S637" s="279"/>
      <c r="T637" s="279"/>
    </row>
    <row r="638" spans="1:20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279"/>
      <c r="S638" s="279"/>
      <c r="T638" s="279"/>
    </row>
    <row r="639" spans="1:20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279"/>
      <c r="S639" s="279"/>
      <c r="T639" s="279"/>
    </row>
    <row r="640" spans="1:20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279"/>
      <c r="S640" s="279"/>
      <c r="T640" s="279"/>
    </row>
    <row r="641" spans="1:20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279"/>
      <c r="S641" s="279"/>
      <c r="T641" s="279"/>
    </row>
    <row r="642" spans="1:20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279"/>
      <c r="S642" s="279"/>
      <c r="T642" s="279"/>
    </row>
    <row r="643" spans="1:20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279"/>
      <c r="S643" s="279"/>
      <c r="T643" s="279"/>
    </row>
    <row r="644" spans="1:20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279"/>
      <c r="S644" s="279"/>
      <c r="T644" s="279"/>
    </row>
    <row r="645" spans="1:20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279"/>
      <c r="S645" s="279"/>
      <c r="T645" s="279"/>
    </row>
    <row r="646" spans="1:20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279"/>
      <c r="S646" s="279"/>
      <c r="T646" s="279"/>
    </row>
    <row r="647" spans="1:20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279"/>
      <c r="S647" s="279"/>
      <c r="T647" s="279"/>
    </row>
    <row r="648" spans="1:20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279"/>
      <c r="S648" s="279"/>
      <c r="T648" s="279"/>
    </row>
    <row r="649" spans="1:20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279"/>
      <c r="S649" s="279"/>
      <c r="T649" s="279"/>
    </row>
    <row r="650" spans="1:20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279"/>
      <c r="S650" s="279"/>
      <c r="T650" s="279"/>
    </row>
    <row r="651" spans="1:20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279"/>
      <c r="S651" s="279"/>
      <c r="T651" s="279"/>
    </row>
    <row r="652" spans="1:20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279"/>
      <c r="S652" s="279"/>
      <c r="T652" s="279"/>
    </row>
    <row r="653" spans="1:20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279"/>
      <c r="S653" s="279"/>
      <c r="T653" s="279"/>
    </row>
    <row r="654" spans="1:20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279"/>
      <c r="S654" s="279"/>
      <c r="T654" s="279"/>
    </row>
    <row r="655" spans="1:20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279"/>
      <c r="S655" s="279"/>
      <c r="T655" s="279"/>
    </row>
    <row r="656" spans="1:20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279"/>
      <c r="S656" s="279"/>
      <c r="T656" s="279"/>
    </row>
    <row r="657" spans="1:20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279"/>
      <c r="S657" s="279"/>
      <c r="T657" s="279"/>
    </row>
    <row r="658" spans="1:20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279"/>
      <c r="S658" s="279"/>
      <c r="T658" s="279"/>
    </row>
    <row r="659" spans="1:20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279"/>
      <c r="S659" s="279"/>
      <c r="T659" s="279"/>
    </row>
    <row r="660" spans="1:20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279"/>
      <c r="S660" s="279"/>
      <c r="T660" s="279"/>
    </row>
    <row r="661" spans="1:20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279"/>
      <c r="S661" s="279"/>
      <c r="T661" s="279"/>
    </row>
    <row r="662" spans="1:20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279"/>
      <c r="S662" s="279"/>
      <c r="T662" s="279"/>
    </row>
    <row r="663" spans="1:20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279"/>
      <c r="S663" s="279"/>
      <c r="T663" s="279"/>
    </row>
    <row r="664" spans="1:20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279"/>
      <c r="S664" s="279"/>
      <c r="T664" s="279"/>
    </row>
    <row r="665" spans="1:20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279"/>
      <c r="S665" s="279"/>
      <c r="T665" s="279"/>
    </row>
    <row r="666" spans="1:20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279"/>
      <c r="S666" s="279"/>
      <c r="T666" s="279"/>
    </row>
    <row r="667" spans="1:20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279"/>
      <c r="S667" s="279"/>
      <c r="T667" s="279"/>
    </row>
    <row r="668" spans="1:20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279"/>
      <c r="S668" s="279"/>
      <c r="T668" s="279"/>
    </row>
    <row r="669" spans="1:20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279"/>
      <c r="S669" s="279"/>
      <c r="T669" s="279"/>
    </row>
    <row r="670" spans="1:20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279"/>
      <c r="S670" s="279"/>
      <c r="T670" s="279"/>
    </row>
    <row r="671" spans="1:20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279"/>
      <c r="S671" s="279"/>
      <c r="T671" s="279"/>
    </row>
    <row r="672" spans="1:20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279"/>
      <c r="S672" s="279"/>
      <c r="T672" s="279"/>
    </row>
    <row r="673" spans="1:20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279"/>
      <c r="S673" s="279"/>
      <c r="T673" s="279"/>
    </row>
    <row r="674" spans="1:20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279"/>
      <c r="S674" s="279"/>
      <c r="T674" s="279"/>
    </row>
    <row r="675" spans="1:20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279"/>
      <c r="S675" s="279"/>
      <c r="T675" s="279"/>
    </row>
    <row r="676" spans="1:20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279"/>
      <c r="S676" s="279"/>
      <c r="T676" s="279"/>
    </row>
    <row r="677" spans="1:20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279"/>
      <c r="S677" s="279"/>
      <c r="T677" s="279"/>
    </row>
    <row r="678" spans="1:20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279"/>
      <c r="S678" s="279"/>
      <c r="T678" s="279"/>
    </row>
    <row r="679" spans="1:20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279"/>
      <c r="S679" s="279"/>
      <c r="T679" s="279"/>
    </row>
    <row r="680" spans="1:20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279"/>
      <c r="S680" s="279"/>
      <c r="T680" s="279"/>
    </row>
    <row r="681" spans="1:20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279"/>
      <c r="S681" s="279"/>
      <c r="T681" s="279"/>
    </row>
    <row r="682" spans="1:20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279"/>
      <c r="S682" s="279"/>
      <c r="T682" s="279"/>
    </row>
    <row r="683" spans="1:20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279"/>
      <c r="S683" s="279"/>
      <c r="T683" s="279"/>
    </row>
    <row r="684" spans="1:20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279"/>
      <c r="S684" s="279"/>
      <c r="T684" s="279"/>
    </row>
    <row r="685" spans="1:20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279"/>
      <c r="S685" s="279"/>
      <c r="T685" s="279"/>
    </row>
    <row r="686" spans="1:20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279"/>
      <c r="S686" s="279"/>
      <c r="T686" s="279"/>
    </row>
    <row r="687" spans="1:20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279"/>
      <c r="S687" s="279"/>
      <c r="T687" s="279"/>
    </row>
    <row r="688" spans="1:20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279"/>
      <c r="S688" s="279"/>
      <c r="T688" s="279"/>
    </row>
    <row r="689" spans="1:20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279"/>
      <c r="S689" s="279"/>
      <c r="T689" s="279"/>
    </row>
    <row r="690" spans="1:20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279"/>
      <c r="S690" s="279"/>
      <c r="T690" s="279"/>
    </row>
    <row r="691" spans="1:20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279"/>
      <c r="S691" s="279"/>
      <c r="T691" s="279"/>
    </row>
    <row r="692" spans="1:20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279"/>
      <c r="S692" s="279"/>
      <c r="T692" s="279"/>
    </row>
    <row r="693" spans="1:20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279"/>
      <c r="S693" s="279"/>
      <c r="T693" s="279"/>
    </row>
    <row r="694" spans="1:20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279"/>
      <c r="S694" s="279"/>
      <c r="T694" s="279"/>
    </row>
    <row r="695" spans="1:20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279"/>
      <c r="S695" s="279"/>
      <c r="T695" s="279"/>
    </row>
    <row r="696" spans="1:20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279"/>
      <c r="S696" s="279"/>
      <c r="T696" s="279"/>
    </row>
    <row r="697" spans="1:20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279"/>
      <c r="S697" s="279"/>
      <c r="T697" s="279"/>
    </row>
    <row r="698" spans="1:20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279"/>
      <c r="S698" s="279"/>
      <c r="T698" s="279"/>
    </row>
    <row r="699" spans="1:20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279"/>
      <c r="S699" s="279"/>
      <c r="T699" s="279"/>
    </row>
    <row r="700" spans="1:20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279"/>
      <c r="S700" s="279"/>
      <c r="T700" s="279"/>
    </row>
    <row r="701" spans="1:20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279"/>
      <c r="S701" s="279"/>
      <c r="T701" s="279"/>
    </row>
    <row r="702" spans="1:20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279"/>
      <c r="S702" s="279"/>
      <c r="T702" s="279"/>
    </row>
    <row r="703" spans="1:20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279"/>
      <c r="S703" s="279"/>
      <c r="T703" s="279"/>
    </row>
    <row r="704" spans="1:20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279"/>
      <c r="S704" s="279"/>
      <c r="T704" s="279"/>
    </row>
    <row r="705" spans="1:20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279"/>
      <c r="S705" s="279"/>
      <c r="T705" s="279"/>
    </row>
    <row r="706" spans="1:20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279"/>
      <c r="S706" s="279"/>
      <c r="T706" s="279"/>
    </row>
    <row r="707" spans="1:20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279"/>
      <c r="S707" s="279"/>
      <c r="T707" s="279"/>
    </row>
    <row r="708" spans="1:20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279"/>
      <c r="S708" s="279"/>
      <c r="T708" s="279"/>
    </row>
    <row r="709" spans="1:20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279"/>
      <c r="S709" s="279"/>
      <c r="T709" s="279"/>
    </row>
    <row r="710" spans="1:20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279"/>
      <c r="S710" s="279"/>
      <c r="T710" s="279"/>
    </row>
    <row r="711" spans="1:20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279"/>
      <c r="S711" s="279"/>
      <c r="T711" s="279"/>
    </row>
    <row r="712" spans="1:20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279"/>
      <c r="S712" s="279"/>
      <c r="T712" s="279"/>
    </row>
    <row r="713" spans="1:20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279"/>
      <c r="S713" s="279"/>
      <c r="T713" s="279"/>
    </row>
    <row r="714" spans="1:20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279"/>
      <c r="S714" s="279"/>
      <c r="T714" s="279"/>
    </row>
    <row r="715" spans="1:20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279"/>
      <c r="S715" s="279"/>
      <c r="T715" s="279"/>
    </row>
    <row r="716" spans="1:20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279"/>
      <c r="S716" s="279"/>
      <c r="T716" s="279"/>
    </row>
    <row r="717" spans="1:20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279"/>
      <c r="S717" s="279"/>
      <c r="T717" s="279"/>
    </row>
    <row r="718" spans="1:20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279"/>
      <c r="S718" s="279"/>
      <c r="T718" s="279"/>
    </row>
    <row r="719" spans="1:20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279"/>
      <c r="S719" s="279"/>
      <c r="T719" s="279"/>
    </row>
    <row r="720" spans="1:20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279"/>
      <c r="S720" s="279"/>
      <c r="T720" s="279"/>
    </row>
    <row r="721" spans="1:20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279"/>
      <c r="S721" s="279"/>
      <c r="T721" s="279"/>
    </row>
    <row r="722" spans="1:20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279"/>
      <c r="S722" s="279"/>
      <c r="T722" s="279"/>
    </row>
    <row r="723" spans="1:20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279"/>
      <c r="S723" s="279"/>
      <c r="T723" s="279"/>
    </row>
    <row r="724" spans="1:20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279"/>
      <c r="S724" s="279"/>
      <c r="T724" s="279"/>
    </row>
    <row r="725" spans="1:20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279"/>
      <c r="S725" s="279"/>
      <c r="T725" s="279"/>
    </row>
    <row r="726" spans="1:20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279"/>
      <c r="S726" s="279"/>
      <c r="T726" s="279"/>
    </row>
    <row r="727" spans="1:20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279"/>
      <c r="S727" s="279"/>
      <c r="T727" s="279"/>
    </row>
    <row r="728" spans="1:20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279"/>
      <c r="S728" s="279"/>
      <c r="T728" s="279"/>
    </row>
    <row r="729" spans="1:20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279"/>
      <c r="S729" s="279"/>
      <c r="T729" s="279"/>
    </row>
    <row r="730" spans="1:20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279"/>
      <c r="S730" s="279"/>
      <c r="T730" s="279"/>
    </row>
    <row r="731" spans="1:20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279"/>
      <c r="S731" s="279"/>
      <c r="T731" s="279"/>
    </row>
    <row r="732" spans="1:20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279"/>
      <c r="S732" s="279"/>
      <c r="T732" s="279"/>
    </row>
    <row r="733" spans="1:20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279"/>
      <c r="S733" s="279"/>
      <c r="T733" s="279"/>
    </row>
    <row r="734" spans="1:20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279"/>
      <c r="S734" s="279"/>
      <c r="T734" s="279"/>
    </row>
    <row r="735" spans="1:20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279"/>
      <c r="S735" s="279"/>
      <c r="T735" s="279"/>
    </row>
    <row r="736" spans="1:20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279"/>
      <c r="S736" s="279"/>
      <c r="T736" s="279"/>
    </row>
    <row r="737" spans="1:20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279"/>
      <c r="S737" s="279"/>
      <c r="T737" s="279"/>
    </row>
    <row r="738" spans="1:20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279"/>
      <c r="S738" s="279"/>
      <c r="T738" s="279"/>
    </row>
    <row r="739" spans="1:20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279"/>
      <c r="S739" s="279"/>
      <c r="T739" s="279"/>
    </row>
    <row r="740" spans="1:20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279"/>
      <c r="S740" s="279"/>
      <c r="T740" s="279"/>
    </row>
    <row r="741" spans="1:20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279"/>
      <c r="S741" s="279"/>
      <c r="T741" s="279"/>
    </row>
    <row r="742" spans="1:20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279"/>
      <c r="S742" s="279"/>
      <c r="T742" s="279"/>
    </row>
    <row r="743" spans="1:20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279"/>
      <c r="S743" s="279"/>
      <c r="T743" s="279"/>
    </row>
    <row r="744" spans="1:20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279"/>
      <c r="S744" s="279"/>
      <c r="T744" s="279"/>
    </row>
    <row r="745" spans="1:20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279"/>
      <c r="S745" s="279"/>
      <c r="T745" s="279"/>
    </row>
    <row r="746" spans="1:20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279"/>
      <c r="S746" s="279"/>
      <c r="T746" s="279"/>
    </row>
    <row r="747" spans="1:20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279"/>
      <c r="S747" s="279"/>
      <c r="T747" s="279"/>
    </row>
    <row r="748" spans="1:20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279"/>
      <c r="S748" s="279"/>
      <c r="T748" s="279"/>
    </row>
    <row r="749" spans="1:20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279"/>
      <c r="S749" s="279"/>
      <c r="T749" s="279"/>
    </row>
    <row r="750" spans="1:20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279"/>
      <c r="S750" s="279"/>
      <c r="T750" s="279"/>
    </row>
    <row r="751" spans="1:20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279"/>
      <c r="S751" s="279"/>
      <c r="T751" s="279"/>
    </row>
    <row r="752" spans="1:20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279"/>
      <c r="S752" s="279"/>
      <c r="T752" s="279"/>
    </row>
    <row r="753" spans="1:20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279"/>
      <c r="S753" s="279"/>
      <c r="T753" s="279"/>
    </row>
    <row r="754" spans="1:20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279"/>
      <c r="S754" s="279"/>
      <c r="T754" s="279"/>
    </row>
    <row r="755" spans="1:20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279"/>
      <c r="S755" s="279"/>
      <c r="T755" s="279"/>
    </row>
    <row r="756" spans="1:20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279"/>
      <c r="S756" s="279"/>
      <c r="T756" s="279"/>
    </row>
    <row r="757" spans="1:20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279"/>
      <c r="S757" s="279"/>
      <c r="T757" s="279"/>
    </row>
    <row r="758" spans="1:20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279"/>
      <c r="S758" s="279"/>
      <c r="T758" s="279"/>
    </row>
    <row r="759" spans="1:20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279"/>
      <c r="S759" s="279"/>
      <c r="T759" s="279"/>
    </row>
    <row r="760" spans="1:20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279"/>
      <c r="S760" s="279"/>
      <c r="T760" s="279"/>
    </row>
    <row r="761" spans="1:20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279"/>
      <c r="S761" s="279"/>
      <c r="T761" s="279"/>
    </row>
    <row r="762" spans="1:20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279"/>
      <c r="S762" s="279"/>
      <c r="T762" s="279"/>
    </row>
    <row r="763" spans="1:20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279"/>
      <c r="S763" s="279"/>
      <c r="T763" s="279"/>
    </row>
    <row r="764" spans="1:20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279"/>
      <c r="S764" s="279"/>
      <c r="T764" s="279"/>
    </row>
    <row r="765" spans="1:20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279"/>
      <c r="S765" s="279"/>
      <c r="T765" s="279"/>
    </row>
    <row r="766" spans="1:20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279"/>
      <c r="S766" s="279"/>
      <c r="T766" s="279"/>
    </row>
    <row r="767" spans="1:20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279"/>
      <c r="S767" s="279"/>
      <c r="T767" s="279"/>
    </row>
    <row r="768" spans="1:20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279"/>
      <c r="S768" s="279"/>
      <c r="T768" s="279"/>
    </row>
    <row r="769" spans="1:20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279"/>
      <c r="S769" s="279"/>
      <c r="T769" s="279"/>
    </row>
    <row r="770" spans="1:20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279"/>
      <c r="S770" s="279"/>
      <c r="T770" s="279"/>
    </row>
    <row r="771" spans="1:20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279"/>
      <c r="S771" s="279"/>
      <c r="T771" s="279"/>
    </row>
    <row r="772" spans="1:20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279"/>
      <c r="S772" s="279"/>
      <c r="T772" s="279"/>
    </row>
    <row r="773" spans="1:20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279"/>
      <c r="S773" s="279"/>
      <c r="T773" s="279"/>
    </row>
    <row r="774" spans="1:20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279"/>
      <c r="S774" s="279"/>
      <c r="T774" s="279"/>
    </row>
    <row r="775" spans="1:20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279"/>
      <c r="S775" s="279"/>
      <c r="T775" s="279"/>
    </row>
    <row r="776" spans="1:20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279"/>
      <c r="S776" s="279"/>
      <c r="T776" s="279"/>
    </row>
    <row r="777" spans="1:20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279"/>
      <c r="S777" s="279"/>
      <c r="T777" s="279"/>
    </row>
    <row r="778" spans="1:20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279"/>
      <c r="S778" s="279"/>
      <c r="T778" s="279"/>
    </row>
    <row r="779" spans="1:20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279"/>
      <c r="S779" s="279"/>
      <c r="T779" s="279"/>
    </row>
    <row r="780" spans="1:20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279"/>
      <c r="S780" s="279"/>
      <c r="T780" s="279"/>
    </row>
    <row r="781" spans="1:20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279"/>
      <c r="S781" s="279"/>
      <c r="T781" s="279"/>
    </row>
    <row r="782" spans="1:20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279"/>
      <c r="S782" s="279"/>
      <c r="T782" s="279"/>
    </row>
    <row r="783" spans="1:20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279"/>
      <c r="S783" s="279"/>
      <c r="T783" s="279"/>
    </row>
    <row r="784" spans="1:20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279"/>
      <c r="S784" s="279"/>
      <c r="T784" s="279"/>
    </row>
    <row r="785" spans="1:20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279"/>
      <c r="S785" s="279"/>
      <c r="T785" s="279"/>
    </row>
    <row r="786" spans="1:20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279"/>
      <c r="S786" s="279"/>
      <c r="T786" s="279"/>
    </row>
    <row r="787" spans="1:20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279"/>
      <c r="S787" s="279"/>
      <c r="T787" s="279"/>
    </row>
    <row r="788" spans="1:20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279"/>
      <c r="S788" s="279"/>
      <c r="T788" s="279"/>
    </row>
    <row r="789" spans="1:20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279"/>
      <c r="S789" s="279"/>
      <c r="T789" s="279"/>
    </row>
    <row r="790" spans="1:20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279"/>
      <c r="S790" s="279"/>
      <c r="T790" s="279"/>
    </row>
    <row r="791" spans="1:20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279"/>
      <c r="S791" s="279"/>
      <c r="T791" s="279"/>
    </row>
    <row r="792" spans="1:20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279"/>
      <c r="S792" s="279"/>
      <c r="T792" s="279"/>
    </row>
    <row r="793" spans="1:20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279"/>
      <c r="S793" s="279"/>
      <c r="T793" s="279"/>
    </row>
    <row r="794" spans="1:20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279"/>
      <c r="S794" s="279"/>
      <c r="T794" s="279"/>
    </row>
    <row r="795" spans="1:20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279"/>
      <c r="S795" s="279"/>
      <c r="T795" s="279"/>
    </row>
    <row r="796" spans="1:20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279"/>
      <c r="S796" s="279"/>
      <c r="T796" s="279"/>
    </row>
    <row r="797" spans="1:20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279"/>
      <c r="S797" s="279"/>
      <c r="T797" s="279"/>
    </row>
    <row r="798" spans="1:20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279"/>
      <c r="S798" s="279"/>
      <c r="T798" s="279"/>
    </row>
    <row r="799" spans="1:20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279"/>
      <c r="S799" s="279"/>
      <c r="T799" s="279"/>
    </row>
    <row r="800" spans="1:20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279"/>
      <c r="S800" s="279"/>
      <c r="T800" s="279"/>
    </row>
    <row r="801" spans="1:20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279"/>
      <c r="S801" s="279"/>
      <c r="T801" s="279"/>
    </row>
    <row r="802" spans="1:20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279"/>
      <c r="S802" s="279"/>
      <c r="T802" s="279"/>
    </row>
    <row r="803" spans="1:20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279"/>
      <c r="S803" s="279"/>
      <c r="T803" s="279"/>
    </row>
    <row r="804" spans="1:20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279"/>
      <c r="S804" s="279"/>
      <c r="T804" s="279"/>
    </row>
    <row r="805" spans="1:20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279"/>
      <c r="S805" s="279"/>
      <c r="T805" s="279"/>
    </row>
    <row r="806" spans="1:20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279"/>
      <c r="S806" s="279"/>
      <c r="T806" s="279"/>
    </row>
    <row r="807" spans="1:20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279"/>
      <c r="S807" s="279"/>
      <c r="T807" s="279"/>
    </row>
    <row r="808" spans="1:20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279"/>
      <c r="S808" s="279"/>
      <c r="T808" s="279"/>
    </row>
    <row r="809" spans="1:20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279"/>
      <c r="S809" s="279"/>
      <c r="T809" s="279"/>
    </row>
    <row r="810" spans="1:20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279"/>
      <c r="S810" s="279"/>
      <c r="T810" s="279"/>
    </row>
    <row r="811" spans="1:20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279"/>
      <c r="S811" s="279"/>
      <c r="T811" s="279"/>
    </row>
    <row r="812" spans="1:20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279"/>
      <c r="S812" s="279"/>
      <c r="T812" s="279"/>
    </row>
    <row r="813" spans="1:20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279"/>
      <c r="S813" s="279"/>
      <c r="T813" s="279"/>
    </row>
    <row r="814" spans="1:20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279"/>
      <c r="S814" s="279"/>
      <c r="T814" s="279"/>
    </row>
    <row r="815" spans="1:20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279"/>
      <c r="S815" s="279"/>
      <c r="T815" s="279"/>
    </row>
    <row r="816" spans="1:20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279"/>
      <c r="S816" s="279"/>
      <c r="T816" s="279"/>
    </row>
    <row r="817" spans="1:20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279"/>
      <c r="S817" s="279"/>
      <c r="T817" s="279"/>
    </row>
    <row r="818" spans="1:20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279"/>
      <c r="S818" s="279"/>
      <c r="T818" s="279"/>
    </row>
    <row r="819" spans="1:20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279"/>
      <c r="S819" s="279"/>
      <c r="T819" s="279"/>
    </row>
    <row r="820" spans="1:20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279"/>
      <c r="S820" s="279"/>
      <c r="T820" s="279"/>
    </row>
    <row r="821" spans="1:20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279"/>
      <c r="S821" s="279"/>
      <c r="T821" s="279"/>
    </row>
    <row r="822" spans="1:20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279"/>
      <c r="S822" s="279"/>
      <c r="T822" s="279"/>
    </row>
    <row r="823" spans="1:20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279"/>
      <c r="S823" s="279"/>
      <c r="T823" s="279"/>
    </row>
    <row r="824" spans="1:20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279"/>
      <c r="S824" s="279"/>
      <c r="T824" s="279"/>
    </row>
    <row r="825" spans="1:20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279"/>
      <c r="S825" s="279"/>
      <c r="T825" s="279"/>
    </row>
    <row r="826" spans="1:20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279"/>
      <c r="S826" s="279"/>
      <c r="T826" s="279"/>
    </row>
    <row r="827" spans="1:20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279"/>
      <c r="S827" s="279"/>
      <c r="T827" s="279"/>
    </row>
    <row r="828" spans="1:20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279"/>
      <c r="S828" s="279"/>
      <c r="T828" s="279"/>
    </row>
    <row r="829" spans="1:20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279"/>
      <c r="S829" s="279"/>
      <c r="T829" s="279"/>
    </row>
    <row r="830" spans="1:20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279"/>
      <c r="S830" s="279"/>
      <c r="T830" s="279"/>
    </row>
    <row r="831" spans="1:20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279"/>
      <c r="S831" s="279"/>
      <c r="T831" s="279"/>
    </row>
    <row r="832" spans="1:20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279"/>
      <c r="S832" s="279"/>
      <c r="T832" s="279"/>
    </row>
    <row r="833" spans="1:20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279"/>
      <c r="S833" s="279"/>
      <c r="T833" s="279"/>
    </row>
    <row r="834" spans="1:20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279"/>
      <c r="S834" s="279"/>
      <c r="T834" s="279"/>
    </row>
    <row r="835" spans="1:20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279"/>
      <c r="S835" s="279"/>
      <c r="T835" s="279"/>
    </row>
    <row r="836" spans="1:20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279"/>
      <c r="S836" s="279"/>
      <c r="T836" s="279"/>
    </row>
    <row r="837" spans="1:20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279"/>
      <c r="S837" s="279"/>
      <c r="T837" s="279"/>
    </row>
    <row r="838" spans="1:20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279"/>
      <c r="S838" s="279"/>
      <c r="T838" s="279"/>
    </row>
    <row r="839" spans="1:20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279"/>
      <c r="S839" s="279"/>
      <c r="T839" s="279"/>
    </row>
    <row r="840" spans="1:20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279"/>
      <c r="S840" s="279"/>
      <c r="T840" s="279"/>
    </row>
    <row r="841" spans="1:20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279"/>
      <c r="S841" s="279"/>
      <c r="T841" s="279"/>
    </row>
    <row r="842" spans="1:20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279"/>
      <c r="S842" s="279"/>
      <c r="T842" s="279"/>
    </row>
    <row r="843" spans="1:20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279"/>
      <c r="S843" s="279"/>
      <c r="T843" s="279"/>
    </row>
    <row r="844" spans="1:20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279"/>
      <c r="S844" s="279"/>
      <c r="T844" s="279"/>
    </row>
    <row r="845" spans="1:20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279"/>
      <c r="S845" s="279"/>
      <c r="T845" s="279"/>
    </row>
    <row r="846" spans="1:20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279"/>
      <c r="S846" s="279"/>
      <c r="T846" s="279"/>
    </row>
    <row r="847" spans="1:20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279"/>
      <c r="S847" s="279"/>
      <c r="T847" s="279"/>
    </row>
    <row r="848" spans="1:20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279"/>
      <c r="S848" s="279"/>
      <c r="T848" s="279"/>
    </row>
    <row r="849" spans="1:20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279"/>
      <c r="S849" s="279"/>
      <c r="T849" s="279"/>
    </row>
    <row r="850" spans="1:20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279"/>
      <c r="S850" s="279"/>
      <c r="T850" s="279"/>
    </row>
    <row r="851" spans="1:20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279"/>
      <c r="S851" s="279"/>
      <c r="T851" s="279"/>
    </row>
    <row r="852" spans="1:20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279"/>
      <c r="S852" s="279"/>
      <c r="T852" s="279"/>
    </row>
    <row r="853" spans="1:20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279"/>
      <c r="S853" s="279"/>
      <c r="T853" s="279"/>
    </row>
    <row r="854" spans="1:20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279"/>
      <c r="S854" s="279"/>
      <c r="T854" s="279"/>
    </row>
    <row r="855" spans="1:20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279"/>
      <c r="S855" s="279"/>
      <c r="T855" s="279"/>
    </row>
    <row r="856" spans="1:20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279"/>
      <c r="S856" s="279"/>
      <c r="T856" s="279"/>
    </row>
    <row r="857" spans="1:20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279"/>
      <c r="S857" s="279"/>
      <c r="T857" s="279"/>
    </row>
    <row r="858" spans="1:20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279"/>
      <c r="S858" s="279"/>
      <c r="T858" s="279"/>
    </row>
    <row r="859" spans="1:20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279"/>
      <c r="S859" s="279"/>
      <c r="T859" s="279"/>
    </row>
    <row r="860" spans="1:20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279"/>
      <c r="S860" s="279"/>
      <c r="T860" s="279"/>
    </row>
    <row r="861" spans="1:20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279"/>
      <c r="S861" s="279"/>
      <c r="T861" s="279"/>
    </row>
    <row r="862" spans="1:20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279"/>
      <c r="S862" s="279"/>
      <c r="T862" s="279"/>
    </row>
    <row r="863" spans="1:20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279"/>
      <c r="S863" s="279"/>
      <c r="T863" s="279"/>
    </row>
    <row r="864" spans="1:20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279"/>
      <c r="S864" s="279"/>
      <c r="T864" s="279"/>
    </row>
    <row r="865" spans="1:20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279"/>
      <c r="S865" s="279"/>
      <c r="T865" s="279"/>
    </row>
    <row r="866" spans="1:20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279"/>
      <c r="S866" s="279"/>
      <c r="T866" s="279"/>
    </row>
    <row r="867" spans="1:20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279"/>
      <c r="S867" s="279"/>
      <c r="T867" s="279"/>
    </row>
    <row r="868" spans="1:20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279"/>
      <c r="S868" s="279"/>
      <c r="T868" s="279"/>
    </row>
    <row r="869" spans="1:20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279"/>
      <c r="S869" s="279"/>
      <c r="T869" s="279"/>
    </row>
    <row r="870" spans="1:20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279"/>
      <c r="S870" s="279"/>
      <c r="T870" s="279"/>
    </row>
    <row r="871" spans="1:20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279"/>
      <c r="S871" s="279"/>
      <c r="T871" s="279"/>
    </row>
    <row r="872" spans="1:20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279"/>
      <c r="S872" s="279"/>
      <c r="T872" s="279"/>
    </row>
    <row r="873" spans="1:20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279"/>
      <c r="S873" s="279"/>
      <c r="T873" s="279"/>
    </row>
    <row r="874" spans="1:20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279"/>
      <c r="S874" s="279"/>
      <c r="T874" s="279"/>
    </row>
    <row r="875" spans="1:20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279"/>
      <c r="S875" s="279"/>
      <c r="T875" s="279"/>
    </row>
    <row r="876" spans="1:20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279"/>
      <c r="S876" s="279"/>
      <c r="T876" s="279"/>
    </row>
    <row r="877" spans="1:20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279"/>
      <c r="S877" s="279"/>
      <c r="T877" s="279"/>
    </row>
    <row r="878" spans="1:20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279"/>
      <c r="S878" s="279"/>
      <c r="T878" s="279"/>
    </row>
    <row r="879" spans="1:20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279"/>
      <c r="S879" s="279"/>
      <c r="T879" s="279"/>
    </row>
    <row r="880" spans="1:20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279"/>
      <c r="S880" s="279"/>
      <c r="T880" s="279"/>
    </row>
    <row r="881" spans="1:20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279"/>
      <c r="S881" s="279"/>
      <c r="T881" s="279"/>
    </row>
    <row r="882" spans="1:20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279"/>
      <c r="S882" s="279"/>
      <c r="T882" s="279"/>
    </row>
    <row r="883" spans="1:20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279"/>
      <c r="S883" s="279"/>
      <c r="T883" s="279"/>
    </row>
    <row r="884" spans="1:20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279"/>
      <c r="S884" s="279"/>
      <c r="T884" s="279"/>
    </row>
    <row r="885" spans="1:20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279"/>
      <c r="S885" s="279"/>
      <c r="T885" s="279"/>
    </row>
    <row r="886" spans="1:20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279"/>
      <c r="S886" s="279"/>
      <c r="T886" s="279"/>
    </row>
    <row r="887" spans="1:20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279"/>
      <c r="S887" s="279"/>
      <c r="T887" s="279"/>
    </row>
    <row r="888" spans="1:20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279"/>
      <c r="S888" s="279"/>
      <c r="T888" s="279"/>
    </row>
    <row r="889" spans="1:20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279"/>
      <c r="S889" s="279"/>
      <c r="T889" s="279"/>
    </row>
    <row r="890" spans="1:20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279"/>
      <c r="S890" s="279"/>
      <c r="T890" s="279"/>
    </row>
    <row r="891" spans="1:20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279"/>
      <c r="S891" s="279"/>
      <c r="T891" s="279"/>
    </row>
    <row r="892" spans="1:20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279"/>
      <c r="S892" s="279"/>
      <c r="T892" s="279"/>
    </row>
    <row r="893" spans="1:20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279"/>
      <c r="S893" s="279"/>
      <c r="T893" s="279"/>
    </row>
    <row r="894" spans="1:20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279"/>
      <c r="S894" s="279"/>
      <c r="T894" s="279"/>
    </row>
    <row r="895" spans="1:20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279"/>
      <c r="S895" s="279"/>
      <c r="T895" s="279"/>
    </row>
    <row r="896" spans="1:20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279"/>
      <c r="S896" s="279"/>
      <c r="T896" s="279"/>
    </row>
    <row r="897" spans="1:20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279"/>
      <c r="S897" s="279"/>
      <c r="T897" s="279"/>
    </row>
    <row r="898" spans="1:20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279"/>
      <c r="S898" s="279"/>
      <c r="T898" s="279"/>
    </row>
    <row r="899" spans="1:20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279"/>
      <c r="S899" s="279"/>
      <c r="T899" s="279"/>
    </row>
    <row r="900" spans="1:20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279"/>
      <c r="S900" s="279"/>
      <c r="T900" s="279"/>
    </row>
    <row r="901" spans="1:20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279"/>
      <c r="S901" s="279"/>
      <c r="T901" s="279"/>
    </row>
    <row r="902" spans="1:20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279"/>
      <c r="S902" s="279"/>
      <c r="T902" s="279"/>
    </row>
    <row r="903" spans="1:20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279"/>
      <c r="S903" s="279"/>
      <c r="T903" s="279"/>
    </row>
    <row r="904" spans="1:20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279"/>
      <c r="S904" s="279"/>
      <c r="T904" s="279"/>
    </row>
    <row r="905" spans="1:20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279"/>
      <c r="S905" s="279"/>
      <c r="T905" s="279"/>
    </row>
    <row r="906" spans="1:20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279"/>
      <c r="S906" s="279"/>
      <c r="T906" s="279"/>
    </row>
    <row r="907" spans="1:20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279"/>
      <c r="S907" s="279"/>
      <c r="T907" s="279"/>
    </row>
    <row r="908" spans="1:20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279"/>
      <c r="S908" s="279"/>
      <c r="T908" s="279"/>
    </row>
    <row r="909" spans="1:20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279"/>
      <c r="S909" s="279"/>
      <c r="T909" s="279"/>
    </row>
    <row r="910" spans="1:20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279"/>
      <c r="S910" s="279"/>
      <c r="T910" s="279"/>
    </row>
    <row r="911" spans="1:20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279"/>
      <c r="S911" s="279"/>
      <c r="T911" s="279"/>
    </row>
    <row r="912" spans="1:20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279"/>
      <c r="S912" s="279"/>
      <c r="T912" s="279"/>
    </row>
    <row r="913" spans="1:20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279"/>
      <c r="S913" s="279"/>
      <c r="T913" s="279"/>
    </row>
    <row r="914" spans="1:20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279"/>
      <c r="S914" s="279"/>
      <c r="T914" s="279"/>
    </row>
    <row r="915" spans="1:20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279"/>
      <c r="S915" s="279"/>
      <c r="T915" s="279"/>
    </row>
    <row r="916" spans="1:20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279"/>
      <c r="S916" s="279"/>
      <c r="T916" s="279"/>
    </row>
    <row r="917" spans="1:20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279"/>
      <c r="S917" s="279"/>
      <c r="T917" s="279"/>
    </row>
    <row r="918" spans="1:20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279"/>
      <c r="S918" s="279"/>
      <c r="T918" s="279"/>
    </row>
    <row r="919" spans="1:20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279"/>
      <c r="S919" s="279"/>
      <c r="T919" s="279"/>
    </row>
    <row r="920" spans="1:20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279"/>
      <c r="S920" s="279"/>
      <c r="T920" s="279"/>
    </row>
    <row r="921" spans="1:20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279"/>
      <c r="S921" s="279"/>
      <c r="T921" s="279"/>
    </row>
    <row r="922" spans="1:20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279"/>
      <c r="S922" s="279"/>
      <c r="T922" s="279"/>
    </row>
    <row r="923" spans="1:20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279"/>
      <c r="S923" s="279"/>
      <c r="T923" s="279"/>
    </row>
    <row r="924" spans="1:20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279"/>
      <c r="S924" s="279"/>
      <c r="T924" s="279"/>
    </row>
    <row r="925" spans="1:20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279"/>
      <c r="S925" s="279"/>
      <c r="T925" s="279"/>
    </row>
    <row r="926" spans="1:20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279"/>
      <c r="S926" s="279"/>
      <c r="T926" s="279"/>
    </row>
    <row r="927" spans="1:20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279"/>
      <c r="S927" s="279"/>
      <c r="T927" s="279"/>
    </row>
    <row r="928" spans="1:20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279"/>
      <c r="S928" s="279"/>
      <c r="T928" s="279"/>
    </row>
    <row r="929" spans="1:20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279"/>
      <c r="S929" s="279"/>
      <c r="T929" s="279"/>
    </row>
    <row r="930" spans="1:20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279"/>
      <c r="S930" s="279"/>
      <c r="T930" s="279"/>
    </row>
    <row r="931" spans="1:20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279"/>
      <c r="S931" s="279"/>
      <c r="T931" s="279"/>
    </row>
    <row r="932" spans="1:20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279"/>
      <c r="S932" s="279"/>
      <c r="T932" s="279"/>
    </row>
    <row r="933" spans="1:20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279"/>
      <c r="S933" s="279"/>
      <c r="T933" s="279"/>
    </row>
    <row r="934" spans="1:20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279"/>
      <c r="S934" s="279"/>
      <c r="T934" s="279"/>
    </row>
    <row r="935" spans="1:20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279"/>
      <c r="S935" s="279"/>
      <c r="T935" s="279"/>
    </row>
    <row r="936" spans="1:20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279"/>
      <c r="S936" s="279"/>
      <c r="T936" s="279"/>
    </row>
    <row r="937" spans="1:20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279"/>
      <c r="S937" s="279"/>
      <c r="T937" s="279"/>
    </row>
    <row r="938" spans="1:20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279"/>
      <c r="S938" s="279"/>
      <c r="T938" s="279"/>
    </row>
    <row r="939" spans="1:20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279"/>
      <c r="S939" s="279"/>
      <c r="T939" s="279"/>
    </row>
    <row r="940" spans="1:20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279"/>
      <c r="S940" s="279"/>
      <c r="T940" s="279"/>
    </row>
    <row r="941" spans="1:20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279"/>
      <c r="S941" s="279"/>
      <c r="T941" s="279"/>
    </row>
    <row r="942" spans="1:20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279"/>
      <c r="S942" s="279"/>
      <c r="T942" s="279"/>
    </row>
    <row r="943" spans="1:20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279"/>
      <c r="S943" s="279"/>
      <c r="T943" s="279"/>
    </row>
    <row r="944" spans="1:20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279"/>
      <c r="S944" s="279"/>
      <c r="T944" s="279"/>
    </row>
    <row r="945" spans="1:20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279"/>
      <c r="S945" s="279"/>
      <c r="T945" s="279"/>
    </row>
    <row r="946" spans="1:20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279"/>
      <c r="S946" s="279"/>
      <c r="T946" s="279"/>
    </row>
    <row r="947" spans="1:20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279"/>
      <c r="S947" s="279"/>
      <c r="T947" s="279"/>
    </row>
    <row r="948" spans="1:20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279"/>
      <c r="S948" s="279"/>
      <c r="T948" s="279"/>
    </row>
    <row r="949" spans="1:20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279"/>
      <c r="S949" s="279"/>
      <c r="T949" s="279"/>
    </row>
    <row r="950" spans="1:20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279"/>
      <c r="S950" s="279"/>
      <c r="T950" s="279"/>
    </row>
    <row r="951" spans="1:20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279"/>
      <c r="S951" s="279"/>
      <c r="T951" s="279"/>
    </row>
    <row r="952" spans="1:20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279"/>
      <c r="S952" s="279"/>
      <c r="T952" s="279"/>
    </row>
    <row r="953" spans="1:20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279"/>
      <c r="S953" s="279"/>
      <c r="T953" s="279"/>
    </row>
    <row r="954" spans="1:20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279"/>
      <c r="S954" s="279"/>
      <c r="T954" s="279"/>
    </row>
    <row r="955" spans="1:20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279"/>
      <c r="S955" s="279"/>
      <c r="T955" s="279"/>
    </row>
    <row r="956" spans="1:20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279"/>
      <c r="S956" s="279"/>
      <c r="T956" s="279"/>
    </row>
    <row r="957" spans="1:20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279"/>
      <c r="S957" s="279"/>
      <c r="T957" s="279"/>
    </row>
    <row r="958" spans="1:20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279"/>
      <c r="S958" s="279"/>
      <c r="T958" s="279"/>
    </row>
    <row r="959" spans="1:20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279"/>
      <c r="S959" s="279"/>
      <c r="T959" s="279"/>
    </row>
    <row r="960" spans="1:20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279"/>
      <c r="S960" s="279"/>
      <c r="T960" s="279"/>
    </row>
    <row r="961" spans="1:20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279"/>
      <c r="S961" s="279"/>
      <c r="T961" s="279"/>
    </row>
    <row r="962" spans="1:20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279"/>
      <c r="S962" s="279"/>
      <c r="T962" s="279"/>
    </row>
    <row r="963" spans="1:20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279"/>
      <c r="S963" s="279"/>
      <c r="T963" s="279"/>
    </row>
    <row r="964" spans="1:20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279"/>
      <c r="S964" s="279"/>
      <c r="T964" s="279"/>
    </row>
    <row r="965" spans="1:20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279"/>
      <c r="S965" s="279"/>
      <c r="T965" s="279"/>
    </row>
    <row r="966" spans="1:20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279"/>
      <c r="S966" s="279"/>
      <c r="T966" s="279"/>
    </row>
    <row r="967" spans="1:20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279"/>
      <c r="S967" s="279"/>
      <c r="T967" s="279"/>
    </row>
    <row r="968" spans="1:20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279"/>
      <c r="S968" s="279"/>
      <c r="T968" s="279"/>
    </row>
    <row r="969" spans="1:20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279"/>
      <c r="S969" s="279"/>
      <c r="T969" s="279"/>
    </row>
    <row r="970" spans="1:20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279"/>
      <c r="S970" s="279"/>
      <c r="T970" s="279"/>
    </row>
    <row r="971" spans="1:20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279"/>
      <c r="S971" s="279"/>
      <c r="T971" s="279"/>
    </row>
    <row r="972" spans="1:20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279"/>
      <c r="S972" s="279"/>
      <c r="T972" s="279"/>
    </row>
    <row r="973" spans="1:20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279"/>
      <c r="S973" s="279"/>
      <c r="T973" s="279"/>
    </row>
    <row r="974" spans="1:20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279"/>
      <c r="S974" s="279"/>
      <c r="T974" s="279"/>
    </row>
    <row r="975" spans="1:20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279"/>
      <c r="S975" s="279"/>
      <c r="T975" s="279"/>
    </row>
    <row r="976" spans="1:20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279"/>
      <c r="S976" s="279"/>
      <c r="T976" s="279"/>
    </row>
    <row r="977" spans="1:20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279"/>
      <c r="S977" s="279"/>
      <c r="T977" s="279"/>
    </row>
    <row r="978" spans="1:20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279"/>
      <c r="S978" s="279"/>
      <c r="T978" s="279"/>
    </row>
    <row r="979" spans="1:20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279"/>
      <c r="S979" s="279"/>
      <c r="T979" s="279"/>
    </row>
    <row r="980" spans="1:20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279"/>
      <c r="S980" s="279"/>
      <c r="T980" s="279"/>
    </row>
    <row r="981" spans="1:20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279"/>
      <c r="S981" s="279"/>
      <c r="T981" s="279"/>
    </row>
    <row r="982" spans="1:20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279"/>
      <c r="S982" s="279"/>
      <c r="T982" s="279"/>
    </row>
    <row r="983" spans="1:20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279"/>
      <c r="S983" s="279"/>
      <c r="T983" s="279"/>
    </row>
    <row r="984" spans="1:20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279"/>
      <c r="S984" s="279"/>
      <c r="T984" s="279"/>
    </row>
    <row r="985" spans="1:20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279"/>
      <c r="S985" s="279"/>
      <c r="T985" s="279"/>
    </row>
    <row r="986" spans="1:20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279"/>
      <c r="S986" s="279"/>
      <c r="T986" s="279"/>
    </row>
    <row r="987" spans="1:20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279"/>
      <c r="S987" s="279"/>
      <c r="T987" s="279"/>
    </row>
    <row r="988" spans="1:20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279"/>
      <c r="S988" s="279"/>
      <c r="T988" s="279"/>
    </row>
    <row r="989" spans="1:20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279"/>
      <c r="S989" s="279"/>
      <c r="T989" s="279"/>
    </row>
    <row r="990" spans="1:20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279"/>
      <c r="S990" s="279"/>
      <c r="T990" s="279"/>
    </row>
    <row r="991" spans="1:20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279"/>
      <c r="S991" s="279"/>
      <c r="T991" s="279"/>
    </row>
    <row r="992" spans="1:20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279"/>
      <c r="S992" s="279"/>
      <c r="T992" s="279"/>
    </row>
    <row r="993" spans="1:20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279"/>
      <c r="S993" s="279"/>
      <c r="T993" s="279"/>
    </row>
    <row r="994" spans="1:20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279"/>
      <c r="S994" s="279"/>
      <c r="T994" s="279"/>
    </row>
    <row r="995" spans="1:20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279"/>
      <c r="S995" s="279"/>
      <c r="T995" s="279"/>
    </row>
    <row r="996" spans="1:20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279"/>
      <c r="S996" s="279"/>
      <c r="T996" s="279"/>
    </row>
    <row r="997" spans="1:20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279"/>
      <c r="S997" s="279"/>
      <c r="T997" s="279"/>
    </row>
    <row r="998" spans="1:20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279"/>
      <c r="S998" s="279"/>
      <c r="T998" s="279"/>
    </row>
    <row r="999" spans="1:20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279"/>
      <c r="S999" s="279"/>
      <c r="T999" s="279"/>
    </row>
    <row r="1000" spans="1:20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</row>
  </sheetData>
  <mergeCells count="23">
    <mergeCell ref="O5:Q5"/>
    <mergeCell ref="A2:B6"/>
    <mergeCell ref="C2:T2"/>
    <mergeCell ref="C3:T3"/>
    <mergeCell ref="C4:G4"/>
    <mergeCell ref="J4:Q4"/>
    <mergeCell ref="R4:T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4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D999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5" width="15.140625" customWidth="1"/>
    <col min="16" max="16" width="11.28515625" customWidth="1"/>
    <col min="17" max="17" width="12.5703125" bestFit="1" customWidth="1"/>
    <col min="18" max="18" width="15.5703125" customWidth="1"/>
    <col min="19" max="19" width="13.42578125" bestFit="1" customWidth="1"/>
    <col min="20" max="20" width="8.42578125" bestFit="1" customWidth="1"/>
    <col min="21" max="21" width="12.5703125" bestFit="1" customWidth="1"/>
    <col min="22" max="22" width="13.42578125" bestFit="1" customWidth="1"/>
    <col min="23" max="23" width="14.85546875" customWidth="1"/>
    <col min="24" max="24" width="17.140625" customWidth="1"/>
    <col min="25" max="25" width="13.42578125" bestFit="1" customWidth="1"/>
    <col min="26" max="26" width="15.28515625" customWidth="1"/>
    <col min="27" max="27" width="16.5703125" customWidth="1"/>
    <col min="28" max="28" width="13.42578125" bestFit="1" customWidth="1"/>
    <col min="29" max="29" width="7.5703125" bestFit="1" customWidth="1"/>
    <col min="30" max="30" width="12.5703125" bestFit="1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447" t="s">
        <v>1</v>
      </c>
      <c r="B2" s="407"/>
      <c r="C2" s="400" t="s">
        <v>159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  <c r="AC2" s="401"/>
      <c r="AD2" s="402"/>
    </row>
    <row r="3" spans="1:30" ht="30" customHeight="1" x14ac:dyDescent="0.2">
      <c r="A3" s="416"/>
      <c r="B3" s="393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280" t="s">
        <v>22</v>
      </c>
      <c r="S3" s="404" t="s">
        <v>4</v>
      </c>
      <c r="T3" s="388"/>
      <c r="U3" s="388"/>
      <c r="V3" s="388"/>
      <c r="W3" s="388"/>
      <c r="X3" s="388"/>
      <c r="Y3" s="388"/>
      <c r="Z3" s="388"/>
      <c r="AA3" s="382"/>
      <c r="AB3" s="450" t="s">
        <v>160</v>
      </c>
      <c r="AC3" s="406"/>
      <c r="AD3" s="407"/>
    </row>
    <row r="4" spans="1:30" ht="60" customHeight="1" x14ac:dyDescent="0.2">
      <c r="A4" s="416"/>
      <c r="B4" s="393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451" t="s">
        <v>161</v>
      </c>
      <c r="S4" s="404" t="s">
        <v>142</v>
      </c>
      <c r="T4" s="388"/>
      <c r="U4" s="382"/>
      <c r="V4" s="404" t="s">
        <v>162</v>
      </c>
      <c r="W4" s="388"/>
      <c r="X4" s="382"/>
      <c r="Y4" s="404" t="s">
        <v>163</v>
      </c>
      <c r="Z4" s="388"/>
      <c r="AA4" s="382"/>
      <c r="AB4" s="417"/>
      <c r="AC4" s="395"/>
      <c r="AD4" s="396"/>
    </row>
    <row r="5" spans="1:30" ht="24" customHeight="1" x14ac:dyDescent="0.3">
      <c r="A5" s="416"/>
      <c r="B5" s="393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452"/>
      <c r="S5" s="281" t="s">
        <v>21</v>
      </c>
      <c r="T5" s="399" t="s">
        <v>22</v>
      </c>
      <c r="U5" s="382"/>
      <c r="V5" s="281" t="s">
        <v>21</v>
      </c>
      <c r="W5" s="399" t="s">
        <v>22</v>
      </c>
      <c r="X5" s="382"/>
      <c r="Y5" s="281" t="s">
        <v>21</v>
      </c>
      <c r="Z5" s="399" t="s">
        <v>22</v>
      </c>
      <c r="AA5" s="382"/>
      <c r="AB5" s="281" t="s">
        <v>21</v>
      </c>
      <c r="AC5" s="399" t="s">
        <v>22</v>
      </c>
      <c r="AD5" s="382"/>
    </row>
    <row r="6" spans="1:30" ht="41.25" customHeight="1" thickBot="1" x14ac:dyDescent="0.25">
      <c r="A6" s="417"/>
      <c r="B6" s="39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453"/>
      <c r="S6" s="9" t="s">
        <v>28</v>
      </c>
      <c r="T6" s="12" t="s">
        <v>28</v>
      </c>
      <c r="U6" s="11" t="s">
        <v>24</v>
      </c>
      <c r="V6" s="9" t="s">
        <v>28</v>
      </c>
      <c r="W6" s="12" t="s">
        <v>28</v>
      </c>
      <c r="X6" s="11" t="s">
        <v>24</v>
      </c>
      <c r="Y6" s="9" t="s">
        <v>28</v>
      </c>
      <c r="Z6" s="12" t="s">
        <v>28</v>
      </c>
      <c r="AA6" s="11" t="s">
        <v>24</v>
      </c>
      <c r="AB6" s="13" t="s">
        <v>164</v>
      </c>
      <c r="AC6" s="282" t="s">
        <v>164</v>
      </c>
      <c r="AD6" s="11" t="s">
        <v>24</v>
      </c>
    </row>
    <row r="7" spans="1:30" ht="24" customHeight="1" thickBot="1" x14ac:dyDescent="0.25">
      <c r="A7" s="448" t="s">
        <v>239</v>
      </c>
      <c r="B7" s="449"/>
      <c r="C7" s="283">
        <f t="shared" ref="C7:C116" ca="1" si="0">D7+G7</f>
        <v>9632800</v>
      </c>
      <c r="D7" s="284">
        <f t="shared" ref="D7:E7" ca="1" si="1">D8+D9+D12</f>
        <v>5512800</v>
      </c>
      <c r="E7" s="18">
        <f t="shared" ca="1" si="1"/>
        <v>2480800</v>
      </c>
      <c r="F7" s="19">
        <f ca="1">F8+F9</f>
        <v>3032000</v>
      </c>
      <c r="G7" s="20">
        <f t="shared" ref="G7:I7" ca="1" si="2">G8+G9+G12</f>
        <v>4120000</v>
      </c>
      <c r="H7" s="21">
        <f t="shared" ca="1" si="2"/>
        <v>5512800</v>
      </c>
      <c r="I7" s="21">
        <f t="shared" ca="1" si="2"/>
        <v>4120000</v>
      </c>
      <c r="J7" s="22">
        <f t="shared" ref="J7:J116" ca="1" si="3">L7+O7</f>
        <v>8426659.7199999988</v>
      </c>
      <c r="K7" s="23">
        <f t="shared" ref="K7:K116" ca="1" si="4">IF(C7&gt;0,J7*100/C7,0)</f>
        <v>87.478819450211759</v>
      </c>
      <c r="L7" s="22">
        <f ca="1">L8+L9+L12</f>
        <v>4307159.72</v>
      </c>
      <c r="M7" s="24">
        <f t="shared" ref="M7:M116" ca="1" si="5">IF(D7&gt;0,L7*100/D7,0)</f>
        <v>78.130164707589614</v>
      </c>
      <c r="N7" s="24">
        <f t="shared" ref="N7:N116" ca="1" si="6">IF(H7&gt;0,L7*100/H7,0)</f>
        <v>78.130164707589614</v>
      </c>
      <c r="O7" s="25">
        <f ca="1">O8+O9+O12</f>
        <v>4119500</v>
      </c>
      <c r="P7" s="25">
        <f t="shared" ref="P7:P11" ca="1" si="7">IF(G7&gt;0,O7*100/G7,0)</f>
        <v>99.987864077669897</v>
      </c>
      <c r="Q7" s="24">
        <f t="shared" ref="Q7:Q116" ca="1" si="8">IF(I7&gt;0,O7*100/I7,0)</f>
        <v>99.987864077669897</v>
      </c>
      <c r="R7" s="27">
        <f t="shared" ref="R7:T7" ca="1" si="9">R8</f>
        <v>152</v>
      </c>
      <c r="S7" s="26">
        <f t="shared" ca="1" si="9"/>
        <v>400</v>
      </c>
      <c r="T7" s="27">
        <f t="shared" ca="1" si="9"/>
        <v>400</v>
      </c>
      <c r="U7" s="28">
        <f t="shared" ref="U7:U8" ca="1" si="10">IF(S7&gt;0,T7*100/S7,0)</f>
        <v>100</v>
      </c>
      <c r="V7" s="26">
        <f t="shared" ref="V7:W7" ca="1" si="11">V8</f>
        <v>200</v>
      </c>
      <c r="W7" s="27">
        <f t="shared" ca="1" si="11"/>
        <v>270</v>
      </c>
      <c r="X7" s="28">
        <f t="shared" ref="X7:X8" ca="1" si="12">IF(V7&gt;0,W7*100/V7,0)</f>
        <v>135</v>
      </c>
      <c r="Y7" s="26">
        <f t="shared" ref="Y7:Z7" ca="1" si="13">Y8</f>
        <v>400</v>
      </c>
      <c r="Z7" s="27">
        <f t="shared" ca="1" si="13"/>
        <v>400</v>
      </c>
      <c r="AA7" s="28">
        <f t="shared" ref="AA7:AA8" ca="1" si="14">IF(Y7&gt;0,Z7*100/Y7,0)</f>
        <v>100</v>
      </c>
      <c r="AB7" s="26">
        <f t="shared" ref="AB7:AC7" ca="1" si="15">AB8</f>
        <v>40</v>
      </c>
      <c r="AC7" s="27">
        <f t="shared" ca="1" si="15"/>
        <v>40</v>
      </c>
      <c r="AD7" s="28">
        <f t="shared" ref="AD7:AD8" ca="1" si="16">IF(AB7&gt;0,AC7*100/AB7,0)</f>
        <v>100</v>
      </c>
    </row>
    <row r="8" spans="1:30" ht="28.5" customHeight="1" x14ac:dyDescent="0.2">
      <c r="A8" s="29" t="s">
        <v>31</v>
      </c>
      <c r="B8" s="30"/>
      <c r="C8" s="31">
        <f t="shared" ca="1" si="0"/>
        <v>8165100</v>
      </c>
      <c r="D8" s="32">
        <f t="shared" ref="D8:I8" ca="1" si="17">+D13+D31+D52+D74</f>
        <v>4045100</v>
      </c>
      <c r="E8" s="33">
        <f t="shared" ca="1" si="17"/>
        <v>2098900</v>
      </c>
      <c r="F8" s="33">
        <f t="shared" ca="1" si="17"/>
        <v>1946200</v>
      </c>
      <c r="G8" s="33">
        <f t="shared" ca="1" si="17"/>
        <v>4120000</v>
      </c>
      <c r="H8" s="33">
        <f t="shared" ca="1" si="17"/>
        <v>4045100</v>
      </c>
      <c r="I8" s="33">
        <f t="shared" ca="1" si="17"/>
        <v>4119500</v>
      </c>
      <c r="J8" s="33">
        <f t="shared" ca="1" si="3"/>
        <v>7698599.1200000001</v>
      </c>
      <c r="K8" s="34">
        <f t="shared" ca="1" si="4"/>
        <v>94.286648295795516</v>
      </c>
      <c r="L8" s="33">
        <f ca="1">+L13+L31+L52+L74</f>
        <v>3579099.12</v>
      </c>
      <c r="M8" s="35">
        <f t="shared" ca="1" si="5"/>
        <v>88.479867494005092</v>
      </c>
      <c r="N8" s="35">
        <f t="shared" ca="1" si="6"/>
        <v>88.479867494005092</v>
      </c>
      <c r="O8" s="36">
        <f ca="1">+O13+O31+O52+O74</f>
        <v>4119500</v>
      </c>
      <c r="P8" s="36">
        <f t="shared" ca="1" si="7"/>
        <v>99.987864077669897</v>
      </c>
      <c r="Q8" s="35">
        <f t="shared" ca="1" si="8"/>
        <v>100</v>
      </c>
      <c r="R8" s="33">
        <f t="shared" ref="R8:T8" ca="1" si="18">+R13+R31+R52+R74</f>
        <v>152</v>
      </c>
      <c r="S8" s="33">
        <f t="shared" ca="1" si="18"/>
        <v>400</v>
      </c>
      <c r="T8" s="33">
        <f t="shared" ca="1" si="18"/>
        <v>400</v>
      </c>
      <c r="U8" s="35">
        <f t="shared" ca="1" si="10"/>
        <v>100</v>
      </c>
      <c r="V8" s="33">
        <f t="shared" ref="V8:W8" ca="1" si="19">+V13+V31+V52+V74</f>
        <v>200</v>
      </c>
      <c r="W8" s="33">
        <f t="shared" ca="1" si="19"/>
        <v>270</v>
      </c>
      <c r="X8" s="35">
        <f t="shared" ca="1" si="12"/>
        <v>135</v>
      </c>
      <c r="Y8" s="33">
        <f t="shared" ref="Y8:Z8" ca="1" si="20">+Y13+Y31+Y52+Y74</f>
        <v>400</v>
      </c>
      <c r="Z8" s="33">
        <f t="shared" ca="1" si="20"/>
        <v>400</v>
      </c>
      <c r="AA8" s="35">
        <f t="shared" ca="1" si="14"/>
        <v>100</v>
      </c>
      <c r="AB8" s="33">
        <f t="shared" ref="AB8:AC8" ca="1" si="21">+AB13+AB31+AB52+AB74</f>
        <v>40</v>
      </c>
      <c r="AC8" s="33">
        <f t="shared" ca="1" si="21"/>
        <v>40</v>
      </c>
      <c r="AD8" s="35">
        <f t="shared" ca="1" si="16"/>
        <v>100</v>
      </c>
    </row>
    <row r="9" spans="1:30" ht="28.5" customHeight="1" x14ac:dyDescent="0.2">
      <c r="A9" s="39" t="s">
        <v>240</v>
      </c>
      <c r="B9" s="40"/>
      <c r="C9" s="41">
        <f t="shared" ca="1" si="0"/>
        <v>1467700</v>
      </c>
      <c r="D9" s="42">
        <f t="shared" ref="D9:I9" ca="1" si="22">+D10+D11</f>
        <v>1467700</v>
      </c>
      <c r="E9" s="41">
        <f t="shared" ca="1" si="22"/>
        <v>381900</v>
      </c>
      <c r="F9" s="41">
        <f t="shared" ca="1" si="22"/>
        <v>1085800</v>
      </c>
      <c r="G9" s="41">
        <f t="shared" ca="1" si="22"/>
        <v>0</v>
      </c>
      <c r="H9" s="41">
        <f t="shared" ca="1" si="22"/>
        <v>1467700</v>
      </c>
      <c r="I9" s="41">
        <f t="shared" ca="1" si="22"/>
        <v>500</v>
      </c>
      <c r="J9" s="41">
        <f t="shared" ca="1" si="3"/>
        <v>728060.6</v>
      </c>
      <c r="K9" s="43">
        <f t="shared" ca="1" si="4"/>
        <v>49.605546092525721</v>
      </c>
      <c r="L9" s="41">
        <f ca="1">+L10+L11</f>
        <v>728060.6</v>
      </c>
      <c r="M9" s="44">
        <f t="shared" ca="1" si="5"/>
        <v>49.605546092525721</v>
      </c>
      <c r="N9" s="44">
        <f t="shared" ca="1" si="6"/>
        <v>49.605546092525721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1"/>
      <c r="U9" s="44"/>
      <c r="V9" s="41"/>
      <c r="W9" s="41"/>
      <c r="X9" s="44"/>
      <c r="Y9" s="41"/>
      <c r="Z9" s="41"/>
      <c r="AA9" s="44"/>
      <c r="AB9" s="41"/>
      <c r="AC9" s="41"/>
      <c r="AD9" s="44"/>
    </row>
    <row r="10" spans="1:30" ht="28.5" hidden="1" customHeight="1" x14ac:dyDescent="0.2">
      <c r="A10" s="39" t="s">
        <v>32</v>
      </c>
      <c r="B10" s="40"/>
      <c r="C10" s="41">
        <f t="shared" ca="1" si="0"/>
        <v>1220800</v>
      </c>
      <c r="D10" s="42">
        <f t="shared" ref="D10:I10" ca="1" si="23">+D89</f>
        <v>1220800</v>
      </c>
      <c r="E10" s="41">
        <f t="shared" ca="1" si="23"/>
        <v>135000</v>
      </c>
      <c r="F10" s="41">
        <f t="shared" ca="1" si="23"/>
        <v>1085800</v>
      </c>
      <c r="G10" s="41">
        <f t="shared" ca="1" si="23"/>
        <v>0</v>
      </c>
      <c r="H10" s="41">
        <f t="shared" ca="1" si="23"/>
        <v>1344250</v>
      </c>
      <c r="I10" s="41">
        <f t="shared" ca="1" si="23"/>
        <v>0</v>
      </c>
      <c r="J10" s="41">
        <f t="shared" ca="1" si="3"/>
        <v>692931.6</v>
      </c>
      <c r="K10" s="43">
        <f t="shared" ca="1" si="4"/>
        <v>56.76045216251638</v>
      </c>
      <c r="L10" s="41">
        <f ca="1">+L89</f>
        <v>692931.6</v>
      </c>
      <c r="M10" s="44">
        <f t="shared" ca="1" si="5"/>
        <v>56.76045216251638</v>
      </c>
      <c r="N10" s="44">
        <f t="shared" ca="1" si="6"/>
        <v>51.547822205690906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1"/>
      <c r="U10" s="44"/>
      <c r="V10" s="41"/>
      <c r="W10" s="41"/>
      <c r="X10" s="44"/>
      <c r="Y10" s="41"/>
      <c r="Z10" s="41"/>
      <c r="AA10" s="44"/>
      <c r="AB10" s="41"/>
      <c r="AC10" s="41"/>
      <c r="AD10" s="44"/>
    </row>
    <row r="11" spans="1:30" ht="28.5" hidden="1" customHeight="1" x14ac:dyDescent="0.2">
      <c r="A11" s="48" t="s">
        <v>33</v>
      </c>
      <c r="B11" s="40"/>
      <c r="C11" s="41">
        <f t="shared" ca="1" si="0"/>
        <v>246900</v>
      </c>
      <c r="D11" s="42">
        <f t="shared" ref="D11:I11" ca="1" si="24">+D104</f>
        <v>246900</v>
      </c>
      <c r="E11" s="41">
        <f t="shared" ca="1" si="24"/>
        <v>246900</v>
      </c>
      <c r="F11" s="41">
        <f t="shared" ca="1" si="24"/>
        <v>0</v>
      </c>
      <c r="G11" s="41">
        <f t="shared" ca="1" si="24"/>
        <v>0</v>
      </c>
      <c r="H11" s="41">
        <f t="shared" ca="1" si="24"/>
        <v>123450</v>
      </c>
      <c r="I11" s="41">
        <f t="shared" ca="1" si="24"/>
        <v>500</v>
      </c>
      <c r="J11" s="41">
        <f t="shared" ca="1" si="3"/>
        <v>35129</v>
      </c>
      <c r="K11" s="43">
        <f t="shared" ca="1" si="4"/>
        <v>14.228027541514784</v>
      </c>
      <c r="L11" s="41">
        <f ca="1">+L104</f>
        <v>35129</v>
      </c>
      <c r="M11" s="44">
        <f t="shared" ca="1" si="5"/>
        <v>14.228027541514784</v>
      </c>
      <c r="N11" s="44">
        <f t="shared" ca="1" si="6"/>
        <v>28.456055083029568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1"/>
      <c r="U11" s="44"/>
      <c r="V11" s="41"/>
      <c r="W11" s="41"/>
      <c r="X11" s="44"/>
      <c r="Y11" s="41"/>
      <c r="Z11" s="41"/>
      <c r="AA11" s="44"/>
      <c r="AB11" s="41"/>
      <c r="AC11" s="41"/>
      <c r="AD11" s="44"/>
    </row>
    <row r="12" spans="1:3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3">
        <v>0</v>
      </c>
      <c r="U12" s="55">
        <f t="shared" ref="U12:U88" si="25">IF(S12&gt;0,T12*100/S12,0)</f>
        <v>0</v>
      </c>
      <c r="V12" s="53">
        <v>0</v>
      </c>
      <c r="W12" s="53">
        <v>0</v>
      </c>
      <c r="X12" s="55">
        <f t="shared" ref="X12:X88" si="26">IF(V12&gt;0,W12*100/V12,0)</f>
        <v>0</v>
      </c>
      <c r="Y12" s="53">
        <v>0</v>
      </c>
      <c r="Z12" s="53">
        <v>0</v>
      </c>
      <c r="AA12" s="55">
        <f t="shared" ref="AA12:AA88" si="27">IF(Y12&gt;0,Z12*100/Y12,0)</f>
        <v>0</v>
      </c>
      <c r="AB12" s="53">
        <v>0</v>
      </c>
      <c r="AC12" s="53">
        <v>0</v>
      </c>
      <c r="AD12" s="55">
        <f t="shared" ref="AD12:AD88" si="28">IF(AB12&gt;0,AC12*100/AB12,0)</f>
        <v>0</v>
      </c>
    </row>
    <row r="13" spans="1:30" ht="28.5" customHeight="1" x14ac:dyDescent="0.2">
      <c r="A13" s="381" t="s">
        <v>35</v>
      </c>
      <c r="B13" s="382"/>
      <c r="C13" s="57">
        <f t="shared" ca="1" si="0"/>
        <v>2170260</v>
      </c>
      <c r="D13" s="58">
        <f t="shared" ref="D13:I13" ca="1" si="29">SUM(D14:D30)</f>
        <v>934260</v>
      </c>
      <c r="E13" s="59">
        <f t="shared" ca="1" si="29"/>
        <v>350400</v>
      </c>
      <c r="F13" s="59">
        <f t="shared" ca="1" si="29"/>
        <v>583860</v>
      </c>
      <c r="G13" s="59">
        <f t="shared" ca="1" si="29"/>
        <v>1236000</v>
      </c>
      <c r="H13" s="59">
        <f t="shared" ca="1" si="29"/>
        <v>934260</v>
      </c>
      <c r="I13" s="59">
        <f t="shared" ca="1" si="29"/>
        <v>1204500</v>
      </c>
      <c r="J13" s="59">
        <f t="shared" ca="1" si="3"/>
        <v>1992984.48</v>
      </c>
      <c r="K13" s="60">
        <f t="shared" ca="1" si="4"/>
        <v>91.831599900472753</v>
      </c>
      <c r="L13" s="59">
        <f ca="1">SUM(L14:L30)</f>
        <v>788484.48</v>
      </c>
      <c r="M13" s="61">
        <f t="shared" ca="1" si="5"/>
        <v>84.396686147325156</v>
      </c>
      <c r="N13" s="61">
        <f t="shared" ca="1" si="6"/>
        <v>84.396686147325156</v>
      </c>
      <c r="O13" s="62">
        <f ca="1">SUM(O14:O30)</f>
        <v>1204500</v>
      </c>
      <c r="P13" s="62">
        <f t="shared" ref="P13:P116" ca="1" si="30">IF(G13&gt;0,O13*100/G13,0)</f>
        <v>97.451456310679617</v>
      </c>
      <c r="Q13" s="61">
        <f t="shared" ca="1" si="8"/>
        <v>100</v>
      </c>
      <c r="R13" s="59">
        <f t="shared" ref="R13:T13" ca="1" si="31">SUM(R14:R30)</f>
        <v>71</v>
      </c>
      <c r="S13" s="59">
        <f t="shared" ca="1" si="31"/>
        <v>120</v>
      </c>
      <c r="T13" s="59">
        <f t="shared" ca="1" si="31"/>
        <v>120</v>
      </c>
      <c r="U13" s="61">
        <f t="shared" ca="1" si="25"/>
        <v>100</v>
      </c>
      <c r="V13" s="59">
        <f t="shared" ref="V13:W13" ca="1" si="32">SUM(V14:V30)</f>
        <v>60</v>
      </c>
      <c r="W13" s="59">
        <f t="shared" ca="1" si="32"/>
        <v>85</v>
      </c>
      <c r="X13" s="61">
        <f t="shared" ca="1" si="26"/>
        <v>141.66666666666666</v>
      </c>
      <c r="Y13" s="59">
        <f t="shared" ref="Y13:Z13" ca="1" si="33">SUM(Y14:Y30)</f>
        <v>120</v>
      </c>
      <c r="Z13" s="59">
        <f t="shared" ca="1" si="33"/>
        <v>120</v>
      </c>
      <c r="AA13" s="61">
        <f t="shared" ca="1" si="27"/>
        <v>100</v>
      </c>
      <c r="AB13" s="59">
        <f t="shared" ref="AB13:AC13" ca="1" si="34">SUM(AB14:AB30)</f>
        <v>12</v>
      </c>
      <c r="AC13" s="59">
        <f t="shared" ca="1" si="34"/>
        <v>12</v>
      </c>
      <c r="AD13" s="61">
        <f t="shared" ca="1" si="28"/>
        <v>100</v>
      </c>
    </row>
    <row r="14" spans="1:30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35">+E14+F14</f>
        <v>0</v>
      </c>
      <c r="E14" s="67">
        <f ca="1">IFERROR(__xludf.DUMMYFUNCTION("IMPORTRANGE(""https://docs.google.com/spreadsheets/d/1MeEWN-I1oV_STSDYn1IFDPWt_1FKiwhDph83XaGc0o0/edit?usp=sharing"",""งบพรบ!BL14"")"),0)</f>
        <v>0</v>
      </c>
      <c r="F14" s="67">
        <f ca="1">IFERROR(__xludf.DUMMYFUNCTION("IMPORTRANGE(""https://docs.google.com/spreadsheets/d/1MeEWN-I1oV_STSDYn1IFDPWt_1FKiwhDph83XaGc0o0/edit?usp=sharing"",""งบพรบ!BM14"")"),0)</f>
        <v>0</v>
      </c>
      <c r="G14" s="68">
        <f ca="1">IFERROR(__xludf.DUMMYFUNCTION("IMPORTRANGE(""https://docs.google.com/spreadsheets/d/1MeEWN-I1oV_STSDYn1IFDPWt_1FKiwhDph83XaGc0o0/edit?usp=sharing"",""งบพรบ!BN14"")"),0)</f>
        <v>0</v>
      </c>
      <c r="H14" s="68">
        <f ca="1">IFERROR(__xludf.DUMMYFUNCTION("IMPORTRANGE(""https://docs.google.com/spreadsheets/d/1MeEWN-I1oV_STSDYn1IFDPWt_1FKiwhDph83XaGc0o0/edit?usp=sharing"",""งบพรบ!BP14"")"),0)</f>
        <v>0</v>
      </c>
      <c r="I14" s="68">
        <f ca="1">IFERROR(__xludf.DUMMYFUNCTION("IMPORTRANGE(""https://docs.google.com/spreadsheets/d/1MeEWN-I1oV_STSDYn1IFDPWt_1FKiwhDph83XaGc0o0/edit?usp=sharing"",""งบพรบ!BQ14"")"),0)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IFERROR(__xludf.DUMMYFUNCTION("IMPORTRANGE(""https://docs.google.com/spreadsheets/d/1MeEWN-I1oV_STSDYn1IFDPWt_1FKiwhDph83XaGc0o0/edit?usp=sharing"",""งบพรบ!BR14"")"),0)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IFERROR(__xludf.DUMMYFUNCTION("IMPORTRANGE(""https://docs.google.com/spreadsheets/d/1MeEWN-I1oV_STSDYn1IFDPWt_1FKiwhDph83XaGc0o0/edit?usp=sharing"",""งบพรบ!BS14"")"),0)</f>
        <v>0</v>
      </c>
      <c r="P14" s="71">
        <f t="shared" ca="1" si="30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IFERROR(__xludf.DUMMYFUNCTION("IMPORTRANGE(""https://docs.google.com/spreadsheets/d/1KxicF4apzSqm0-jIpmueT4kyZtE-Cwn5zskl7GD4loQ/edit?usp=sharing"",""กำแพงเพชร!J142"")"),0)</f>
        <v>0</v>
      </c>
      <c r="S14" s="68">
        <f ca="1">IFERROR(__xludf.DUMMYFUNCTION("IMPORTRANGE(""https://docs.google.com/spreadsheets/d/1KxicF4apzSqm0-jIpmueT4kyZtE-Cwn5zskl7GD4loQ/edit?usp=sharing"",""กำแพงเพชร!I143"")"),0)</f>
        <v>0</v>
      </c>
      <c r="T14" s="68">
        <f ca="1">IFERROR(__xludf.DUMMYFUNCTION("IMPORTRANGE(""https://docs.google.com/spreadsheets/d/1KxicF4apzSqm0-jIpmueT4kyZtE-Cwn5zskl7GD4loQ/edit?usp=sharing"",""กำแพงเพชร!J143"")"),0)</f>
        <v>0</v>
      </c>
      <c r="U14" s="72">
        <f t="shared" ca="1" si="25"/>
        <v>0</v>
      </c>
      <c r="V14" s="68">
        <f ca="1">IFERROR(__xludf.DUMMYFUNCTION("IMPORTRANGE(""https://docs.google.com/spreadsheets/d/1KxicF4apzSqm0-jIpmueT4kyZtE-Cwn5zskl7GD4loQ/edit?usp=sharing"",""กำแพงเพชร!I144"")"),0)</f>
        <v>0</v>
      </c>
      <c r="W14" s="68">
        <f ca="1">IFERROR(__xludf.DUMMYFUNCTION("IMPORTRANGE(""https://docs.google.com/spreadsheets/d/1KxicF4apzSqm0-jIpmueT4kyZtE-Cwn5zskl7GD4loQ/edit?usp=sharing"",""กำแพงเพชร!J144"")"),0)</f>
        <v>0</v>
      </c>
      <c r="X14" s="72">
        <f t="shared" ca="1" si="26"/>
        <v>0</v>
      </c>
      <c r="Y14" s="68">
        <f ca="1">IFERROR(__xludf.DUMMYFUNCTION("IMPORTRANGE(""https://docs.google.com/spreadsheets/d/1KxicF4apzSqm0-jIpmueT4kyZtE-Cwn5zskl7GD4loQ/edit?usp=sharing"",""กำแพงเพชร!I145"")"),0)</f>
        <v>0</v>
      </c>
      <c r="Z14" s="68">
        <f ca="1">IFERROR(__xludf.DUMMYFUNCTION("IMPORTRANGE(""https://docs.google.com/spreadsheets/d/1KxicF4apzSqm0-jIpmueT4kyZtE-Cwn5zskl7GD4loQ/edit?usp=sharing"",""กำแพงเพชร!J145"")"),0)</f>
        <v>0</v>
      </c>
      <c r="AA14" s="72">
        <f t="shared" ca="1" si="27"/>
        <v>0</v>
      </c>
      <c r="AB14" s="68">
        <f ca="1">IFERROR(__xludf.DUMMYFUNCTION("IMPORTRANGE(""https://docs.google.com/spreadsheets/d/1KxicF4apzSqm0-jIpmueT4kyZtE-Cwn5zskl7GD4loQ/edit?usp=sharing"",""กำแพงเพชร!I146"")"),0)</f>
        <v>0</v>
      </c>
      <c r="AC14" s="68">
        <f ca="1">IFERROR(__xludf.DUMMYFUNCTION("IMPORTRANGE(""https://docs.google.com/spreadsheets/d/1KxicF4apzSqm0-jIpmueT4kyZtE-Cwn5zskl7GD4loQ/edit?usp=sharing"",""กำแพงเพชร!J146"")"),0)</f>
        <v>0</v>
      </c>
      <c r="AD14" s="72">
        <f t="shared" ca="1" si="28"/>
        <v>0</v>
      </c>
    </row>
    <row r="15" spans="1:30" ht="24" customHeight="1" x14ac:dyDescent="0.2">
      <c r="A15" s="73">
        <v>2</v>
      </c>
      <c r="B15" s="74" t="s">
        <v>37</v>
      </c>
      <c r="C15" s="75">
        <f t="shared" ca="1" si="0"/>
        <v>454965</v>
      </c>
      <c r="D15" s="76">
        <f t="shared" ca="1" si="35"/>
        <v>145965</v>
      </c>
      <c r="E15" s="77">
        <f ca="1">IFERROR(__xludf.DUMMYFUNCTION("IMPORTRANGE(""https://docs.google.com/spreadsheets/d/1MeEWN-I1oV_STSDYn1IFDPWt_1FKiwhDph83XaGc0o0/edit?usp=sharing"",""งบพรบ!BL15"")"),0)</f>
        <v>0</v>
      </c>
      <c r="F15" s="77">
        <f ca="1">IFERROR(__xludf.DUMMYFUNCTION("IMPORTRANGE(""https://docs.google.com/spreadsheets/d/1MeEWN-I1oV_STSDYn1IFDPWt_1FKiwhDph83XaGc0o0/edit?usp=sharing"",""งบพรบ!BM15"")"),145965)</f>
        <v>145965</v>
      </c>
      <c r="G15" s="77">
        <f ca="1">IFERROR(__xludf.DUMMYFUNCTION("IMPORTRANGE(""https://docs.google.com/spreadsheets/d/1MeEWN-I1oV_STSDYn1IFDPWt_1FKiwhDph83XaGc0o0/edit?usp=sharing"",""งบพรบ!BN15"")"),309000)</f>
        <v>309000</v>
      </c>
      <c r="H15" s="77">
        <f ca="1">IFERROR(__xludf.DUMMYFUNCTION("IMPORTRANGE(""https://docs.google.com/spreadsheets/d/1MeEWN-I1oV_STSDYn1IFDPWt_1FKiwhDph83XaGc0o0/edit?usp=sharing"",""งบพรบ!BP15"")"),145965)</f>
        <v>145965</v>
      </c>
      <c r="I15" s="77">
        <f ca="1">IFERROR(__xludf.DUMMYFUNCTION("IMPORTRANGE(""https://docs.google.com/spreadsheets/d/1MeEWN-I1oV_STSDYn1IFDPWt_1FKiwhDph83XaGc0o0/edit?usp=sharing"",""งบพรบ!BQ15"")"),309000)</f>
        <v>309000</v>
      </c>
      <c r="J15" s="77">
        <f t="shared" ca="1" si="3"/>
        <v>433588.11</v>
      </c>
      <c r="K15" s="78">
        <f t="shared" ca="1" si="4"/>
        <v>95.30142098842768</v>
      </c>
      <c r="L15" s="77">
        <f ca="1">IFERROR(__xludf.DUMMYFUNCTION("IMPORTRANGE(""https://docs.google.com/spreadsheets/d/1MeEWN-I1oV_STSDYn1IFDPWt_1FKiwhDph83XaGc0o0/edit?usp=sharing"",""งบพรบ!BR15"")"),124588.11)</f>
        <v>124588.11</v>
      </c>
      <c r="M15" s="79">
        <f t="shared" ca="1" si="5"/>
        <v>85.354783681019427</v>
      </c>
      <c r="N15" s="79">
        <f t="shared" ca="1" si="6"/>
        <v>85.354783681019427</v>
      </c>
      <c r="O15" s="80">
        <f ca="1">IFERROR(__xludf.DUMMYFUNCTION("IMPORTRANGE(""https://docs.google.com/spreadsheets/d/1MeEWN-I1oV_STSDYn1IFDPWt_1FKiwhDph83XaGc0o0/edit?usp=sharing"",""งบพรบ!BS15"")"),309000)</f>
        <v>309000</v>
      </c>
      <c r="P15" s="80">
        <f t="shared" ca="1" si="30"/>
        <v>100</v>
      </c>
      <c r="Q15" s="79">
        <f t="shared" ca="1" si="8"/>
        <v>100</v>
      </c>
      <c r="R15" s="81">
        <f ca="1">IFERROR(__xludf.DUMMYFUNCTION("IMPORTRANGE(""https://docs.google.com/spreadsheets/d/1ZNYWeiFoFA1K1U4xKWqRX29MBvEyRHXORjo734Gnq_c/edit?usp=sharing"",""เชียงราย!J142"")"),30)</f>
        <v>30</v>
      </c>
      <c r="S15" s="81">
        <f ca="1">IFERROR(__xludf.DUMMYFUNCTION("IMPORTRANGE(""https://docs.google.com/spreadsheets/d/1ZNYWeiFoFA1K1U4xKWqRX29MBvEyRHXORjo734Gnq_c/edit?usp=sharing"",""เชียงราย!I143"")"),30)</f>
        <v>30</v>
      </c>
      <c r="T15" s="81">
        <f ca="1">IFERROR(__xludf.DUMMYFUNCTION("IMPORTRANGE(""https://docs.google.com/spreadsheets/d/1ZNYWeiFoFA1K1U4xKWqRX29MBvEyRHXORjo734Gnq_c/edit?usp=sharing"",""เชียงราย!J143"")"),30)</f>
        <v>30</v>
      </c>
      <c r="U15" s="82">
        <f t="shared" ca="1" si="25"/>
        <v>100</v>
      </c>
      <c r="V15" s="81">
        <f ca="1">IFERROR(__xludf.DUMMYFUNCTION("IMPORTRANGE(""https://docs.google.com/spreadsheets/d/1ZNYWeiFoFA1K1U4xKWqRX29MBvEyRHXORjo734Gnq_c/edit?usp=sharing"",""เชียงราย!I144"")"),15)</f>
        <v>15</v>
      </c>
      <c r="W15" s="81">
        <f ca="1">IFERROR(__xludf.DUMMYFUNCTION("IMPORTRANGE(""https://docs.google.com/spreadsheets/d/1ZNYWeiFoFA1K1U4xKWqRX29MBvEyRHXORjo734Gnq_c/edit?usp=sharing"",""เชียงราย!J144"")"),15)</f>
        <v>15</v>
      </c>
      <c r="X15" s="82">
        <f t="shared" ca="1" si="26"/>
        <v>100</v>
      </c>
      <c r="Y15" s="81">
        <f ca="1">IFERROR(__xludf.DUMMYFUNCTION("IMPORTRANGE(""https://docs.google.com/spreadsheets/d/1ZNYWeiFoFA1K1U4xKWqRX29MBvEyRHXORjo734Gnq_c/edit?usp=sharing"",""เชียงราย!I145"")"),30)</f>
        <v>30</v>
      </c>
      <c r="Z15" s="81">
        <f ca="1">IFERROR(__xludf.DUMMYFUNCTION("IMPORTRANGE(""https://docs.google.com/spreadsheets/d/1ZNYWeiFoFA1K1U4xKWqRX29MBvEyRHXORjo734Gnq_c/edit?usp=sharing"",""เชียงราย!J145"")"),30)</f>
        <v>30</v>
      </c>
      <c r="AA15" s="82">
        <f t="shared" ca="1" si="27"/>
        <v>100</v>
      </c>
      <c r="AB15" s="81">
        <f ca="1">IFERROR(__xludf.DUMMYFUNCTION("IMPORTRANGE(""https://docs.google.com/spreadsheets/d/1ZNYWeiFoFA1K1U4xKWqRX29MBvEyRHXORjo734Gnq_c/edit?usp=sharing"",""เชียงราย!I146"")"),3)</f>
        <v>3</v>
      </c>
      <c r="AC15" s="81">
        <f ca="1">IFERROR(__xludf.DUMMYFUNCTION("IMPORTRANGE(""https://docs.google.com/spreadsheets/d/1ZNYWeiFoFA1K1U4xKWqRX29MBvEyRHXORjo734Gnq_c/edit?usp=sharing"",""เชียงราย!J146"")"),3)</f>
        <v>3</v>
      </c>
      <c r="AD15" s="82">
        <f t="shared" ca="1" si="28"/>
        <v>100</v>
      </c>
    </row>
    <row r="16" spans="1:30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35"/>
        <v>0</v>
      </c>
      <c r="E16" s="77">
        <f ca="1">IFERROR(__xludf.DUMMYFUNCTION("IMPORTRANGE(""https://docs.google.com/spreadsheets/d/1MeEWN-I1oV_STSDYn1IFDPWt_1FKiwhDph83XaGc0o0/edit?usp=sharing"",""งบพรบ!BL16"")"),0)</f>
        <v>0</v>
      </c>
      <c r="F16" s="77">
        <f ca="1">IFERROR(__xludf.DUMMYFUNCTION("IMPORTRANGE(""https://docs.google.com/spreadsheets/d/1MeEWN-I1oV_STSDYn1IFDPWt_1FKiwhDph83XaGc0o0/edit?usp=sharing"",""งบพรบ!BM16"")"),0)</f>
        <v>0</v>
      </c>
      <c r="G16" s="77">
        <f ca="1">IFERROR(__xludf.DUMMYFUNCTION("IMPORTRANGE(""https://docs.google.com/spreadsheets/d/1MeEWN-I1oV_STSDYn1IFDPWt_1FKiwhDph83XaGc0o0/edit?usp=sharing"",""งบพรบ!BN16"")"),0)</f>
        <v>0</v>
      </c>
      <c r="H16" s="77">
        <f ca="1">IFERROR(__xludf.DUMMYFUNCTION("IMPORTRANGE(""https://docs.google.com/spreadsheets/d/1MeEWN-I1oV_STSDYn1IFDPWt_1FKiwhDph83XaGc0o0/edit?usp=sharing"",""งบพรบ!BP16"")"),0)</f>
        <v>0</v>
      </c>
      <c r="I16" s="77">
        <f ca="1">IFERROR(__xludf.DUMMYFUNCTION("IMPORTRANGE(""https://docs.google.com/spreadsheets/d/1MeEWN-I1oV_STSDYn1IFDPWt_1FKiwhDph83XaGc0o0/edit?usp=sharing"",""งบพรบ!BQ16"")"),0)</f>
        <v>0</v>
      </c>
      <c r="J16" s="77">
        <f t="shared" ca="1" si="3"/>
        <v>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IFERROR(__xludf.DUMMYFUNCTION("IMPORTRANGE(""https://docs.google.com/spreadsheets/d/1MeEWN-I1oV_STSDYn1IFDPWt_1FKiwhDph83XaGc0o0/edit?usp=sharing"",""งบพรบ!BR16"")"),0)</f>
        <v>0</v>
      </c>
      <c r="M16" s="79">
        <f t="shared" ca="1" si="5"/>
        <v>0</v>
      </c>
      <c r="N16" s="79">
        <f t="shared" ca="1" si="6"/>
        <v>0</v>
      </c>
      <c r="O16" s="80">
        <f ca="1">IFERROR(__xludf.DUMMYFUNCTION("IMPORTRANGE(""https://docs.google.com/spreadsheets/d/1MeEWN-I1oV_STSDYn1IFDPWt_1FKiwhDph83XaGc0o0/edit?usp=sharing"",""งบพรบ!BS16"")"),0)</f>
        <v>0</v>
      </c>
      <c r="P16" s="80">
        <f t="shared" ca="1" si="30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IFERROR(__xludf.DUMMYFUNCTION("IMPORTRANGE(""https://docs.google.com/spreadsheets/d/1Jgv0Y7YlHDtsiDawwp-uvifEJ8HVaSn0k2aGHG8-hwM/edit?usp=sharing"",""เชียงใหม่!J142"")"),0)</f>
        <v>0</v>
      </c>
      <c r="S16" s="81">
        <f ca="1">IFERROR(__xludf.DUMMYFUNCTION("IMPORTRANGE(""https://docs.google.com/spreadsheets/d/1Jgv0Y7YlHDtsiDawwp-uvifEJ8HVaSn0k2aGHG8-hwM/edit?usp=sharing"",""เชียงใหม่!I143"")"),0)</f>
        <v>0</v>
      </c>
      <c r="T16" s="81">
        <f ca="1">IFERROR(__xludf.DUMMYFUNCTION("IMPORTRANGE(""https://docs.google.com/spreadsheets/d/1Jgv0Y7YlHDtsiDawwp-uvifEJ8HVaSn0k2aGHG8-hwM/edit?usp=sharing"",""เชียงใหม่!J143"")"),0)</f>
        <v>0</v>
      </c>
      <c r="U16" s="82">
        <f t="shared" ca="1" si="25"/>
        <v>0</v>
      </c>
      <c r="V16" s="81">
        <f ca="1">IFERROR(__xludf.DUMMYFUNCTION("IMPORTRANGE(""https://docs.google.com/spreadsheets/d/1Jgv0Y7YlHDtsiDawwp-uvifEJ8HVaSn0k2aGHG8-hwM/edit?usp=sharing"",""เชียงใหม่!I144"")"),0)</f>
        <v>0</v>
      </c>
      <c r="W16" s="81">
        <f ca="1">IFERROR(__xludf.DUMMYFUNCTION("IMPORTRANGE(""https://docs.google.com/spreadsheets/d/1Jgv0Y7YlHDtsiDawwp-uvifEJ8HVaSn0k2aGHG8-hwM/edit?usp=sharing"",""เชียงใหม่!J144"")"),0)</f>
        <v>0</v>
      </c>
      <c r="X16" s="82">
        <f t="shared" ca="1" si="26"/>
        <v>0</v>
      </c>
      <c r="Y16" s="81">
        <f ca="1">IFERROR(__xludf.DUMMYFUNCTION("IMPORTRANGE(""https://docs.google.com/spreadsheets/d/1Jgv0Y7YlHDtsiDawwp-uvifEJ8HVaSn0k2aGHG8-hwM/edit?usp=sharing"",""เชียงใหม่!I145"")"),0)</f>
        <v>0</v>
      </c>
      <c r="Z16" s="81">
        <f ca="1">IFERROR(__xludf.DUMMYFUNCTION("IMPORTRANGE(""https://docs.google.com/spreadsheets/d/1Jgv0Y7YlHDtsiDawwp-uvifEJ8HVaSn0k2aGHG8-hwM/edit?usp=sharing"",""เชียงใหม่!J145"")"),0)</f>
        <v>0</v>
      </c>
      <c r="AA16" s="82">
        <f t="shared" ca="1" si="27"/>
        <v>0</v>
      </c>
      <c r="AB16" s="81">
        <f ca="1">IFERROR(__xludf.DUMMYFUNCTION("IMPORTRANGE(""https://docs.google.com/spreadsheets/d/1Jgv0Y7YlHDtsiDawwp-uvifEJ8HVaSn0k2aGHG8-hwM/edit?usp=sharing"",""เชียงใหม่!I146"")"),0)</f>
        <v>0</v>
      </c>
      <c r="AC16" s="81">
        <f ca="1">IFERROR(__xludf.DUMMYFUNCTION("IMPORTRANGE(""https://docs.google.com/spreadsheets/d/1Jgv0Y7YlHDtsiDawwp-uvifEJ8HVaSn0k2aGHG8-hwM/edit?usp=sharing"",""เชียงใหม่!J146"")"),0)</f>
        <v>0</v>
      </c>
      <c r="AD16" s="82">
        <f t="shared" ca="1" si="28"/>
        <v>0</v>
      </c>
    </row>
    <row r="17" spans="1:30" ht="24" customHeight="1" x14ac:dyDescent="0.2">
      <c r="A17" s="73">
        <v>4</v>
      </c>
      <c r="B17" s="74" t="s">
        <v>39</v>
      </c>
      <c r="C17" s="75">
        <f t="shared" ca="1" si="0"/>
        <v>239255</v>
      </c>
      <c r="D17" s="76">
        <f t="shared" ca="1" si="35"/>
        <v>136255</v>
      </c>
      <c r="E17" s="77">
        <f ca="1">IFERROR(__xludf.DUMMYFUNCTION("IMPORTRANGE(""https://docs.google.com/spreadsheets/d/1MeEWN-I1oV_STSDYn1IFDPWt_1FKiwhDph83XaGc0o0/edit?usp=sharing"",""งบพรบ!BL17"")"),87600)</f>
        <v>87600</v>
      </c>
      <c r="F17" s="77">
        <f ca="1">IFERROR(__xludf.DUMMYFUNCTION("IMPORTRANGE(""https://docs.google.com/spreadsheets/d/1MeEWN-I1oV_STSDYn1IFDPWt_1FKiwhDph83XaGc0o0/edit?usp=sharing"",""งบพรบ!BM17"")"),48655)</f>
        <v>48655</v>
      </c>
      <c r="G17" s="77">
        <f ca="1">IFERROR(__xludf.DUMMYFUNCTION("IMPORTRANGE(""https://docs.google.com/spreadsheets/d/1MeEWN-I1oV_STSDYn1IFDPWt_1FKiwhDph83XaGc0o0/edit?usp=sharing"",""งบพรบ!BN17"")"),103000)</f>
        <v>103000</v>
      </c>
      <c r="H17" s="77">
        <f ca="1">IFERROR(__xludf.DUMMYFUNCTION("IMPORTRANGE(""https://docs.google.com/spreadsheets/d/1MeEWN-I1oV_STSDYn1IFDPWt_1FKiwhDph83XaGc0o0/edit?usp=sharing"",""งบพรบ!BP17"")"),136255)</f>
        <v>136255</v>
      </c>
      <c r="I17" s="77">
        <f ca="1">IFERROR(__xludf.DUMMYFUNCTION("IMPORTRANGE(""https://docs.google.com/spreadsheets/d/1MeEWN-I1oV_STSDYn1IFDPWt_1FKiwhDph83XaGc0o0/edit?usp=sharing"",""งบพรบ!BQ17"")"),100000)</f>
        <v>100000</v>
      </c>
      <c r="J17" s="77">
        <f t="shared" ca="1" si="3"/>
        <v>217989</v>
      </c>
      <c r="K17" s="78">
        <f t="shared" ca="1" si="4"/>
        <v>91.111575515663205</v>
      </c>
      <c r="L17" s="77">
        <f ca="1">IFERROR(__xludf.DUMMYFUNCTION("IMPORTRANGE(""https://docs.google.com/spreadsheets/d/1MeEWN-I1oV_STSDYn1IFDPWt_1FKiwhDph83XaGc0o0/edit?usp=sharing"",""งบพรบ!BR17"")"),117989)</f>
        <v>117989</v>
      </c>
      <c r="M17" s="79">
        <f t="shared" ca="1" si="5"/>
        <v>86.594253421892773</v>
      </c>
      <c r="N17" s="79">
        <f t="shared" ca="1" si="6"/>
        <v>86.594253421892773</v>
      </c>
      <c r="O17" s="80">
        <f ca="1">IFERROR(__xludf.DUMMYFUNCTION("IMPORTRANGE(""https://docs.google.com/spreadsheets/d/1MeEWN-I1oV_STSDYn1IFDPWt_1FKiwhDph83XaGc0o0/edit?usp=sharing"",""งบพรบ!BS17"")"),100000)</f>
        <v>100000</v>
      </c>
      <c r="P17" s="80">
        <f t="shared" ca="1" si="30"/>
        <v>97.087378640776706</v>
      </c>
      <c r="Q17" s="79">
        <f t="shared" ca="1" si="8"/>
        <v>100</v>
      </c>
      <c r="R17" s="81">
        <f ca="1">IFERROR(__xludf.DUMMYFUNCTION("IMPORTRANGE(""https://docs.google.com/spreadsheets/d/1JWG2rZePOz9pe-f-ObA-yDr0VoOX2kSb0qIix2mTUo8/edit?usp=sharing"",""ตาก!J142"")"),1)</f>
        <v>1</v>
      </c>
      <c r="S17" s="81">
        <f ca="1">IFERROR(__xludf.DUMMYFUNCTION("IMPORTRANGE(""https://docs.google.com/spreadsheets/d/1JWG2rZePOz9pe-f-ObA-yDr0VoOX2kSb0qIix2mTUo8/edit?usp=sharing"",""ตาก!I143"")"),10)</f>
        <v>10</v>
      </c>
      <c r="T17" s="81">
        <f ca="1">IFERROR(__xludf.DUMMYFUNCTION("IMPORTRANGE(""https://docs.google.com/spreadsheets/d/1JWG2rZePOz9pe-f-ObA-yDr0VoOX2kSb0qIix2mTUo8/edit?usp=sharing"",""ตาก!J143"")"),10)</f>
        <v>10</v>
      </c>
      <c r="U17" s="82">
        <f t="shared" ca="1" si="25"/>
        <v>100</v>
      </c>
      <c r="V17" s="81">
        <f ca="1">IFERROR(__xludf.DUMMYFUNCTION("IMPORTRANGE(""https://docs.google.com/spreadsheets/d/1JWG2rZePOz9pe-f-ObA-yDr0VoOX2kSb0qIix2mTUo8/edit?usp=sharing"",""ตาก!I144"")"),5)</f>
        <v>5</v>
      </c>
      <c r="W17" s="81">
        <f ca="1">IFERROR(__xludf.DUMMYFUNCTION("IMPORTRANGE(""https://docs.google.com/spreadsheets/d/1JWG2rZePOz9pe-f-ObA-yDr0VoOX2kSb0qIix2mTUo8/edit?usp=sharing"",""ตาก!J144"")"),5)</f>
        <v>5</v>
      </c>
      <c r="X17" s="82">
        <f t="shared" ca="1" si="26"/>
        <v>100</v>
      </c>
      <c r="Y17" s="81">
        <f ca="1">IFERROR(__xludf.DUMMYFUNCTION("IMPORTRANGE(""https://docs.google.com/spreadsheets/d/1JWG2rZePOz9pe-f-ObA-yDr0VoOX2kSb0qIix2mTUo8/edit?usp=sharing"",""ตาก!I145"")"),10)</f>
        <v>10</v>
      </c>
      <c r="Z17" s="81">
        <f ca="1">IFERROR(__xludf.DUMMYFUNCTION("IMPORTRANGE(""https://docs.google.com/spreadsheets/d/1JWG2rZePOz9pe-f-ObA-yDr0VoOX2kSb0qIix2mTUo8/edit?usp=sharing"",""ตาก!J145"")"),10)</f>
        <v>10</v>
      </c>
      <c r="AA17" s="82">
        <f t="shared" ca="1" si="27"/>
        <v>100</v>
      </c>
      <c r="AB17" s="81">
        <f ca="1">IFERROR(__xludf.DUMMYFUNCTION("IMPORTRANGE(""https://docs.google.com/spreadsheets/d/1JWG2rZePOz9pe-f-ObA-yDr0VoOX2kSb0qIix2mTUo8/edit?usp=sharing"",""ตาก!I146"")"),1)</f>
        <v>1</v>
      </c>
      <c r="AC17" s="81">
        <f ca="1">IFERROR(__xludf.DUMMYFUNCTION("IMPORTRANGE(""https://docs.google.com/spreadsheets/d/1JWG2rZePOz9pe-f-ObA-yDr0VoOX2kSb0qIix2mTUo8/edit?usp=sharing"",""ตาก!J146"")"),1)</f>
        <v>1</v>
      </c>
      <c r="AD17" s="82">
        <f t="shared" ca="1" si="28"/>
        <v>100</v>
      </c>
    </row>
    <row r="18" spans="1:30" ht="24" customHeight="1" x14ac:dyDescent="0.2">
      <c r="A18" s="73">
        <v>5</v>
      </c>
      <c r="B18" s="74" t="s">
        <v>40</v>
      </c>
      <c r="C18" s="75">
        <f t="shared" ca="1" si="0"/>
        <v>239255</v>
      </c>
      <c r="D18" s="76">
        <f t="shared" ca="1" si="35"/>
        <v>136255</v>
      </c>
      <c r="E18" s="77">
        <f ca="1">IFERROR(__xludf.DUMMYFUNCTION("IMPORTRANGE(""https://docs.google.com/spreadsheets/d/1MeEWN-I1oV_STSDYn1IFDPWt_1FKiwhDph83XaGc0o0/edit?usp=sharing"",""งบพรบ!BL18"")"),87600)</f>
        <v>87600</v>
      </c>
      <c r="F18" s="77">
        <f ca="1">IFERROR(__xludf.DUMMYFUNCTION("IMPORTRANGE(""https://docs.google.com/spreadsheets/d/1MeEWN-I1oV_STSDYn1IFDPWt_1FKiwhDph83XaGc0o0/edit?usp=sharing"",""งบพรบ!BM18"")"),48655)</f>
        <v>48655</v>
      </c>
      <c r="G18" s="77">
        <f ca="1">IFERROR(__xludf.DUMMYFUNCTION("IMPORTRANGE(""https://docs.google.com/spreadsheets/d/1MeEWN-I1oV_STSDYn1IFDPWt_1FKiwhDph83XaGc0o0/edit?usp=sharing"",""งบพรบ!BN18"")"),103000)</f>
        <v>103000</v>
      </c>
      <c r="H18" s="77">
        <f ca="1">IFERROR(__xludf.DUMMYFUNCTION("IMPORTRANGE(""https://docs.google.com/spreadsheets/d/1MeEWN-I1oV_STSDYn1IFDPWt_1FKiwhDph83XaGc0o0/edit?usp=sharing"",""งบพรบ!BP18"")"),136255)</f>
        <v>136255</v>
      </c>
      <c r="I18" s="77">
        <f ca="1">IFERROR(__xludf.DUMMYFUNCTION("IMPORTRANGE(""https://docs.google.com/spreadsheets/d/1MeEWN-I1oV_STSDYn1IFDPWt_1FKiwhDph83XaGc0o0/edit?usp=sharing"",""งบพรบ!BQ18"")"),103000)</f>
        <v>103000</v>
      </c>
      <c r="J18" s="77">
        <f t="shared" ca="1" si="3"/>
        <v>216978</v>
      </c>
      <c r="K18" s="78">
        <f t="shared" ca="1" si="4"/>
        <v>90.689013813713402</v>
      </c>
      <c r="L18" s="77">
        <f ca="1">IFERROR(__xludf.DUMMYFUNCTION("IMPORTRANGE(""https://docs.google.com/spreadsheets/d/1MeEWN-I1oV_STSDYn1IFDPWt_1FKiwhDph83XaGc0o0/edit?usp=sharing"",""งบพรบ!BR18"")"),113978)</f>
        <v>113978</v>
      </c>
      <c r="M18" s="79">
        <f t="shared" ca="1" si="5"/>
        <v>83.65050823822979</v>
      </c>
      <c r="N18" s="79">
        <f t="shared" ca="1" si="6"/>
        <v>83.65050823822979</v>
      </c>
      <c r="O18" s="80">
        <f ca="1">IFERROR(__xludf.DUMMYFUNCTION("IMPORTRANGE(""https://docs.google.com/spreadsheets/d/1MeEWN-I1oV_STSDYn1IFDPWt_1FKiwhDph83XaGc0o0/edit?usp=sharing"",""งบพรบ!BS18"")"),103000)</f>
        <v>103000</v>
      </c>
      <c r="P18" s="80">
        <f t="shared" ca="1" si="30"/>
        <v>100</v>
      </c>
      <c r="Q18" s="79">
        <f t="shared" ca="1" si="8"/>
        <v>100</v>
      </c>
      <c r="R18" s="81">
        <f ca="1">IFERROR(__xludf.DUMMYFUNCTION("IMPORTRANGE(""https://docs.google.com/spreadsheets/d/10nSRjK08hx8Y6HgSOQKNw81lyY46Zc7U_Cj72hBMp9U/edit?usp=sharing"",""นครสวรรค์!J142"")"),10)</f>
        <v>10</v>
      </c>
      <c r="S18" s="81">
        <f ca="1">IFERROR(__xludf.DUMMYFUNCTION("IMPORTRANGE(""https://docs.google.com/spreadsheets/d/10nSRjK08hx8Y6HgSOQKNw81lyY46Zc7U_Cj72hBMp9U/edit?usp=sharing"",""นครสวรรค์!I143"")"),10)</f>
        <v>10</v>
      </c>
      <c r="T18" s="81">
        <f ca="1">IFERROR(__xludf.DUMMYFUNCTION("IMPORTRANGE(""https://docs.google.com/spreadsheets/d/10nSRjK08hx8Y6HgSOQKNw81lyY46Zc7U_Cj72hBMp9U/edit?usp=sharing"",""นครสวรรค์!J143"")"),10)</f>
        <v>10</v>
      </c>
      <c r="U18" s="82">
        <f t="shared" ca="1" si="25"/>
        <v>100</v>
      </c>
      <c r="V18" s="81">
        <f ca="1">IFERROR(__xludf.DUMMYFUNCTION("IMPORTRANGE(""https://docs.google.com/spreadsheets/d/10nSRjK08hx8Y6HgSOQKNw81lyY46Zc7U_Cj72hBMp9U/edit?usp=sharing"",""นครสวรรค์!I144"")"),5)</f>
        <v>5</v>
      </c>
      <c r="W18" s="81">
        <f ca="1">IFERROR(__xludf.DUMMYFUNCTION("IMPORTRANGE(""https://docs.google.com/spreadsheets/d/10nSRjK08hx8Y6HgSOQKNw81lyY46Zc7U_Cj72hBMp9U/edit?usp=sharing"",""นครสวรรค์!J144"")"),5)</f>
        <v>5</v>
      </c>
      <c r="X18" s="82">
        <f t="shared" ca="1" si="26"/>
        <v>100</v>
      </c>
      <c r="Y18" s="81">
        <f ca="1">IFERROR(__xludf.DUMMYFUNCTION("IMPORTRANGE(""https://docs.google.com/spreadsheets/d/10nSRjK08hx8Y6HgSOQKNw81lyY46Zc7U_Cj72hBMp9U/edit?usp=sharing"",""นครสวรรค์!I145"")"),10)</f>
        <v>10</v>
      </c>
      <c r="Z18" s="81">
        <f ca="1">IFERROR(__xludf.DUMMYFUNCTION("IMPORTRANGE(""https://docs.google.com/spreadsheets/d/10nSRjK08hx8Y6HgSOQKNw81lyY46Zc7U_Cj72hBMp9U/edit?usp=sharing"",""นครสวรรค์!J145"")"),10)</f>
        <v>10</v>
      </c>
      <c r="AA18" s="82">
        <f t="shared" ca="1" si="27"/>
        <v>100</v>
      </c>
      <c r="AB18" s="81">
        <f ca="1">IFERROR(__xludf.DUMMYFUNCTION("IMPORTRANGE(""https://docs.google.com/spreadsheets/d/10nSRjK08hx8Y6HgSOQKNw81lyY46Zc7U_Cj72hBMp9U/edit?usp=sharing"",""นครสวรรค์!I146"")"),1)</f>
        <v>1</v>
      </c>
      <c r="AC18" s="81">
        <f ca="1">IFERROR(__xludf.DUMMYFUNCTION("IMPORTRANGE(""https://docs.google.com/spreadsheets/d/10nSRjK08hx8Y6HgSOQKNw81lyY46Zc7U_Cj72hBMp9U/edit?usp=sharing"",""นครสวรรค์!J146"")"),1)</f>
        <v>1</v>
      </c>
      <c r="AD18" s="82">
        <f t="shared" ca="1" si="28"/>
        <v>100</v>
      </c>
    </row>
    <row r="19" spans="1:30" ht="24" customHeight="1" x14ac:dyDescent="0.2">
      <c r="A19" s="73">
        <v>6</v>
      </c>
      <c r="B19" s="74" t="s">
        <v>41</v>
      </c>
      <c r="C19" s="75">
        <f t="shared" ca="1" si="0"/>
        <v>303310</v>
      </c>
      <c r="D19" s="76">
        <f t="shared" ca="1" si="35"/>
        <v>97310</v>
      </c>
      <c r="E19" s="77">
        <f ca="1">IFERROR(__xludf.DUMMYFUNCTION("IMPORTRANGE(""https://docs.google.com/spreadsheets/d/1MeEWN-I1oV_STSDYn1IFDPWt_1FKiwhDph83XaGc0o0/edit?usp=sharing"",""งบพรบ!BL19"")"),0)</f>
        <v>0</v>
      </c>
      <c r="F19" s="77">
        <f ca="1">IFERROR(__xludf.DUMMYFUNCTION("IMPORTRANGE(""https://docs.google.com/spreadsheets/d/1MeEWN-I1oV_STSDYn1IFDPWt_1FKiwhDph83XaGc0o0/edit?usp=sharing"",""งบพรบ!BM19"")"),97310)</f>
        <v>97310</v>
      </c>
      <c r="G19" s="77">
        <f ca="1">IFERROR(__xludf.DUMMYFUNCTION("IMPORTRANGE(""https://docs.google.com/spreadsheets/d/1MeEWN-I1oV_STSDYn1IFDPWt_1FKiwhDph83XaGc0o0/edit?usp=sharing"",""งบพรบ!BN19"")"),206000)</f>
        <v>206000</v>
      </c>
      <c r="H19" s="77">
        <f ca="1">IFERROR(__xludf.DUMMYFUNCTION("IMPORTRANGE(""https://docs.google.com/spreadsheets/d/1MeEWN-I1oV_STSDYn1IFDPWt_1FKiwhDph83XaGc0o0/edit?usp=sharing"",""งบพรบ!BP19"")"),97310)</f>
        <v>97310</v>
      </c>
      <c r="I19" s="77">
        <f ca="1">IFERROR(__xludf.DUMMYFUNCTION("IMPORTRANGE(""https://docs.google.com/spreadsheets/d/1MeEWN-I1oV_STSDYn1IFDPWt_1FKiwhDph83XaGc0o0/edit?usp=sharing"",""งบพรบ!BQ19"")"),179000)</f>
        <v>179000</v>
      </c>
      <c r="J19" s="77">
        <f t="shared" ca="1" si="3"/>
        <v>260970</v>
      </c>
      <c r="K19" s="78">
        <f t="shared" ca="1" si="4"/>
        <v>86.040684448254268</v>
      </c>
      <c r="L19" s="77">
        <f ca="1">IFERROR(__xludf.DUMMYFUNCTION("IMPORTRANGE(""https://docs.google.com/spreadsheets/d/1MeEWN-I1oV_STSDYn1IFDPWt_1FKiwhDph83XaGc0o0/edit?usp=sharing"",""งบพรบ!BR19"")"),81970)</f>
        <v>81970</v>
      </c>
      <c r="M19" s="79">
        <f t="shared" ca="1" si="5"/>
        <v>84.235946973589563</v>
      </c>
      <c r="N19" s="79">
        <f t="shared" ca="1" si="6"/>
        <v>84.235946973589563</v>
      </c>
      <c r="O19" s="80">
        <f ca="1">IFERROR(__xludf.DUMMYFUNCTION("IMPORTRANGE(""https://docs.google.com/spreadsheets/d/1MeEWN-I1oV_STSDYn1IFDPWt_1FKiwhDph83XaGc0o0/edit?usp=sharing"",""งบพรบ!BS19"")"),179000)</f>
        <v>179000</v>
      </c>
      <c r="P19" s="80">
        <f t="shared" ca="1" si="30"/>
        <v>86.893203883495147</v>
      </c>
      <c r="Q19" s="79">
        <f t="shared" ca="1" si="8"/>
        <v>100</v>
      </c>
      <c r="R19" s="81">
        <f ca="1">IFERROR(__xludf.DUMMYFUNCTION("IMPORTRANGE(""https://docs.google.com/spreadsheets/d/1gFVb7qd7amutrIxAAoM7lcy35hllxznovot8lyOfvDo/edit?usp=sharing"",""น่าน!J142"")"),0)</f>
        <v>0</v>
      </c>
      <c r="S19" s="81">
        <f ca="1">IFERROR(__xludf.DUMMYFUNCTION("IMPORTRANGE(""https://docs.google.com/spreadsheets/d/1gFVb7qd7amutrIxAAoM7lcy35hllxznovot8lyOfvDo/edit?usp=sharing"",""น่าน!I143"")"),20)</f>
        <v>20</v>
      </c>
      <c r="T19" s="81">
        <f ca="1">IFERROR(__xludf.DUMMYFUNCTION("IMPORTRANGE(""https://docs.google.com/spreadsheets/d/1gFVb7qd7amutrIxAAoM7lcy35hllxznovot8lyOfvDo/edit?usp=sharing"",""น่าน!J143"")"),20)</f>
        <v>20</v>
      </c>
      <c r="U19" s="82">
        <f t="shared" ca="1" si="25"/>
        <v>100</v>
      </c>
      <c r="V19" s="81">
        <f ca="1">IFERROR(__xludf.DUMMYFUNCTION("IMPORTRANGE(""https://docs.google.com/spreadsheets/d/1gFVb7qd7amutrIxAAoM7lcy35hllxznovot8lyOfvDo/edit?usp=sharing"",""น่าน!I144"")"),10)</f>
        <v>10</v>
      </c>
      <c r="W19" s="81">
        <f ca="1">IFERROR(__xludf.DUMMYFUNCTION("IMPORTRANGE(""https://docs.google.com/spreadsheets/d/1gFVb7qd7amutrIxAAoM7lcy35hllxznovot8lyOfvDo/edit?usp=sharing"",""น่าน!J144"")"),20)</f>
        <v>20</v>
      </c>
      <c r="X19" s="82">
        <f t="shared" ca="1" si="26"/>
        <v>200</v>
      </c>
      <c r="Y19" s="81">
        <f ca="1">IFERROR(__xludf.DUMMYFUNCTION("IMPORTRANGE(""https://docs.google.com/spreadsheets/d/1gFVb7qd7amutrIxAAoM7lcy35hllxznovot8lyOfvDo/edit?usp=sharing"",""น่าน!I145"")"),20)</f>
        <v>20</v>
      </c>
      <c r="Z19" s="81">
        <f ca="1">IFERROR(__xludf.DUMMYFUNCTION("IMPORTRANGE(""https://docs.google.com/spreadsheets/d/1gFVb7qd7amutrIxAAoM7lcy35hllxznovot8lyOfvDo/edit?usp=sharing"",""น่าน!J145"")"),20)</f>
        <v>20</v>
      </c>
      <c r="AA19" s="82">
        <f t="shared" ca="1" si="27"/>
        <v>100</v>
      </c>
      <c r="AB19" s="81">
        <f ca="1">IFERROR(__xludf.DUMMYFUNCTION("IMPORTRANGE(""https://docs.google.com/spreadsheets/d/1gFVb7qd7amutrIxAAoM7lcy35hllxznovot8lyOfvDo/edit?usp=sharing"",""น่าน!I146"")"),2)</f>
        <v>2</v>
      </c>
      <c r="AC19" s="81">
        <f ca="1">IFERROR(__xludf.DUMMYFUNCTION("IMPORTRANGE(""https://docs.google.com/spreadsheets/d/1gFVb7qd7amutrIxAAoM7lcy35hllxznovot8lyOfvDo/edit?usp=sharing"",""น่าน!J146"")"),2)</f>
        <v>2</v>
      </c>
      <c r="AD19" s="82">
        <f t="shared" ca="1" si="28"/>
        <v>100</v>
      </c>
    </row>
    <row r="20" spans="1:30" ht="24" customHeight="1" x14ac:dyDescent="0.2">
      <c r="A20" s="73">
        <v>7</v>
      </c>
      <c r="B20" s="74" t="s">
        <v>42</v>
      </c>
      <c r="C20" s="75">
        <f t="shared" ca="1" si="0"/>
        <v>0</v>
      </c>
      <c r="D20" s="76">
        <f t="shared" ca="1" si="35"/>
        <v>0</v>
      </c>
      <c r="E20" s="77">
        <f ca="1">IFERROR(__xludf.DUMMYFUNCTION("IMPORTRANGE(""https://docs.google.com/spreadsheets/d/1MeEWN-I1oV_STSDYn1IFDPWt_1FKiwhDph83XaGc0o0/edit?usp=sharing"",""งบพรบ!BL20"")"),0)</f>
        <v>0</v>
      </c>
      <c r="F20" s="77">
        <f ca="1">IFERROR(__xludf.DUMMYFUNCTION("IMPORTRANGE(""https://docs.google.com/spreadsheets/d/1MeEWN-I1oV_STSDYn1IFDPWt_1FKiwhDph83XaGc0o0/edit?usp=sharing"",""งบพรบ!BM20"")"),0)</f>
        <v>0</v>
      </c>
      <c r="G20" s="77">
        <f ca="1">IFERROR(__xludf.DUMMYFUNCTION("IMPORTRANGE(""https://docs.google.com/spreadsheets/d/1MeEWN-I1oV_STSDYn1IFDPWt_1FKiwhDph83XaGc0o0/edit?usp=sharing"",""งบพรบ!BN20"")"),0)</f>
        <v>0</v>
      </c>
      <c r="H20" s="77">
        <f ca="1">IFERROR(__xludf.DUMMYFUNCTION("IMPORTRANGE(""https://docs.google.com/spreadsheets/d/1MeEWN-I1oV_STSDYn1IFDPWt_1FKiwhDph83XaGc0o0/edit?usp=sharing"",""งบพรบ!BP20"")"),0)</f>
        <v>0</v>
      </c>
      <c r="I20" s="77">
        <f ca="1">IFERROR(__xludf.DUMMYFUNCTION("IMPORTRANGE(""https://docs.google.com/spreadsheets/d/1MeEWN-I1oV_STSDYn1IFDPWt_1FKiwhDph83XaGc0o0/edit?usp=sharing"",""งบพรบ!BQ20"")"),0)</f>
        <v>0</v>
      </c>
      <c r="J20" s="77">
        <f t="shared" ca="1" si="3"/>
        <v>0</v>
      </c>
      <c r="K20" s="78">
        <f t="shared" ca="1" si="4"/>
        <v>0</v>
      </c>
      <c r="L20" s="77">
        <f ca="1">IFERROR(__xludf.DUMMYFUNCTION("IMPORTRANGE(""https://docs.google.com/spreadsheets/d/1MeEWN-I1oV_STSDYn1IFDPWt_1FKiwhDph83XaGc0o0/edit?usp=sharing"",""งบพรบ!BR20"")"),0)</f>
        <v>0</v>
      </c>
      <c r="M20" s="79">
        <f t="shared" ca="1" si="5"/>
        <v>0</v>
      </c>
      <c r="N20" s="79">
        <f t="shared" ca="1" si="6"/>
        <v>0</v>
      </c>
      <c r="O20" s="80">
        <f ca="1">IFERROR(__xludf.DUMMYFUNCTION("IMPORTRANGE(""https://docs.google.com/spreadsheets/d/1MeEWN-I1oV_STSDYn1IFDPWt_1FKiwhDph83XaGc0o0/edit?usp=sharing"",""งบพรบ!BS20"")"),0)</f>
        <v>0</v>
      </c>
      <c r="P20" s="80">
        <f t="shared" ca="1" si="30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IFERROR(__xludf.DUMMYFUNCTION("IMPORTRANGE(""https://docs.google.com/spreadsheets/d/1K0Aa9s-6EuHE5M0FG1F9aHLXRCOV917xvycTdLdct0w/edit?usp=sharing"",""พะเยา!J142"")"),0)</f>
        <v>0</v>
      </c>
      <c r="S20" s="81">
        <f ca="1">IFERROR(__xludf.DUMMYFUNCTION("IMPORTRANGE(""https://docs.google.com/spreadsheets/d/1K0Aa9s-6EuHE5M0FG1F9aHLXRCOV917xvycTdLdct0w/edit?usp=sharing"",""พะเยา!I143"")"),0)</f>
        <v>0</v>
      </c>
      <c r="T20" s="81">
        <f ca="1">IFERROR(__xludf.DUMMYFUNCTION("IMPORTRANGE(""https://docs.google.com/spreadsheets/d/1K0Aa9s-6EuHE5M0FG1F9aHLXRCOV917xvycTdLdct0w/edit?usp=sharing"",""พะเยา!J143"")"),0)</f>
        <v>0</v>
      </c>
      <c r="U20" s="82">
        <f t="shared" ca="1" si="25"/>
        <v>0</v>
      </c>
      <c r="V20" s="81">
        <f ca="1">IFERROR(__xludf.DUMMYFUNCTION("IMPORTRANGE(""https://docs.google.com/spreadsheets/d/1K0Aa9s-6EuHE5M0FG1F9aHLXRCOV917xvycTdLdct0w/edit?usp=sharing"",""พะเยา!I144"")"),0)</f>
        <v>0</v>
      </c>
      <c r="W20" s="81">
        <f ca="1">IFERROR(__xludf.DUMMYFUNCTION("IMPORTRANGE(""https://docs.google.com/spreadsheets/d/1K0Aa9s-6EuHE5M0FG1F9aHLXRCOV917xvycTdLdct0w/edit?usp=sharing"",""พะเยา!J144"")"),0)</f>
        <v>0</v>
      </c>
      <c r="X20" s="82">
        <f t="shared" ca="1" si="26"/>
        <v>0</v>
      </c>
      <c r="Y20" s="81">
        <f ca="1">IFERROR(__xludf.DUMMYFUNCTION("IMPORTRANGE(""https://docs.google.com/spreadsheets/d/1K0Aa9s-6EuHE5M0FG1F9aHLXRCOV917xvycTdLdct0w/edit?usp=sharing"",""พะเยา!I145"")"),0)</f>
        <v>0</v>
      </c>
      <c r="Z20" s="81">
        <f ca="1">IFERROR(__xludf.DUMMYFUNCTION("IMPORTRANGE(""https://docs.google.com/spreadsheets/d/1K0Aa9s-6EuHE5M0FG1F9aHLXRCOV917xvycTdLdct0w/edit?usp=sharing"",""พะเยา!J145"")"),0)</f>
        <v>0</v>
      </c>
      <c r="AA20" s="82">
        <f t="shared" ca="1" si="27"/>
        <v>0</v>
      </c>
      <c r="AB20" s="81">
        <f ca="1">IFERROR(__xludf.DUMMYFUNCTION("IMPORTRANGE(""https://docs.google.com/spreadsheets/d/1K0Aa9s-6EuHE5M0FG1F9aHLXRCOV917xvycTdLdct0w/edit?usp=sharing"",""พะเยา!I146"")"),0)</f>
        <v>0</v>
      </c>
      <c r="AC20" s="81">
        <f ca="1">IFERROR(__xludf.DUMMYFUNCTION("IMPORTRANGE(""https://docs.google.com/spreadsheets/d/1K0Aa9s-6EuHE5M0FG1F9aHLXRCOV917xvycTdLdct0w/edit?usp=sharing"",""พะเยา!J146"")"),0)</f>
        <v>0</v>
      </c>
      <c r="AD20" s="82">
        <f t="shared" ca="1" si="28"/>
        <v>0</v>
      </c>
    </row>
    <row r="21" spans="1:3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35"/>
        <v>0</v>
      </c>
      <c r="E21" s="77">
        <f ca="1">IFERROR(__xludf.DUMMYFUNCTION("IMPORTRANGE(""https://docs.google.com/spreadsheets/d/1MeEWN-I1oV_STSDYn1IFDPWt_1FKiwhDph83XaGc0o0/edit?usp=sharing"",""งบพรบ!BL21"")"),0)</f>
        <v>0</v>
      </c>
      <c r="F21" s="77">
        <f ca="1">IFERROR(__xludf.DUMMYFUNCTION("IMPORTRANGE(""https://docs.google.com/spreadsheets/d/1MeEWN-I1oV_STSDYn1IFDPWt_1FKiwhDph83XaGc0o0/edit?usp=sharing"",""งบพรบ!BM21"")"),0)</f>
        <v>0</v>
      </c>
      <c r="G21" s="77">
        <f ca="1">IFERROR(__xludf.DUMMYFUNCTION("IMPORTRANGE(""https://docs.google.com/spreadsheets/d/1MeEWN-I1oV_STSDYn1IFDPWt_1FKiwhDph83XaGc0o0/edit?usp=sharing"",""งบพรบ!BN21"")"),0)</f>
        <v>0</v>
      </c>
      <c r="H21" s="77">
        <f ca="1">IFERROR(__xludf.DUMMYFUNCTION("IMPORTRANGE(""https://docs.google.com/spreadsheets/d/1MeEWN-I1oV_STSDYn1IFDPWt_1FKiwhDph83XaGc0o0/edit?usp=sharing"",""งบพรบ!BP21"")"),0)</f>
        <v>0</v>
      </c>
      <c r="I21" s="77">
        <f ca="1">IFERROR(__xludf.DUMMYFUNCTION("IMPORTRANGE(""https://docs.google.com/spreadsheets/d/1MeEWN-I1oV_STSDYn1IFDPWt_1FKiwhDph83XaGc0o0/edit?usp=sharing"",""งบพรบ!BQ21"")"),0)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IFERROR(__xludf.DUMMYFUNCTION("IMPORTRANGE(""https://docs.google.com/spreadsheets/d/1MeEWN-I1oV_STSDYn1IFDPWt_1FKiwhDph83XaGc0o0/edit?usp=sharing"",""งบพรบ!BR21"")"),0)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IFERROR(__xludf.DUMMYFUNCTION("IMPORTRANGE(""https://docs.google.com/spreadsheets/d/1MeEWN-I1oV_STSDYn1IFDPWt_1FKiwhDph83XaGc0o0/edit?usp=sharing"",""งบพรบ!BS21"")"),0)</f>
        <v>0</v>
      </c>
      <c r="P21" s="80">
        <f t="shared" ca="1" si="30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IFERROR(__xludf.DUMMYFUNCTION("IMPORTRANGE(""https://docs.google.com/spreadsheets/d/1Y9LPKx95PyL5OKy09d-KbKJSuuEZCFdkhYjwC0XQjBA/edit?usp=sharing"",""พิจิตร!J142"")"),0)</f>
        <v>0</v>
      </c>
      <c r="S21" s="81">
        <f ca="1">IFERROR(__xludf.DUMMYFUNCTION("IMPORTRANGE(""https://docs.google.com/spreadsheets/d/1Y9LPKx95PyL5OKy09d-KbKJSuuEZCFdkhYjwC0XQjBA/edit?usp=sharing"",""พิจิตร!I143"")"),0)</f>
        <v>0</v>
      </c>
      <c r="T21" s="81">
        <f ca="1">IFERROR(__xludf.DUMMYFUNCTION("IMPORTRANGE(""https://docs.google.com/spreadsheets/d/1Y9LPKx95PyL5OKy09d-KbKJSuuEZCFdkhYjwC0XQjBA/edit?usp=sharing"",""พิจิตร!J143"")"),0)</f>
        <v>0</v>
      </c>
      <c r="U21" s="82">
        <f t="shared" ca="1" si="25"/>
        <v>0</v>
      </c>
      <c r="V21" s="81">
        <f ca="1">IFERROR(__xludf.DUMMYFUNCTION("IMPORTRANGE(""https://docs.google.com/spreadsheets/d/1Y9LPKx95PyL5OKy09d-KbKJSuuEZCFdkhYjwC0XQjBA/edit?usp=sharing"",""พิจิตร!I144"")"),0)</f>
        <v>0</v>
      </c>
      <c r="W21" s="81">
        <f ca="1">IFERROR(__xludf.DUMMYFUNCTION("IMPORTRANGE(""https://docs.google.com/spreadsheets/d/1Y9LPKx95PyL5OKy09d-KbKJSuuEZCFdkhYjwC0XQjBA/edit?usp=sharing"",""พิจิตร!J144"")"),0)</f>
        <v>0</v>
      </c>
      <c r="X21" s="82">
        <f t="shared" ca="1" si="26"/>
        <v>0</v>
      </c>
      <c r="Y21" s="81">
        <f ca="1">IFERROR(__xludf.DUMMYFUNCTION("IMPORTRANGE(""https://docs.google.com/spreadsheets/d/1Y9LPKx95PyL5OKy09d-KbKJSuuEZCFdkhYjwC0XQjBA/edit?usp=sharing"",""พิจิตร!I145"")"),0)</f>
        <v>0</v>
      </c>
      <c r="Z21" s="81">
        <f ca="1">IFERROR(__xludf.DUMMYFUNCTION("IMPORTRANGE(""https://docs.google.com/spreadsheets/d/1Y9LPKx95PyL5OKy09d-KbKJSuuEZCFdkhYjwC0XQjBA/edit?usp=sharing"",""พิจิตร!J145"")"),0)</f>
        <v>0</v>
      </c>
      <c r="AA21" s="82">
        <f t="shared" ca="1" si="27"/>
        <v>0</v>
      </c>
      <c r="AB21" s="81">
        <f ca="1">IFERROR(__xludf.DUMMYFUNCTION("IMPORTRANGE(""https://docs.google.com/spreadsheets/d/1Y9LPKx95PyL5OKy09d-KbKJSuuEZCFdkhYjwC0XQjBA/edit?usp=sharing"",""พิจิตร!I146"")"),0)</f>
        <v>0</v>
      </c>
      <c r="AC21" s="81">
        <f ca="1">IFERROR(__xludf.DUMMYFUNCTION("IMPORTRANGE(""https://docs.google.com/spreadsheets/d/1Y9LPKx95PyL5OKy09d-KbKJSuuEZCFdkhYjwC0XQjBA/edit?usp=sharing"",""พิจิตร!J146"")"),0)</f>
        <v>0</v>
      </c>
      <c r="AD21" s="82">
        <f t="shared" ca="1" si="28"/>
        <v>0</v>
      </c>
    </row>
    <row r="22" spans="1:3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35"/>
        <v>0</v>
      </c>
      <c r="E22" s="77">
        <f ca="1">IFERROR(__xludf.DUMMYFUNCTION("IMPORTRANGE(""https://docs.google.com/spreadsheets/d/1MeEWN-I1oV_STSDYn1IFDPWt_1FKiwhDph83XaGc0o0/edit?usp=sharing"",""งบพรบ!BL22"")"),0)</f>
        <v>0</v>
      </c>
      <c r="F22" s="77">
        <f ca="1">IFERROR(__xludf.DUMMYFUNCTION("IMPORTRANGE(""https://docs.google.com/spreadsheets/d/1MeEWN-I1oV_STSDYn1IFDPWt_1FKiwhDph83XaGc0o0/edit?usp=sharing"",""งบพรบ!BM22"")"),0)</f>
        <v>0</v>
      </c>
      <c r="G22" s="77">
        <f ca="1">IFERROR(__xludf.DUMMYFUNCTION("IMPORTRANGE(""https://docs.google.com/spreadsheets/d/1MeEWN-I1oV_STSDYn1IFDPWt_1FKiwhDph83XaGc0o0/edit?usp=sharing"",""งบพรบ!BN22"")"),0)</f>
        <v>0</v>
      </c>
      <c r="H22" s="77">
        <f ca="1">IFERROR(__xludf.DUMMYFUNCTION("IMPORTRANGE(""https://docs.google.com/spreadsheets/d/1MeEWN-I1oV_STSDYn1IFDPWt_1FKiwhDph83XaGc0o0/edit?usp=sharing"",""งบพรบ!BP22"")"),0)</f>
        <v>0</v>
      </c>
      <c r="I22" s="77">
        <f ca="1">IFERROR(__xludf.DUMMYFUNCTION("IMPORTRANGE(""https://docs.google.com/spreadsheets/d/1MeEWN-I1oV_STSDYn1IFDPWt_1FKiwhDph83XaGc0o0/edit?usp=sharing"",""งบพรบ!BQ22"")"),0)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IFERROR(__xludf.DUMMYFUNCTION("IMPORTRANGE(""https://docs.google.com/spreadsheets/d/1MeEWN-I1oV_STSDYn1IFDPWt_1FKiwhDph83XaGc0o0/edit?usp=sharing"",""งบพรบ!BR22"")"),0)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IFERROR(__xludf.DUMMYFUNCTION("IMPORTRANGE(""https://docs.google.com/spreadsheets/d/1MeEWN-I1oV_STSDYn1IFDPWt_1FKiwhDph83XaGc0o0/edit?usp=sharing"",""งบพรบ!BS22"")"),0)</f>
        <v>0</v>
      </c>
      <c r="P22" s="80">
        <f t="shared" ca="1" si="30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IFERROR(__xludf.DUMMYFUNCTION("IMPORTRANGE(""https://docs.google.com/spreadsheets/d/16OMuOwy2eVqZcYWOouQtTpa8X1L23h4660uVHc0C8os/edit?usp=sharing"",""พิษณุโลก!J142"")"),0)</f>
        <v>0</v>
      </c>
      <c r="S22" s="81">
        <f ca="1">IFERROR(__xludf.DUMMYFUNCTION("IMPORTRANGE(""https://docs.google.com/spreadsheets/d/16OMuOwy2eVqZcYWOouQtTpa8X1L23h4660uVHc0C8os/edit?usp=sharing"",""พิษณุโลก!I143"")"),0)</f>
        <v>0</v>
      </c>
      <c r="T22" s="81">
        <f ca="1">IFERROR(__xludf.DUMMYFUNCTION("IMPORTRANGE(""https://docs.google.com/spreadsheets/d/16OMuOwy2eVqZcYWOouQtTpa8X1L23h4660uVHc0C8os/edit?usp=sharing"",""พิษณุโลก!J143"")"),0)</f>
        <v>0</v>
      </c>
      <c r="U22" s="82">
        <f t="shared" ca="1" si="25"/>
        <v>0</v>
      </c>
      <c r="V22" s="81">
        <f ca="1">IFERROR(__xludf.DUMMYFUNCTION("IMPORTRANGE(""https://docs.google.com/spreadsheets/d/16OMuOwy2eVqZcYWOouQtTpa8X1L23h4660uVHc0C8os/edit?usp=sharing"",""พิษณุโลก!I144"")"),0)</f>
        <v>0</v>
      </c>
      <c r="W22" s="81">
        <f ca="1">IFERROR(__xludf.DUMMYFUNCTION("IMPORTRANGE(""https://docs.google.com/spreadsheets/d/16OMuOwy2eVqZcYWOouQtTpa8X1L23h4660uVHc0C8os/edit?usp=sharing"",""พิษณุโลก!J144"")"),0)</f>
        <v>0</v>
      </c>
      <c r="X22" s="82">
        <f t="shared" ca="1" si="26"/>
        <v>0</v>
      </c>
      <c r="Y22" s="81">
        <f ca="1">IFERROR(__xludf.DUMMYFUNCTION("IMPORTRANGE(""https://docs.google.com/spreadsheets/d/16OMuOwy2eVqZcYWOouQtTpa8X1L23h4660uVHc0C8os/edit?usp=sharing"",""พิษณุโลก!I145"")"),0)</f>
        <v>0</v>
      </c>
      <c r="Z22" s="81">
        <f ca="1">IFERROR(__xludf.DUMMYFUNCTION("IMPORTRANGE(""https://docs.google.com/spreadsheets/d/16OMuOwy2eVqZcYWOouQtTpa8X1L23h4660uVHc0C8os/edit?usp=sharing"",""พิษณุโลก!J145"")"),0)</f>
        <v>0</v>
      </c>
      <c r="AA22" s="82">
        <f t="shared" ca="1" si="27"/>
        <v>0</v>
      </c>
      <c r="AB22" s="81">
        <f ca="1">IFERROR(__xludf.DUMMYFUNCTION("IMPORTRANGE(""https://docs.google.com/spreadsheets/d/16OMuOwy2eVqZcYWOouQtTpa8X1L23h4660uVHc0C8os/edit?usp=sharing"",""พิษณุโลก!I146"")"),0)</f>
        <v>0</v>
      </c>
      <c r="AC22" s="81">
        <f ca="1">IFERROR(__xludf.DUMMYFUNCTION("IMPORTRANGE(""https://docs.google.com/spreadsheets/d/16OMuOwy2eVqZcYWOouQtTpa8X1L23h4660uVHc0C8os/edit?usp=sharing"",""พิษณุโลก!J146"")"),0)</f>
        <v>0</v>
      </c>
      <c r="AD22" s="82">
        <f t="shared" ca="1" si="28"/>
        <v>0</v>
      </c>
    </row>
    <row r="23" spans="1:30" ht="24" customHeight="1" x14ac:dyDescent="0.2">
      <c r="A23" s="73">
        <v>10</v>
      </c>
      <c r="B23" s="74" t="s">
        <v>45</v>
      </c>
      <c r="C23" s="75">
        <f t="shared" ca="1" si="0"/>
        <v>239255</v>
      </c>
      <c r="D23" s="76">
        <f t="shared" ca="1" si="35"/>
        <v>136255</v>
      </c>
      <c r="E23" s="77">
        <f ca="1">IFERROR(__xludf.DUMMYFUNCTION("IMPORTRANGE(""https://docs.google.com/spreadsheets/d/1MeEWN-I1oV_STSDYn1IFDPWt_1FKiwhDph83XaGc0o0/edit?usp=sharing"",""งบพรบ!BL23"")"),87600)</f>
        <v>87600</v>
      </c>
      <c r="F23" s="77">
        <f ca="1">IFERROR(__xludf.DUMMYFUNCTION("IMPORTRANGE(""https://docs.google.com/spreadsheets/d/1MeEWN-I1oV_STSDYn1IFDPWt_1FKiwhDph83XaGc0o0/edit?usp=sharing"",""งบพรบ!BM23"")"),48655)</f>
        <v>48655</v>
      </c>
      <c r="G23" s="77">
        <f ca="1">IFERROR(__xludf.DUMMYFUNCTION("IMPORTRANGE(""https://docs.google.com/spreadsheets/d/1MeEWN-I1oV_STSDYn1IFDPWt_1FKiwhDph83XaGc0o0/edit?usp=sharing"",""งบพรบ!BN23"")"),103000)</f>
        <v>103000</v>
      </c>
      <c r="H23" s="77">
        <f ca="1">IFERROR(__xludf.DUMMYFUNCTION("IMPORTRANGE(""https://docs.google.com/spreadsheets/d/1MeEWN-I1oV_STSDYn1IFDPWt_1FKiwhDph83XaGc0o0/edit?usp=sharing"",""งบพรบ!BP23"")"),136255)</f>
        <v>136255</v>
      </c>
      <c r="I23" s="77">
        <f ca="1">IFERROR(__xludf.DUMMYFUNCTION("IMPORTRANGE(""https://docs.google.com/spreadsheets/d/1MeEWN-I1oV_STSDYn1IFDPWt_1FKiwhDph83XaGc0o0/edit?usp=sharing"",""งบพรบ!BQ23"")"),103000)</f>
        <v>103000</v>
      </c>
      <c r="J23" s="77">
        <f t="shared" ca="1" si="3"/>
        <v>220342.5</v>
      </c>
      <c r="K23" s="78">
        <f t="shared" ca="1" si="4"/>
        <v>92.095254017679878</v>
      </c>
      <c r="L23" s="77">
        <f ca="1">IFERROR(__xludf.DUMMYFUNCTION("IMPORTRANGE(""https://docs.google.com/spreadsheets/d/1MeEWN-I1oV_STSDYn1IFDPWt_1FKiwhDph83XaGc0o0/edit?usp=sharing"",""งบพรบ!BR23"")"),117342.5)</f>
        <v>117342.5</v>
      </c>
      <c r="M23" s="79">
        <f t="shared" ca="1" si="5"/>
        <v>86.119775421085464</v>
      </c>
      <c r="N23" s="79">
        <f t="shared" ca="1" si="6"/>
        <v>86.119775421085464</v>
      </c>
      <c r="O23" s="80">
        <f ca="1">IFERROR(__xludf.DUMMYFUNCTION("IMPORTRANGE(""https://docs.google.com/spreadsheets/d/1MeEWN-I1oV_STSDYn1IFDPWt_1FKiwhDph83XaGc0o0/edit?usp=sharing"",""งบพรบ!BS23"")"),103000)</f>
        <v>103000</v>
      </c>
      <c r="P23" s="80">
        <f t="shared" ca="1" si="30"/>
        <v>100</v>
      </c>
      <c r="Q23" s="79">
        <f t="shared" ca="1" si="8"/>
        <v>100</v>
      </c>
      <c r="R23" s="81">
        <f ca="1">IFERROR(__xludf.DUMMYFUNCTION("IMPORTRANGE(""https://docs.google.com/spreadsheets/d/1GfgTldLG6k77HXaMQzaafODklYuucJZQNs_GAPEfZyY/edit?usp=sharing"",""เพชรบูรณ์!J142"")"),0)</f>
        <v>0</v>
      </c>
      <c r="S23" s="81">
        <f ca="1">IFERROR(__xludf.DUMMYFUNCTION("IMPORTRANGE(""https://docs.google.com/spreadsheets/d/1GfgTldLG6k77HXaMQzaafODklYuucJZQNs_GAPEfZyY/edit?usp=sharing"",""เพชรบูรณ์!I143"")"),10)</f>
        <v>10</v>
      </c>
      <c r="T23" s="81">
        <f ca="1">IFERROR(__xludf.DUMMYFUNCTION("IMPORTRANGE(""https://docs.google.com/spreadsheets/d/1GfgTldLG6k77HXaMQzaafODklYuucJZQNs_GAPEfZyY/edit?usp=sharing"",""เพชรบูรณ์!J143"")"),10)</f>
        <v>10</v>
      </c>
      <c r="U23" s="82">
        <f t="shared" ca="1" si="25"/>
        <v>100</v>
      </c>
      <c r="V23" s="81">
        <f ca="1">IFERROR(__xludf.DUMMYFUNCTION("IMPORTRANGE(""https://docs.google.com/spreadsheets/d/1GfgTldLG6k77HXaMQzaafODklYuucJZQNs_GAPEfZyY/edit?usp=sharing"",""เพชรบูรณ์!I144"")"),5)</f>
        <v>5</v>
      </c>
      <c r="W23" s="81">
        <f ca="1">IFERROR(__xludf.DUMMYFUNCTION("IMPORTRANGE(""https://docs.google.com/spreadsheets/d/1GfgTldLG6k77HXaMQzaafODklYuucJZQNs_GAPEfZyY/edit?usp=sharing"",""เพชรบูรณ์!J144"")"),5)</f>
        <v>5</v>
      </c>
      <c r="X23" s="82">
        <f t="shared" ca="1" si="26"/>
        <v>100</v>
      </c>
      <c r="Y23" s="81">
        <f ca="1">IFERROR(__xludf.DUMMYFUNCTION("IMPORTRANGE(""https://docs.google.com/spreadsheets/d/1GfgTldLG6k77HXaMQzaafODklYuucJZQNs_GAPEfZyY/edit?usp=sharing"",""เพชรบูรณ์!I145"")"),10)</f>
        <v>10</v>
      </c>
      <c r="Z23" s="81">
        <f ca="1">IFERROR(__xludf.DUMMYFUNCTION("IMPORTRANGE(""https://docs.google.com/spreadsheets/d/1GfgTldLG6k77HXaMQzaafODklYuucJZQNs_GAPEfZyY/edit?usp=sharing"",""เพชรบูรณ์!J145"")"),10)</f>
        <v>10</v>
      </c>
      <c r="AA23" s="82">
        <f t="shared" ca="1" si="27"/>
        <v>100</v>
      </c>
      <c r="AB23" s="81">
        <f ca="1">IFERROR(__xludf.DUMMYFUNCTION("IMPORTRANGE(""https://docs.google.com/spreadsheets/d/1GfgTldLG6k77HXaMQzaafODklYuucJZQNs_GAPEfZyY/edit?usp=sharing"",""เพชรบูรณ์!I146"")"),1)</f>
        <v>1</v>
      </c>
      <c r="AC23" s="81">
        <f ca="1">IFERROR(__xludf.DUMMYFUNCTION("IMPORTRANGE(""https://docs.google.com/spreadsheets/d/1GfgTldLG6k77HXaMQzaafODklYuucJZQNs_GAPEfZyY/edit?usp=sharing"",""เพชรบูรณ์!J146"")"),1)</f>
        <v>1</v>
      </c>
      <c r="AD23" s="82">
        <f t="shared" ca="1" si="28"/>
        <v>100</v>
      </c>
    </row>
    <row r="24" spans="1:30" ht="24" customHeight="1" x14ac:dyDescent="0.2">
      <c r="A24" s="73">
        <v>11</v>
      </c>
      <c r="B24" s="74" t="s">
        <v>46</v>
      </c>
      <c r="C24" s="75">
        <f t="shared" ca="1" si="0"/>
        <v>542565</v>
      </c>
      <c r="D24" s="76">
        <f t="shared" ca="1" si="35"/>
        <v>233565</v>
      </c>
      <c r="E24" s="77">
        <f ca="1">IFERROR(__xludf.DUMMYFUNCTION("IMPORTRANGE(""https://docs.google.com/spreadsheets/d/1MeEWN-I1oV_STSDYn1IFDPWt_1FKiwhDph83XaGc0o0/edit?usp=sharing"",""งบพรบ!BL24"")"),87600)</f>
        <v>87600</v>
      </c>
      <c r="F24" s="77">
        <f ca="1">IFERROR(__xludf.DUMMYFUNCTION("IMPORTRANGE(""https://docs.google.com/spreadsheets/d/1MeEWN-I1oV_STSDYn1IFDPWt_1FKiwhDph83XaGc0o0/edit?usp=sharing"",""งบพรบ!BM24"")"),145965)</f>
        <v>145965</v>
      </c>
      <c r="G24" s="77">
        <f ca="1">IFERROR(__xludf.DUMMYFUNCTION("IMPORTRANGE(""https://docs.google.com/spreadsheets/d/1MeEWN-I1oV_STSDYn1IFDPWt_1FKiwhDph83XaGc0o0/edit?usp=sharing"",""งบพรบ!BN24"")"),309000)</f>
        <v>309000</v>
      </c>
      <c r="H24" s="77">
        <f ca="1">IFERROR(__xludf.DUMMYFUNCTION("IMPORTRANGE(""https://docs.google.com/spreadsheets/d/1MeEWN-I1oV_STSDYn1IFDPWt_1FKiwhDph83XaGc0o0/edit?usp=sharing"",""งบพรบ!BP24"")"),233565)</f>
        <v>233565</v>
      </c>
      <c r="I24" s="77">
        <f ca="1">IFERROR(__xludf.DUMMYFUNCTION("IMPORTRANGE(""https://docs.google.com/spreadsheets/d/1MeEWN-I1oV_STSDYn1IFDPWt_1FKiwhDph83XaGc0o0/edit?usp=sharing"",""งบพรบ!BQ24"")"),307500)</f>
        <v>307500</v>
      </c>
      <c r="J24" s="77">
        <f t="shared" ca="1" si="3"/>
        <v>495382.37</v>
      </c>
      <c r="K24" s="78">
        <f t="shared" ca="1" si="4"/>
        <v>91.303782956880738</v>
      </c>
      <c r="L24" s="77">
        <f ca="1">IFERROR(__xludf.DUMMYFUNCTION("IMPORTRANGE(""https://docs.google.com/spreadsheets/d/1MeEWN-I1oV_STSDYn1IFDPWt_1FKiwhDph83XaGc0o0/edit?usp=sharing"",""งบพรบ!BR24"")"),187882.37)</f>
        <v>187882.37</v>
      </c>
      <c r="M24" s="79">
        <f t="shared" ca="1" si="5"/>
        <v>80.441149144777683</v>
      </c>
      <c r="N24" s="79">
        <f t="shared" ca="1" si="6"/>
        <v>80.441149144777683</v>
      </c>
      <c r="O24" s="80">
        <f ca="1">IFERROR(__xludf.DUMMYFUNCTION("IMPORTRANGE(""https://docs.google.com/spreadsheets/d/1MeEWN-I1oV_STSDYn1IFDPWt_1FKiwhDph83XaGc0o0/edit?usp=sharing"",""งบพรบ!BS24"")"),307500)</f>
        <v>307500</v>
      </c>
      <c r="P24" s="80">
        <f t="shared" ca="1" si="30"/>
        <v>99.514563106796118</v>
      </c>
      <c r="Q24" s="79">
        <f t="shared" ca="1" si="8"/>
        <v>100</v>
      </c>
      <c r="R24" s="81">
        <f ca="1">IFERROR(__xludf.DUMMYFUNCTION("IMPORTRANGE(""https://docs.google.com/spreadsheets/d/1gvTMYAnm7v1yG1BKWFtr0DnaTsq59oW9dwWvFgq6hs0/edit?usp=sharing"",""แพร่!J142"")"),30)</f>
        <v>30</v>
      </c>
      <c r="S24" s="81">
        <f ca="1">IFERROR(__xludf.DUMMYFUNCTION("IMPORTRANGE(""https://docs.google.com/spreadsheets/d/1gvTMYAnm7v1yG1BKWFtr0DnaTsq59oW9dwWvFgq6hs0/edit?usp=sharing"",""แพร่!I143"")"),30)</f>
        <v>30</v>
      </c>
      <c r="T24" s="81">
        <f ca="1">IFERROR(__xludf.DUMMYFUNCTION("IMPORTRANGE(""https://docs.google.com/spreadsheets/d/1gvTMYAnm7v1yG1BKWFtr0DnaTsq59oW9dwWvFgq6hs0/edit?usp=sharing"",""แพร่!J143"")"),30)</f>
        <v>30</v>
      </c>
      <c r="U24" s="82">
        <f t="shared" ca="1" si="25"/>
        <v>100</v>
      </c>
      <c r="V24" s="81">
        <f ca="1">IFERROR(__xludf.DUMMYFUNCTION("IMPORTRANGE(""https://docs.google.com/spreadsheets/d/1gvTMYAnm7v1yG1BKWFtr0DnaTsq59oW9dwWvFgq6hs0/edit?usp=sharing"",""แพร่!I144"")"),15)</f>
        <v>15</v>
      </c>
      <c r="W24" s="81">
        <f ca="1">IFERROR(__xludf.DUMMYFUNCTION("IMPORTRANGE(""https://docs.google.com/spreadsheets/d/1gvTMYAnm7v1yG1BKWFtr0DnaTsq59oW9dwWvFgq6hs0/edit?usp=sharing"",""แพร่!J144"")"),30)</f>
        <v>30</v>
      </c>
      <c r="X24" s="82">
        <f t="shared" ca="1" si="26"/>
        <v>200</v>
      </c>
      <c r="Y24" s="81">
        <f ca="1">IFERROR(__xludf.DUMMYFUNCTION("IMPORTRANGE(""https://docs.google.com/spreadsheets/d/1gvTMYAnm7v1yG1BKWFtr0DnaTsq59oW9dwWvFgq6hs0/edit?usp=sharing"",""แพร่!I145"")"),30)</f>
        <v>30</v>
      </c>
      <c r="Z24" s="81">
        <f ca="1">IFERROR(__xludf.DUMMYFUNCTION("IMPORTRANGE(""https://docs.google.com/spreadsheets/d/1gvTMYAnm7v1yG1BKWFtr0DnaTsq59oW9dwWvFgq6hs0/edit?usp=sharing"",""แพร่!J145"")"),30)</f>
        <v>30</v>
      </c>
      <c r="AA24" s="82">
        <f t="shared" ca="1" si="27"/>
        <v>100</v>
      </c>
      <c r="AB24" s="81">
        <f ca="1">IFERROR(__xludf.DUMMYFUNCTION("IMPORTRANGE(""https://docs.google.com/spreadsheets/d/1gvTMYAnm7v1yG1BKWFtr0DnaTsq59oW9dwWvFgq6hs0/edit?usp=sharing"",""แพร่!I146"")"),3)</f>
        <v>3</v>
      </c>
      <c r="AC24" s="81">
        <f ca="1">IFERROR(__xludf.DUMMYFUNCTION("IMPORTRANGE(""https://docs.google.com/spreadsheets/d/1gvTMYAnm7v1yG1BKWFtr0DnaTsq59oW9dwWvFgq6hs0/edit?usp=sharing"",""แพร่!J146"")"),3)</f>
        <v>3</v>
      </c>
      <c r="AD24" s="82">
        <f t="shared" ca="1" si="28"/>
        <v>100</v>
      </c>
    </row>
    <row r="25" spans="1:30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5"/>
        <v>0</v>
      </c>
      <c r="E25" s="77">
        <f ca="1">IFERROR(__xludf.DUMMYFUNCTION("IMPORTRANGE(""https://docs.google.com/spreadsheets/d/1MeEWN-I1oV_STSDYn1IFDPWt_1FKiwhDph83XaGc0o0/edit?usp=sharing"",""งบพรบ!BL25"")"),0)</f>
        <v>0</v>
      </c>
      <c r="F25" s="77">
        <f ca="1">IFERROR(__xludf.DUMMYFUNCTION("IMPORTRANGE(""https://docs.google.com/spreadsheets/d/1MeEWN-I1oV_STSDYn1IFDPWt_1FKiwhDph83XaGc0o0/edit?usp=sharing"",""งบพรบ!BM25"")"),0)</f>
        <v>0</v>
      </c>
      <c r="G25" s="77">
        <f ca="1">IFERROR(__xludf.DUMMYFUNCTION("IMPORTRANGE(""https://docs.google.com/spreadsheets/d/1MeEWN-I1oV_STSDYn1IFDPWt_1FKiwhDph83XaGc0o0/edit?usp=sharing"",""งบพรบ!BN25"")"),0)</f>
        <v>0</v>
      </c>
      <c r="H25" s="77">
        <f ca="1">IFERROR(__xludf.DUMMYFUNCTION("IMPORTRANGE(""https://docs.google.com/spreadsheets/d/1MeEWN-I1oV_STSDYn1IFDPWt_1FKiwhDph83XaGc0o0/edit?usp=sharing"",""งบพรบ!BP25"")"),0)</f>
        <v>0</v>
      </c>
      <c r="I25" s="77">
        <f ca="1">IFERROR(__xludf.DUMMYFUNCTION("IMPORTRANGE(""https://docs.google.com/spreadsheets/d/1MeEWN-I1oV_STSDYn1IFDPWt_1FKiwhDph83XaGc0o0/edit?usp=sharing"",""งบพรบ!BQ25"")"),0)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IFERROR(__xludf.DUMMYFUNCTION("IMPORTRANGE(""https://docs.google.com/spreadsheets/d/1MeEWN-I1oV_STSDYn1IFDPWt_1FKiwhDph83XaGc0o0/edit?usp=sharing"",""งบพรบ!BR25"")"),0)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IFERROR(__xludf.DUMMYFUNCTION("IMPORTRANGE(""https://docs.google.com/spreadsheets/d/1MeEWN-I1oV_STSDYn1IFDPWt_1FKiwhDph83XaGc0o0/edit?usp=sharing"",""งบพรบ!BS25"")"),0)</f>
        <v>0</v>
      </c>
      <c r="P25" s="80">
        <f t="shared" ca="1" si="30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IFERROR(__xludf.DUMMYFUNCTION("IMPORTRANGE(""https://docs.google.com/spreadsheets/d/1Wbcosgy-Xa1xXUArJSOenub6EfZHUSzc_bpJFWwQUf0/edit?usp=sharing"",""แม่ฮ่องสอน!J142"")"),0)</f>
        <v>0</v>
      </c>
      <c r="S25" s="81">
        <f ca="1">IFERROR(__xludf.DUMMYFUNCTION("IMPORTRANGE(""https://docs.google.com/spreadsheets/d/1Wbcosgy-Xa1xXUArJSOenub6EfZHUSzc_bpJFWwQUf0/edit?usp=sharing"",""แม่ฮ่องสอน!I143"")"),0)</f>
        <v>0</v>
      </c>
      <c r="T25" s="81">
        <f ca="1">IFERROR(__xludf.DUMMYFUNCTION("IMPORTRANGE(""https://docs.google.com/spreadsheets/d/1Wbcosgy-Xa1xXUArJSOenub6EfZHUSzc_bpJFWwQUf0/edit?usp=sharing"",""แม่ฮ่องสอน!J143"")"),0)</f>
        <v>0</v>
      </c>
      <c r="U25" s="82">
        <f t="shared" ca="1" si="25"/>
        <v>0</v>
      </c>
      <c r="V25" s="81">
        <f ca="1">IFERROR(__xludf.DUMMYFUNCTION("IMPORTRANGE(""https://docs.google.com/spreadsheets/d/1Wbcosgy-Xa1xXUArJSOenub6EfZHUSzc_bpJFWwQUf0/edit?usp=sharing"",""แม่ฮ่องสอน!I144"")"),0)</f>
        <v>0</v>
      </c>
      <c r="W25" s="81">
        <f ca="1">IFERROR(__xludf.DUMMYFUNCTION("IMPORTRANGE(""https://docs.google.com/spreadsheets/d/1Wbcosgy-Xa1xXUArJSOenub6EfZHUSzc_bpJFWwQUf0/edit?usp=sharing"",""แม่ฮ่องสอน!J144"")"),0)</f>
        <v>0</v>
      </c>
      <c r="X25" s="82">
        <f t="shared" ca="1" si="26"/>
        <v>0</v>
      </c>
      <c r="Y25" s="81">
        <f ca="1">IFERROR(__xludf.DUMMYFUNCTION("IMPORTRANGE(""https://docs.google.com/spreadsheets/d/1Wbcosgy-Xa1xXUArJSOenub6EfZHUSzc_bpJFWwQUf0/edit?usp=sharing"",""แม่ฮ่องสอน!I145"")"),0)</f>
        <v>0</v>
      </c>
      <c r="Z25" s="81">
        <f ca="1">IFERROR(__xludf.DUMMYFUNCTION("IMPORTRANGE(""https://docs.google.com/spreadsheets/d/1Wbcosgy-Xa1xXUArJSOenub6EfZHUSzc_bpJFWwQUf0/edit?usp=sharing"",""แม่ฮ่องสอน!J145"")"),0)</f>
        <v>0</v>
      </c>
      <c r="AA25" s="82">
        <f t="shared" ca="1" si="27"/>
        <v>0</v>
      </c>
      <c r="AB25" s="81">
        <f ca="1">IFERROR(__xludf.DUMMYFUNCTION("IMPORTRANGE(""https://docs.google.com/spreadsheets/d/1Wbcosgy-Xa1xXUArJSOenub6EfZHUSzc_bpJFWwQUf0/edit?usp=sharing"",""แม่ฮ่องสอน!I146"")"),0)</f>
        <v>0</v>
      </c>
      <c r="AC25" s="81">
        <f ca="1">IFERROR(__xludf.DUMMYFUNCTION("IMPORTRANGE(""https://docs.google.com/spreadsheets/d/1Wbcosgy-Xa1xXUArJSOenub6EfZHUSzc_bpJFWwQUf0/edit?usp=sharing"",""แม่ฮ่องสอน!J146"")"),0)</f>
        <v>0</v>
      </c>
      <c r="AD25" s="82">
        <f t="shared" ca="1" si="28"/>
        <v>0</v>
      </c>
    </row>
    <row r="26" spans="1:3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35"/>
        <v>0</v>
      </c>
      <c r="E26" s="77">
        <f ca="1">IFERROR(__xludf.DUMMYFUNCTION("IMPORTRANGE(""https://docs.google.com/spreadsheets/d/1MeEWN-I1oV_STSDYn1IFDPWt_1FKiwhDph83XaGc0o0/edit?usp=sharing"",""งบพรบ!BL26"")"),0)</f>
        <v>0</v>
      </c>
      <c r="F26" s="77">
        <f ca="1">IFERROR(__xludf.DUMMYFUNCTION("IMPORTRANGE(""https://docs.google.com/spreadsheets/d/1MeEWN-I1oV_STSDYn1IFDPWt_1FKiwhDph83XaGc0o0/edit?usp=sharing"",""งบพรบ!BM26"")"),0)</f>
        <v>0</v>
      </c>
      <c r="G26" s="77">
        <f ca="1">IFERROR(__xludf.DUMMYFUNCTION("IMPORTRANGE(""https://docs.google.com/spreadsheets/d/1MeEWN-I1oV_STSDYn1IFDPWt_1FKiwhDph83XaGc0o0/edit?usp=sharing"",""งบพรบ!BN26"")"),0)</f>
        <v>0</v>
      </c>
      <c r="H26" s="77">
        <f ca="1">IFERROR(__xludf.DUMMYFUNCTION("IMPORTRANGE(""https://docs.google.com/spreadsheets/d/1MeEWN-I1oV_STSDYn1IFDPWt_1FKiwhDph83XaGc0o0/edit?usp=sharing"",""งบพรบ!BP26"")"),0)</f>
        <v>0</v>
      </c>
      <c r="I26" s="77">
        <f ca="1">IFERROR(__xludf.DUMMYFUNCTION("IMPORTRANGE(""https://docs.google.com/spreadsheets/d/1MeEWN-I1oV_STSDYn1IFDPWt_1FKiwhDph83XaGc0o0/edit?usp=sharing"",""งบพรบ!BQ26"")"),0)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IFERROR(__xludf.DUMMYFUNCTION("IMPORTRANGE(""https://docs.google.com/spreadsheets/d/1MeEWN-I1oV_STSDYn1IFDPWt_1FKiwhDph83XaGc0o0/edit?usp=sharing"",""งบพรบ!BR26"")"),0)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IFERROR(__xludf.DUMMYFUNCTION("IMPORTRANGE(""https://docs.google.com/spreadsheets/d/1MeEWN-I1oV_STSDYn1IFDPWt_1FKiwhDph83XaGc0o0/edit?usp=sharing"",""งบพรบ!BS26"")"),0)</f>
        <v>0</v>
      </c>
      <c r="P26" s="80">
        <f t="shared" ca="1" si="30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IFERROR(__xludf.DUMMYFUNCTION("IMPORTRANGE(""https://docs.google.com/spreadsheets/d/1p7ERhsr0qZeSn-KSOdeHS9r0heI-lHtkcn2OH7hP0jQ/edit?usp=sharing"",""ลำปาง!J142"")"),0)</f>
        <v>0</v>
      </c>
      <c r="S26" s="81">
        <f ca="1">IFERROR(__xludf.DUMMYFUNCTION("IMPORTRANGE(""https://docs.google.com/spreadsheets/d/1p7ERhsr0qZeSn-KSOdeHS9r0heI-lHtkcn2OH7hP0jQ/edit?usp=sharing"",""ลำปาง!I143"")"),0)</f>
        <v>0</v>
      </c>
      <c r="T26" s="81">
        <f ca="1">IFERROR(__xludf.DUMMYFUNCTION("IMPORTRANGE(""https://docs.google.com/spreadsheets/d/1p7ERhsr0qZeSn-KSOdeHS9r0heI-lHtkcn2OH7hP0jQ/edit?usp=sharing"",""ลำปาง!J143"")"),0)</f>
        <v>0</v>
      </c>
      <c r="U26" s="82">
        <f t="shared" ca="1" si="25"/>
        <v>0</v>
      </c>
      <c r="V26" s="81">
        <f ca="1">IFERROR(__xludf.DUMMYFUNCTION("IMPORTRANGE(""https://docs.google.com/spreadsheets/d/1p7ERhsr0qZeSn-KSOdeHS9r0heI-lHtkcn2OH7hP0jQ/edit?usp=sharing"",""ลำปาง!I144"")"),0)</f>
        <v>0</v>
      </c>
      <c r="W26" s="81">
        <f ca="1">IFERROR(__xludf.DUMMYFUNCTION("IMPORTRANGE(""https://docs.google.com/spreadsheets/d/1p7ERhsr0qZeSn-KSOdeHS9r0heI-lHtkcn2OH7hP0jQ/edit?usp=sharing"",""ลำปาง!J144"")"),0)</f>
        <v>0</v>
      </c>
      <c r="X26" s="82">
        <f t="shared" ca="1" si="26"/>
        <v>0</v>
      </c>
      <c r="Y26" s="81">
        <f ca="1">IFERROR(__xludf.DUMMYFUNCTION("IMPORTRANGE(""https://docs.google.com/spreadsheets/d/1p7ERhsr0qZeSn-KSOdeHS9r0heI-lHtkcn2OH7hP0jQ/edit?usp=sharing"",""ลำปาง!I145"")"),0)</f>
        <v>0</v>
      </c>
      <c r="Z26" s="81">
        <f ca="1">IFERROR(__xludf.DUMMYFUNCTION("IMPORTRANGE(""https://docs.google.com/spreadsheets/d/1p7ERhsr0qZeSn-KSOdeHS9r0heI-lHtkcn2OH7hP0jQ/edit?usp=sharing"",""ลำปาง!J145"")"),0)</f>
        <v>0</v>
      </c>
      <c r="AA26" s="82">
        <f t="shared" ca="1" si="27"/>
        <v>0</v>
      </c>
      <c r="AB26" s="81">
        <f ca="1">IFERROR(__xludf.DUMMYFUNCTION("IMPORTRANGE(""https://docs.google.com/spreadsheets/d/1p7ERhsr0qZeSn-KSOdeHS9r0heI-lHtkcn2OH7hP0jQ/edit?usp=sharing"",""ลำปาง!I146"")"),0)</f>
        <v>0</v>
      </c>
      <c r="AC26" s="81">
        <f ca="1">IFERROR(__xludf.DUMMYFUNCTION("IMPORTRANGE(""https://docs.google.com/spreadsheets/d/1p7ERhsr0qZeSn-KSOdeHS9r0heI-lHtkcn2OH7hP0jQ/edit?usp=sharing"",""ลำปาง!J146"")"),0)</f>
        <v>0</v>
      </c>
      <c r="AD26" s="82">
        <f t="shared" ca="1" si="28"/>
        <v>0</v>
      </c>
    </row>
    <row r="27" spans="1:30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35"/>
        <v>0</v>
      </c>
      <c r="E27" s="77">
        <f ca="1">IFERROR(__xludf.DUMMYFUNCTION("IMPORTRANGE(""https://docs.google.com/spreadsheets/d/1MeEWN-I1oV_STSDYn1IFDPWt_1FKiwhDph83XaGc0o0/edit?usp=sharing"",""งบพรบ!BL27"")"),0)</f>
        <v>0</v>
      </c>
      <c r="F27" s="77">
        <f ca="1">IFERROR(__xludf.DUMMYFUNCTION("IMPORTRANGE(""https://docs.google.com/spreadsheets/d/1MeEWN-I1oV_STSDYn1IFDPWt_1FKiwhDph83XaGc0o0/edit?usp=sharing"",""งบพรบ!BM27"")"),0)</f>
        <v>0</v>
      </c>
      <c r="G27" s="77">
        <f ca="1">IFERROR(__xludf.DUMMYFUNCTION("IMPORTRANGE(""https://docs.google.com/spreadsheets/d/1MeEWN-I1oV_STSDYn1IFDPWt_1FKiwhDph83XaGc0o0/edit?usp=sharing"",""งบพรบ!BN27"")"),0)</f>
        <v>0</v>
      </c>
      <c r="H27" s="77">
        <f ca="1">IFERROR(__xludf.DUMMYFUNCTION("IMPORTRANGE(""https://docs.google.com/spreadsheets/d/1MeEWN-I1oV_STSDYn1IFDPWt_1FKiwhDph83XaGc0o0/edit?usp=sharing"",""งบพรบ!BP27"")"),0)</f>
        <v>0</v>
      </c>
      <c r="I27" s="77">
        <f ca="1">IFERROR(__xludf.DUMMYFUNCTION("IMPORTRANGE(""https://docs.google.com/spreadsheets/d/1MeEWN-I1oV_STSDYn1IFDPWt_1FKiwhDph83XaGc0o0/edit?usp=sharing"",""งบพรบ!BQ27"")"),0)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IFERROR(__xludf.DUMMYFUNCTION("IMPORTRANGE(""https://docs.google.com/spreadsheets/d/1MeEWN-I1oV_STSDYn1IFDPWt_1FKiwhDph83XaGc0o0/edit?usp=sharing"",""งบพรบ!BR27"")"),0)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IFERROR(__xludf.DUMMYFUNCTION("IMPORTRANGE(""https://docs.google.com/spreadsheets/d/1MeEWN-I1oV_STSDYn1IFDPWt_1FKiwhDph83XaGc0o0/edit?usp=sharing"",""งบพรบ!BS27"")"),0)</f>
        <v>0</v>
      </c>
      <c r="P27" s="80">
        <f t="shared" ca="1" si="30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IFERROR(__xludf.DUMMYFUNCTION("IMPORTRANGE(""https://docs.google.com/spreadsheets/d/1-uUXvimVhiU2U0bMN-xi2te0tS4X7DI2GLPnMjzl8cA/edit?usp=sharing"",""ลำพูน!J142"")"),0)</f>
        <v>0</v>
      </c>
      <c r="S27" s="81">
        <f ca="1">IFERROR(__xludf.DUMMYFUNCTION("IMPORTRANGE(""https://docs.google.com/spreadsheets/d/1-uUXvimVhiU2U0bMN-xi2te0tS4X7DI2GLPnMjzl8cA/edit?usp=sharing"",""ลำพูน!I143"")"),0)</f>
        <v>0</v>
      </c>
      <c r="T27" s="81">
        <f ca="1">IFERROR(__xludf.DUMMYFUNCTION("IMPORTRANGE(""https://docs.google.com/spreadsheets/d/1-uUXvimVhiU2U0bMN-xi2te0tS4X7DI2GLPnMjzl8cA/edit?usp=sharing"",""ลำพูน!J143"")"),0)</f>
        <v>0</v>
      </c>
      <c r="U27" s="82">
        <f t="shared" ca="1" si="25"/>
        <v>0</v>
      </c>
      <c r="V27" s="81">
        <f ca="1">IFERROR(__xludf.DUMMYFUNCTION("IMPORTRANGE(""https://docs.google.com/spreadsheets/d/1-uUXvimVhiU2U0bMN-xi2te0tS4X7DI2GLPnMjzl8cA/edit?usp=sharing"",""ลำพูน!I144"")"),0)</f>
        <v>0</v>
      </c>
      <c r="W27" s="81">
        <f ca="1">IFERROR(__xludf.DUMMYFUNCTION("IMPORTRANGE(""https://docs.google.com/spreadsheets/d/1-uUXvimVhiU2U0bMN-xi2te0tS4X7DI2GLPnMjzl8cA/edit?usp=sharing"",""ลำพูน!J144"")"),0)</f>
        <v>0</v>
      </c>
      <c r="X27" s="82">
        <f t="shared" ca="1" si="26"/>
        <v>0</v>
      </c>
      <c r="Y27" s="81">
        <f ca="1">IFERROR(__xludf.DUMMYFUNCTION("IMPORTRANGE(""https://docs.google.com/spreadsheets/d/1-uUXvimVhiU2U0bMN-xi2te0tS4X7DI2GLPnMjzl8cA/edit?usp=sharing"",""ลำพูน!I145"")"),0)</f>
        <v>0</v>
      </c>
      <c r="Z27" s="81">
        <f ca="1">IFERROR(__xludf.DUMMYFUNCTION("IMPORTRANGE(""https://docs.google.com/spreadsheets/d/1-uUXvimVhiU2U0bMN-xi2te0tS4X7DI2GLPnMjzl8cA/edit?usp=sharing"",""ลำพูน!J145"")"),0)</f>
        <v>0</v>
      </c>
      <c r="AA27" s="82">
        <f t="shared" ca="1" si="27"/>
        <v>0</v>
      </c>
      <c r="AB27" s="81">
        <f ca="1">IFERROR(__xludf.DUMMYFUNCTION("IMPORTRANGE(""https://docs.google.com/spreadsheets/d/1-uUXvimVhiU2U0bMN-xi2te0tS4X7DI2GLPnMjzl8cA/edit?usp=sharing"",""ลำพูน!I146"")"),0)</f>
        <v>0</v>
      </c>
      <c r="AC27" s="81">
        <f ca="1">IFERROR(__xludf.DUMMYFUNCTION("IMPORTRANGE(""https://docs.google.com/spreadsheets/d/1-uUXvimVhiU2U0bMN-xi2te0tS4X7DI2GLPnMjzl8cA/edit?usp=sharing"",""ลำพูน!J146"")"),0)</f>
        <v>0</v>
      </c>
      <c r="AD27" s="82">
        <f t="shared" ca="1" si="28"/>
        <v>0</v>
      </c>
    </row>
    <row r="28" spans="1:30" ht="24" customHeight="1" x14ac:dyDescent="0.2">
      <c r="A28" s="73">
        <v>15</v>
      </c>
      <c r="B28" s="74" t="s">
        <v>50</v>
      </c>
      <c r="C28" s="75">
        <f t="shared" ca="1" si="0"/>
        <v>0</v>
      </c>
      <c r="D28" s="76">
        <f t="shared" ca="1" si="35"/>
        <v>0</v>
      </c>
      <c r="E28" s="77">
        <f ca="1">IFERROR(__xludf.DUMMYFUNCTION("IMPORTRANGE(""https://docs.google.com/spreadsheets/d/1MeEWN-I1oV_STSDYn1IFDPWt_1FKiwhDph83XaGc0o0/edit?usp=sharing"",""งบพรบ!BL28"")"),0)</f>
        <v>0</v>
      </c>
      <c r="F28" s="77">
        <f ca="1">IFERROR(__xludf.DUMMYFUNCTION("IMPORTRANGE(""https://docs.google.com/spreadsheets/d/1MeEWN-I1oV_STSDYn1IFDPWt_1FKiwhDph83XaGc0o0/edit?usp=sharing"",""งบพรบ!BM28"")"),0)</f>
        <v>0</v>
      </c>
      <c r="G28" s="77">
        <f ca="1">IFERROR(__xludf.DUMMYFUNCTION("IMPORTRANGE(""https://docs.google.com/spreadsheets/d/1MeEWN-I1oV_STSDYn1IFDPWt_1FKiwhDph83XaGc0o0/edit?usp=sharing"",""งบพรบ!BN28"")"),0)</f>
        <v>0</v>
      </c>
      <c r="H28" s="77">
        <f ca="1">IFERROR(__xludf.DUMMYFUNCTION("IMPORTRANGE(""https://docs.google.com/spreadsheets/d/1MeEWN-I1oV_STSDYn1IFDPWt_1FKiwhDph83XaGc0o0/edit?usp=sharing"",""งบพรบ!BP28"")"),0)</f>
        <v>0</v>
      </c>
      <c r="I28" s="77">
        <f ca="1">IFERROR(__xludf.DUMMYFUNCTION("IMPORTRANGE(""https://docs.google.com/spreadsheets/d/1MeEWN-I1oV_STSDYn1IFDPWt_1FKiwhDph83XaGc0o0/edit?usp=sharing"",""งบพรบ!BQ28"")"),0)</f>
        <v>0</v>
      </c>
      <c r="J28" s="77">
        <f t="shared" ca="1" si="3"/>
        <v>0</v>
      </c>
      <c r="K28" s="78">
        <f t="shared" ca="1" si="4"/>
        <v>0</v>
      </c>
      <c r="L28" s="77">
        <f ca="1">IFERROR(__xludf.DUMMYFUNCTION("IMPORTRANGE(""https://docs.google.com/spreadsheets/d/1MeEWN-I1oV_STSDYn1IFDPWt_1FKiwhDph83XaGc0o0/edit?usp=sharing"",""งบพรบ!BR28"")"),0)</f>
        <v>0</v>
      </c>
      <c r="M28" s="79">
        <f t="shared" ca="1" si="5"/>
        <v>0</v>
      </c>
      <c r="N28" s="79">
        <f t="shared" ca="1" si="6"/>
        <v>0</v>
      </c>
      <c r="O28" s="80">
        <f ca="1">IFERROR(__xludf.DUMMYFUNCTION("IMPORTRANGE(""https://docs.google.com/spreadsheets/d/1MeEWN-I1oV_STSDYn1IFDPWt_1FKiwhDph83XaGc0o0/edit?usp=sharing"",""งบพรบ!BS28"")"),0)</f>
        <v>0</v>
      </c>
      <c r="P28" s="80">
        <f t="shared" ca="1" si="30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IFERROR(__xludf.DUMMYFUNCTION("IMPORTRANGE(""https://docs.google.com/spreadsheets/d/17HrOaa5pBUI1onckFfumXB8xlg35qb2uBAFfF1D-Myo/edit?usp=sharing"",""สุโขทัย!J142"")"),0)</f>
        <v>0</v>
      </c>
      <c r="S28" s="81">
        <f ca="1">IFERROR(__xludf.DUMMYFUNCTION("IMPORTRANGE(""https://docs.google.com/spreadsheets/d/17HrOaa5pBUI1onckFfumXB8xlg35qb2uBAFfF1D-Myo/edit?usp=sharing"",""สุโขทัย!I143"")"),0)</f>
        <v>0</v>
      </c>
      <c r="T28" s="81">
        <f ca="1">IFERROR(__xludf.DUMMYFUNCTION("IMPORTRANGE(""https://docs.google.com/spreadsheets/d/17HrOaa5pBUI1onckFfumXB8xlg35qb2uBAFfF1D-Myo/edit?usp=sharing"",""สุโขทัย!J143"")"),0)</f>
        <v>0</v>
      </c>
      <c r="U28" s="82">
        <f t="shared" ca="1" si="25"/>
        <v>0</v>
      </c>
      <c r="V28" s="81">
        <f ca="1">IFERROR(__xludf.DUMMYFUNCTION("IMPORTRANGE(""https://docs.google.com/spreadsheets/d/17HrOaa5pBUI1onckFfumXB8xlg35qb2uBAFfF1D-Myo/edit?usp=sharing"",""สุโขทัย!I144"")"),0)</f>
        <v>0</v>
      </c>
      <c r="W28" s="81">
        <f ca="1">IFERROR(__xludf.DUMMYFUNCTION("IMPORTRANGE(""https://docs.google.com/spreadsheets/d/17HrOaa5pBUI1onckFfumXB8xlg35qb2uBAFfF1D-Myo/edit?usp=sharing"",""สุโขทัย!J144"")"),0)</f>
        <v>0</v>
      </c>
      <c r="X28" s="82">
        <f t="shared" ca="1" si="26"/>
        <v>0</v>
      </c>
      <c r="Y28" s="81">
        <f ca="1">IFERROR(__xludf.DUMMYFUNCTION("IMPORTRANGE(""https://docs.google.com/spreadsheets/d/17HrOaa5pBUI1onckFfumXB8xlg35qb2uBAFfF1D-Myo/edit?usp=sharing"",""สุโขทัย!I145"")"),0)</f>
        <v>0</v>
      </c>
      <c r="Z28" s="81">
        <f ca="1">IFERROR(__xludf.DUMMYFUNCTION("IMPORTRANGE(""https://docs.google.com/spreadsheets/d/17HrOaa5pBUI1onckFfumXB8xlg35qb2uBAFfF1D-Myo/edit?usp=sharing"",""สุโขทัย!J145"")"),0)</f>
        <v>0</v>
      </c>
      <c r="AA28" s="82">
        <f t="shared" ca="1" si="27"/>
        <v>0</v>
      </c>
      <c r="AB28" s="81">
        <f ca="1">IFERROR(__xludf.DUMMYFUNCTION("IMPORTRANGE(""https://docs.google.com/spreadsheets/d/17HrOaa5pBUI1onckFfumXB8xlg35qb2uBAFfF1D-Myo/edit?usp=sharing"",""สุโขทัย!I146"")"),0)</f>
        <v>0</v>
      </c>
      <c r="AC28" s="81">
        <f ca="1">IFERROR(__xludf.DUMMYFUNCTION("IMPORTRANGE(""https://docs.google.com/spreadsheets/d/17HrOaa5pBUI1onckFfumXB8xlg35qb2uBAFfF1D-Myo/edit?usp=sharing"",""สุโขทัย!J146"")"),0)</f>
        <v>0</v>
      </c>
      <c r="AD28" s="82">
        <f t="shared" ca="1" si="28"/>
        <v>0</v>
      </c>
    </row>
    <row r="29" spans="1:3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35"/>
        <v>0</v>
      </c>
      <c r="E29" s="77">
        <f ca="1">IFERROR(__xludf.DUMMYFUNCTION("IMPORTRANGE(""https://docs.google.com/spreadsheets/d/1MeEWN-I1oV_STSDYn1IFDPWt_1FKiwhDph83XaGc0o0/edit?usp=sharing"",""งบพรบ!BL29"")"),0)</f>
        <v>0</v>
      </c>
      <c r="F29" s="77">
        <f ca="1">IFERROR(__xludf.DUMMYFUNCTION("IMPORTRANGE(""https://docs.google.com/spreadsheets/d/1MeEWN-I1oV_STSDYn1IFDPWt_1FKiwhDph83XaGc0o0/edit?usp=sharing"",""งบพรบ!BM29"")"),0)</f>
        <v>0</v>
      </c>
      <c r="G29" s="77">
        <f ca="1">IFERROR(__xludf.DUMMYFUNCTION("IMPORTRANGE(""https://docs.google.com/spreadsheets/d/1MeEWN-I1oV_STSDYn1IFDPWt_1FKiwhDph83XaGc0o0/edit?usp=sharing"",""งบพรบ!BN29"")"),0)</f>
        <v>0</v>
      </c>
      <c r="H29" s="77">
        <f ca="1">IFERROR(__xludf.DUMMYFUNCTION("IMPORTRANGE(""https://docs.google.com/spreadsheets/d/1MeEWN-I1oV_STSDYn1IFDPWt_1FKiwhDph83XaGc0o0/edit?usp=sharing"",""งบพรบ!BP29"")"),0)</f>
        <v>0</v>
      </c>
      <c r="I29" s="77">
        <f ca="1">IFERROR(__xludf.DUMMYFUNCTION("IMPORTRANGE(""https://docs.google.com/spreadsheets/d/1MeEWN-I1oV_STSDYn1IFDPWt_1FKiwhDph83XaGc0o0/edit?usp=sharing"",""งบพรบ!BQ29"")"),0)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IFERROR(__xludf.DUMMYFUNCTION("IMPORTRANGE(""https://docs.google.com/spreadsheets/d/1MeEWN-I1oV_STSDYn1IFDPWt_1FKiwhDph83XaGc0o0/edit?usp=sharing"",""งบพรบ!BR29"")"),0)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IFERROR(__xludf.DUMMYFUNCTION("IMPORTRANGE(""https://docs.google.com/spreadsheets/d/1MeEWN-I1oV_STSDYn1IFDPWt_1FKiwhDph83XaGc0o0/edit?usp=sharing"",""งบพรบ!BS29"")"),0)</f>
        <v>0</v>
      </c>
      <c r="P29" s="80">
        <f t="shared" ca="1" si="30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IFERROR(__xludf.DUMMYFUNCTION("IMPORTRANGE(""https://docs.google.com/spreadsheets/d/1ubs5cl16eYL9gHbdHTJtmtYb9MGzHBs7CAphn8kNCgM/edit?usp=sharing"",""อุตรดิตถ์!J142"")"),0)</f>
        <v>0</v>
      </c>
      <c r="S29" s="81">
        <f ca="1">IFERROR(__xludf.DUMMYFUNCTION("IMPORTRANGE(""https://docs.google.com/spreadsheets/d/1ubs5cl16eYL9gHbdHTJtmtYb9MGzHBs7CAphn8kNCgM/edit?usp=sharing"",""อุตรดิตถ์!I143"")"),0)</f>
        <v>0</v>
      </c>
      <c r="T29" s="81">
        <f ca="1">IFERROR(__xludf.DUMMYFUNCTION("IMPORTRANGE(""https://docs.google.com/spreadsheets/d/1ubs5cl16eYL9gHbdHTJtmtYb9MGzHBs7CAphn8kNCgM/edit?usp=sharing"",""อุตรดิตถ์!J143"")"),0)</f>
        <v>0</v>
      </c>
      <c r="U29" s="82">
        <f t="shared" ca="1" si="25"/>
        <v>0</v>
      </c>
      <c r="V29" s="81">
        <f ca="1">IFERROR(__xludf.DUMMYFUNCTION("IMPORTRANGE(""https://docs.google.com/spreadsheets/d/1ubs5cl16eYL9gHbdHTJtmtYb9MGzHBs7CAphn8kNCgM/edit?usp=sharing"",""อุตรดิตถ์!I144"")"),0)</f>
        <v>0</v>
      </c>
      <c r="W29" s="81">
        <f ca="1">IFERROR(__xludf.DUMMYFUNCTION("IMPORTRANGE(""https://docs.google.com/spreadsheets/d/1ubs5cl16eYL9gHbdHTJtmtYb9MGzHBs7CAphn8kNCgM/edit?usp=sharing"",""อุตรดิตถ์!J144"")"),0)</f>
        <v>0</v>
      </c>
      <c r="X29" s="82">
        <f t="shared" ca="1" si="26"/>
        <v>0</v>
      </c>
      <c r="Y29" s="81">
        <f ca="1">IFERROR(__xludf.DUMMYFUNCTION("IMPORTRANGE(""https://docs.google.com/spreadsheets/d/1ubs5cl16eYL9gHbdHTJtmtYb9MGzHBs7CAphn8kNCgM/edit?usp=sharing"",""อุตรดิตถ์!I145"")"),0)</f>
        <v>0</v>
      </c>
      <c r="Z29" s="81">
        <f ca="1">IFERROR(__xludf.DUMMYFUNCTION("IMPORTRANGE(""https://docs.google.com/spreadsheets/d/1ubs5cl16eYL9gHbdHTJtmtYb9MGzHBs7CAphn8kNCgM/edit?usp=sharing"",""อุตรดิตถ์!J145"")"),0)</f>
        <v>0</v>
      </c>
      <c r="AA29" s="82">
        <f t="shared" ca="1" si="27"/>
        <v>0</v>
      </c>
      <c r="AB29" s="81">
        <f ca="1">IFERROR(__xludf.DUMMYFUNCTION("IMPORTRANGE(""https://docs.google.com/spreadsheets/d/1ubs5cl16eYL9gHbdHTJtmtYb9MGzHBs7CAphn8kNCgM/edit?usp=sharing"",""อุตรดิตถ์!I146"")"),0)</f>
        <v>0</v>
      </c>
      <c r="AC29" s="81">
        <f ca="1">IFERROR(__xludf.DUMMYFUNCTION("IMPORTRANGE(""https://docs.google.com/spreadsheets/d/1ubs5cl16eYL9gHbdHTJtmtYb9MGzHBs7CAphn8kNCgM/edit?usp=sharing"",""อุตรดิตถ์!J146"")"),0)</f>
        <v>0</v>
      </c>
      <c r="AD29" s="82">
        <f t="shared" ca="1" si="28"/>
        <v>0</v>
      </c>
    </row>
    <row r="30" spans="1:30" ht="24" customHeight="1" x14ac:dyDescent="0.2">
      <c r="A30" s="84">
        <v>17</v>
      </c>
      <c r="B30" s="85" t="s">
        <v>52</v>
      </c>
      <c r="C30" s="86">
        <f t="shared" ca="1" si="0"/>
        <v>151655</v>
      </c>
      <c r="D30" s="87">
        <f t="shared" ca="1" si="35"/>
        <v>48655</v>
      </c>
      <c r="E30" s="88">
        <f ca="1">IFERROR(__xludf.DUMMYFUNCTION("IMPORTRANGE(""https://docs.google.com/spreadsheets/d/1MeEWN-I1oV_STSDYn1IFDPWt_1FKiwhDph83XaGc0o0/edit?usp=sharing"",""งบพรบ!BL30"")"),0)</f>
        <v>0</v>
      </c>
      <c r="F30" s="88">
        <f ca="1">IFERROR(__xludf.DUMMYFUNCTION("IMPORTRANGE(""https://docs.google.com/spreadsheets/d/1MeEWN-I1oV_STSDYn1IFDPWt_1FKiwhDph83XaGc0o0/edit?usp=sharing"",""งบพรบ!BM30"")"),48655)</f>
        <v>48655</v>
      </c>
      <c r="G30" s="88">
        <f ca="1">IFERROR(__xludf.DUMMYFUNCTION("IMPORTRANGE(""https://docs.google.com/spreadsheets/d/1MeEWN-I1oV_STSDYn1IFDPWt_1FKiwhDph83XaGc0o0/edit?usp=sharing"",""งบพรบ!BN30"")"),103000)</f>
        <v>103000</v>
      </c>
      <c r="H30" s="88">
        <f ca="1">IFERROR(__xludf.DUMMYFUNCTION("IMPORTRANGE(""https://docs.google.com/spreadsheets/d/1MeEWN-I1oV_STSDYn1IFDPWt_1FKiwhDph83XaGc0o0/edit?usp=sharing"",""งบพรบ!BP30"")"),48655)</f>
        <v>48655</v>
      </c>
      <c r="I30" s="88">
        <f ca="1">IFERROR(__xludf.DUMMYFUNCTION("IMPORTRANGE(""https://docs.google.com/spreadsheets/d/1MeEWN-I1oV_STSDYn1IFDPWt_1FKiwhDph83XaGc0o0/edit?usp=sharing"",""งบพรบ!BQ30"")"),103000)</f>
        <v>103000</v>
      </c>
      <c r="J30" s="88">
        <f t="shared" ca="1" si="3"/>
        <v>147734.5</v>
      </c>
      <c r="K30" s="89">
        <f t="shared" ca="1" si="4"/>
        <v>97.414856087830927</v>
      </c>
      <c r="L30" s="88">
        <f ca="1">IFERROR(__xludf.DUMMYFUNCTION("IMPORTRANGE(""https://docs.google.com/spreadsheets/d/1MeEWN-I1oV_STSDYn1IFDPWt_1FKiwhDph83XaGc0o0/edit?usp=sharing"",""งบพรบ!BR30"")"),44734.5)</f>
        <v>44734.5</v>
      </c>
      <c r="M30" s="90">
        <f t="shared" ca="1" si="5"/>
        <v>91.942246428938446</v>
      </c>
      <c r="N30" s="90">
        <f t="shared" ca="1" si="6"/>
        <v>91.942246428938446</v>
      </c>
      <c r="O30" s="91">
        <f ca="1">IFERROR(__xludf.DUMMYFUNCTION("IMPORTRANGE(""https://docs.google.com/spreadsheets/d/1MeEWN-I1oV_STSDYn1IFDPWt_1FKiwhDph83XaGc0o0/edit?usp=sharing"",""งบพรบ!BS30"")"),103000)</f>
        <v>103000</v>
      </c>
      <c r="P30" s="91">
        <f t="shared" ca="1" si="30"/>
        <v>100</v>
      </c>
      <c r="Q30" s="90">
        <f t="shared" ca="1" si="8"/>
        <v>100</v>
      </c>
      <c r="R30" s="92">
        <f ca="1">IFERROR(__xludf.DUMMYFUNCTION("IMPORTRANGE(""https://docs.google.com/spreadsheets/d/1kII0BjS6CtVrBvI8IrytgPdxDrlyQDyigzMsohRtDMs/edit?usp=sharing"",""อุทัยธานี!J142"")"),0)</f>
        <v>0</v>
      </c>
      <c r="S30" s="92">
        <f ca="1">IFERROR(__xludf.DUMMYFUNCTION("IMPORTRANGE(""https://docs.google.com/spreadsheets/d/1kII0BjS6CtVrBvI8IrytgPdxDrlyQDyigzMsohRtDMs/edit?usp=sharing"",""อุทัยธานี!I143"")"),10)</f>
        <v>10</v>
      </c>
      <c r="T30" s="92">
        <f ca="1">IFERROR(__xludf.DUMMYFUNCTION("IMPORTRANGE(""https://docs.google.com/spreadsheets/d/1kII0BjS6CtVrBvI8IrytgPdxDrlyQDyigzMsohRtDMs/edit?usp=sharing"",""อุทัยธานี!J143"")"),10)</f>
        <v>10</v>
      </c>
      <c r="U30" s="93">
        <f t="shared" ca="1" si="25"/>
        <v>100</v>
      </c>
      <c r="V30" s="92">
        <f ca="1">IFERROR(__xludf.DUMMYFUNCTION("IMPORTRANGE(""https://docs.google.com/spreadsheets/d/1kII0BjS6CtVrBvI8IrytgPdxDrlyQDyigzMsohRtDMs/edit?usp=sharing"",""อุทัยธานี!I144"")"),5)</f>
        <v>5</v>
      </c>
      <c r="W30" s="92">
        <f ca="1">IFERROR(__xludf.DUMMYFUNCTION("IMPORTRANGE(""https://docs.google.com/spreadsheets/d/1kII0BjS6CtVrBvI8IrytgPdxDrlyQDyigzMsohRtDMs/edit?usp=sharing"",""อุทัยธานี!J144"")"),5)</f>
        <v>5</v>
      </c>
      <c r="X30" s="93">
        <f t="shared" ca="1" si="26"/>
        <v>100</v>
      </c>
      <c r="Y30" s="92">
        <f ca="1">IFERROR(__xludf.DUMMYFUNCTION("IMPORTRANGE(""https://docs.google.com/spreadsheets/d/1kII0BjS6CtVrBvI8IrytgPdxDrlyQDyigzMsohRtDMs/edit?usp=sharing"",""อุทัยธานี!I145"")"),10)</f>
        <v>10</v>
      </c>
      <c r="Z30" s="92">
        <f ca="1">IFERROR(__xludf.DUMMYFUNCTION("IMPORTRANGE(""https://docs.google.com/spreadsheets/d/1kII0BjS6CtVrBvI8IrytgPdxDrlyQDyigzMsohRtDMs/edit?usp=sharing"",""อุทัยธานี!J145"")"),10)</f>
        <v>10</v>
      </c>
      <c r="AA30" s="93">
        <f t="shared" ca="1" si="27"/>
        <v>100</v>
      </c>
      <c r="AB30" s="92">
        <f ca="1">IFERROR(__xludf.DUMMYFUNCTION("IMPORTRANGE(""https://docs.google.com/spreadsheets/d/1kII0BjS6CtVrBvI8IrytgPdxDrlyQDyigzMsohRtDMs/edit?usp=sharing"",""อุทัยธานี!I146"")"),1)</f>
        <v>1</v>
      </c>
      <c r="AC30" s="92">
        <f ca="1">IFERROR(__xludf.DUMMYFUNCTION("IMPORTRANGE(""https://docs.google.com/spreadsheets/d/1kII0BjS6CtVrBvI8IrytgPdxDrlyQDyigzMsohRtDMs/edit?usp=sharing"",""อุทัยธานี!J146"")"),1)</f>
        <v>1</v>
      </c>
      <c r="AD30" s="93">
        <f t="shared" ca="1" si="28"/>
        <v>100</v>
      </c>
    </row>
    <row r="31" spans="1:30" ht="21" customHeight="1" x14ac:dyDescent="0.2">
      <c r="A31" s="383" t="s">
        <v>53</v>
      </c>
      <c r="B31" s="384"/>
      <c r="C31" s="94">
        <f t="shared" ca="1" si="0"/>
        <v>2460570</v>
      </c>
      <c r="D31" s="57">
        <f t="shared" ref="D31:I31" ca="1" si="36">SUM(D32:D51)</f>
        <v>1018570</v>
      </c>
      <c r="E31" s="57">
        <f t="shared" ca="1" si="36"/>
        <v>337400</v>
      </c>
      <c r="F31" s="57">
        <f t="shared" ca="1" si="36"/>
        <v>681170</v>
      </c>
      <c r="G31" s="57">
        <f t="shared" ca="1" si="36"/>
        <v>1442000</v>
      </c>
      <c r="H31" s="57">
        <f t="shared" ca="1" si="36"/>
        <v>1018570</v>
      </c>
      <c r="I31" s="57">
        <f t="shared" ca="1" si="36"/>
        <v>1479000</v>
      </c>
      <c r="J31" s="57">
        <f t="shared" ca="1" si="3"/>
        <v>2382376.5700000003</v>
      </c>
      <c r="K31" s="95">
        <f t="shared" ca="1" si="4"/>
        <v>96.822141617592678</v>
      </c>
      <c r="L31" s="57">
        <f ca="1">SUM(L32:L51)</f>
        <v>903376.57000000007</v>
      </c>
      <c r="M31" s="96">
        <f t="shared" ca="1" si="5"/>
        <v>88.690671235163023</v>
      </c>
      <c r="N31" s="96">
        <f t="shared" ca="1" si="6"/>
        <v>88.690671235163023</v>
      </c>
      <c r="O31" s="97">
        <f ca="1">SUM(O32:O51)</f>
        <v>1479000</v>
      </c>
      <c r="P31" s="97">
        <f t="shared" ca="1" si="30"/>
        <v>102.56588072122052</v>
      </c>
      <c r="Q31" s="96">
        <f t="shared" ca="1" si="8"/>
        <v>100</v>
      </c>
      <c r="R31" s="57">
        <f t="shared" ref="R31:T31" ca="1" si="37">SUM(R32:R51)</f>
        <v>70</v>
      </c>
      <c r="S31" s="57">
        <f t="shared" ca="1" si="37"/>
        <v>140</v>
      </c>
      <c r="T31" s="57">
        <f t="shared" ca="1" si="37"/>
        <v>140</v>
      </c>
      <c r="U31" s="96">
        <f t="shared" ca="1" si="25"/>
        <v>100</v>
      </c>
      <c r="V31" s="57">
        <f t="shared" ref="V31:W31" ca="1" si="38">SUM(V32:V51)</f>
        <v>70</v>
      </c>
      <c r="W31" s="57">
        <f t="shared" ca="1" si="38"/>
        <v>80</v>
      </c>
      <c r="X31" s="96">
        <f t="shared" ca="1" si="26"/>
        <v>114.28571428571429</v>
      </c>
      <c r="Y31" s="57">
        <f t="shared" ref="Y31:Z31" ca="1" si="39">SUM(Y32:Y51)</f>
        <v>140</v>
      </c>
      <c r="Z31" s="57">
        <f t="shared" ca="1" si="39"/>
        <v>140</v>
      </c>
      <c r="AA31" s="96">
        <f t="shared" ca="1" si="27"/>
        <v>100</v>
      </c>
      <c r="AB31" s="57">
        <f t="shared" ref="AB31:AC31" ca="1" si="40">SUM(AB32:AB51)</f>
        <v>14</v>
      </c>
      <c r="AC31" s="57">
        <f t="shared" ca="1" si="40"/>
        <v>14</v>
      </c>
      <c r="AD31" s="96">
        <f t="shared" ca="1" si="28"/>
        <v>100</v>
      </c>
    </row>
    <row r="32" spans="1:30" ht="21" customHeight="1" x14ac:dyDescent="0.2">
      <c r="A32" s="63">
        <v>1</v>
      </c>
      <c r="B32" s="64" t="s">
        <v>54</v>
      </c>
      <c r="C32" s="98">
        <f t="shared" ca="1" si="0"/>
        <v>0</v>
      </c>
      <c r="D32" s="66">
        <f t="shared" ref="D32:D51" ca="1" si="41">+E32+F32</f>
        <v>0</v>
      </c>
      <c r="E32" s="67">
        <f ca="1">IFERROR(__xludf.DUMMYFUNCTION("IMPORTRANGE(""https://docs.google.com/spreadsheets/d/1MeEWN-I1oV_STSDYn1IFDPWt_1FKiwhDph83XaGc0o0/edit?usp=sharing"",""งบพรบ!BL32"")"),0)</f>
        <v>0</v>
      </c>
      <c r="F32" s="67">
        <f ca="1">IFERROR(__xludf.DUMMYFUNCTION("IMPORTRANGE(""https://docs.google.com/spreadsheets/d/1MeEWN-I1oV_STSDYn1IFDPWt_1FKiwhDph83XaGc0o0/edit?usp=sharing"",""งบพรบ!BM32"")"),0)</f>
        <v>0</v>
      </c>
      <c r="G32" s="68">
        <f ca="1">IFERROR(__xludf.DUMMYFUNCTION("IMPORTRANGE(""https://docs.google.com/spreadsheets/d/1MeEWN-I1oV_STSDYn1IFDPWt_1FKiwhDph83XaGc0o0/edit?usp=sharing"",""งบพรบ!BN32"")"),0)</f>
        <v>0</v>
      </c>
      <c r="H32" s="68">
        <f ca="1">IFERROR(__xludf.DUMMYFUNCTION("IMPORTRANGE(""https://docs.google.com/spreadsheets/d/1MeEWN-I1oV_STSDYn1IFDPWt_1FKiwhDph83XaGc0o0/edit?usp=sharing"",""งบพรบ!BP32"")"),0)</f>
        <v>0</v>
      </c>
      <c r="I32" s="68">
        <f ca="1">IFERROR(__xludf.DUMMYFUNCTION("IMPORTRANGE(""https://docs.google.com/spreadsheets/d/1MeEWN-I1oV_STSDYn1IFDPWt_1FKiwhDph83XaGc0o0/edit?usp=sharing"",""งบพรบ!BQ32"")"),0)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IFERROR(__xludf.DUMMYFUNCTION("IMPORTRANGE(""https://docs.google.com/spreadsheets/d/1MeEWN-I1oV_STSDYn1IFDPWt_1FKiwhDph83XaGc0o0/edit?usp=sharing"",""งบพรบ!BR32"")"),0)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IFERROR(__xludf.DUMMYFUNCTION("IMPORTRANGE(""https://docs.google.com/spreadsheets/d/1MeEWN-I1oV_STSDYn1IFDPWt_1FKiwhDph83XaGc0o0/edit?usp=sharing"",""งบพรบ!BS32"")"),0)</f>
        <v>0</v>
      </c>
      <c r="P32" s="71">
        <f t="shared" ca="1" si="30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IFERROR(__xludf.DUMMYFUNCTION("IMPORTRANGE(""https://docs.google.com/spreadsheets/d/1fb2B9NLcpJgjIieIJvenUTNPn0TimZDUi0OtYeiSQ_s/edit?usp=sharing"",""กาฬสินธุ์!J142"")"),0)</f>
        <v>0</v>
      </c>
      <c r="S32" s="68">
        <f ca="1">IFERROR(__xludf.DUMMYFUNCTION("IMPORTRANGE(""https://docs.google.com/spreadsheets/d/1fb2B9NLcpJgjIieIJvenUTNPn0TimZDUi0OtYeiSQ_s/edit?usp=sharing"",""กาฬสินธุ์!I143"")"),0)</f>
        <v>0</v>
      </c>
      <c r="T32" s="68">
        <f ca="1">IFERROR(__xludf.DUMMYFUNCTION("IMPORTRANGE(""https://docs.google.com/spreadsheets/d/1fb2B9NLcpJgjIieIJvenUTNPn0TimZDUi0OtYeiSQ_s/edit?usp=sharing"",""กาฬสินธุ์!J143"")"),0)</f>
        <v>0</v>
      </c>
      <c r="U32" s="72">
        <f t="shared" ca="1" si="25"/>
        <v>0</v>
      </c>
      <c r="V32" s="68">
        <f ca="1">IFERROR(__xludf.DUMMYFUNCTION("IMPORTRANGE(""https://docs.google.com/spreadsheets/d/1fb2B9NLcpJgjIieIJvenUTNPn0TimZDUi0OtYeiSQ_s/edit?usp=sharing"",""กาฬสินธุ์!I144"")"),0)</f>
        <v>0</v>
      </c>
      <c r="W32" s="68">
        <f ca="1">IFERROR(__xludf.DUMMYFUNCTION("IMPORTRANGE(""https://docs.google.com/spreadsheets/d/1fb2B9NLcpJgjIieIJvenUTNPn0TimZDUi0OtYeiSQ_s/edit?usp=sharing"",""กาฬสินธุ์!J144"")"),0)</f>
        <v>0</v>
      </c>
      <c r="X32" s="72">
        <f t="shared" ca="1" si="26"/>
        <v>0</v>
      </c>
      <c r="Y32" s="68">
        <f ca="1">IFERROR(__xludf.DUMMYFUNCTION("IMPORTRANGE(""https://docs.google.com/spreadsheets/d/1fb2B9NLcpJgjIieIJvenUTNPn0TimZDUi0OtYeiSQ_s/edit?usp=sharing"",""กาฬสินธุ์!I145"")"),0)</f>
        <v>0</v>
      </c>
      <c r="Z32" s="68">
        <f ca="1">IFERROR(__xludf.DUMMYFUNCTION("IMPORTRANGE(""https://docs.google.com/spreadsheets/d/1fb2B9NLcpJgjIieIJvenUTNPn0TimZDUi0OtYeiSQ_s/edit?usp=sharing"",""กาฬสินธุ์!J145"")"),0)</f>
        <v>0</v>
      </c>
      <c r="AA32" s="72">
        <f t="shared" ca="1" si="27"/>
        <v>0</v>
      </c>
      <c r="AB32" s="68">
        <f ca="1">IFERROR(__xludf.DUMMYFUNCTION("IMPORTRANGE(""https://docs.google.com/spreadsheets/d/1fb2B9NLcpJgjIieIJvenUTNPn0TimZDUi0OtYeiSQ_s/edit?usp=sharing"",""กาฬสินธุ์!I146"")"),0)</f>
        <v>0</v>
      </c>
      <c r="AC32" s="68">
        <f ca="1">IFERROR(__xludf.DUMMYFUNCTION("IMPORTRANGE(""https://docs.google.com/spreadsheets/d/1fb2B9NLcpJgjIieIJvenUTNPn0TimZDUi0OtYeiSQ_s/edit?usp=sharing"",""กาฬสินธุ์!J146"")"),0)</f>
        <v>0</v>
      </c>
      <c r="AD32" s="72">
        <f t="shared" ca="1" si="28"/>
        <v>0</v>
      </c>
    </row>
    <row r="33" spans="1:3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41"/>
        <v>0</v>
      </c>
      <c r="E33" s="77">
        <f ca="1">IFERROR(__xludf.DUMMYFUNCTION("IMPORTRANGE(""https://docs.google.com/spreadsheets/d/1MeEWN-I1oV_STSDYn1IFDPWt_1FKiwhDph83XaGc0o0/edit?usp=sharing"",""งบพรบ!BL33"")"),0)</f>
        <v>0</v>
      </c>
      <c r="F33" s="77">
        <f ca="1">IFERROR(__xludf.DUMMYFUNCTION("IMPORTRANGE(""https://docs.google.com/spreadsheets/d/1MeEWN-I1oV_STSDYn1IFDPWt_1FKiwhDph83XaGc0o0/edit?usp=sharing"",""งบพรบ!BM33"")"),0)</f>
        <v>0</v>
      </c>
      <c r="G33" s="77">
        <f ca="1">IFERROR(__xludf.DUMMYFUNCTION("IMPORTRANGE(""https://docs.google.com/spreadsheets/d/1MeEWN-I1oV_STSDYn1IFDPWt_1FKiwhDph83XaGc0o0/edit?usp=sharing"",""งบพรบ!BN33"")"),0)</f>
        <v>0</v>
      </c>
      <c r="H33" s="77">
        <f ca="1">IFERROR(__xludf.DUMMYFUNCTION("IMPORTRANGE(""https://docs.google.com/spreadsheets/d/1MeEWN-I1oV_STSDYn1IFDPWt_1FKiwhDph83XaGc0o0/edit?usp=sharing"",""งบพรบ!BP33"")"),0)</f>
        <v>0</v>
      </c>
      <c r="I33" s="77">
        <f ca="1">IFERROR(__xludf.DUMMYFUNCTION("IMPORTRANGE(""https://docs.google.com/spreadsheets/d/1MeEWN-I1oV_STSDYn1IFDPWt_1FKiwhDph83XaGc0o0/edit?usp=sharing"",""งบพรบ!BQ33"")"),0)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IFERROR(__xludf.DUMMYFUNCTION("IMPORTRANGE(""https://docs.google.com/spreadsheets/d/1MeEWN-I1oV_STSDYn1IFDPWt_1FKiwhDph83XaGc0o0/edit?usp=sharing"",""งบพรบ!BR33"")"),0)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IFERROR(__xludf.DUMMYFUNCTION("IMPORTRANGE(""https://docs.google.com/spreadsheets/d/1MeEWN-I1oV_STSDYn1IFDPWt_1FKiwhDph83XaGc0o0/edit?usp=sharing"",""งบพรบ!BS33"")"),0)</f>
        <v>0</v>
      </c>
      <c r="P33" s="80">
        <f t="shared" ca="1" si="30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IFERROR(__xludf.DUMMYFUNCTION("IMPORTRANGE(""https://docs.google.com/spreadsheets/d/1SaMnqrwRGmFYNR0MhpWmHuL5niYUd5E7vDq8X7whAlI/edit?usp=sharing"",""ขอนแก่น!J142"")"),0)</f>
        <v>0</v>
      </c>
      <c r="S33" s="81">
        <f ca="1">IFERROR(__xludf.DUMMYFUNCTION("IMPORTRANGE(""https://docs.google.com/spreadsheets/d/1SaMnqrwRGmFYNR0MhpWmHuL5niYUd5E7vDq8X7whAlI/edit?usp=sharing"",""ขอนแก่น!I143"")"),0)</f>
        <v>0</v>
      </c>
      <c r="T33" s="81">
        <f ca="1">IFERROR(__xludf.DUMMYFUNCTION("IMPORTRANGE(""https://docs.google.com/spreadsheets/d/1SaMnqrwRGmFYNR0MhpWmHuL5niYUd5E7vDq8X7whAlI/edit?usp=sharing"",""ขอนแก่น!J143"")"),0)</f>
        <v>0</v>
      </c>
      <c r="U33" s="82">
        <f t="shared" ca="1" si="25"/>
        <v>0</v>
      </c>
      <c r="V33" s="81">
        <f ca="1">IFERROR(__xludf.DUMMYFUNCTION("IMPORTRANGE(""https://docs.google.com/spreadsheets/d/1SaMnqrwRGmFYNR0MhpWmHuL5niYUd5E7vDq8X7whAlI/edit?usp=sharing"",""ขอนแก่น!I144"")"),0)</f>
        <v>0</v>
      </c>
      <c r="W33" s="81">
        <f ca="1">IFERROR(__xludf.DUMMYFUNCTION("IMPORTRANGE(""https://docs.google.com/spreadsheets/d/1SaMnqrwRGmFYNR0MhpWmHuL5niYUd5E7vDq8X7whAlI/edit?usp=sharing"",""ขอนแก่น!J144"")"),0)</f>
        <v>0</v>
      </c>
      <c r="X33" s="82">
        <f t="shared" ca="1" si="26"/>
        <v>0</v>
      </c>
      <c r="Y33" s="81">
        <f ca="1">IFERROR(__xludf.DUMMYFUNCTION("IMPORTRANGE(""https://docs.google.com/spreadsheets/d/1SaMnqrwRGmFYNR0MhpWmHuL5niYUd5E7vDq8X7whAlI/edit?usp=sharing"",""ขอนแก่น!I145"")"),0)</f>
        <v>0</v>
      </c>
      <c r="Z33" s="81">
        <f ca="1">IFERROR(__xludf.DUMMYFUNCTION("IMPORTRANGE(""https://docs.google.com/spreadsheets/d/1SaMnqrwRGmFYNR0MhpWmHuL5niYUd5E7vDq8X7whAlI/edit?usp=sharing"",""ขอนแก่น!J145"")"),0)</f>
        <v>0</v>
      </c>
      <c r="AA33" s="82">
        <f t="shared" ca="1" si="27"/>
        <v>0</v>
      </c>
      <c r="AB33" s="81">
        <f ca="1">IFERROR(__xludf.DUMMYFUNCTION("IMPORTRANGE(""https://docs.google.com/spreadsheets/d/1SaMnqrwRGmFYNR0MhpWmHuL5niYUd5E7vDq8X7whAlI/edit?usp=sharing"",""ขอนแก่น!I146"")"),0)</f>
        <v>0</v>
      </c>
      <c r="AC33" s="81">
        <f ca="1">IFERROR(__xludf.DUMMYFUNCTION("IMPORTRANGE(""https://docs.google.com/spreadsheets/d/1SaMnqrwRGmFYNR0MhpWmHuL5niYUd5E7vDq8X7whAlI/edit?usp=sharing"",""ขอนแก่น!J146"")"),0)</f>
        <v>0</v>
      </c>
      <c r="AD33" s="82">
        <f t="shared" ca="1" si="28"/>
        <v>0</v>
      </c>
    </row>
    <row r="34" spans="1:3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41"/>
        <v>0</v>
      </c>
      <c r="E34" s="77">
        <f ca="1">IFERROR(__xludf.DUMMYFUNCTION("IMPORTRANGE(""https://docs.google.com/spreadsheets/d/1MeEWN-I1oV_STSDYn1IFDPWt_1FKiwhDph83XaGc0o0/edit?usp=sharing"",""งบพรบ!BL34"")"),0)</f>
        <v>0</v>
      </c>
      <c r="F34" s="77">
        <f ca="1">IFERROR(__xludf.DUMMYFUNCTION("IMPORTRANGE(""https://docs.google.com/spreadsheets/d/1MeEWN-I1oV_STSDYn1IFDPWt_1FKiwhDph83XaGc0o0/edit?usp=sharing"",""งบพรบ!BM34"")"),0)</f>
        <v>0</v>
      </c>
      <c r="G34" s="77">
        <f ca="1">IFERROR(__xludf.DUMMYFUNCTION("IMPORTRANGE(""https://docs.google.com/spreadsheets/d/1MeEWN-I1oV_STSDYn1IFDPWt_1FKiwhDph83XaGc0o0/edit?usp=sharing"",""งบพรบ!BN34"")"),0)</f>
        <v>0</v>
      </c>
      <c r="H34" s="77">
        <f ca="1">IFERROR(__xludf.DUMMYFUNCTION("IMPORTRANGE(""https://docs.google.com/spreadsheets/d/1MeEWN-I1oV_STSDYn1IFDPWt_1FKiwhDph83XaGc0o0/edit?usp=sharing"",""งบพรบ!BP34"")"),0)</f>
        <v>0</v>
      </c>
      <c r="I34" s="77">
        <f ca="1">IFERROR(__xludf.DUMMYFUNCTION("IMPORTRANGE(""https://docs.google.com/spreadsheets/d/1MeEWN-I1oV_STSDYn1IFDPWt_1FKiwhDph83XaGc0o0/edit?usp=sharing"",""งบพรบ!BQ34"")"),0)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IFERROR(__xludf.DUMMYFUNCTION("IMPORTRANGE(""https://docs.google.com/spreadsheets/d/1MeEWN-I1oV_STSDYn1IFDPWt_1FKiwhDph83XaGc0o0/edit?usp=sharing"",""งบพรบ!BR34"")"),0)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IFERROR(__xludf.DUMMYFUNCTION("IMPORTRANGE(""https://docs.google.com/spreadsheets/d/1MeEWN-I1oV_STSDYn1IFDPWt_1FKiwhDph83XaGc0o0/edit?usp=sharing"",""งบพรบ!BS34"")"),0)</f>
        <v>0</v>
      </c>
      <c r="P34" s="80">
        <f t="shared" ca="1" si="30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IFERROR(__xludf.DUMMYFUNCTION("IMPORTRANGE(""https://docs.google.com/spreadsheets/d/1xQzEtGHhTTgxHh6YUkKY1P4dRyjVhS74dGswLfAASA4/edit?usp=sharing"",""ชัยภูมิ!J142"")"),0)</f>
        <v>0</v>
      </c>
      <c r="S34" s="81">
        <f ca="1">IFERROR(__xludf.DUMMYFUNCTION("IMPORTRANGE(""https://docs.google.com/spreadsheets/d/1xQzEtGHhTTgxHh6YUkKY1P4dRyjVhS74dGswLfAASA4/edit?usp=sharing"",""ชัยภูมิ!I143"")"),0)</f>
        <v>0</v>
      </c>
      <c r="T34" s="81">
        <f ca="1">IFERROR(__xludf.DUMMYFUNCTION("IMPORTRANGE(""https://docs.google.com/spreadsheets/d/1xQzEtGHhTTgxHh6YUkKY1P4dRyjVhS74dGswLfAASA4/edit?usp=sharing"",""ชัยภูมิ!J143"")"),0)</f>
        <v>0</v>
      </c>
      <c r="U34" s="82">
        <f t="shared" ca="1" si="25"/>
        <v>0</v>
      </c>
      <c r="V34" s="81">
        <f ca="1">IFERROR(__xludf.DUMMYFUNCTION("IMPORTRANGE(""https://docs.google.com/spreadsheets/d/1xQzEtGHhTTgxHh6YUkKY1P4dRyjVhS74dGswLfAASA4/edit?usp=sharing"",""ชัยภูมิ!I144"")"),0)</f>
        <v>0</v>
      </c>
      <c r="W34" s="81">
        <f ca="1">IFERROR(__xludf.DUMMYFUNCTION("IMPORTRANGE(""https://docs.google.com/spreadsheets/d/1xQzEtGHhTTgxHh6YUkKY1P4dRyjVhS74dGswLfAASA4/edit?usp=sharing"",""ชัยภูมิ!J144"")"),0)</f>
        <v>0</v>
      </c>
      <c r="X34" s="82">
        <f t="shared" ca="1" si="26"/>
        <v>0</v>
      </c>
      <c r="Y34" s="81">
        <f ca="1">IFERROR(__xludf.DUMMYFUNCTION("IMPORTRANGE(""https://docs.google.com/spreadsheets/d/1xQzEtGHhTTgxHh6YUkKY1P4dRyjVhS74dGswLfAASA4/edit?usp=sharing"",""ชัยภูมิ!I145"")"),0)</f>
        <v>0</v>
      </c>
      <c r="Z34" s="81">
        <f ca="1">IFERROR(__xludf.DUMMYFUNCTION("IMPORTRANGE(""https://docs.google.com/spreadsheets/d/1xQzEtGHhTTgxHh6YUkKY1P4dRyjVhS74dGswLfAASA4/edit?usp=sharing"",""ชัยภูมิ!J145"")"),0)</f>
        <v>0</v>
      </c>
      <c r="AA34" s="82">
        <f t="shared" ca="1" si="27"/>
        <v>0</v>
      </c>
      <c r="AB34" s="81">
        <f ca="1">IFERROR(__xludf.DUMMYFUNCTION("IMPORTRANGE(""https://docs.google.com/spreadsheets/d/1xQzEtGHhTTgxHh6YUkKY1P4dRyjVhS74dGswLfAASA4/edit?usp=sharing"",""ชัยภูมิ!I146"")"),0)</f>
        <v>0</v>
      </c>
      <c r="AC34" s="81">
        <f ca="1">IFERROR(__xludf.DUMMYFUNCTION("IMPORTRANGE(""https://docs.google.com/spreadsheets/d/1xQzEtGHhTTgxHh6YUkKY1P4dRyjVhS74dGswLfAASA4/edit?usp=sharing"",""ชัยภูมิ!J146"")"),0)</f>
        <v>0</v>
      </c>
      <c r="AD34" s="82">
        <f t="shared" ca="1" si="28"/>
        <v>0</v>
      </c>
    </row>
    <row r="35" spans="1:3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41"/>
        <v>0</v>
      </c>
      <c r="E35" s="77">
        <f ca="1">IFERROR(__xludf.DUMMYFUNCTION("IMPORTRANGE(""https://docs.google.com/spreadsheets/d/1MeEWN-I1oV_STSDYn1IFDPWt_1FKiwhDph83XaGc0o0/edit?usp=sharing"",""งบพรบ!BL35"")"),0)</f>
        <v>0</v>
      </c>
      <c r="F35" s="77">
        <f ca="1">IFERROR(__xludf.DUMMYFUNCTION("IMPORTRANGE(""https://docs.google.com/spreadsheets/d/1MeEWN-I1oV_STSDYn1IFDPWt_1FKiwhDph83XaGc0o0/edit?usp=sharing"",""งบพรบ!BM35"")"),0)</f>
        <v>0</v>
      </c>
      <c r="G35" s="77">
        <f ca="1">IFERROR(__xludf.DUMMYFUNCTION("IMPORTRANGE(""https://docs.google.com/spreadsheets/d/1MeEWN-I1oV_STSDYn1IFDPWt_1FKiwhDph83XaGc0o0/edit?usp=sharing"",""งบพรบ!BN35"")"),0)</f>
        <v>0</v>
      </c>
      <c r="H35" s="77">
        <f ca="1">IFERROR(__xludf.DUMMYFUNCTION("IMPORTRANGE(""https://docs.google.com/spreadsheets/d/1MeEWN-I1oV_STSDYn1IFDPWt_1FKiwhDph83XaGc0o0/edit?usp=sharing"",""งบพรบ!BP35"")"),0)</f>
        <v>0</v>
      </c>
      <c r="I35" s="77">
        <f ca="1">IFERROR(__xludf.DUMMYFUNCTION("IMPORTRANGE(""https://docs.google.com/spreadsheets/d/1MeEWN-I1oV_STSDYn1IFDPWt_1FKiwhDph83XaGc0o0/edit?usp=sharing"",""งบพรบ!BQ35"")"),0)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IFERROR(__xludf.DUMMYFUNCTION("IMPORTRANGE(""https://docs.google.com/spreadsheets/d/1MeEWN-I1oV_STSDYn1IFDPWt_1FKiwhDph83XaGc0o0/edit?usp=sharing"",""งบพรบ!BR35"")"),0)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IFERROR(__xludf.DUMMYFUNCTION("IMPORTRANGE(""https://docs.google.com/spreadsheets/d/1MeEWN-I1oV_STSDYn1IFDPWt_1FKiwhDph83XaGc0o0/edit?usp=sharing"",""งบพรบ!BS35"")"),0)</f>
        <v>0</v>
      </c>
      <c r="P35" s="80">
        <f t="shared" ca="1" si="30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IFERROR(__xludf.DUMMYFUNCTION("IMPORTRANGE(""https://docs.google.com/spreadsheets/d/1EXMBoBxU3OFbjT2TRpneM33qFjqDzrKmn9ydcflfI0o/edit?usp=sharing"",""นครพนม!J142"")"),0)</f>
        <v>0</v>
      </c>
      <c r="S35" s="81">
        <f ca="1">IFERROR(__xludf.DUMMYFUNCTION("IMPORTRANGE(""https://docs.google.com/spreadsheets/d/1EXMBoBxU3OFbjT2TRpneM33qFjqDzrKmn9ydcflfI0o/edit?usp=sharing"",""นครพนม!I143"")"),0)</f>
        <v>0</v>
      </c>
      <c r="T35" s="81">
        <f ca="1">IFERROR(__xludf.DUMMYFUNCTION("IMPORTRANGE(""https://docs.google.com/spreadsheets/d/1EXMBoBxU3OFbjT2TRpneM33qFjqDzrKmn9ydcflfI0o/edit?usp=sharing"",""นครพนม!J143"")"),0)</f>
        <v>0</v>
      </c>
      <c r="U35" s="82">
        <f t="shared" ca="1" si="25"/>
        <v>0</v>
      </c>
      <c r="V35" s="81">
        <f ca="1">IFERROR(__xludf.DUMMYFUNCTION("IMPORTRANGE(""https://docs.google.com/spreadsheets/d/1EXMBoBxU3OFbjT2TRpneM33qFjqDzrKmn9ydcflfI0o/edit?usp=sharing"",""นครพนม!I144"")"),0)</f>
        <v>0</v>
      </c>
      <c r="W35" s="81">
        <f ca="1">IFERROR(__xludf.DUMMYFUNCTION("IMPORTRANGE(""https://docs.google.com/spreadsheets/d/1EXMBoBxU3OFbjT2TRpneM33qFjqDzrKmn9ydcflfI0o/edit?usp=sharing"",""นครพนม!J144"")"),0)</f>
        <v>0</v>
      </c>
      <c r="X35" s="82">
        <f t="shared" ca="1" si="26"/>
        <v>0</v>
      </c>
      <c r="Y35" s="81">
        <f ca="1">IFERROR(__xludf.DUMMYFUNCTION("IMPORTRANGE(""https://docs.google.com/spreadsheets/d/1EXMBoBxU3OFbjT2TRpneM33qFjqDzrKmn9ydcflfI0o/edit?usp=sharing"",""นครพนม!I145"")"),0)</f>
        <v>0</v>
      </c>
      <c r="Z35" s="81">
        <f ca="1">IFERROR(__xludf.DUMMYFUNCTION("IMPORTRANGE(""https://docs.google.com/spreadsheets/d/1EXMBoBxU3OFbjT2TRpneM33qFjqDzrKmn9ydcflfI0o/edit?usp=sharing"",""นครพนม!J145"")"),0)</f>
        <v>0</v>
      </c>
      <c r="AA35" s="82">
        <f t="shared" ca="1" si="27"/>
        <v>0</v>
      </c>
      <c r="AB35" s="81">
        <f ca="1">IFERROR(__xludf.DUMMYFUNCTION("IMPORTRANGE(""https://docs.google.com/spreadsheets/d/1EXMBoBxU3OFbjT2TRpneM33qFjqDzrKmn9ydcflfI0o/edit?usp=sharing"",""นครพนม!I146"")"),0)</f>
        <v>0</v>
      </c>
      <c r="AC35" s="81">
        <f ca="1">IFERROR(__xludf.DUMMYFUNCTION("IMPORTRANGE(""https://docs.google.com/spreadsheets/d/1EXMBoBxU3OFbjT2TRpneM33qFjqDzrKmn9ydcflfI0o/edit?usp=sharing"",""นครพนม!J146"")"),0)</f>
        <v>0</v>
      </c>
      <c r="AD35" s="82">
        <f t="shared" ca="1" si="28"/>
        <v>0</v>
      </c>
    </row>
    <row r="36" spans="1:30" ht="21" customHeight="1" x14ac:dyDescent="0.2">
      <c r="A36" s="73">
        <v>5</v>
      </c>
      <c r="B36" s="74" t="s">
        <v>58</v>
      </c>
      <c r="C36" s="75">
        <f t="shared" ca="1" si="0"/>
        <v>303310</v>
      </c>
      <c r="D36" s="76">
        <f t="shared" ca="1" si="41"/>
        <v>97310</v>
      </c>
      <c r="E36" s="77">
        <f ca="1">IFERROR(__xludf.DUMMYFUNCTION("IMPORTRANGE(""https://docs.google.com/spreadsheets/d/1MeEWN-I1oV_STSDYn1IFDPWt_1FKiwhDph83XaGc0o0/edit?usp=sharing"",""งบพรบ!BL36"")"),0)</f>
        <v>0</v>
      </c>
      <c r="F36" s="77">
        <f ca="1">IFERROR(__xludf.DUMMYFUNCTION("IMPORTRANGE(""https://docs.google.com/spreadsheets/d/1MeEWN-I1oV_STSDYn1IFDPWt_1FKiwhDph83XaGc0o0/edit?usp=sharing"",""งบพรบ!BM36"")"),97310)</f>
        <v>97310</v>
      </c>
      <c r="G36" s="77">
        <f ca="1">IFERROR(__xludf.DUMMYFUNCTION("IMPORTRANGE(""https://docs.google.com/spreadsheets/d/1MeEWN-I1oV_STSDYn1IFDPWt_1FKiwhDph83XaGc0o0/edit?usp=sharing"",""งบพรบ!BN36"")"),206000)</f>
        <v>206000</v>
      </c>
      <c r="H36" s="77">
        <f ca="1">IFERROR(__xludf.DUMMYFUNCTION("IMPORTRANGE(""https://docs.google.com/spreadsheets/d/1MeEWN-I1oV_STSDYn1IFDPWt_1FKiwhDph83XaGc0o0/edit?usp=sharing"",""งบพรบ!BP36"")"),97310)</f>
        <v>97310</v>
      </c>
      <c r="I36" s="77">
        <f ca="1">IFERROR(__xludf.DUMMYFUNCTION("IMPORTRANGE(""https://docs.google.com/spreadsheets/d/1MeEWN-I1oV_STSDYn1IFDPWt_1FKiwhDph83XaGc0o0/edit?usp=sharing"",""งบพรบ!BQ36"")"),243500)</f>
        <v>243500</v>
      </c>
      <c r="J36" s="77">
        <f t="shared" ca="1" si="3"/>
        <v>340810</v>
      </c>
      <c r="K36" s="78">
        <f t="shared" ca="1" si="4"/>
        <v>112.36358840789951</v>
      </c>
      <c r="L36" s="77">
        <f ca="1">IFERROR(__xludf.DUMMYFUNCTION("IMPORTRANGE(""https://docs.google.com/spreadsheets/d/1MeEWN-I1oV_STSDYn1IFDPWt_1FKiwhDph83XaGc0o0/edit?usp=sharing"",""งบพรบ!BR36"")"),97310)</f>
        <v>97310</v>
      </c>
      <c r="M36" s="79">
        <f t="shared" ca="1" si="5"/>
        <v>100</v>
      </c>
      <c r="N36" s="79">
        <f t="shared" ca="1" si="6"/>
        <v>100</v>
      </c>
      <c r="O36" s="80">
        <f ca="1">IFERROR(__xludf.DUMMYFUNCTION("IMPORTRANGE(""https://docs.google.com/spreadsheets/d/1MeEWN-I1oV_STSDYn1IFDPWt_1FKiwhDph83XaGc0o0/edit?usp=sharing"",""งบพรบ!BS36"")"),243500)</f>
        <v>243500</v>
      </c>
      <c r="P36" s="80">
        <f t="shared" ca="1" si="30"/>
        <v>118.20388349514563</v>
      </c>
      <c r="Q36" s="79">
        <f t="shared" ca="1" si="8"/>
        <v>100</v>
      </c>
      <c r="R36" s="81">
        <f ca="1">IFERROR(__xludf.DUMMYFUNCTION("IMPORTRANGE(""https://docs.google.com/spreadsheets/d/1bDQrolntRWtHumK8W-x-HXKntwxB9S3sF5aDeRS66Ko/edit?usp=sharing"",""นครราชสีมา!J142"")"),20)</f>
        <v>20</v>
      </c>
      <c r="S36" s="81">
        <f ca="1">IFERROR(__xludf.DUMMYFUNCTION("IMPORTRANGE(""https://docs.google.com/spreadsheets/d/1bDQrolntRWtHumK8W-x-HXKntwxB9S3sF5aDeRS66Ko/edit?usp=sharing"",""นครราชสีมา!I143"")"),20)</f>
        <v>20</v>
      </c>
      <c r="T36" s="81">
        <f ca="1">IFERROR(__xludf.DUMMYFUNCTION("IMPORTRANGE(""https://docs.google.com/spreadsheets/d/1bDQrolntRWtHumK8W-x-HXKntwxB9S3sF5aDeRS66Ko/edit?usp=sharing"",""นครราชสีมา!J143"")"),20)</f>
        <v>20</v>
      </c>
      <c r="U36" s="82">
        <f t="shared" ca="1" si="25"/>
        <v>100</v>
      </c>
      <c r="V36" s="81">
        <f ca="1">IFERROR(__xludf.DUMMYFUNCTION("IMPORTRANGE(""https://docs.google.com/spreadsheets/d/1bDQrolntRWtHumK8W-x-HXKntwxB9S3sF5aDeRS66Ko/edit?usp=sharing"",""นครราชสีมา!I144"")"),10)</f>
        <v>10</v>
      </c>
      <c r="W36" s="81">
        <f ca="1">IFERROR(__xludf.DUMMYFUNCTION("IMPORTRANGE(""https://docs.google.com/spreadsheets/d/1bDQrolntRWtHumK8W-x-HXKntwxB9S3sF5aDeRS66Ko/edit?usp=sharing"",""นครราชสีมา!J144"")"),10)</f>
        <v>10</v>
      </c>
      <c r="X36" s="82">
        <f t="shared" ca="1" si="26"/>
        <v>100</v>
      </c>
      <c r="Y36" s="81">
        <f ca="1">IFERROR(__xludf.DUMMYFUNCTION("IMPORTRANGE(""https://docs.google.com/spreadsheets/d/1bDQrolntRWtHumK8W-x-HXKntwxB9S3sF5aDeRS66Ko/edit?usp=sharing"",""นครราชสีมา!I145"")"),20)</f>
        <v>20</v>
      </c>
      <c r="Z36" s="81">
        <f ca="1">IFERROR(__xludf.DUMMYFUNCTION("IMPORTRANGE(""https://docs.google.com/spreadsheets/d/1bDQrolntRWtHumK8W-x-HXKntwxB9S3sF5aDeRS66Ko/edit?usp=sharing"",""นครราชสีมา!J145"")"),20)</f>
        <v>20</v>
      </c>
      <c r="AA36" s="82">
        <f t="shared" ca="1" si="27"/>
        <v>100</v>
      </c>
      <c r="AB36" s="81">
        <f ca="1">IFERROR(__xludf.DUMMYFUNCTION("IMPORTRANGE(""https://docs.google.com/spreadsheets/d/1bDQrolntRWtHumK8W-x-HXKntwxB9S3sF5aDeRS66Ko/edit?usp=sharing"",""นครราชสีมา!I146"")"),2)</f>
        <v>2</v>
      </c>
      <c r="AC36" s="81">
        <f ca="1">IFERROR(__xludf.DUMMYFUNCTION("IMPORTRANGE(""https://docs.google.com/spreadsheets/d/1bDQrolntRWtHumK8W-x-HXKntwxB9S3sF5aDeRS66Ko/edit?usp=sharing"",""นครราชสีมา!J146"")"),2)</f>
        <v>2</v>
      </c>
      <c r="AD36" s="82">
        <f t="shared" ca="1" si="28"/>
        <v>100</v>
      </c>
    </row>
    <row r="37" spans="1:30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41"/>
        <v>0</v>
      </c>
      <c r="E37" s="77">
        <f ca="1">IFERROR(__xludf.DUMMYFUNCTION("IMPORTRANGE(""https://docs.google.com/spreadsheets/d/1MeEWN-I1oV_STSDYn1IFDPWt_1FKiwhDph83XaGc0o0/edit?usp=sharing"",""งบพรบ!BL37"")"),0)</f>
        <v>0</v>
      </c>
      <c r="F37" s="77">
        <f ca="1">IFERROR(__xludf.DUMMYFUNCTION("IMPORTRANGE(""https://docs.google.com/spreadsheets/d/1MeEWN-I1oV_STSDYn1IFDPWt_1FKiwhDph83XaGc0o0/edit?usp=sharing"",""งบพรบ!BM37"")"),0)</f>
        <v>0</v>
      </c>
      <c r="G37" s="77">
        <f ca="1">IFERROR(__xludf.DUMMYFUNCTION("IMPORTRANGE(""https://docs.google.com/spreadsheets/d/1MeEWN-I1oV_STSDYn1IFDPWt_1FKiwhDph83XaGc0o0/edit?usp=sharing"",""งบพรบ!BN37"")"),0)</f>
        <v>0</v>
      </c>
      <c r="H37" s="77">
        <f ca="1">IFERROR(__xludf.DUMMYFUNCTION("IMPORTRANGE(""https://docs.google.com/spreadsheets/d/1MeEWN-I1oV_STSDYn1IFDPWt_1FKiwhDph83XaGc0o0/edit?usp=sharing"",""งบพรบ!BP37"")"),0)</f>
        <v>0</v>
      </c>
      <c r="I37" s="77">
        <f ca="1">IFERROR(__xludf.DUMMYFUNCTION("IMPORTRANGE(""https://docs.google.com/spreadsheets/d/1MeEWN-I1oV_STSDYn1IFDPWt_1FKiwhDph83XaGc0o0/edit?usp=sharing"",""งบพรบ!BQ37"")"),0)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IFERROR(__xludf.DUMMYFUNCTION("IMPORTRANGE(""https://docs.google.com/spreadsheets/d/1MeEWN-I1oV_STSDYn1IFDPWt_1FKiwhDph83XaGc0o0/edit?usp=sharing"",""งบพรบ!BR37"")"),0)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IFERROR(__xludf.DUMMYFUNCTION("IMPORTRANGE(""https://docs.google.com/spreadsheets/d/1MeEWN-I1oV_STSDYn1IFDPWt_1FKiwhDph83XaGc0o0/edit?usp=sharing"",""งบพรบ!BS37"")"),0)</f>
        <v>0</v>
      </c>
      <c r="P37" s="80">
        <f t="shared" ca="1" si="30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IFERROR(__xludf.DUMMYFUNCTION("IMPORTRANGE(""https://docs.google.com/spreadsheets/d/1_MzZ-2gVPiCW-d2VcafoCmFJQTSrZ6SQyFcMqRRQQ2w/edit?usp=sharing"",""บึงกาฬ!J142"")"),0)</f>
        <v>0</v>
      </c>
      <c r="S37" s="81">
        <f ca="1">IFERROR(__xludf.DUMMYFUNCTION("IMPORTRANGE(""https://docs.google.com/spreadsheets/d/1_MzZ-2gVPiCW-d2VcafoCmFJQTSrZ6SQyFcMqRRQQ2w/edit?usp=sharing"",""บึงกาฬ!I143"")"),0)</f>
        <v>0</v>
      </c>
      <c r="T37" s="81">
        <f ca="1">IFERROR(__xludf.DUMMYFUNCTION("IMPORTRANGE(""https://docs.google.com/spreadsheets/d/1_MzZ-2gVPiCW-d2VcafoCmFJQTSrZ6SQyFcMqRRQQ2w/edit?usp=sharing"",""บึงกาฬ!J143"")"),0)</f>
        <v>0</v>
      </c>
      <c r="U37" s="82">
        <f t="shared" ca="1" si="25"/>
        <v>0</v>
      </c>
      <c r="V37" s="81">
        <f ca="1">IFERROR(__xludf.DUMMYFUNCTION("IMPORTRANGE(""https://docs.google.com/spreadsheets/d/1_MzZ-2gVPiCW-d2VcafoCmFJQTSrZ6SQyFcMqRRQQ2w/edit?usp=sharing"",""บึงกาฬ!I144"")"),0)</f>
        <v>0</v>
      </c>
      <c r="W37" s="81">
        <f ca="1">IFERROR(__xludf.DUMMYFUNCTION("IMPORTRANGE(""https://docs.google.com/spreadsheets/d/1_MzZ-2gVPiCW-d2VcafoCmFJQTSrZ6SQyFcMqRRQQ2w/edit?usp=sharing"",""บึงกาฬ!J144"")"),0)</f>
        <v>0</v>
      </c>
      <c r="X37" s="82">
        <f t="shared" ca="1" si="26"/>
        <v>0</v>
      </c>
      <c r="Y37" s="81">
        <f ca="1">IFERROR(__xludf.DUMMYFUNCTION("IMPORTRANGE(""https://docs.google.com/spreadsheets/d/1_MzZ-2gVPiCW-d2VcafoCmFJQTSrZ6SQyFcMqRRQQ2w/edit?usp=sharing"",""บึงกาฬ!I145"")"),0)</f>
        <v>0</v>
      </c>
      <c r="Z37" s="81">
        <f ca="1">IFERROR(__xludf.DUMMYFUNCTION("IMPORTRANGE(""https://docs.google.com/spreadsheets/d/1_MzZ-2gVPiCW-d2VcafoCmFJQTSrZ6SQyFcMqRRQQ2w/edit?usp=sharing"",""บึงกาฬ!J145"")"),0)</f>
        <v>0</v>
      </c>
      <c r="AA37" s="82">
        <f t="shared" ca="1" si="27"/>
        <v>0</v>
      </c>
      <c r="AB37" s="81">
        <f ca="1">IFERROR(__xludf.DUMMYFUNCTION("IMPORTRANGE(""https://docs.google.com/spreadsheets/d/1_MzZ-2gVPiCW-d2VcafoCmFJQTSrZ6SQyFcMqRRQQ2w/edit?usp=sharing"",""บึงกาฬ!I146"")"),0)</f>
        <v>0</v>
      </c>
      <c r="AC37" s="81">
        <f ca="1">IFERROR(__xludf.DUMMYFUNCTION("IMPORTRANGE(""https://docs.google.com/spreadsheets/d/1_MzZ-2gVPiCW-d2VcafoCmFJQTSrZ6SQyFcMqRRQQ2w/edit?usp=sharing"",""บึงกาฬ!J146"")"),0)</f>
        <v>0</v>
      </c>
      <c r="AD37" s="82">
        <f t="shared" ca="1" si="28"/>
        <v>0</v>
      </c>
    </row>
    <row r="38" spans="1:30" ht="21" customHeight="1" x14ac:dyDescent="0.2">
      <c r="A38" s="73">
        <v>7</v>
      </c>
      <c r="B38" s="74" t="s">
        <v>60</v>
      </c>
      <c r="C38" s="75">
        <f t="shared" ca="1" si="0"/>
        <v>0</v>
      </c>
      <c r="D38" s="76">
        <f t="shared" ca="1" si="41"/>
        <v>0</v>
      </c>
      <c r="E38" s="77">
        <f ca="1">IFERROR(__xludf.DUMMYFUNCTION("IMPORTRANGE(""https://docs.google.com/spreadsheets/d/1MeEWN-I1oV_STSDYn1IFDPWt_1FKiwhDph83XaGc0o0/edit?usp=sharing"",""งบพรบ!BL38"")"),0)</f>
        <v>0</v>
      </c>
      <c r="F38" s="77">
        <f ca="1">IFERROR(__xludf.DUMMYFUNCTION("IMPORTRANGE(""https://docs.google.com/spreadsheets/d/1MeEWN-I1oV_STSDYn1IFDPWt_1FKiwhDph83XaGc0o0/edit?usp=sharing"",""งบพรบ!BM38"")"),0)</f>
        <v>0</v>
      </c>
      <c r="G38" s="77">
        <f ca="1">IFERROR(__xludf.DUMMYFUNCTION("IMPORTRANGE(""https://docs.google.com/spreadsheets/d/1MeEWN-I1oV_STSDYn1IFDPWt_1FKiwhDph83XaGc0o0/edit?usp=sharing"",""งบพรบ!BN38"")"),0)</f>
        <v>0</v>
      </c>
      <c r="H38" s="77">
        <f ca="1">IFERROR(__xludf.DUMMYFUNCTION("IMPORTRANGE(""https://docs.google.com/spreadsheets/d/1MeEWN-I1oV_STSDYn1IFDPWt_1FKiwhDph83XaGc0o0/edit?usp=sharing"",""งบพรบ!BP38"")"),0)</f>
        <v>0</v>
      </c>
      <c r="I38" s="77">
        <f ca="1">IFERROR(__xludf.DUMMYFUNCTION("IMPORTRANGE(""https://docs.google.com/spreadsheets/d/1MeEWN-I1oV_STSDYn1IFDPWt_1FKiwhDph83XaGc0o0/edit?usp=sharing"",""งบพรบ!BQ38"")"),0)</f>
        <v>0</v>
      </c>
      <c r="J38" s="77">
        <f t="shared" ca="1" si="3"/>
        <v>0</v>
      </c>
      <c r="K38" s="78">
        <f t="shared" ca="1" si="4"/>
        <v>0</v>
      </c>
      <c r="L38" s="77">
        <f ca="1">IFERROR(__xludf.DUMMYFUNCTION("IMPORTRANGE(""https://docs.google.com/spreadsheets/d/1MeEWN-I1oV_STSDYn1IFDPWt_1FKiwhDph83XaGc0o0/edit?usp=sharing"",""งบพรบ!BR38"")"),0)</f>
        <v>0</v>
      </c>
      <c r="M38" s="79">
        <f t="shared" ca="1" si="5"/>
        <v>0</v>
      </c>
      <c r="N38" s="79">
        <f t="shared" ca="1" si="6"/>
        <v>0</v>
      </c>
      <c r="O38" s="80">
        <f ca="1">IFERROR(__xludf.DUMMYFUNCTION("IMPORTRANGE(""https://docs.google.com/spreadsheets/d/1MeEWN-I1oV_STSDYn1IFDPWt_1FKiwhDph83XaGc0o0/edit?usp=sharing"",""งบพรบ!BS38"")"),0)</f>
        <v>0</v>
      </c>
      <c r="P38" s="80">
        <f t="shared" ca="1" si="30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IFERROR(__xludf.DUMMYFUNCTION("IMPORTRANGE(""https://docs.google.com/spreadsheets/d/1B3lPpzOuaNwVItLwLEZYl_qEblfcx7dRnbRkAw0l-pE/edit?usp=sharing"",""บุรีรัมย์!J142"")"),0)</f>
        <v>0</v>
      </c>
      <c r="S38" s="81">
        <f ca="1">IFERROR(__xludf.DUMMYFUNCTION("IMPORTRANGE(""https://docs.google.com/spreadsheets/d/1B3lPpzOuaNwVItLwLEZYl_qEblfcx7dRnbRkAw0l-pE/edit?usp=sharing"",""บุรีรัมย์!I143"")"),0)</f>
        <v>0</v>
      </c>
      <c r="T38" s="81">
        <f ca="1">IFERROR(__xludf.DUMMYFUNCTION("IMPORTRANGE(""https://docs.google.com/spreadsheets/d/1B3lPpzOuaNwVItLwLEZYl_qEblfcx7dRnbRkAw0l-pE/edit?usp=sharing"",""บุรีรัมย์!J143"")"),0)</f>
        <v>0</v>
      </c>
      <c r="U38" s="82">
        <f t="shared" ca="1" si="25"/>
        <v>0</v>
      </c>
      <c r="V38" s="81">
        <f ca="1">IFERROR(__xludf.DUMMYFUNCTION("IMPORTRANGE(""https://docs.google.com/spreadsheets/d/1B3lPpzOuaNwVItLwLEZYl_qEblfcx7dRnbRkAw0l-pE/edit?usp=sharing"",""บุรีรัมย์!I144"")"),0)</f>
        <v>0</v>
      </c>
      <c r="W38" s="81">
        <f ca="1">IFERROR(__xludf.DUMMYFUNCTION("IMPORTRANGE(""https://docs.google.com/spreadsheets/d/1B3lPpzOuaNwVItLwLEZYl_qEblfcx7dRnbRkAw0l-pE/edit?usp=sharing"",""บุรีรัมย์!J144"")"),0)</f>
        <v>0</v>
      </c>
      <c r="X38" s="82">
        <f t="shared" ca="1" si="26"/>
        <v>0</v>
      </c>
      <c r="Y38" s="81">
        <f ca="1">IFERROR(__xludf.DUMMYFUNCTION("IMPORTRANGE(""https://docs.google.com/spreadsheets/d/1B3lPpzOuaNwVItLwLEZYl_qEblfcx7dRnbRkAw0l-pE/edit?usp=sharing"",""บุรีรัมย์!I145"")"),0)</f>
        <v>0</v>
      </c>
      <c r="Z38" s="81">
        <f ca="1">IFERROR(__xludf.DUMMYFUNCTION("IMPORTRANGE(""https://docs.google.com/spreadsheets/d/1B3lPpzOuaNwVItLwLEZYl_qEblfcx7dRnbRkAw0l-pE/edit?usp=sharing"",""บุรีรัมย์!J145"")"),0)</f>
        <v>0</v>
      </c>
      <c r="AA38" s="82">
        <f t="shared" ca="1" si="27"/>
        <v>0</v>
      </c>
      <c r="AB38" s="81">
        <f ca="1">IFERROR(__xludf.DUMMYFUNCTION("IMPORTRANGE(""https://docs.google.com/spreadsheets/d/1B3lPpzOuaNwVItLwLEZYl_qEblfcx7dRnbRkAw0l-pE/edit?usp=sharing"",""บุรีรัมย์!I146"")"),0)</f>
        <v>0</v>
      </c>
      <c r="AC38" s="81">
        <f ca="1">IFERROR(__xludf.DUMMYFUNCTION("IMPORTRANGE(""https://docs.google.com/spreadsheets/d/1B3lPpzOuaNwVItLwLEZYl_qEblfcx7dRnbRkAw0l-pE/edit?usp=sharing"",""บุรีรัมย์!J146"")"),0)</f>
        <v>0</v>
      </c>
      <c r="AD38" s="82">
        <f t="shared" ca="1" si="28"/>
        <v>0</v>
      </c>
    </row>
    <row r="39" spans="1:30" ht="21" customHeight="1" x14ac:dyDescent="0.2">
      <c r="A39" s="73">
        <v>8</v>
      </c>
      <c r="B39" s="74" t="s">
        <v>61</v>
      </c>
      <c r="C39" s="75">
        <f t="shared" ca="1" si="0"/>
        <v>454965</v>
      </c>
      <c r="D39" s="76">
        <f t="shared" ca="1" si="41"/>
        <v>145965</v>
      </c>
      <c r="E39" s="77">
        <f ca="1">IFERROR(__xludf.DUMMYFUNCTION("IMPORTRANGE(""https://docs.google.com/spreadsheets/d/1MeEWN-I1oV_STSDYn1IFDPWt_1FKiwhDph83XaGc0o0/edit?usp=sharing"",""งบพรบ!BL39"")"),0)</f>
        <v>0</v>
      </c>
      <c r="F39" s="77">
        <f ca="1">IFERROR(__xludf.DUMMYFUNCTION("IMPORTRANGE(""https://docs.google.com/spreadsheets/d/1MeEWN-I1oV_STSDYn1IFDPWt_1FKiwhDph83XaGc0o0/edit?usp=sharing"",""งบพรบ!BM39"")"),145965)</f>
        <v>145965</v>
      </c>
      <c r="G39" s="77">
        <f ca="1">IFERROR(__xludf.DUMMYFUNCTION("IMPORTRANGE(""https://docs.google.com/spreadsheets/d/1MeEWN-I1oV_STSDYn1IFDPWt_1FKiwhDph83XaGc0o0/edit?usp=sharing"",""งบพรบ!BN39"")"),309000)</f>
        <v>309000</v>
      </c>
      <c r="H39" s="77">
        <f ca="1">IFERROR(__xludf.DUMMYFUNCTION("IMPORTRANGE(""https://docs.google.com/spreadsheets/d/1MeEWN-I1oV_STSDYn1IFDPWt_1FKiwhDph83XaGc0o0/edit?usp=sharing"",""งบพรบ!BP39"")"),145965)</f>
        <v>145965</v>
      </c>
      <c r="I39" s="77">
        <f ca="1">IFERROR(__xludf.DUMMYFUNCTION("IMPORTRANGE(""https://docs.google.com/spreadsheets/d/1MeEWN-I1oV_STSDYn1IFDPWt_1FKiwhDph83XaGc0o0/edit?usp=sharing"",""งบพรบ!BQ39"")"),309000)</f>
        <v>309000</v>
      </c>
      <c r="J39" s="77">
        <f t="shared" ca="1" si="3"/>
        <v>454965</v>
      </c>
      <c r="K39" s="78">
        <f t="shared" ca="1" si="4"/>
        <v>100</v>
      </c>
      <c r="L39" s="77">
        <f ca="1">IFERROR(__xludf.DUMMYFUNCTION("IMPORTRANGE(""https://docs.google.com/spreadsheets/d/1MeEWN-I1oV_STSDYn1IFDPWt_1FKiwhDph83XaGc0o0/edit?usp=sharing"",""งบพรบ!BR39"")"),145965)</f>
        <v>145965</v>
      </c>
      <c r="M39" s="79">
        <f t="shared" ca="1" si="5"/>
        <v>100</v>
      </c>
      <c r="N39" s="79">
        <f t="shared" ca="1" si="6"/>
        <v>100</v>
      </c>
      <c r="O39" s="80">
        <f ca="1">IFERROR(__xludf.DUMMYFUNCTION("IMPORTRANGE(""https://docs.google.com/spreadsheets/d/1MeEWN-I1oV_STSDYn1IFDPWt_1FKiwhDph83XaGc0o0/edit?usp=sharing"",""งบพรบ!BS39"")"),309000)</f>
        <v>309000</v>
      </c>
      <c r="P39" s="80">
        <f t="shared" ca="1" si="30"/>
        <v>100</v>
      </c>
      <c r="Q39" s="79">
        <f t="shared" ca="1" si="8"/>
        <v>100</v>
      </c>
      <c r="R39" s="81">
        <f ca="1">IFERROR(__xludf.DUMMYFUNCTION("IMPORTRANGE(""https://docs.google.com/spreadsheets/d/19GOkiOqnzYbevLYWrMk4qFOXe3rX14BkSA8X-mq-a40/edit?usp=sharing"",""มหาสารคาม!J142"")"),30)</f>
        <v>30</v>
      </c>
      <c r="S39" s="81">
        <f ca="1">IFERROR(__xludf.DUMMYFUNCTION("IMPORTRANGE(""https://docs.google.com/spreadsheets/d/19GOkiOqnzYbevLYWrMk4qFOXe3rX14BkSA8X-mq-a40/edit?usp=sharing"",""มหาสารคาม!I143"")"),30)</f>
        <v>30</v>
      </c>
      <c r="T39" s="81">
        <f ca="1">IFERROR(__xludf.DUMMYFUNCTION("IMPORTRANGE(""https://docs.google.com/spreadsheets/d/19GOkiOqnzYbevLYWrMk4qFOXe3rX14BkSA8X-mq-a40/edit?usp=sharing"",""มหาสารคาม!J143"")"),30)</f>
        <v>30</v>
      </c>
      <c r="U39" s="82">
        <f t="shared" ca="1" si="25"/>
        <v>100</v>
      </c>
      <c r="V39" s="81">
        <f ca="1">IFERROR(__xludf.DUMMYFUNCTION("IMPORTRANGE(""https://docs.google.com/spreadsheets/d/19GOkiOqnzYbevLYWrMk4qFOXe3rX14BkSA8X-mq-a40/edit?usp=sharing"",""มหาสารคาม!I144"")"),15)</f>
        <v>15</v>
      </c>
      <c r="W39" s="81">
        <f ca="1">IFERROR(__xludf.DUMMYFUNCTION("IMPORTRANGE(""https://docs.google.com/spreadsheets/d/19GOkiOqnzYbevLYWrMk4qFOXe3rX14BkSA8X-mq-a40/edit?usp=sharing"",""มหาสารคาม!J144"")"),15)</f>
        <v>15</v>
      </c>
      <c r="X39" s="82">
        <f t="shared" ca="1" si="26"/>
        <v>100</v>
      </c>
      <c r="Y39" s="81">
        <f ca="1">IFERROR(__xludf.DUMMYFUNCTION("IMPORTRANGE(""https://docs.google.com/spreadsheets/d/19GOkiOqnzYbevLYWrMk4qFOXe3rX14BkSA8X-mq-a40/edit?usp=sharing"",""มหาสารคาม!I145"")"),30)</f>
        <v>30</v>
      </c>
      <c r="Z39" s="81">
        <f ca="1">IFERROR(__xludf.DUMMYFUNCTION("IMPORTRANGE(""https://docs.google.com/spreadsheets/d/19GOkiOqnzYbevLYWrMk4qFOXe3rX14BkSA8X-mq-a40/edit?usp=sharing"",""มหาสารคาม!J145"")"),30)</f>
        <v>30</v>
      </c>
      <c r="AA39" s="82">
        <f t="shared" ca="1" si="27"/>
        <v>100</v>
      </c>
      <c r="AB39" s="81">
        <f ca="1">IFERROR(__xludf.DUMMYFUNCTION("IMPORTRANGE(""https://docs.google.com/spreadsheets/d/19GOkiOqnzYbevLYWrMk4qFOXe3rX14BkSA8X-mq-a40/edit?usp=sharing"",""มหาสารคาม!I146"")"),3)</f>
        <v>3</v>
      </c>
      <c r="AC39" s="81">
        <f ca="1">IFERROR(__xludf.DUMMYFUNCTION("IMPORTRANGE(""https://docs.google.com/spreadsheets/d/19GOkiOqnzYbevLYWrMk4qFOXe3rX14BkSA8X-mq-a40/edit?usp=sharing"",""มหาสารคาม!J146"")"),3)</f>
        <v>3</v>
      </c>
      <c r="AD39" s="82">
        <f t="shared" ca="1" si="28"/>
        <v>100</v>
      </c>
    </row>
    <row r="40" spans="1:30" ht="21" customHeight="1" x14ac:dyDescent="0.2">
      <c r="A40" s="73">
        <v>9</v>
      </c>
      <c r="B40" s="74" t="s">
        <v>62</v>
      </c>
      <c r="C40" s="75">
        <f t="shared" ca="1" si="0"/>
        <v>151655</v>
      </c>
      <c r="D40" s="76">
        <f t="shared" ca="1" si="41"/>
        <v>48655</v>
      </c>
      <c r="E40" s="77">
        <f ca="1">IFERROR(__xludf.DUMMYFUNCTION("IMPORTRANGE(""https://docs.google.com/spreadsheets/d/1MeEWN-I1oV_STSDYn1IFDPWt_1FKiwhDph83XaGc0o0/edit?usp=sharing"",""งบพรบ!BL40"")"),0)</f>
        <v>0</v>
      </c>
      <c r="F40" s="77">
        <f ca="1">IFERROR(__xludf.DUMMYFUNCTION("IMPORTRANGE(""https://docs.google.com/spreadsheets/d/1MeEWN-I1oV_STSDYn1IFDPWt_1FKiwhDph83XaGc0o0/edit?usp=sharing"",""งบพรบ!BM40"")"),48655)</f>
        <v>48655</v>
      </c>
      <c r="G40" s="77">
        <f ca="1">IFERROR(__xludf.DUMMYFUNCTION("IMPORTRANGE(""https://docs.google.com/spreadsheets/d/1MeEWN-I1oV_STSDYn1IFDPWt_1FKiwhDph83XaGc0o0/edit?usp=sharing"",""งบพรบ!BN40"")"),103000)</f>
        <v>103000</v>
      </c>
      <c r="H40" s="77">
        <f ca="1">IFERROR(__xludf.DUMMYFUNCTION("IMPORTRANGE(""https://docs.google.com/spreadsheets/d/1MeEWN-I1oV_STSDYn1IFDPWt_1FKiwhDph83XaGc0o0/edit?usp=sharing"",""งบพรบ!BP40"")"),48655)</f>
        <v>48655</v>
      </c>
      <c r="I40" s="77">
        <f ca="1">IFERROR(__xludf.DUMMYFUNCTION("IMPORTRANGE(""https://docs.google.com/spreadsheets/d/1MeEWN-I1oV_STSDYn1IFDPWt_1FKiwhDph83XaGc0o0/edit?usp=sharing"",""งบพรบ!BQ40"")"),103000)</f>
        <v>103000</v>
      </c>
      <c r="J40" s="77">
        <f t="shared" ca="1" si="3"/>
        <v>151655</v>
      </c>
      <c r="K40" s="78">
        <f t="shared" ca="1" si="4"/>
        <v>100</v>
      </c>
      <c r="L40" s="77">
        <f ca="1">IFERROR(__xludf.DUMMYFUNCTION("IMPORTRANGE(""https://docs.google.com/spreadsheets/d/1MeEWN-I1oV_STSDYn1IFDPWt_1FKiwhDph83XaGc0o0/edit?usp=sharing"",""งบพรบ!BR40"")"),48655)</f>
        <v>48655</v>
      </c>
      <c r="M40" s="79">
        <f t="shared" ca="1" si="5"/>
        <v>100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IFERROR(__xludf.DUMMYFUNCTION("IMPORTRANGE(""https://docs.google.com/spreadsheets/d/1MeEWN-I1oV_STSDYn1IFDPWt_1FKiwhDph83XaGc0o0/edit?usp=sharing"",""งบพรบ!BS40"")"),103000)</f>
        <v>103000</v>
      </c>
      <c r="P40" s="80">
        <f t="shared" ca="1" si="30"/>
        <v>100</v>
      </c>
      <c r="Q40" s="79">
        <f t="shared" ca="1" si="8"/>
        <v>100</v>
      </c>
      <c r="R40" s="81">
        <f ca="1">IFERROR(__xludf.DUMMYFUNCTION("IMPORTRANGE(""https://docs.google.com/spreadsheets/d/1uMKqWwuNQ-TCKboGA3Bb1qXb5uj2-faACNUINCz8PN4/edit?usp=sharing"",""มุกดาหาร!J142"")"),0)</f>
        <v>0</v>
      </c>
      <c r="S40" s="81">
        <f ca="1">IFERROR(__xludf.DUMMYFUNCTION("IMPORTRANGE(""https://docs.google.com/spreadsheets/d/1uMKqWwuNQ-TCKboGA3Bb1qXb5uj2-faACNUINCz8PN4/edit?usp=sharing"",""มุกดาหาร!I143"")"),10)</f>
        <v>10</v>
      </c>
      <c r="T40" s="81">
        <f ca="1">IFERROR(__xludf.DUMMYFUNCTION("IMPORTRANGE(""https://docs.google.com/spreadsheets/d/1uMKqWwuNQ-TCKboGA3Bb1qXb5uj2-faACNUINCz8PN4/edit?usp=sharing"",""มุกดาหาร!J143"")"),10)</f>
        <v>10</v>
      </c>
      <c r="U40" s="82">
        <f t="shared" ca="1" si="25"/>
        <v>100</v>
      </c>
      <c r="V40" s="81">
        <f ca="1">IFERROR(__xludf.DUMMYFUNCTION("IMPORTRANGE(""https://docs.google.com/spreadsheets/d/1uMKqWwuNQ-TCKboGA3Bb1qXb5uj2-faACNUINCz8PN4/edit?usp=sharing"",""มุกดาหาร!I144"")"),5)</f>
        <v>5</v>
      </c>
      <c r="W40" s="81">
        <f ca="1">IFERROR(__xludf.DUMMYFUNCTION("IMPORTRANGE(""https://docs.google.com/spreadsheets/d/1uMKqWwuNQ-TCKboGA3Bb1qXb5uj2-faACNUINCz8PN4/edit?usp=sharing"",""มุกดาหาร!J144"")"),5)</f>
        <v>5</v>
      </c>
      <c r="X40" s="82">
        <f t="shared" ca="1" si="26"/>
        <v>100</v>
      </c>
      <c r="Y40" s="81">
        <f ca="1">IFERROR(__xludf.DUMMYFUNCTION("IMPORTRANGE(""https://docs.google.com/spreadsheets/d/1uMKqWwuNQ-TCKboGA3Bb1qXb5uj2-faACNUINCz8PN4/edit?usp=sharing"",""มุกดาหาร!I145"")"),10)</f>
        <v>10</v>
      </c>
      <c r="Z40" s="81">
        <f ca="1">IFERROR(__xludf.DUMMYFUNCTION("IMPORTRANGE(""https://docs.google.com/spreadsheets/d/1uMKqWwuNQ-TCKboGA3Bb1qXb5uj2-faACNUINCz8PN4/edit?usp=sharing"",""มุกดาหาร!J145"")"),10)</f>
        <v>10</v>
      </c>
      <c r="AA40" s="82">
        <f t="shared" ca="1" si="27"/>
        <v>100</v>
      </c>
      <c r="AB40" s="81">
        <f ca="1">IFERROR(__xludf.DUMMYFUNCTION("IMPORTRANGE(""https://docs.google.com/spreadsheets/d/1uMKqWwuNQ-TCKboGA3Bb1qXb5uj2-faACNUINCz8PN4/edit?usp=sharing"",""มุกดาหาร!I146"")"),1)</f>
        <v>1</v>
      </c>
      <c r="AC40" s="81">
        <f ca="1">IFERROR(__xludf.DUMMYFUNCTION("IMPORTRANGE(""https://docs.google.com/spreadsheets/d/1uMKqWwuNQ-TCKboGA3Bb1qXb5uj2-faACNUINCz8PN4/edit?usp=sharing"",""มุกดาหาร!J146"")"),1)</f>
        <v>1</v>
      </c>
      <c r="AD40" s="82">
        <f t="shared" ca="1" si="28"/>
        <v>100</v>
      </c>
    </row>
    <row r="41" spans="1:30" ht="21" customHeight="1" x14ac:dyDescent="0.2">
      <c r="A41" s="73">
        <v>10</v>
      </c>
      <c r="B41" s="74" t="s">
        <v>63</v>
      </c>
      <c r="C41" s="75">
        <f t="shared" ca="1" si="0"/>
        <v>489055</v>
      </c>
      <c r="D41" s="76">
        <f t="shared" ca="1" si="41"/>
        <v>386055</v>
      </c>
      <c r="E41" s="77">
        <f ca="1">IFERROR(__xludf.DUMMYFUNCTION("IMPORTRANGE(""https://docs.google.com/spreadsheets/d/1MeEWN-I1oV_STSDYn1IFDPWt_1FKiwhDph83XaGc0o0/edit?usp=sharing"",""งบพรบ!BL41"")"),337400)</f>
        <v>337400</v>
      </c>
      <c r="F41" s="77">
        <f ca="1">IFERROR(__xludf.DUMMYFUNCTION("IMPORTRANGE(""https://docs.google.com/spreadsheets/d/1MeEWN-I1oV_STSDYn1IFDPWt_1FKiwhDph83XaGc0o0/edit?usp=sharing"",""งบพรบ!BM41"")"),48655)</f>
        <v>48655</v>
      </c>
      <c r="G41" s="77">
        <f ca="1">IFERROR(__xludf.DUMMYFUNCTION("IMPORTRANGE(""https://docs.google.com/spreadsheets/d/1MeEWN-I1oV_STSDYn1IFDPWt_1FKiwhDph83XaGc0o0/edit?usp=sharing"",""งบพรบ!BN41"")"),103000)</f>
        <v>103000</v>
      </c>
      <c r="H41" s="77">
        <f ca="1">IFERROR(__xludf.DUMMYFUNCTION("IMPORTRANGE(""https://docs.google.com/spreadsheets/d/1MeEWN-I1oV_STSDYn1IFDPWt_1FKiwhDph83XaGc0o0/edit?usp=sharing"",""งบพรบ!BP41"")"),386055)</f>
        <v>386055</v>
      </c>
      <c r="I41" s="77">
        <f ca="1">IFERROR(__xludf.DUMMYFUNCTION("IMPORTRANGE(""https://docs.google.com/spreadsheets/d/1MeEWN-I1oV_STSDYn1IFDPWt_1FKiwhDph83XaGc0o0/edit?usp=sharing"",""งบพรบ!BQ41"")"),103000)</f>
        <v>103000</v>
      </c>
      <c r="J41" s="77">
        <f t="shared" ca="1" si="3"/>
        <v>445615</v>
      </c>
      <c r="K41" s="78">
        <f t="shared" ca="1" si="4"/>
        <v>91.117563464232035</v>
      </c>
      <c r="L41" s="77">
        <f ca="1">IFERROR(__xludf.DUMMYFUNCTION("IMPORTRANGE(""https://docs.google.com/spreadsheets/d/1MeEWN-I1oV_STSDYn1IFDPWt_1FKiwhDph83XaGc0o0/edit?usp=sharing"",""งบพรบ!BR41"")"),342615)</f>
        <v>342615</v>
      </c>
      <c r="M41" s="79">
        <f t="shared" ca="1" si="5"/>
        <v>88.747717294167927</v>
      </c>
      <c r="N41" s="79">
        <f t="shared" ca="1" si="6"/>
        <v>88.747717294167927</v>
      </c>
      <c r="O41" s="80">
        <f ca="1">IFERROR(__xludf.DUMMYFUNCTION("IMPORTRANGE(""https://docs.google.com/spreadsheets/d/1MeEWN-I1oV_STSDYn1IFDPWt_1FKiwhDph83XaGc0o0/edit?usp=sharing"",""งบพรบ!BS41"")"),103000)</f>
        <v>103000</v>
      </c>
      <c r="P41" s="80">
        <f t="shared" ca="1" si="30"/>
        <v>100</v>
      </c>
      <c r="Q41" s="79">
        <f t="shared" ca="1" si="8"/>
        <v>100</v>
      </c>
      <c r="R41" s="81">
        <f ca="1">IFERROR(__xludf.DUMMYFUNCTION("IMPORTRANGE(""https://docs.google.com/spreadsheets/d/1oKaccgDdQABndOzGr688Dbfxb_V3YcF67VqEPBtdzsc/edit?usp=sharing"",""ยโสธร!J142"")"),10)</f>
        <v>10</v>
      </c>
      <c r="S41" s="81">
        <f ca="1">IFERROR(__xludf.DUMMYFUNCTION("IMPORTRANGE(""https://docs.google.com/spreadsheets/d/1oKaccgDdQABndOzGr688Dbfxb_V3YcF67VqEPBtdzsc/edit?usp=sharing"",""ยโสธร!I143"")"),10)</f>
        <v>10</v>
      </c>
      <c r="T41" s="81">
        <f ca="1">IFERROR(__xludf.DUMMYFUNCTION("IMPORTRANGE(""https://docs.google.com/spreadsheets/d/1oKaccgDdQABndOzGr688Dbfxb_V3YcF67VqEPBtdzsc/edit?usp=sharing"",""ยโสธร!J143"")"),10)</f>
        <v>10</v>
      </c>
      <c r="U41" s="82">
        <f t="shared" ca="1" si="25"/>
        <v>100</v>
      </c>
      <c r="V41" s="81">
        <f ca="1">IFERROR(__xludf.DUMMYFUNCTION("IMPORTRANGE(""https://docs.google.com/spreadsheets/d/1oKaccgDdQABndOzGr688Dbfxb_V3YcF67VqEPBtdzsc/edit?usp=sharing"",""ยโสธร!I144"")"),5)</f>
        <v>5</v>
      </c>
      <c r="W41" s="81">
        <f ca="1">IFERROR(__xludf.DUMMYFUNCTION("IMPORTRANGE(""https://docs.google.com/spreadsheets/d/1oKaccgDdQABndOzGr688Dbfxb_V3YcF67VqEPBtdzsc/edit?usp=sharing"",""ยโสธร!J144"")"),10)</f>
        <v>10</v>
      </c>
      <c r="X41" s="82">
        <f t="shared" ca="1" si="26"/>
        <v>200</v>
      </c>
      <c r="Y41" s="81">
        <f ca="1">IFERROR(__xludf.DUMMYFUNCTION("IMPORTRANGE(""https://docs.google.com/spreadsheets/d/1oKaccgDdQABndOzGr688Dbfxb_V3YcF67VqEPBtdzsc/edit?usp=sharing"",""ยโสธร!I145"")"),10)</f>
        <v>10</v>
      </c>
      <c r="Z41" s="81">
        <f ca="1">IFERROR(__xludf.DUMMYFUNCTION("IMPORTRANGE(""https://docs.google.com/spreadsheets/d/1oKaccgDdQABndOzGr688Dbfxb_V3YcF67VqEPBtdzsc/edit?usp=sharing"",""ยโสธร!J145"")"),10)</f>
        <v>10</v>
      </c>
      <c r="AA41" s="82">
        <f t="shared" ca="1" si="27"/>
        <v>100</v>
      </c>
      <c r="AB41" s="81">
        <f ca="1">IFERROR(__xludf.DUMMYFUNCTION("IMPORTRANGE(""https://docs.google.com/spreadsheets/d/1oKaccgDdQABndOzGr688Dbfxb_V3YcF67VqEPBtdzsc/edit?usp=sharing"",""ยโสธร!I146"")"),1)</f>
        <v>1</v>
      </c>
      <c r="AC41" s="81">
        <f ca="1">IFERROR(__xludf.DUMMYFUNCTION("IMPORTRANGE(""https://docs.google.com/spreadsheets/d/1oKaccgDdQABndOzGr688Dbfxb_V3YcF67VqEPBtdzsc/edit?usp=sharing"",""ยโสธร!J146"")"),1)</f>
        <v>1</v>
      </c>
      <c r="AD41" s="82">
        <f t="shared" ca="1" si="28"/>
        <v>100</v>
      </c>
    </row>
    <row r="42" spans="1:30" ht="21" customHeight="1" x14ac:dyDescent="0.2">
      <c r="A42" s="73">
        <v>11</v>
      </c>
      <c r="B42" s="74" t="s">
        <v>64</v>
      </c>
      <c r="C42" s="75">
        <f t="shared" ca="1" si="0"/>
        <v>0</v>
      </c>
      <c r="D42" s="76">
        <f t="shared" ca="1" si="41"/>
        <v>0</v>
      </c>
      <c r="E42" s="77">
        <f ca="1">IFERROR(__xludf.DUMMYFUNCTION("IMPORTRANGE(""https://docs.google.com/spreadsheets/d/1MeEWN-I1oV_STSDYn1IFDPWt_1FKiwhDph83XaGc0o0/edit?usp=sharing"",""งบพรบ!BL42"")"),0)</f>
        <v>0</v>
      </c>
      <c r="F42" s="77">
        <f ca="1">IFERROR(__xludf.DUMMYFUNCTION("IMPORTRANGE(""https://docs.google.com/spreadsheets/d/1MeEWN-I1oV_STSDYn1IFDPWt_1FKiwhDph83XaGc0o0/edit?usp=sharing"",""งบพรบ!BM42"")"),0)</f>
        <v>0</v>
      </c>
      <c r="G42" s="77">
        <f ca="1">IFERROR(__xludf.DUMMYFUNCTION("IMPORTRANGE(""https://docs.google.com/spreadsheets/d/1MeEWN-I1oV_STSDYn1IFDPWt_1FKiwhDph83XaGc0o0/edit?usp=sharing"",""งบพรบ!BN42"")"),0)</f>
        <v>0</v>
      </c>
      <c r="H42" s="77">
        <f ca="1">IFERROR(__xludf.DUMMYFUNCTION("IMPORTRANGE(""https://docs.google.com/spreadsheets/d/1MeEWN-I1oV_STSDYn1IFDPWt_1FKiwhDph83XaGc0o0/edit?usp=sharing"",""งบพรบ!BP42"")"),0)</f>
        <v>0</v>
      </c>
      <c r="I42" s="77">
        <f ca="1">IFERROR(__xludf.DUMMYFUNCTION("IMPORTRANGE(""https://docs.google.com/spreadsheets/d/1MeEWN-I1oV_STSDYn1IFDPWt_1FKiwhDph83XaGc0o0/edit?usp=sharing"",""งบพรบ!BQ42"")"),0)</f>
        <v>0</v>
      </c>
      <c r="J42" s="77">
        <f t="shared" ca="1" si="3"/>
        <v>0</v>
      </c>
      <c r="K42" s="78">
        <f t="shared" ca="1" si="4"/>
        <v>0</v>
      </c>
      <c r="L42" s="77">
        <f ca="1">IFERROR(__xludf.DUMMYFUNCTION("IMPORTRANGE(""https://docs.google.com/spreadsheets/d/1MeEWN-I1oV_STSDYn1IFDPWt_1FKiwhDph83XaGc0o0/edit?usp=sharing"",""งบพรบ!BR42"")"),0)</f>
        <v>0</v>
      </c>
      <c r="M42" s="79">
        <f t="shared" ca="1" si="5"/>
        <v>0</v>
      </c>
      <c r="N42" s="79">
        <f t="shared" ca="1" si="6"/>
        <v>0</v>
      </c>
      <c r="O42" s="80">
        <f ca="1">IFERROR(__xludf.DUMMYFUNCTION("IMPORTRANGE(""https://docs.google.com/spreadsheets/d/1MeEWN-I1oV_STSDYn1IFDPWt_1FKiwhDph83XaGc0o0/edit?usp=sharing"",""งบพรบ!BS42"")"),0)</f>
        <v>0</v>
      </c>
      <c r="P42" s="80">
        <f t="shared" ca="1" si="30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IFERROR(__xludf.DUMMYFUNCTION("IMPORTRANGE(""https://docs.google.com/spreadsheets/d/1BRgc8xKpxZ0PX-gauieMVkV_IOxKSotf0yW8MabGprQ/edit?usp=sharing"",""ร้อยเอ็ด!J142"")"),0)</f>
        <v>0</v>
      </c>
      <c r="S42" s="81">
        <f ca="1">IFERROR(__xludf.DUMMYFUNCTION("IMPORTRANGE(""https://docs.google.com/spreadsheets/d/1BRgc8xKpxZ0PX-gauieMVkV_IOxKSotf0yW8MabGprQ/edit?usp=sharing"",""ร้อยเอ็ด!I143"")"),0)</f>
        <v>0</v>
      </c>
      <c r="T42" s="81">
        <f ca="1">IFERROR(__xludf.DUMMYFUNCTION("IMPORTRANGE(""https://docs.google.com/spreadsheets/d/1BRgc8xKpxZ0PX-gauieMVkV_IOxKSotf0yW8MabGprQ/edit?usp=sharing"",""ร้อยเอ็ด!J143"")"),0)</f>
        <v>0</v>
      </c>
      <c r="U42" s="82">
        <f t="shared" ca="1" si="25"/>
        <v>0</v>
      </c>
      <c r="V42" s="81">
        <f ca="1">IFERROR(__xludf.DUMMYFUNCTION("IMPORTRANGE(""https://docs.google.com/spreadsheets/d/1BRgc8xKpxZ0PX-gauieMVkV_IOxKSotf0yW8MabGprQ/edit?usp=sharing"",""ร้อยเอ็ด!I144"")"),0)</f>
        <v>0</v>
      </c>
      <c r="W42" s="81">
        <f ca="1">IFERROR(__xludf.DUMMYFUNCTION("IMPORTRANGE(""https://docs.google.com/spreadsheets/d/1BRgc8xKpxZ0PX-gauieMVkV_IOxKSotf0yW8MabGprQ/edit?usp=sharing"",""ร้อยเอ็ด!J144"")"),0)</f>
        <v>0</v>
      </c>
      <c r="X42" s="82">
        <f t="shared" ca="1" si="26"/>
        <v>0</v>
      </c>
      <c r="Y42" s="81">
        <f ca="1">IFERROR(__xludf.DUMMYFUNCTION("IMPORTRANGE(""https://docs.google.com/spreadsheets/d/1BRgc8xKpxZ0PX-gauieMVkV_IOxKSotf0yW8MabGprQ/edit?usp=sharing"",""ร้อยเอ็ด!I145"")"),0)</f>
        <v>0</v>
      </c>
      <c r="Z42" s="81">
        <f ca="1">IFERROR(__xludf.DUMMYFUNCTION("IMPORTRANGE(""https://docs.google.com/spreadsheets/d/1BRgc8xKpxZ0PX-gauieMVkV_IOxKSotf0yW8MabGprQ/edit?usp=sharing"",""ร้อยเอ็ด!J145"")"),0)</f>
        <v>0</v>
      </c>
      <c r="AA42" s="82">
        <f t="shared" ca="1" si="27"/>
        <v>0</v>
      </c>
      <c r="AB42" s="81">
        <f ca="1">IFERROR(__xludf.DUMMYFUNCTION("IMPORTRANGE(""https://docs.google.com/spreadsheets/d/1BRgc8xKpxZ0PX-gauieMVkV_IOxKSotf0yW8MabGprQ/edit?usp=sharing"",""ร้อยเอ็ด!I146"")"),0)</f>
        <v>0</v>
      </c>
      <c r="AC42" s="81">
        <f ca="1">IFERROR(__xludf.DUMMYFUNCTION("IMPORTRANGE(""https://docs.google.com/spreadsheets/d/1BRgc8xKpxZ0PX-gauieMVkV_IOxKSotf0yW8MabGprQ/edit?usp=sharing"",""ร้อยเอ็ด!J146"")"),0)</f>
        <v>0</v>
      </c>
      <c r="AD42" s="82">
        <f t="shared" ca="1" si="28"/>
        <v>0</v>
      </c>
    </row>
    <row r="43" spans="1:30" ht="21" customHeight="1" x14ac:dyDescent="0.2">
      <c r="A43" s="73">
        <v>12</v>
      </c>
      <c r="B43" s="74" t="s">
        <v>65</v>
      </c>
      <c r="C43" s="75">
        <f t="shared" ca="1" si="0"/>
        <v>151655</v>
      </c>
      <c r="D43" s="76">
        <f t="shared" ca="1" si="41"/>
        <v>48655</v>
      </c>
      <c r="E43" s="77">
        <f ca="1">IFERROR(__xludf.DUMMYFUNCTION("IMPORTRANGE(""https://docs.google.com/spreadsheets/d/1MeEWN-I1oV_STSDYn1IFDPWt_1FKiwhDph83XaGc0o0/edit?usp=sharing"",""งบพรบ!BL43"")"),0)</f>
        <v>0</v>
      </c>
      <c r="F43" s="77">
        <f ca="1">IFERROR(__xludf.DUMMYFUNCTION("IMPORTRANGE(""https://docs.google.com/spreadsheets/d/1MeEWN-I1oV_STSDYn1IFDPWt_1FKiwhDph83XaGc0o0/edit?usp=sharing"",""งบพรบ!BM43"")"),48655)</f>
        <v>48655</v>
      </c>
      <c r="G43" s="77">
        <f ca="1">IFERROR(__xludf.DUMMYFUNCTION("IMPORTRANGE(""https://docs.google.com/spreadsheets/d/1MeEWN-I1oV_STSDYn1IFDPWt_1FKiwhDph83XaGc0o0/edit?usp=sharing"",""งบพรบ!BN43"")"),103000)</f>
        <v>103000</v>
      </c>
      <c r="H43" s="77">
        <f ca="1">IFERROR(__xludf.DUMMYFUNCTION("IMPORTRANGE(""https://docs.google.com/spreadsheets/d/1MeEWN-I1oV_STSDYn1IFDPWt_1FKiwhDph83XaGc0o0/edit?usp=sharing"",""งบพรบ!BP43"")"),48655)</f>
        <v>48655</v>
      </c>
      <c r="I43" s="77">
        <f ca="1">IFERROR(__xludf.DUMMYFUNCTION("IMPORTRANGE(""https://docs.google.com/spreadsheets/d/1MeEWN-I1oV_STSDYn1IFDPWt_1FKiwhDph83XaGc0o0/edit?usp=sharing"",""งบพรบ!BQ43"")"),102500)</f>
        <v>102500</v>
      </c>
      <c r="J43" s="77">
        <f t="shared" ca="1" si="3"/>
        <v>138260</v>
      </c>
      <c r="K43" s="78">
        <f t="shared" ca="1" si="4"/>
        <v>91.167452441396591</v>
      </c>
      <c r="L43" s="77">
        <f ca="1">IFERROR(__xludf.DUMMYFUNCTION("IMPORTRANGE(""https://docs.google.com/spreadsheets/d/1MeEWN-I1oV_STSDYn1IFDPWt_1FKiwhDph83XaGc0o0/edit?usp=sharing"",""งบพรบ!BR43"")"),35760)</f>
        <v>35760</v>
      </c>
      <c r="M43" s="79">
        <f t="shared" ca="1" si="5"/>
        <v>73.497071215702391</v>
      </c>
      <c r="N43" s="79">
        <f t="shared" ca="1" si="6"/>
        <v>73.497071215702391</v>
      </c>
      <c r="O43" s="80">
        <f ca="1">IFERROR(__xludf.DUMMYFUNCTION("IMPORTRANGE(""https://docs.google.com/spreadsheets/d/1MeEWN-I1oV_STSDYn1IFDPWt_1FKiwhDph83XaGc0o0/edit?usp=sharing"",""งบพรบ!BS43"")"),102500)</f>
        <v>102500</v>
      </c>
      <c r="P43" s="80">
        <f t="shared" ca="1" si="30"/>
        <v>99.514563106796118</v>
      </c>
      <c r="Q43" s="79">
        <f t="shared" ca="1" si="8"/>
        <v>100</v>
      </c>
      <c r="R43" s="81">
        <f ca="1">IFERROR(__xludf.DUMMYFUNCTION("IMPORTRANGE(""https://docs.google.com/spreadsheets/d/1IdolZc-dfdgMwAm_KZxYJl1sUOcIgnbGQzbWOlddedo/edit?usp=sharing"",""เลย!J142"")"),10)</f>
        <v>10</v>
      </c>
      <c r="S43" s="81">
        <f ca="1">IFERROR(__xludf.DUMMYFUNCTION("IMPORTRANGE(""https://docs.google.com/spreadsheets/d/1IdolZc-dfdgMwAm_KZxYJl1sUOcIgnbGQzbWOlddedo/edit?usp=sharing"",""เลย!I143"")"),10)</f>
        <v>10</v>
      </c>
      <c r="T43" s="81">
        <f ca="1">IFERROR(__xludf.DUMMYFUNCTION("IMPORTRANGE(""https://docs.google.com/spreadsheets/d/1IdolZc-dfdgMwAm_KZxYJl1sUOcIgnbGQzbWOlddedo/edit?usp=sharing"",""เลย!J143"")"),10)</f>
        <v>10</v>
      </c>
      <c r="U43" s="82">
        <f t="shared" ca="1" si="25"/>
        <v>100</v>
      </c>
      <c r="V43" s="81">
        <f ca="1">IFERROR(__xludf.DUMMYFUNCTION("IMPORTRANGE(""https://docs.google.com/spreadsheets/d/1IdolZc-dfdgMwAm_KZxYJl1sUOcIgnbGQzbWOlddedo/edit?usp=sharing"",""เลย!I144"")"),5)</f>
        <v>5</v>
      </c>
      <c r="W43" s="81">
        <f ca="1">IFERROR(__xludf.DUMMYFUNCTION("IMPORTRANGE(""https://docs.google.com/spreadsheets/d/1IdolZc-dfdgMwAm_KZxYJl1sUOcIgnbGQzbWOlddedo/edit?usp=sharing"",""เลย!J144"")"),10)</f>
        <v>10</v>
      </c>
      <c r="X43" s="82">
        <f t="shared" ca="1" si="26"/>
        <v>200</v>
      </c>
      <c r="Y43" s="81">
        <f ca="1">IFERROR(__xludf.DUMMYFUNCTION("IMPORTRANGE(""https://docs.google.com/spreadsheets/d/1IdolZc-dfdgMwAm_KZxYJl1sUOcIgnbGQzbWOlddedo/edit?usp=sharing"",""เลย!I145"")"),10)</f>
        <v>10</v>
      </c>
      <c r="Z43" s="81">
        <f ca="1">IFERROR(__xludf.DUMMYFUNCTION("IMPORTRANGE(""https://docs.google.com/spreadsheets/d/1IdolZc-dfdgMwAm_KZxYJl1sUOcIgnbGQzbWOlddedo/edit?usp=sharing"",""เลย!J145"")"),10)</f>
        <v>10</v>
      </c>
      <c r="AA43" s="82">
        <f t="shared" ca="1" si="27"/>
        <v>100</v>
      </c>
      <c r="AB43" s="81">
        <f ca="1">IFERROR(__xludf.DUMMYFUNCTION("IMPORTRANGE(""https://docs.google.com/spreadsheets/d/1IdolZc-dfdgMwAm_KZxYJl1sUOcIgnbGQzbWOlddedo/edit?usp=sharing"",""เลย!I146"")"),1)</f>
        <v>1</v>
      </c>
      <c r="AC43" s="81">
        <f ca="1">IFERROR(__xludf.DUMMYFUNCTION("IMPORTRANGE(""https://docs.google.com/spreadsheets/d/1IdolZc-dfdgMwAm_KZxYJl1sUOcIgnbGQzbWOlddedo/edit?usp=sharing"",""เลย!J146"")"),1)</f>
        <v>1</v>
      </c>
      <c r="AD43" s="82">
        <f t="shared" ca="1" si="28"/>
        <v>100</v>
      </c>
    </row>
    <row r="44" spans="1:3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41"/>
        <v>0</v>
      </c>
      <c r="E44" s="77">
        <f ca="1">IFERROR(__xludf.DUMMYFUNCTION("IMPORTRANGE(""https://docs.google.com/spreadsheets/d/1MeEWN-I1oV_STSDYn1IFDPWt_1FKiwhDph83XaGc0o0/edit?usp=sharing"",""งบพรบ!BL44"")"),0)</f>
        <v>0</v>
      </c>
      <c r="F44" s="77">
        <f ca="1">IFERROR(__xludf.DUMMYFUNCTION("IMPORTRANGE(""https://docs.google.com/spreadsheets/d/1MeEWN-I1oV_STSDYn1IFDPWt_1FKiwhDph83XaGc0o0/edit?usp=sharing"",""งบพรบ!BM44"")"),0)</f>
        <v>0</v>
      </c>
      <c r="G44" s="77">
        <f ca="1">IFERROR(__xludf.DUMMYFUNCTION("IMPORTRANGE(""https://docs.google.com/spreadsheets/d/1MeEWN-I1oV_STSDYn1IFDPWt_1FKiwhDph83XaGc0o0/edit?usp=sharing"",""งบพรบ!BN44"")"),0)</f>
        <v>0</v>
      </c>
      <c r="H44" s="77">
        <f ca="1">IFERROR(__xludf.DUMMYFUNCTION("IMPORTRANGE(""https://docs.google.com/spreadsheets/d/1MeEWN-I1oV_STSDYn1IFDPWt_1FKiwhDph83XaGc0o0/edit?usp=sharing"",""งบพรบ!BP44"")"),0)</f>
        <v>0</v>
      </c>
      <c r="I44" s="77">
        <f ca="1">IFERROR(__xludf.DUMMYFUNCTION("IMPORTRANGE(""https://docs.google.com/spreadsheets/d/1MeEWN-I1oV_STSDYn1IFDPWt_1FKiwhDph83XaGc0o0/edit?usp=sharing"",""งบพรบ!BQ44"")"),0)</f>
        <v>0</v>
      </c>
      <c r="J44" s="77">
        <f t="shared" ca="1" si="3"/>
        <v>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IFERROR(__xludf.DUMMYFUNCTION("IMPORTRANGE(""https://docs.google.com/spreadsheets/d/1MeEWN-I1oV_STSDYn1IFDPWt_1FKiwhDph83XaGc0o0/edit?usp=sharing"",""งบพรบ!BR44"")"),0)</f>
        <v>0</v>
      </c>
      <c r="M44" s="79">
        <f t="shared" ca="1" si="5"/>
        <v>0</v>
      </c>
      <c r="N44" s="79">
        <f t="shared" ca="1" si="6"/>
        <v>0</v>
      </c>
      <c r="O44" s="80">
        <f ca="1">IFERROR(__xludf.DUMMYFUNCTION("IMPORTRANGE(""https://docs.google.com/spreadsheets/d/1MeEWN-I1oV_STSDYn1IFDPWt_1FKiwhDph83XaGc0o0/edit?usp=sharing"",""งบพรบ!BS44"")"),0)</f>
        <v>0</v>
      </c>
      <c r="P44" s="80">
        <f t="shared" ca="1" si="30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IFERROR(__xludf.DUMMYFUNCTION("IMPORTRANGE(""https://docs.google.com/spreadsheets/d/1tZ0nmtGuIRCaGAMXHlQU8EpR9LOAJvyKfc4f7EFmE34/edit?usp=sharing"",""ศรีสะเกษ!J142"")"),0)</f>
        <v>0</v>
      </c>
      <c r="S44" s="81">
        <f ca="1">IFERROR(__xludf.DUMMYFUNCTION("IMPORTRANGE(""https://docs.google.com/spreadsheets/d/1tZ0nmtGuIRCaGAMXHlQU8EpR9LOAJvyKfc4f7EFmE34/edit?usp=sharing"",""ศรีสะเกษ!I143"")"),0)</f>
        <v>0</v>
      </c>
      <c r="T44" s="81">
        <f ca="1">IFERROR(__xludf.DUMMYFUNCTION("IMPORTRANGE(""https://docs.google.com/spreadsheets/d/1tZ0nmtGuIRCaGAMXHlQU8EpR9LOAJvyKfc4f7EFmE34/edit?usp=sharing"",""ศรีสะเกษ!J143"")"),0)</f>
        <v>0</v>
      </c>
      <c r="U44" s="82">
        <f t="shared" ca="1" si="25"/>
        <v>0</v>
      </c>
      <c r="V44" s="81">
        <f ca="1">IFERROR(__xludf.DUMMYFUNCTION("IMPORTRANGE(""https://docs.google.com/spreadsheets/d/1tZ0nmtGuIRCaGAMXHlQU8EpR9LOAJvyKfc4f7EFmE34/edit?usp=sharing"",""ศรีสะเกษ!I144"")"),0)</f>
        <v>0</v>
      </c>
      <c r="W44" s="81">
        <f ca="1">IFERROR(__xludf.DUMMYFUNCTION("IMPORTRANGE(""https://docs.google.com/spreadsheets/d/1tZ0nmtGuIRCaGAMXHlQU8EpR9LOAJvyKfc4f7EFmE34/edit?usp=sharing"",""ศรีสะเกษ!J144"")"),0)</f>
        <v>0</v>
      </c>
      <c r="X44" s="82">
        <f t="shared" ca="1" si="26"/>
        <v>0</v>
      </c>
      <c r="Y44" s="81">
        <f ca="1">IFERROR(__xludf.DUMMYFUNCTION("IMPORTRANGE(""https://docs.google.com/spreadsheets/d/1tZ0nmtGuIRCaGAMXHlQU8EpR9LOAJvyKfc4f7EFmE34/edit?usp=sharing"",""ศรีสะเกษ!I145"")"),0)</f>
        <v>0</v>
      </c>
      <c r="Z44" s="81">
        <f ca="1">IFERROR(__xludf.DUMMYFUNCTION("IMPORTRANGE(""https://docs.google.com/spreadsheets/d/1tZ0nmtGuIRCaGAMXHlQU8EpR9LOAJvyKfc4f7EFmE34/edit?usp=sharing"",""ศรีสะเกษ!J145"")"),0)</f>
        <v>0</v>
      </c>
      <c r="AA44" s="82">
        <f t="shared" ca="1" si="27"/>
        <v>0</v>
      </c>
      <c r="AB44" s="81">
        <f ca="1">IFERROR(__xludf.DUMMYFUNCTION("IMPORTRANGE(""https://docs.google.com/spreadsheets/d/1tZ0nmtGuIRCaGAMXHlQU8EpR9LOAJvyKfc4f7EFmE34/edit?usp=sharing"",""ศรีสะเกษ!I146"")"),0)</f>
        <v>0</v>
      </c>
      <c r="AC44" s="81">
        <f ca="1">IFERROR(__xludf.DUMMYFUNCTION("IMPORTRANGE(""https://docs.google.com/spreadsheets/d/1tZ0nmtGuIRCaGAMXHlQU8EpR9LOAJvyKfc4f7EFmE34/edit?usp=sharing"",""ศรีสะเกษ!J146"")"),0)</f>
        <v>0</v>
      </c>
      <c r="AD44" s="82">
        <f t="shared" ca="1" si="28"/>
        <v>0</v>
      </c>
    </row>
    <row r="45" spans="1:30" ht="21" customHeight="1" x14ac:dyDescent="0.2">
      <c r="A45" s="73">
        <v>14</v>
      </c>
      <c r="B45" s="74" t="s">
        <v>67</v>
      </c>
      <c r="C45" s="75">
        <f t="shared" ca="1" si="0"/>
        <v>454965</v>
      </c>
      <c r="D45" s="76">
        <f t="shared" ca="1" si="41"/>
        <v>145965</v>
      </c>
      <c r="E45" s="77">
        <f ca="1">IFERROR(__xludf.DUMMYFUNCTION("IMPORTRANGE(""https://docs.google.com/spreadsheets/d/1MeEWN-I1oV_STSDYn1IFDPWt_1FKiwhDph83XaGc0o0/edit?usp=sharing"",""งบพรบ!BL45"")"),0)</f>
        <v>0</v>
      </c>
      <c r="F45" s="77">
        <f ca="1">IFERROR(__xludf.DUMMYFUNCTION("IMPORTRANGE(""https://docs.google.com/spreadsheets/d/1MeEWN-I1oV_STSDYn1IFDPWt_1FKiwhDph83XaGc0o0/edit?usp=sharing"",""งบพรบ!BM45"")"),145965)</f>
        <v>145965</v>
      </c>
      <c r="G45" s="77">
        <f ca="1">IFERROR(__xludf.DUMMYFUNCTION("IMPORTRANGE(""https://docs.google.com/spreadsheets/d/1MeEWN-I1oV_STSDYn1IFDPWt_1FKiwhDph83XaGc0o0/edit?usp=sharing"",""งบพรบ!BN45"")"),309000)</f>
        <v>309000</v>
      </c>
      <c r="H45" s="77">
        <f ca="1">IFERROR(__xludf.DUMMYFUNCTION("IMPORTRANGE(""https://docs.google.com/spreadsheets/d/1MeEWN-I1oV_STSDYn1IFDPWt_1FKiwhDph83XaGc0o0/edit?usp=sharing"",""งบพรบ!BP45"")"),145965)</f>
        <v>145965</v>
      </c>
      <c r="I45" s="77">
        <f ca="1">IFERROR(__xludf.DUMMYFUNCTION("IMPORTRANGE(""https://docs.google.com/spreadsheets/d/1MeEWN-I1oV_STSDYn1IFDPWt_1FKiwhDph83XaGc0o0/edit?usp=sharing"",""งบพรบ!BQ45"")"),309000)</f>
        <v>309000</v>
      </c>
      <c r="J45" s="77">
        <f t="shared" ca="1" si="3"/>
        <v>396106.57</v>
      </c>
      <c r="K45" s="78">
        <f t="shared" ca="1" si="4"/>
        <v>87.063086171463738</v>
      </c>
      <c r="L45" s="77">
        <f ca="1">IFERROR(__xludf.DUMMYFUNCTION("IMPORTRANGE(""https://docs.google.com/spreadsheets/d/1MeEWN-I1oV_STSDYn1IFDPWt_1FKiwhDph83XaGc0o0/edit?usp=sharing"",""งบพรบ!BR45"")"),87106.57)</f>
        <v>87106.57</v>
      </c>
      <c r="M45" s="79">
        <f t="shared" ca="1" si="5"/>
        <v>59.67634021854554</v>
      </c>
      <c r="N45" s="79">
        <f t="shared" ca="1" si="6"/>
        <v>59.67634021854554</v>
      </c>
      <c r="O45" s="80">
        <f ca="1">IFERROR(__xludf.DUMMYFUNCTION("IMPORTRANGE(""https://docs.google.com/spreadsheets/d/1MeEWN-I1oV_STSDYn1IFDPWt_1FKiwhDph83XaGc0o0/edit?usp=sharing"",""งบพรบ!BS45"")"),309000)</f>
        <v>309000</v>
      </c>
      <c r="P45" s="80">
        <f t="shared" ca="1" si="30"/>
        <v>100</v>
      </c>
      <c r="Q45" s="79">
        <f t="shared" ca="1" si="8"/>
        <v>100</v>
      </c>
      <c r="R45" s="81">
        <f ca="1">IFERROR(__xludf.DUMMYFUNCTION("IMPORTRANGE(""https://docs.google.com/spreadsheets/d/1QC8psz9w0f9IVE9Xuc2FT_btkaOzZbbUSgYObpBuetM/edit?usp=sharing"",""สกลนคร!J142"")"),0)</f>
        <v>0</v>
      </c>
      <c r="S45" s="81">
        <f ca="1">IFERROR(__xludf.DUMMYFUNCTION("IMPORTRANGE(""https://docs.google.com/spreadsheets/d/1QC8psz9w0f9IVE9Xuc2FT_btkaOzZbbUSgYObpBuetM/edit?usp=sharing"",""สกลนคร!I143"")"),30)</f>
        <v>30</v>
      </c>
      <c r="T45" s="81">
        <f ca="1">IFERROR(__xludf.DUMMYFUNCTION("IMPORTRANGE(""https://docs.google.com/spreadsheets/d/1QC8psz9w0f9IVE9Xuc2FT_btkaOzZbbUSgYObpBuetM/edit?usp=sharing"",""สกลนคร!J143"")"),30)</f>
        <v>30</v>
      </c>
      <c r="U45" s="82">
        <f t="shared" ca="1" si="25"/>
        <v>100</v>
      </c>
      <c r="V45" s="81">
        <f ca="1">IFERROR(__xludf.DUMMYFUNCTION("IMPORTRANGE(""https://docs.google.com/spreadsheets/d/1QC8psz9w0f9IVE9Xuc2FT_btkaOzZbbUSgYObpBuetM/edit?usp=sharing"",""สกลนคร!I144"")"),15)</f>
        <v>15</v>
      </c>
      <c r="W45" s="81">
        <f ca="1">IFERROR(__xludf.DUMMYFUNCTION("IMPORTRANGE(""https://docs.google.com/spreadsheets/d/1QC8psz9w0f9IVE9Xuc2FT_btkaOzZbbUSgYObpBuetM/edit?usp=sharing"",""สกลนคร!J144"")"),15)</f>
        <v>15</v>
      </c>
      <c r="X45" s="82">
        <f t="shared" ca="1" si="26"/>
        <v>100</v>
      </c>
      <c r="Y45" s="81">
        <f ca="1">IFERROR(__xludf.DUMMYFUNCTION("IMPORTRANGE(""https://docs.google.com/spreadsheets/d/1QC8psz9w0f9IVE9Xuc2FT_btkaOzZbbUSgYObpBuetM/edit?usp=sharing"",""สกลนคร!I145"")"),30)</f>
        <v>30</v>
      </c>
      <c r="Z45" s="81">
        <f ca="1">IFERROR(__xludf.DUMMYFUNCTION("IMPORTRANGE(""https://docs.google.com/spreadsheets/d/1QC8psz9w0f9IVE9Xuc2FT_btkaOzZbbUSgYObpBuetM/edit?usp=sharing"",""สกลนคร!J145"")"),30)</f>
        <v>30</v>
      </c>
      <c r="AA45" s="82">
        <f t="shared" ca="1" si="27"/>
        <v>100</v>
      </c>
      <c r="AB45" s="81">
        <f ca="1">IFERROR(__xludf.DUMMYFUNCTION("IMPORTRANGE(""https://docs.google.com/spreadsheets/d/1QC8psz9w0f9IVE9Xuc2FT_btkaOzZbbUSgYObpBuetM/edit?usp=sharing"",""สกลนคร!I146"")"),3)</f>
        <v>3</v>
      </c>
      <c r="AC45" s="81">
        <f ca="1">IFERROR(__xludf.DUMMYFUNCTION("IMPORTRANGE(""https://docs.google.com/spreadsheets/d/1QC8psz9w0f9IVE9Xuc2FT_btkaOzZbbUSgYObpBuetM/edit?usp=sharing"",""สกลนคร!J146"")"),3)</f>
        <v>3</v>
      </c>
      <c r="AD45" s="82">
        <f t="shared" ca="1" si="28"/>
        <v>100</v>
      </c>
    </row>
    <row r="46" spans="1:3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41"/>
        <v>0</v>
      </c>
      <c r="E46" s="77">
        <f ca="1">IFERROR(__xludf.DUMMYFUNCTION("IMPORTRANGE(""https://docs.google.com/spreadsheets/d/1MeEWN-I1oV_STSDYn1IFDPWt_1FKiwhDph83XaGc0o0/edit?usp=sharing"",""งบพรบ!BL46"")"),0)</f>
        <v>0</v>
      </c>
      <c r="F46" s="77">
        <f ca="1">IFERROR(__xludf.DUMMYFUNCTION("IMPORTRANGE(""https://docs.google.com/spreadsheets/d/1MeEWN-I1oV_STSDYn1IFDPWt_1FKiwhDph83XaGc0o0/edit?usp=sharing"",""งบพรบ!BM46"")"),0)</f>
        <v>0</v>
      </c>
      <c r="G46" s="77">
        <f ca="1">IFERROR(__xludf.DUMMYFUNCTION("IMPORTRANGE(""https://docs.google.com/spreadsheets/d/1MeEWN-I1oV_STSDYn1IFDPWt_1FKiwhDph83XaGc0o0/edit?usp=sharing"",""งบพรบ!BN46"")"),0)</f>
        <v>0</v>
      </c>
      <c r="H46" s="77">
        <f ca="1">IFERROR(__xludf.DUMMYFUNCTION("IMPORTRANGE(""https://docs.google.com/spreadsheets/d/1MeEWN-I1oV_STSDYn1IFDPWt_1FKiwhDph83XaGc0o0/edit?usp=sharing"",""งบพรบ!BP46"")"),0)</f>
        <v>0</v>
      </c>
      <c r="I46" s="77">
        <f ca="1">IFERROR(__xludf.DUMMYFUNCTION("IMPORTRANGE(""https://docs.google.com/spreadsheets/d/1MeEWN-I1oV_STSDYn1IFDPWt_1FKiwhDph83XaGc0o0/edit?usp=sharing"",""งบพรบ!BQ46"")"),0)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IFERROR(__xludf.DUMMYFUNCTION("IMPORTRANGE(""https://docs.google.com/spreadsheets/d/1MeEWN-I1oV_STSDYn1IFDPWt_1FKiwhDph83XaGc0o0/edit?usp=sharing"",""งบพรบ!BR46"")"),0)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IFERROR(__xludf.DUMMYFUNCTION("IMPORTRANGE(""https://docs.google.com/spreadsheets/d/1MeEWN-I1oV_STSDYn1IFDPWt_1FKiwhDph83XaGc0o0/edit?usp=sharing"",""งบพรบ!BS46"")"),0)</f>
        <v>0</v>
      </c>
      <c r="P46" s="80">
        <f t="shared" ca="1" si="30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IFERROR(__xludf.DUMMYFUNCTION("IMPORTRANGE(""https://docs.google.com/spreadsheets/d/1wPdvRbu02d33MYVlbsCnyTiZpefEBs9NNktAnT1HZvw/edit?usp=sharing"",""สุรินทร์!J142"")"),0)</f>
        <v>0</v>
      </c>
      <c r="S46" s="81">
        <f ca="1">IFERROR(__xludf.DUMMYFUNCTION("IMPORTRANGE(""https://docs.google.com/spreadsheets/d/1wPdvRbu02d33MYVlbsCnyTiZpefEBs9NNktAnT1HZvw/edit?usp=sharing"",""สุรินทร์!I143"")"),0)</f>
        <v>0</v>
      </c>
      <c r="T46" s="81">
        <f ca="1">IFERROR(__xludf.DUMMYFUNCTION("IMPORTRANGE(""https://docs.google.com/spreadsheets/d/1wPdvRbu02d33MYVlbsCnyTiZpefEBs9NNktAnT1HZvw/edit?usp=sharing"",""สุรินทร์!J143"")"),0)</f>
        <v>0</v>
      </c>
      <c r="U46" s="82">
        <f t="shared" ca="1" si="25"/>
        <v>0</v>
      </c>
      <c r="V46" s="81">
        <f ca="1">IFERROR(__xludf.DUMMYFUNCTION("IMPORTRANGE(""https://docs.google.com/spreadsheets/d/1wPdvRbu02d33MYVlbsCnyTiZpefEBs9NNktAnT1HZvw/edit?usp=sharing"",""สุรินทร์!I144"")"),0)</f>
        <v>0</v>
      </c>
      <c r="W46" s="81">
        <f ca="1">IFERROR(__xludf.DUMMYFUNCTION("IMPORTRANGE(""https://docs.google.com/spreadsheets/d/1wPdvRbu02d33MYVlbsCnyTiZpefEBs9NNktAnT1HZvw/edit?usp=sharing"",""สุรินทร์!J144"")"),0)</f>
        <v>0</v>
      </c>
      <c r="X46" s="82">
        <f t="shared" ca="1" si="26"/>
        <v>0</v>
      </c>
      <c r="Y46" s="81">
        <f ca="1">IFERROR(__xludf.DUMMYFUNCTION("IMPORTRANGE(""https://docs.google.com/spreadsheets/d/1wPdvRbu02d33MYVlbsCnyTiZpefEBs9NNktAnT1HZvw/edit?usp=sharing"",""สุรินทร์!I145"")"),0)</f>
        <v>0</v>
      </c>
      <c r="Z46" s="81">
        <f ca="1">IFERROR(__xludf.DUMMYFUNCTION("IMPORTRANGE(""https://docs.google.com/spreadsheets/d/1wPdvRbu02d33MYVlbsCnyTiZpefEBs9NNktAnT1HZvw/edit?usp=sharing"",""สุรินทร์!J145"")"),0)</f>
        <v>0</v>
      </c>
      <c r="AA46" s="82">
        <f t="shared" ca="1" si="27"/>
        <v>0</v>
      </c>
      <c r="AB46" s="81">
        <f ca="1">IFERROR(__xludf.DUMMYFUNCTION("IMPORTRANGE(""https://docs.google.com/spreadsheets/d/1wPdvRbu02d33MYVlbsCnyTiZpefEBs9NNktAnT1HZvw/edit?usp=sharing"",""สุรินทร์!I146"")"),0)</f>
        <v>0</v>
      </c>
      <c r="AC46" s="81">
        <f ca="1">IFERROR(__xludf.DUMMYFUNCTION("IMPORTRANGE(""https://docs.google.com/spreadsheets/d/1wPdvRbu02d33MYVlbsCnyTiZpefEBs9NNktAnT1HZvw/edit?usp=sharing"",""สุรินทร์!J146"")"),0)</f>
        <v>0</v>
      </c>
      <c r="AD46" s="82">
        <f t="shared" ca="1" si="28"/>
        <v>0</v>
      </c>
    </row>
    <row r="47" spans="1:30" ht="21" customHeight="1" x14ac:dyDescent="0.2">
      <c r="A47" s="73">
        <v>16</v>
      </c>
      <c r="B47" s="74" t="s">
        <v>69</v>
      </c>
      <c r="C47" s="75">
        <f t="shared" ca="1" si="0"/>
        <v>454965</v>
      </c>
      <c r="D47" s="76">
        <f t="shared" ca="1" si="41"/>
        <v>145965</v>
      </c>
      <c r="E47" s="77">
        <f ca="1">IFERROR(__xludf.DUMMYFUNCTION("IMPORTRANGE(""https://docs.google.com/spreadsheets/d/1MeEWN-I1oV_STSDYn1IFDPWt_1FKiwhDph83XaGc0o0/edit?usp=sharing"",""งบพรบ!BL47"")"),0)</f>
        <v>0</v>
      </c>
      <c r="F47" s="77">
        <f ca="1">IFERROR(__xludf.DUMMYFUNCTION("IMPORTRANGE(""https://docs.google.com/spreadsheets/d/1MeEWN-I1oV_STSDYn1IFDPWt_1FKiwhDph83XaGc0o0/edit?usp=sharing"",""งบพรบ!BM47"")"),145965)</f>
        <v>145965</v>
      </c>
      <c r="G47" s="77">
        <f ca="1">IFERROR(__xludf.DUMMYFUNCTION("IMPORTRANGE(""https://docs.google.com/spreadsheets/d/1MeEWN-I1oV_STSDYn1IFDPWt_1FKiwhDph83XaGc0o0/edit?usp=sharing"",""งบพรบ!BN47"")"),309000)</f>
        <v>309000</v>
      </c>
      <c r="H47" s="77">
        <f ca="1">IFERROR(__xludf.DUMMYFUNCTION("IMPORTRANGE(""https://docs.google.com/spreadsheets/d/1MeEWN-I1oV_STSDYn1IFDPWt_1FKiwhDph83XaGc0o0/edit?usp=sharing"",""งบพรบ!BP47"")"),145965)</f>
        <v>145965</v>
      </c>
      <c r="I47" s="77">
        <f ca="1">IFERROR(__xludf.DUMMYFUNCTION("IMPORTRANGE(""https://docs.google.com/spreadsheets/d/1MeEWN-I1oV_STSDYn1IFDPWt_1FKiwhDph83XaGc0o0/edit?usp=sharing"",""งบพรบ!BQ47"")"),309000)</f>
        <v>309000</v>
      </c>
      <c r="J47" s="77">
        <f t="shared" ca="1" si="3"/>
        <v>454965</v>
      </c>
      <c r="K47" s="78">
        <f t="shared" ca="1" si="4"/>
        <v>100</v>
      </c>
      <c r="L47" s="77">
        <f ca="1">IFERROR(__xludf.DUMMYFUNCTION("IMPORTRANGE(""https://docs.google.com/spreadsheets/d/1MeEWN-I1oV_STSDYn1IFDPWt_1FKiwhDph83XaGc0o0/edit?usp=sharing"",""งบพรบ!BR47"")"),145965)</f>
        <v>145965</v>
      </c>
      <c r="M47" s="79">
        <f t="shared" ca="1" si="5"/>
        <v>100</v>
      </c>
      <c r="N47" s="79">
        <f t="shared" ca="1" si="6"/>
        <v>100</v>
      </c>
      <c r="O47" s="80">
        <f ca="1">IFERROR(__xludf.DUMMYFUNCTION("IMPORTRANGE(""https://docs.google.com/spreadsheets/d/1MeEWN-I1oV_STSDYn1IFDPWt_1FKiwhDph83XaGc0o0/edit?usp=sharing"",""งบพรบ!BS47"")"),309000)</f>
        <v>309000</v>
      </c>
      <c r="P47" s="80">
        <f t="shared" ca="1" si="30"/>
        <v>100</v>
      </c>
      <c r="Q47" s="79">
        <f t="shared" ca="1" si="8"/>
        <v>100</v>
      </c>
      <c r="R47" s="81">
        <f ca="1">IFERROR(__xludf.DUMMYFUNCTION("IMPORTRANGE(""https://docs.google.com/spreadsheets/d/1GVExpf-Exi_2gmuqTYH28fseTB9MoKPXWcXCbSt_YrM/edit?usp=sharing"",""หนองคาย!J142"")"),0)</f>
        <v>0</v>
      </c>
      <c r="S47" s="81">
        <f ca="1">IFERROR(__xludf.DUMMYFUNCTION("IMPORTRANGE(""https://docs.google.com/spreadsheets/d/1GVExpf-Exi_2gmuqTYH28fseTB9MoKPXWcXCbSt_YrM/edit?usp=sharing"",""หนองคาย!I143"")"),30)</f>
        <v>30</v>
      </c>
      <c r="T47" s="81">
        <f ca="1">IFERROR(__xludf.DUMMYFUNCTION("IMPORTRANGE(""https://docs.google.com/spreadsheets/d/1GVExpf-Exi_2gmuqTYH28fseTB9MoKPXWcXCbSt_YrM/edit?usp=sharing"",""หนองคาย!J143"")"),30)</f>
        <v>30</v>
      </c>
      <c r="U47" s="82">
        <f t="shared" ca="1" si="25"/>
        <v>100</v>
      </c>
      <c r="V47" s="81">
        <f ca="1">IFERROR(__xludf.DUMMYFUNCTION("IMPORTRANGE(""https://docs.google.com/spreadsheets/d/1GVExpf-Exi_2gmuqTYH28fseTB9MoKPXWcXCbSt_YrM/edit?usp=sharing"",""หนองคาย!I144"")"),15)</f>
        <v>15</v>
      </c>
      <c r="W47" s="81">
        <f ca="1">IFERROR(__xludf.DUMMYFUNCTION("IMPORTRANGE(""https://docs.google.com/spreadsheets/d/1GVExpf-Exi_2gmuqTYH28fseTB9MoKPXWcXCbSt_YrM/edit?usp=sharing"",""หนองคาย!J144"")"),15)</f>
        <v>15</v>
      </c>
      <c r="X47" s="82">
        <f t="shared" ca="1" si="26"/>
        <v>100</v>
      </c>
      <c r="Y47" s="81">
        <f ca="1">IFERROR(__xludf.DUMMYFUNCTION("IMPORTRANGE(""https://docs.google.com/spreadsheets/d/1GVExpf-Exi_2gmuqTYH28fseTB9MoKPXWcXCbSt_YrM/edit?usp=sharing"",""หนองคาย!I145"")"),30)</f>
        <v>30</v>
      </c>
      <c r="Z47" s="81">
        <f ca="1">IFERROR(__xludf.DUMMYFUNCTION("IMPORTRANGE(""https://docs.google.com/spreadsheets/d/1GVExpf-Exi_2gmuqTYH28fseTB9MoKPXWcXCbSt_YrM/edit?usp=sharing"",""หนองคาย!J145"")"),30)</f>
        <v>30</v>
      </c>
      <c r="AA47" s="82">
        <f t="shared" ca="1" si="27"/>
        <v>100</v>
      </c>
      <c r="AB47" s="81">
        <f ca="1">IFERROR(__xludf.DUMMYFUNCTION("IMPORTRANGE(""https://docs.google.com/spreadsheets/d/1GVExpf-Exi_2gmuqTYH28fseTB9MoKPXWcXCbSt_YrM/edit?usp=sharing"",""หนองคาย!I146"")"),3)</f>
        <v>3</v>
      </c>
      <c r="AC47" s="81">
        <f ca="1">IFERROR(__xludf.DUMMYFUNCTION("IMPORTRANGE(""https://docs.google.com/spreadsheets/d/1GVExpf-Exi_2gmuqTYH28fseTB9MoKPXWcXCbSt_YrM/edit?usp=sharing"",""หนองคาย!J146"")"),3)</f>
        <v>3</v>
      </c>
      <c r="AD47" s="82">
        <f t="shared" ca="1" si="28"/>
        <v>100</v>
      </c>
    </row>
    <row r="48" spans="1:3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41"/>
        <v>0</v>
      </c>
      <c r="E48" s="77">
        <f ca="1">IFERROR(__xludf.DUMMYFUNCTION("IMPORTRANGE(""https://docs.google.com/spreadsheets/d/1MeEWN-I1oV_STSDYn1IFDPWt_1FKiwhDph83XaGc0o0/edit?usp=sharing"",""งบพรบ!BL48"")"),0)</f>
        <v>0</v>
      </c>
      <c r="F48" s="77">
        <f ca="1">IFERROR(__xludf.DUMMYFUNCTION("IMPORTRANGE(""https://docs.google.com/spreadsheets/d/1MeEWN-I1oV_STSDYn1IFDPWt_1FKiwhDph83XaGc0o0/edit?usp=sharing"",""งบพรบ!BM48"")"),0)</f>
        <v>0</v>
      </c>
      <c r="G48" s="77">
        <f ca="1">IFERROR(__xludf.DUMMYFUNCTION("IMPORTRANGE(""https://docs.google.com/spreadsheets/d/1MeEWN-I1oV_STSDYn1IFDPWt_1FKiwhDph83XaGc0o0/edit?usp=sharing"",""งบพรบ!BN48"")"),0)</f>
        <v>0</v>
      </c>
      <c r="H48" s="77">
        <f ca="1">IFERROR(__xludf.DUMMYFUNCTION("IMPORTRANGE(""https://docs.google.com/spreadsheets/d/1MeEWN-I1oV_STSDYn1IFDPWt_1FKiwhDph83XaGc0o0/edit?usp=sharing"",""งบพรบ!BP48"")"),0)</f>
        <v>0</v>
      </c>
      <c r="I48" s="77">
        <f ca="1">IFERROR(__xludf.DUMMYFUNCTION("IMPORTRANGE(""https://docs.google.com/spreadsheets/d/1MeEWN-I1oV_STSDYn1IFDPWt_1FKiwhDph83XaGc0o0/edit?usp=sharing"",""งบพรบ!BQ48"")"),0)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IFERROR(__xludf.DUMMYFUNCTION("IMPORTRANGE(""https://docs.google.com/spreadsheets/d/1MeEWN-I1oV_STSDYn1IFDPWt_1FKiwhDph83XaGc0o0/edit?usp=sharing"",""งบพรบ!BR48"")"),0)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IFERROR(__xludf.DUMMYFUNCTION("IMPORTRANGE(""https://docs.google.com/spreadsheets/d/1MeEWN-I1oV_STSDYn1IFDPWt_1FKiwhDph83XaGc0o0/edit?usp=sharing"",""งบพรบ!BS48"")"),0)</f>
        <v>0</v>
      </c>
      <c r="P48" s="80">
        <f t="shared" ca="1" si="30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IFERROR(__xludf.DUMMYFUNCTION("IMPORTRANGE(""https://docs.google.com/spreadsheets/d/16UeMz0UgOB5BZcoxP75eYGcLFtGYRn9GoesD4OX9m5U/edit?usp=sharing"",""หนองบัวลำภู!J142"")"),0)</f>
        <v>0</v>
      </c>
      <c r="S48" s="81">
        <f ca="1">IFERROR(__xludf.DUMMYFUNCTION("IMPORTRANGE(""https://docs.google.com/spreadsheets/d/16UeMz0UgOB5BZcoxP75eYGcLFtGYRn9GoesD4OX9m5U/edit?usp=sharing"",""หนองบัวลำภู!I143"")"),0)</f>
        <v>0</v>
      </c>
      <c r="T48" s="81">
        <f ca="1">IFERROR(__xludf.DUMMYFUNCTION("IMPORTRANGE(""https://docs.google.com/spreadsheets/d/16UeMz0UgOB5BZcoxP75eYGcLFtGYRn9GoesD4OX9m5U/edit?usp=sharing"",""หนองบัวลำภู!J143"")"),0)</f>
        <v>0</v>
      </c>
      <c r="U48" s="82">
        <f t="shared" ca="1" si="25"/>
        <v>0</v>
      </c>
      <c r="V48" s="81">
        <f ca="1">IFERROR(__xludf.DUMMYFUNCTION("IMPORTRANGE(""https://docs.google.com/spreadsheets/d/16UeMz0UgOB5BZcoxP75eYGcLFtGYRn9GoesD4OX9m5U/edit?usp=sharing"",""หนองบัวลำภู!I144"")"),0)</f>
        <v>0</v>
      </c>
      <c r="W48" s="81">
        <f ca="1">IFERROR(__xludf.DUMMYFUNCTION("IMPORTRANGE(""https://docs.google.com/spreadsheets/d/16UeMz0UgOB5BZcoxP75eYGcLFtGYRn9GoesD4OX9m5U/edit?usp=sharing"",""หนองบัวลำภู!J144"")"),0)</f>
        <v>0</v>
      </c>
      <c r="X48" s="82">
        <f t="shared" ca="1" si="26"/>
        <v>0</v>
      </c>
      <c r="Y48" s="81">
        <f ca="1">IFERROR(__xludf.DUMMYFUNCTION("IMPORTRANGE(""https://docs.google.com/spreadsheets/d/16UeMz0UgOB5BZcoxP75eYGcLFtGYRn9GoesD4OX9m5U/edit?usp=sharing"",""หนองบัวลำภู!I145"")"),0)</f>
        <v>0</v>
      </c>
      <c r="Z48" s="81">
        <f ca="1">IFERROR(__xludf.DUMMYFUNCTION("IMPORTRANGE(""https://docs.google.com/spreadsheets/d/16UeMz0UgOB5BZcoxP75eYGcLFtGYRn9GoesD4OX9m5U/edit?usp=sharing"",""หนองบัวลำภู!J145"")"),0)</f>
        <v>0</v>
      </c>
      <c r="AA48" s="82">
        <f t="shared" ca="1" si="27"/>
        <v>0</v>
      </c>
      <c r="AB48" s="81">
        <f ca="1">IFERROR(__xludf.DUMMYFUNCTION("IMPORTRANGE(""https://docs.google.com/spreadsheets/d/16UeMz0UgOB5BZcoxP75eYGcLFtGYRn9GoesD4OX9m5U/edit?usp=sharing"",""หนองบัวลำภู!I146"")"),0)</f>
        <v>0</v>
      </c>
      <c r="AC48" s="81">
        <f ca="1">IFERROR(__xludf.DUMMYFUNCTION("IMPORTRANGE(""https://docs.google.com/spreadsheets/d/16UeMz0UgOB5BZcoxP75eYGcLFtGYRn9GoesD4OX9m5U/edit?usp=sharing"",""หนองบัวลำภู!J146"")"),0)</f>
        <v>0</v>
      </c>
      <c r="AD48" s="82">
        <f t="shared" ca="1" si="28"/>
        <v>0</v>
      </c>
    </row>
    <row r="49" spans="1:3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41"/>
        <v>0</v>
      </c>
      <c r="E49" s="77">
        <f ca="1">IFERROR(__xludf.DUMMYFUNCTION("IMPORTRANGE(""https://docs.google.com/spreadsheets/d/1MeEWN-I1oV_STSDYn1IFDPWt_1FKiwhDph83XaGc0o0/edit?usp=sharing"",""งบพรบ!BL49"")"),0)</f>
        <v>0</v>
      </c>
      <c r="F49" s="77">
        <f ca="1">IFERROR(__xludf.DUMMYFUNCTION("IMPORTRANGE(""https://docs.google.com/spreadsheets/d/1MeEWN-I1oV_STSDYn1IFDPWt_1FKiwhDph83XaGc0o0/edit?usp=sharing"",""งบพรบ!BM49"")"),0)</f>
        <v>0</v>
      </c>
      <c r="G49" s="77">
        <f ca="1">IFERROR(__xludf.DUMMYFUNCTION("IMPORTRANGE(""https://docs.google.com/spreadsheets/d/1MeEWN-I1oV_STSDYn1IFDPWt_1FKiwhDph83XaGc0o0/edit?usp=sharing"",""งบพรบ!BN49"")"),0)</f>
        <v>0</v>
      </c>
      <c r="H49" s="77">
        <f ca="1">IFERROR(__xludf.DUMMYFUNCTION("IMPORTRANGE(""https://docs.google.com/spreadsheets/d/1MeEWN-I1oV_STSDYn1IFDPWt_1FKiwhDph83XaGc0o0/edit?usp=sharing"",""งบพรบ!BP49"")"),0)</f>
        <v>0</v>
      </c>
      <c r="I49" s="77">
        <f ca="1">IFERROR(__xludf.DUMMYFUNCTION("IMPORTRANGE(""https://docs.google.com/spreadsheets/d/1MeEWN-I1oV_STSDYn1IFDPWt_1FKiwhDph83XaGc0o0/edit?usp=sharing"",""งบพรบ!BQ49"")"),0)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IFERROR(__xludf.DUMMYFUNCTION("IMPORTRANGE(""https://docs.google.com/spreadsheets/d/1MeEWN-I1oV_STSDYn1IFDPWt_1FKiwhDph83XaGc0o0/edit?usp=sharing"",""งบพรบ!BR49"")"),0)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IFERROR(__xludf.DUMMYFUNCTION("IMPORTRANGE(""https://docs.google.com/spreadsheets/d/1MeEWN-I1oV_STSDYn1IFDPWt_1FKiwhDph83XaGc0o0/edit?usp=sharing"",""งบพรบ!BS49"")"),0)</f>
        <v>0</v>
      </c>
      <c r="P49" s="80">
        <f t="shared" ca="1" si="30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IFERROR(__xludf.DUMMYFUNCTION("IMPORTRANGE(""https://docs.google.com/spreadsheets/d/1uUP8Zo1-qaJLuIkRU0qlwLSE3DHkbdrrj2JGJiWBQZE/edit?usp=sharing"",""อำนาจเจริญ!J142"")"),0)</f>
        <v>0</v>
      </c>
      <c r="S49" s="81">
        <f ca="1">IFERROR(__xludf.DUMMYFUNCTION("IMPORTRANGE(""https://docs.google.com/spreadsheets/d/1uUP8Zo1-qaJLuIkRU0qlwLSE3DHkbdrrj2JGJiWBQZE/edit?usp=sharing"",""อำนาจเจริญ!I143"")"),0)</f>
        <v>0</v>
      </c>
      <c r="T49" s="81">
        <f ca="1">IFERROR(__xludf.DUMMYFUNCTION("IMPORTRANGE(""https://docs.google.com/spreadsheets/d/1uUP8Zo1-qaJLuIkRU0qlwLSE3DHkbdrrj2JGJiWBQZE/edit?usp=sharing"",""อำนาจเจริญ!J143"")"),0)</f>
        <v>0</v>
      </c>
      <c r="U49" s="82">
        <f t="shared" ca="1" si="25"/>
        <v>0</v>
      </c>
      <c r="V49" s="81">
        <f ca="1">IFERROR(__xludf.DUMMYFUNCTION("IMPORTRANGE(""https://docs.google.com/spreadsheets/d/1uUP8Zo1-qaJLuIkRU0qlwLSE3DHkbdrrj2JGJiWBQZE/edit?usp=sharing"",""อำนาจเจริญ!I144"")"),0)</f>
        <v>0</v>
      </c>
      <c r="W49" s="81">
        <f ca="1">IFERROR(__xludf.DUMMYFUNCTION("IMPORTRANGE(""https://docs.google.com/spreadsheets/d/1uUP8Zo1-qaJLuIkRU0qlwLSE3DHkbdrrj2JGJiWBQZE/edit?usp=sharing"",""อำนาจเจริญ!J144"")"),0)</f>
        <v>0</v>
      </c>
      <c r="X49" s="82">
        <f t="shared" ca="1" si="26"/>
        <v>0</v>
      </c>
      <c r="Y49" s="81">
        <f ca="1">IFERROR(__xludf.DUMMYFUNCTION("IMPORTRANGE(""https://docs.google.com/spreadsheets/d/1uUP8Zo1-qaJLuIkRU0qlwLSE3DHkbdrrj2JGJiWBQZE/edit?usp=sharing"",""อำนาจเจริญ!I145"")"),0)</f>
        <v>0</v>
      </c>
      <c r="Z49" s="81">
        <f ca="1">IFERROR(__xludf.DUMMYFUNCTION("IMPORTRANGE(""https://docs.google.com/spreadsheets/d/1uUP8Zo1-qaJLuIkRU0qlwLSE3DHkbdrrj2JGJiWBQZE/edit?usp=sharing"",""อำนาจเจริญ!J145"")"),0)</f>
        <v>0</v>
      </c>
      <c r="AA49" s="82">
        <f t="shared" ca="1" si="27"/>
        <v>0</v>
      </c>
      <c r="AB49" s="81">
        <f ca="1">IFERROR(__xludf.DUMMYFUNCTION("IMPORTRANGE(""https://docs.google.com/spreadsheets/d/1uUP8Zo1-qaJLuIkRU0qlwLSE3DHkbdrrj2JGJiWBQZE/edit?usp=sharing"",""อำนาจเจริญ!I146"")"),0)</f>
        <v>0</v>
      </c>
      <c r="AC49" s="81">
        <f ca="1">IFERROR(__xludf.DUMMYFUNCTION("IMPORTRANGE(""https://docs.google.com/spreadsheets/d/1uUP8Zo1-qaJLuIkRU0qlwLSE3DHkbdrrj2JGJiWBQZE/edit?usp=sharing"",""อำนาจเจริญ!J146"")"),0)</f>
        <v>0</v>
      </c>
      <c r="AD49" s="82">
        <f t="shared" ca="1" si="28"/>
        <v>0</v>
      </c>
    </row>
    <row r="50" spans="1:30" ht="21" customHeight="1" x14ac:dyDescent="0.2">
      <c r="A50" s="73">
        <v>19</v>
      </c>
      <c r="B50" s="74" t="s">
        <v>72</v>
      </c>
      <c r="C50" s="75">
        <f t="shared" ca="1" si="0"/>
        <v>0</v>
      </c>
      <c r="D50" s="76">
        <f t="shared" ca="1" si="41"/>
        <v>0</v>
      </c>
      <c r="E50" s="77">
        <f ca="1">IFERROR(__xludf.DUMMYFUNCTION("IMPORTRANGE(""https://docs.google.com/spreadsheets/d/1MeEWN-I1oV_STSDYn1IFDPWt_1FKiwhDph83XaGc0o0/edit?usp=sharing"",""งบพรบ!BL50"")"),0)</f>
        <v>0</v>
      </c>
      <c r="F50" s="77">
        <f ca="1">IFERROR(__xludf.DUMMYFUNCTION("IMPORTRANGE(""https://docs.google.com/spreadsheets/d/1MeEWN-I1oV_STSDYn1IFDPWt_1FKiwhDph83XaGc0o0/edit?usp=sharing"",""งบพรบ!BM50"")"),0)</f>
        <v>0</v>
      </c>
      <c r="G50" s="77">
        <f ca="1">IFERROR(__xludf.DUMMYFUNCTION("IMPORTRANGE(""https://docs.google.com/spreadsheets/d/1MeEWN-I1oV_STSDYn1IFDPWt_1FKiwhDph83XaGc0o0/edit?usp=sharing"",""งบพรบ!BN50"")"),0)</f>
        <v>0</v>
      </c>
      <c r="H50" s="77">
        <f ca="1">IFERROR(__xludf.DUMMYFUNCTION("IMPORTRANGE(""https://docs.google.com/spreadsheets/d/1MeEWN-I1oV_STSDYn1IFDPWt_1FKiwhDph83XaGc0o0/edit?usp=sharing"",""งบพรบ!BP50"")"),0)</f>
        <v>0</v>
      </c>
      <c r="I50" s="77">
        <f ca="1">IFERROR(__xludf.DUMMYFUNCTION("IMPORTRANGE(""https://docs.google.com/spreadsheets/d/1MeEWN-I1oV_STSDYn1IFDPWt_1FKiwhDph83XaGc0o0/edit?usp=sharing"",""งบพรบ!BQ50"")"),0)</f>
        <v>0</v>
      </c>
      <c r="J50" s="77">
        <f t="shared" ca="1" si="3"/>
        <v>0</v>
      </c>
      <c r="K50" s="78">
        <f t="shared" ca="1" si="4"/>
        <v>0</v>
      </c>
      <c r="L50" s="77">
        <f ca="1">IFERROR(__xludf.DUMMYFUNCTION("IMPORTRANGE(""https://docs.google.com/spreadsheets/d/1MeEWN-I1oV_STSDYn1IFDPWt_1FKiwhDph83XaGc0o0/edit?usp=sharing"",""งบพรบ!BR50"")"),0)</f>
        <v>0</v>
      </c>
      <c r="M50" s="79">
        <f t="shared" ca="1" si="5"/>
        <v>0</v>
      </c>
      <c r="N50" s="79">
        <f t="shared" ca="1" si="6"/>
        <v>0</v>
      </c>
      <c r="O50" s="80">
        <f ca="1">IFERROR(__xludf.DUMMYFUNCTION("IMPORTRANGE(""https://docs.google.com/spreadsheets/d/1MeEWN-I1oV_STSDYn1IFDPWt_1FKiwhDph83XaGc0o0/edit?usp=sharing"",""งบพรบ!BS50"")"),0)</f>
        <v>0</v>
      </c>
      <c r="P50" s="80">
        <f t="shared" ca="1" si="30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IFERROR(__xludf.DUMMYFUNCTION("IMPORTRANGE(""https://docs.google.com/spreadsheets/d/1hb_taSOHanzRjqfzWPiFo8yiT83VV1L7vvUCLhOiHKc/edit?usp=sharing"",""อุดรธานี!J142"")"),0)</f>
        <v>0</v>
      </c>
      <c r="S50" s="81">
        <f ca="1">IFERROR(__xludf.DUMMYFUNCTION("IMPORTRANGE(""https://docs.google.com/spreadsheets/d/1hb_taSOHanzRjqfzWPiFo8yiT83VV1L7vvUCLhOiHKc/edit?usp=sharing"",""อุดรธานี!I143"")"),0)</f>
        <v>0</v>
      </c>
      <c r="T50" s="81">
        <f ca="1">IFERROR(__xludf.DUMMYFUNCTION("IMPORTRANGE(""https://docs.google.com/spreadsheets/d/1hb_taSOHanzRjqfzWPiFo8yiT83VV1L7vvUCLhOiHKc/edit?usp=sharing"",""อุดรธานี!J143"")"),0)</f>
        <v>0</v>
      </c>
      <c r="U50" s="82">
        <f t="shared" ca="1" si="25"/>
        <v>0</v>
      </c>
      <c r="V50" s="81">
        <f ca="1">IFERROR(__xludf.DUMMYFUNCTION("IMPORTRANGE(""https://docs.google.com/spreadsheets/d/1hb_taSOHanzRjqfzWPiFo8yiT83VV1L7vvUCLhOiHKc/edit?usp=sharing"",""อุดรธานี!I144"")"),0)</f>
        <v>0</v>
      </c>
      <c r="W50" s="81">
        <f ca="1">IFERROR(__xludf.DUMMYFUNCTION("IMPORTRANGE(""https://docs.google.com/spreadsheets/d/1hb_taSOHanzRjqfzWPiFo8yiT83VV1L7vvUCLhOiHKc/edit?usp=sharing"",""อุดรธานี!J144"")"),0)</f>
        <v>0</v>
      </c>
      <c r="X50" s="82">
        <f t="shared" ca="1" si="26"/>
        <v>0</v>
      </c>
      <c r="Y50" s="81">
        <f ca="1">IFERROR(__xludf.DUMMYFUNCTION("IMPORTRANGE(""https://docs.google.com/spreadsheets/d/1hb_taSOHanzRjqfzWPiFo8yiT83VV1L7vvUCLhOiHKc/edit?usp=sharing"",""อุดรธานี!I145"")"),0)</f>
        <v>0</v>
      </c>
      <c r="Z50" s="81">
        <f ca="1">IFERROR(__xludf.DUMMYFUNCTION("IMPORTRANGE(""https://docs.google.com/spreadsheets/d/1hb_taSOHanzRjqfzWPiFo8yiT83VV1L7vvUCLhOiHKc/edit?usp=sharing"",""อุดรธานี!J145"")"),0)</f>
        <v>0</v>
      </c>
      <c r="AA50" s="82">
        <f t="shared" ca="1" si="27"/>
        <v>0</v>
      </c>
      <c r="AB50" s="81">
        <f ca="1">IFERROR(__xludf.DUMMYFUNCTION("IMPORTRANGE(""https://docs.google.com/spreadsheets/d/1hb_taSOHanzRjqfzWPiFo8yiT83VV1L7vvUCLhOiHKc/edit?usp=sharing"",""อุดรธานี!I146"")"),0)</f>
        <v>0</v>
      </c>
      <c r="AC50" s="81">
        <f ca="1">IFERROR(__xludf.DUMMYFUNCTION("IMPORTRANGE(""https://docs.google.com/spreadsheets/d/1hb_taSOHanzRjqfzWPiFo8yiT83VV1L7vvUCLhOiHKc/edit?usp=sharing"",""อุดรธานี!J146"")"),0)</f>
        <v>0</v>
      </c>
      <c r="AD50" s="82">
        <f t="shared" ca="1" si="28"/>
        <v>0</v>
      </c>
    </row>
    <row r="51" spans="1:3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41"/>
        <v>0</v>
      </c>
      <c r="E51" s="88">
        <f ca="1">IFERROR(__xludf.DUMMYFUNCTION("IMPORTRANGE(""https://docs.google.com/spreadsheets/d/1MeEWN-I1oV_STSDYn1IFDPWt_1FKiwhDph83XaGc0o0/edit?usp=sharing"",""งบพรบ!BL51"")"),0)</f>
        <v>0</v>
      </c>
      <c r="F51" s="88">
        <f ca="1">IFERROR(__xludf.DUMMYFUNCTION("IMPORTRANGE(""https://docs.google.com/spreadsheets/d/1MeEWN-I1oV_STSDYn1IFDPWt_1FKiwhDph83XaGc0o0/edit?usp=sharing"",""งบพรบ!BM51"")"),0)</f>
        <v>0</v>
      </c>
      <c r="G51" s="88">
        <f ca="1">IFERROR(__xludf.DUMMYFUNCTION("IMPORTRANGE(""https://docs.google.com/spreadsheets/d/1MeEWN-I1oV_STSDYn1IFDPWt_1FKiwhDph83XaGc0o0/edit?usp=sharing"",""งบพรบ!BN51"")"),0)</f>
        <v>0</v>
      </c>
      <c r="H51" s="88">
        <f ca="1">IFERROR(__xludf.DUMMYFUNCTION("IMPORTRANGE(""https://docs.google.com/spreadsheets/d/1MeEWN-I1oV_STSDYn1IFDPWt_1FKiwhDph83XaGc0o0/edit?usp=sharing"",""งบพรบ!BP51"")"),0)</f>
        <v>0</v>
      </c>
      <c r="I51" s="88">
        <f ca="1">IFERROR(__xludf.DUMMYFUNCTION("IMPORTRANGE(""https://docs.google.com/spreadsheets/d/1MeEWN-I1oV_STSDYn1IFDPWt_1FKiwhDph83XaGc0o0/edit?usp=sharing"",""งบพรบ!BQ51"")"),0)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IFERROR(__xludf.DUMMYFUNCTION("IMPORTRANGE(""https://docs.google.com/spreadsheets/d/1MeEWN-I1oV_STSDYn1IFDPWt_1FKiwhDph83XaGc0o0/edit?usp=sharing"",""งบพรบ!BR51"")"),0)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IFERROR(__xludf.DUMMYFUNCTION("IMPORTRANGE(""https://docs.google.com/spreadsheets/d/1MeEWN-I1oV_STSDYn1IFDPWt_1FKiwhDph83XaGc0o0/edit?usp=sharing"",""งบพรบ!BS51"")"),0)</f>
        <v>0</v>
      </c>
      <c r="P51" s="91">
        <f t="shared" ca="1" si="30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IFERROR(__xludf.DUMMYFUNCTION("IMPORTRANGE(""https://docs.google.com/spreadsheets/d/17IOkEwkUd63EGNfyNDnM5de9YlZ7rwzTiW6-dokVjKI/edit?usp=sharing"",""อุบลราชธานี!J142"")"),0)</f>
        <v>0</v>
      </c>
      <c r="S51" s="92">
        <f ca="1">IFERROR(__xludf.DUMMYFUNCTION("IMPORTRANGE(""https://docs.google.com/spreadsheets/d/17IOkEwkUd63EGNfyNDnM5de9YlZ7rwzTiW6-dokVjKI/edit?usp=sharing"",""อุบลราชธานี!I143"")"),0)</f>
        <v>0</v>
      </c>
      <c r="T51" s="92">
        <f ca="1">IFERROR(__xludf.DUMMYFUNCTION("IMPORTRANGE(""https://docs.google.com/spreadsheets/d/17IOkEwkUd63EGNfyNDnM5de9YlZ7rwzTiW6-dokVjKI/edit?usp=sharing"",""อุบลราชธานี!J143"")"),0)</f>
        <v>0</v>
      </c>
      <c r="U51" s="93">
        <f t="shared" ca="1" si="25"/>
        <v>0</v>
      </c>
      <c r="V51" s="92">
        <f ca="1">IFERROR(__xludf.DUMMYFUNCTION("IMPORTRANGE(""https://docs.google.com/spreadsheets/d/17IOkEwkUd63EGNfyNDnM5de9YlZ7rwzTiW6-dokVjKI/edit?usp=sharing"",""อุบลราชธานี!I144"")"),0)</f>
        <v>0</v>
      </c>
      <c r="W51" s="92">
        <f ca="1">IFERROR(__xludf.DUMMYFUNCTION("IMPORTRANGE(""https://docs.google.com/spreadsheets/d/17IOkEwkUd63EGNfyNDnM5de9YlZ7rwzTiW6-dokVjKI/edit?usp=sharing"",""อุบลราชธานี!J144"")"),0)</f>
        <v>0</v>
      </c>
      <c r="X51" s="93">
        <f t="shared" ca="1" si="26"/>
        <v>0</v>
      </c>
      <c r="Y51" s="92">
        <f ca="1">IFERROR(__xludf.DUMMYFUNCTION("IMPORTRANGE(""https://docs.google.com/spreadsheets/d/17IOkEwkUd63EGNfyNDnM5de9YlZ7rwzTiW6-dokVjKI/edit?usp=sharing"",""อุบลราชธานี!I145"")"),0)</f>
        <v>0</v>
      </c>
      <c r="Z51" s="92">
        <f ca="1">IFERROR(__xludf.DUMMYFUNCTION("IMPORTRANGE(""https://docs.google.com/spreadsheets/d/17IOkEwkUd63EGNfyNDnM5de9YlZ7rwzTiW6-dokVjKI/edit?usp=sharing"",""อุบลราชธานี!J145"")"),0)</f>
        <v>0</v>
      </c>
      <c r="AA51" s="93">
        <f t="shared" ca="1" si="27"/>
        <v>0</v>
      </c>
      <c r="AB51" s="92">
        <f ca="1">IFERROR(__xludf.DUMMYFUNCTION("IMPORTRANGE(""https://docs.google.com/spreadsheets/d/17IOkEwkUd63EGNfyNDnM5de9YlZ7rwzTiW6-dokVjKI/edit?usp=sharing"",""อุบลราชธานี!I146"")"),0)</f>
        <v>0</v>
      </c>
      <c r="AC51" s="92">
        <f ca="1">IFERROR(__xludf.DUMMYFUNCTION("IMPORTRANGE(""https://docs.google.com/spreadsheets/d/17IOkEwkUd63EGNfyNDnM5de9YlZ7rwzTiW6-dokVjKI/edit?usp=sharing"",""อุบลราชธานี!J146"")"),0)</f>
        <v>0</v>
      </c>
      <c r="AD51" s="93">
        <f t="shared" ca="1" si="28"/>
        <v>0</v>
      </c>
    </row>
    <row r="52" spans="1:30" ht="21" customHeight="1" x14ac:dyDescent="0.2">
      <c r="A52" s="385" t="s">
        <v>74</v>
      </c>
      <c r="B52" s="384"/>
      <c r="C52" s="94">
        <f t="shared" ca="1" si="0"/>
        <v>1169175</v>
      </c>
      <c r="D52" s="57">
        <f t="shared" ref="D52:I52" ca="1" si="42">SUM(D53:D73)</f>
        <v>654175</v>
      </c>
      <c r="E52" s="57">
        <f t="shared" ca="1" si="42"/>
        <v>410900</v>
      </c>
      <c r="F52" s="57">
        <f t="shared" ca="1" si="42"/>
        <v>243275</v>
      </c>
      <c r="G52" s="57">
        <f t="shared" ca="1" si="42"/>
        <v>515000</v>
      </c>
      <c r="H52" s="57">
        <f t="shared" ca="1" si="42"/>
        <v>654175</v>
      </c>
      <c r="I52" s="57">
        <f t="shared" ca="1" si="42"/>
        <v>515000</v>
      </c>
      <c r="J52" s="57">
        <f t="shared" ca="1" si="3"/>
        <v>1123878.2</v>
      </c>
      <c r="K52" s="95">
        <f t="shared" ca="1" si="4"/>
        <v>96.125746787264518</v>
      </c>
      <c r="L52" s="57">
        <f ca="1">SUM(L53:L73)</f>
        <v>608878.19999999995</v>
      </c>
      <c r="M52" s="96">
        <f t="shared" ca="1" si="5"/>
        <v>93.075736614820187</v>
      </c>
      <c r="N52" s="96">
        <f t="shared" ca="1" si="6"/>
        <v>93.075736614820187</v>
      </c>
      <c r="O52" s="97">
        <f ca="1">SUM(O53:O73)</f>
        <v>515000</v>
      </c>
      <c r="P52" s="97">
        <f t="shared" ca="1" si="30"/>
        <v>100</v>
      </c>
      <c r="Q52" s="96">
        <f t="shared" ca="1" si="8"/>
        <v>100</v>
      </c>
      <c r="R52" s="57">
        <f t="shared" ref="R52:T52" ca="1" si="43">SUM(R53:R73)</f>
        <v>1</v>
      </c>
      <c r="S52" s="57">
        <f t="shared" ca="1" si="43"/>
        <v>50</v>
      </c>
      <c r="T52" s="57">
        <f t="shared" ca="1" si="43"/>
        <v>50</v>
      </c>
      <c r="U52" s="96">
        <f t="shared" ca="1" si="25"/>
        <v>100</v>
      </c>
      <c r="V52" s="57">
        <f t="shared" ref="V52:W52" ca="1" si="44">SUM(V53:V73)</f>
        <v>25</v>
      </c>
      <c r="W52" s="57">
        <f t="shared" ca="1" si="44"/>
        <v>50</v>
      </c>
      <c r="X52" s="96">
        <f t="shared" ca="1" si="26"/>
        <v>200</v>
      </c>
      <c r="Y52" s="57">
        <f t="shared" ref="Y52:Z52" ca="1" si="45">SUM(Y53:Y73)</f>
        <v>50</v>
      </c>
      <c r="Z52" s="57">
        <f t="shared" ca="1" si="45"/>
        <v>50</v>
      </c>
      <c r="AA52" s="96">
        <f t="shared" ca="1" si="27"/>
        <v>100</v>
      </c>
      <c r="AB52" s="57">
        <f t="shared" ref="AB52:AC52" ca="1" si="46">SUM(AB53:AB73)</f>
        <v>5</v>
      </c>
      <c r="AC52" s="57">
        <f t="shared" ca="1" si="46"/>
        <v>5</v>
      </c>
      <c r="AD52" s="96">
        <f t="shared" ca="1" si="28"/>
        <v>100</v>
      </c>
    </row>
    <row r="53" spans="1:30" ht="21" customHeight="1" x14ac:dyDescent="0.2">
      <c r="A53" s="63">
        <v>1</v>
      </c>
      <c r="B53" s="64" t="s">
        <v>75</v>
      </c>
      <c r="C53" s="98">
        <f t="shared" ca="1" si="0"/>
        <v>0</v>
      </c>
      <c r="D53" s="66">
        <f t="shared" ref="D53:D73" ca="1" si="47">+E53+F53</f>
        <v>0</v>
      </c>
      <c r="E53" s="67">
        <f ca="1">IFERROR(__xludf.DUMMYFUNCTION("IMPORTRANGE(""https://docs.google.com/spreadsheets/d/1MeEWN-I1oV_STSDYn1IFDPWt_1FKiwhDph83XaGc0o0/edit?usp=sharing"",""งบพรบ!BL53"")"),0)</f>
        <v>0</v>
      </c>
      <c r="F53" s="67">
        <f ca="1">IFERROR(__xludf.DUMMYFUNCTION("IMPORTRANGE(""https://docs.google.com/spreadsheets/d/1MeEWN-I1oV_STSDYn1IFDPWt_1FKiwhDph83XaGc0o0/edit?usp=sharing"",""งบพรบ!BM53"")"),0)</f>
        <v>0</v>
      </c>
      <c r="G53" s="68">
        <f ca="1">IFERROR(__xludf.DUMMYFUNCTION("IMPORTRANGE(""https://docs.google.com/spreadsheets/d/1MeEWN-I1oV_STSDYn1IFDPWt_1FKiwhDph83XaGc0o0/edit?usp=sharing"",""งบพรบ!BN53"")"),0)</f>
        <v>0</v>
      </c>
      <c r="H53" s="68">
        <f ca="1">IFERROR(__xludf.DUMMYFUNCTION("IMPORTRANGE(""https://docs.google.com/spreadsheets/d/1MeEWN-I1oV_STSDYn1IFDPWt_1FKiwhDph83XaGc0o0/edit?usp=sharing"",""งบพรบ!BP53"")"),0)</f>
        <v>0</v>
      </c>
      <c r="I53" s="68">
        <f ca="1">IFERROR(__xludf.DUMMYFUNCTION("IMPORTRANGE(""https://docs.google.com/spreadsheets/d/1MeEWN-I1oV_STSDYn1IFDPWt_1FKiwhDph83XaGc0o0/edit?usp=sharing"",""งบพรบ!BQ53"")"),0)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IFERROR(__xludf.DUMMYFUNCTION("IMPORTRANGE(""https://docs.google.com/spreadsheets/d/1MeEWN-I1oV_STSDYn1IFDPWt_1FKiwhDph83XaGc0o0/edit?usp=sharing"",""งบพรบ!BR53"")"),0)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IFERROR(__xludf.DUMMYFUNCTION("IMPORTRANGE(""https://docs.google.com/spreadsheets/d/1MeEWN-I1oV_STSDYn1IFDPWt_1FKiwhDph83XaGc0o0/edit?usp=sharing"",""งบพรบ!BS53"")"),0)</f>
        <v>0</v>
      </c>
      <c r="P53" s="71">
        <f t="shared" ca="1" si="30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IFERROR(__xludf.DUMMYFUNCTION("IMPORTRANGE(""https://docs.google.com/spreadsheets/d/1hKO5uv94SSRZWOvrh72HRcpyoEQF9TsE_Cvxl77XNU4/edit?usp=sharing"",""กาญจนบุรี!J142"")"),0)</f>
        <v>0</v>
      </c>
      <c r="S53" s="68">
        <f ca="1">IFERROR(__xludf.DUMMYFUNCTION("IMPORTRANGE(""https://docs.google.com/spreadsheets/d/1hKO5uv94SSRZWOvrh72HRcpyoEQF9TsE_Cvxl77XNU4/edit?usp=sharing"",""กาญจนบุรี!I143"")"),0)</f>
        <v>0</v>
      </c>
      <c r="T53" s="68">
        <f ca="1">IFERROR(__xludf.DUMMYFUNCTION("IMPORTRANGE(""https://docs.google.com/spreadsheets/d/1hKO5uv94SSRZWOvrh72HRcpyoEQF9TsE_Cvxl77XNU4/edit?usp=sharing"",""กาญจนบุรี!J143"")"),0)</f>
        <v>0</v>
      </c>
      <c r="U53" s="72">
        <f t="shared" ca="1" si="25"/>
        <v>0</v>
      </c>
      <c r="V53" s="68">
        <f ca="1">IFERROR(__xludf.DUMMYFUNCTION("IMPORTRANGE(""https://docs.google.com/spreadsheets/d/1hKO5uv94SSRZWOvrh72HRcpyoEQF9TsE_Cvxl77XNU4/edit?usp=sharing"",""กาญจนบุรี!I144"")"),0)</f>
        <v>0</v>
      </c>
      <c r="W53" s="68">
        <f ca="1">IFERROR(__xludf.DUMMYFUNCTION("IMPORTRANGE(""https://docs.google.com/spreadsheets/d/1hKO5uv94SSRZWOvrh72HRcpyoEQF9TsE_Cvxl77XNU4/edit?usp=sharing"",""กาญจนบุรี!J144"")"),0)</f>
        <v>0</v>
      </c>
      <c r="X53" s="72">
        <f t="shared" ca="1" si="26"/>
        <v>0</v>
      </c>
      <c r="Y53" s="68">
        <f ca="1">IFERROR(__xludf.DUMMYFUNCTION("IMPORTRANGE(""https://docs.google.com/spreadsheets/d/1hKO5uv94SSRZWOvrh72HRcpyoEQF9TsE_Cvxl77XNU4/edit?usp=sharing"",""กาญจนบุรี!I145"")"),0)</f>
        <v>0</v>
      </c>
      <c r="Z53" s="68">
        <f ca="1">IFERROR(__xludf.DUMMYFUNCTION("IMPORTRANGE(""https://docs.google.com/spreadsheets/d/1hKO5uv94SSRZWOvrh72HRcpyoEQF9TsE_Cvxl77XNU4/edit?usp=sharing"",""กาญจนบุรี!J145"")"),0)</f>
        <v>0</v>
      </c>
      <c r="AA53" s="72">
        <f t="shared" ca="1" si="27"/>
        <v>0</v>
      </c>
      <c r="AB53" s="68">
        <f ca="1">IFERROR(__xludf.DUMMYFUNCTION("IMPORTRANGE(""https://docs.google.com/spreadsheets/d/1hKO5uv94SSRZWOvrh72HRcpyoEQF9TsE_Cvxl77XNU4/edit?usp=sharing"",""กาญจนบุรี!I146"")"),0)</f>
        <v>0</v>
      </c>
      <c r="AC53" s="68">
        <f ca="1">IFERROR(__xludf.DUMMYFUNCTION("IMPORTRANGE(""https://docs.google.com/spreadsheets/d/1hKO5uv94SSRZWOvrh72HRcpyoEQF9TsE_Cvxl77XNU4/edit?usp=sharing"",""กาญจนบุรี!J146"")"),0)</f>
        <v>0</v>
      </c>
      <c r="AD53" s="72">
        <f t="shared" ca="1" si="28"/>
        <v>0</v>
      </c>
    </row>
    <row r="54" spans="1:3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7"/>
        <v>0</v>
      </c>
      <c r="E54" s="77">
        <f ca="1">IFERROR(__xludf.DUMMYFUNCTION("IMPORTRANGE(""https://docs.google.com/spreadsheets/d/1MeEWN-I1oV_STSDYn1IFDPWt_1FKiwhDph83XaGc0o0/edit?usp=sharing"",""งบพรบ!BL54"")"),0)</f>
        <v>0</v>
      </c>
      <c r="F54" s="77">
        <f ca="1">IFERROR(__xludf.DUMMYFUNCTION("IMPORTRANGE(""https://docs.google.com/spreadsheets/d/1MeEWN-I1oV_STSDYn1IFDPWt_1FKiwhDph83XaGc0o0/edit?usp=sharing"",""งบพรบ!BM54"")"),0)</f>
        <v>0</v>
      </c>
      <c r="G54" s="77">
        <f ca="1">IFERROR(__xludf.DUMMYFUNCTION("IMPORTRANGE(""https://docs.google.com/spreadsheets/d/1MeEWN-I1oV_STSDYn1IFDPWt_1FKiwhDph83XaGc0o0/edit?usp=sharing"",""งบพรบ!BN54"")"),0)</f>
        <v>0</v>
      </c>
      <c r="H54" s="77">
        <f ca="1">IFERROR(__xludf.DUMMYFUNCTION("IMPORTRANGE(""https://docs.google.com/spreadsheets/d/1MeEWN-I1oV_STSDYn1IFDPWt_1FKiwhDph83XaGc0o0/edit?usp=sharing"",""งบพรบ!BP54"")"),0)</f>
        <v>0</v>
      </c>
      <c r="I54" s="77">
        <f ca="1">IFERROR(__xludf.DUMMYFUNCTION("IMPORTRANGE(""https://docs.google.com/spreadsheets/d/1MeEWN-I1oV_STSDYn1IFDPWt_1FKiwhDph83XaGc0o0/edit?usp=sharing"",""งบพรบ!BQ54"")"),0)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IFERROR(__xludf.DUMMYFUNCTION("IMPORTRANGE(""https://docs.google.com/spreadsheets/d/1MeEWN-I1oV_STSDYn1IFDPWt_1FKiwhDph83XaGc0o0/edit?usp=sharing"",""งบพรบ!BR54"")"),0)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IFERROR(__xludf.DUMMYFUNCTION("IMPORTRANGE(""https://docs.google.com/spreadsheets/d/1MeEWN-I1oV_STSDYn1IFDPWt_1FKiwhDph83XaGc0o0/edit?usp=sharing"",""งบพรบ!BS54"")"),0)</f>
        <v>0</v>
      </c>
      <c r="P54" s="80">
        <f t="shared" ca="1" si="30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IFERROR(__xludf.DUMMYFUNCTION("IMPORTRANGE(""https://docs.google.com/spreadsheets/d/1njBaP_xXd-Uotvo2D9zb01TTCFkLJLDK97Tk1l9Qux0/edit?usp=sharing"",""จันทบุรี!J142"")"),0)</f>
        <v>0</v>
      </c>
      <c r="S54" s="81">
        <f ca="1">IFERROR(__xludf.DUMMYFUNCTION("IMPORTRANGE(""https://docs.google.com/spreadsheets/d/1njBaP_xXd-Uotvo2D9zb01TTCFkLJLDK97Tk1l9Qux0/edit?usp=sharing"",""จันทบุรี!I143"")"),0)</f>
        <v>0</v>
      </c>
      <c r="T54" s="81">
        <f ca="1">IFERROR(__xludf.DUMMYFUNCTION("IMPORTRANGE(""https://docs.google.com/spreadsheets/d/1njBaP_xXd-Uotvo2D9zb01TTCFkLJLDK97Tk1l9Qux0/edit?usp=sharing"",""จันทบุรี!J143"")"),0)</f>
        <v>0</v>
      </c>
      <c r="U54" s="82">
        <f t="shared" ca="1" si="25"/>
        <v>0</v>
      </c>
      <c r="V54" s="81">
        <f ca="1">IFERROR(__xludf.DUMMYFUNCTION("IMPORTRANGE(""https://docs.google.com/spreadsheets/d/1njBaP_xXd-Uotvo2D9zb01TTCFkLJLDK97Tk1l9Qux0/edit?usp=sharing"",""จันทบุรี!I144"")"),0)</f>
        <v>0</v>
      </c>
      <c r="W54" s="81">
        <f ca="1">IFERROR(__xludf.DUMMYFUNCTION("IMPORTRANGE(""https://docs.google.com/spreadsheets/d/1njBaP_xXd-Uotvo2D9zb01TTCFkLJLDK97Tk1l9Qux0/edit?usp=sharing"",""จันทบุรี!J144"")"),0)</f>
        <v>0</v>
      </c>
      <c r="X54" s="82">
        <f t="shared" ca="1" si="26"/>
        <v>0</v>
      </c>
      <c r="Y54" s="81">
        <f ca="1">IFERROR(__xludf.DUMMYFUNCTION("IMPORTRANGE(""https://docs.google.com/spreadsheets/d/1njBaP_xXd-Uotvo2D9zb01TTCFkLJLDK97Tk1l9Qux0/edit?usp=sharing"",""จันทบุรี!I145"")"),0)</f>
        <v>0</v>
      </c>
      <c r="Z54" s="81">
        <f ca="1">IFERROR(__xludf.DUMMYFUNCTION("IMPORTRANGE(""https://docs.google.com/spreadsheets/d/1njBaP_xXd-Uotvo2D9zb01TTCFkLJLDK97Tk1l9Qux0/edit?usp=sharing"",""จันทบุรี!J145"")"),0)</f>
        <v>0</v>
      </c>
      <c r="AA54" s="82">
        <f t="shared" ca="1" si="27"/>
        <v>0</v>
      </c>
      <c r="AB54" s="81">
        <f ca="1">IFERROR(__xludf.DUMMYFUNCTION("IMPORTRANGE(""https://docs.google.com/spreadsheets/d/1njBaP_xXd-Uotvo2D9zb01TTCFkLJLDK97Tk1l9Qux0/edit?usp=sharing"",""จันทบุรี!I146"")"),0)</f>
        <v>0</v>
      </c>
      <c r="AC54" s="81">
        <f ca="1">IFERROR(__xludf.DUMMYFUNCTION("IMPORTRANGE(""https://docs.google.com/spreadsheets/d/1njBaP_xXd-Uotvo2D9zb01TTCFkLJLDK97Tk1l9Qux0/edit?usp=sharing"",""จันทบุรี!J146"")"),0)</f>
        <v>0</v>
      </c>
      <c r="AD54" s="82">
        <f t="shared" ca="1" si="28"/>
        <v>0</v>
      </c>
    </row>
    <row r="55" spans="1:30" ht="21" customHeight="1" x14ac:dyDescent="0.2">
      <c r="A55" s="73">
        <v>3</v>
      </c>
      <c r="B55" s="74" t="s">
        <v>77</v>
      </c>
      <c r="C55" s="75">
        <f t="shared" ca="1" si="0"/>
        <v>151655</v>
      </c>
      <c r="D55" s="76">
        <f t="shared" ca="1" si="47"/>
        <v>48655</v>
      </c>
      <c r="E55" s="77">
        <f ca="1">IFERROR(__xludf.DUMMYFUNCTION("IMPORTRANGE(""https://docs.google.com/spreadsheets/d/1MeEWN-I1oV_STSDYn1IFDPWt_1FKiwhDph83XaGc0o0/edit?usp=sharing"",""งบพรบ!BL55"")"),0)</f>
        <v>0</v>
      </c>
      <c r="F55" s="77">
        <f ca="1">IFERROR(__xludf.DUMMYFUNCTION("IMPORTRANGE(""https://docs.google.com/spreadsheets/d/1MeEWN-I1oV_STSDYn1IFDPWt_1FKiwhDph83XaGc0o0/edit?usp=sharing"",""งบพรบ!BM55"")"),48655)</f>
        <v>48655</v>
      </c>
      <c r="G55" s="77">
        <f ca="1">IFERROR(__xludf.DUMMYFUNCTION("IMPORTRANGE(""https://docs.google.com/spreadsheets/d/1MeEWN-I1oV_STSDYn1IFDPWt_1FKiwhDph83XaGc0o0/edit?usp=sharing"",""งบพรบ!BN55"")"),103000)</f>
        <v>103000</v>
      </c>
      <c r="H55" s="77">
        <f ca="1">IFERROR(__xludf.DUMMYFUNCTION("IMPORTRANGE(""https://docs.google.com/spreadsheets/d/1MeEWN-I1oV_STSDYn1IFDPWt_1FKiwhDph83XaGc0o0/edit?usp=sharing"",""งบพรบ!BP55"")"),48655)</f>
        <v>48655</v>
      </c>
      <c r="I55" s="77">
        <f ca="1">IFERROR(__xludf.DUMMYFUNCTION("IMPORTRANGE(""https://docs.google.com/spreadsheets/d/1MeEWN-I1oV_STSDYn1IFDPWt_1FKiwhDph83XaGc0o0/edit?usp=sharing"",""งบพรบ!BQ55"")"),103000)</f>
        <v>103000</v>
      </c>
      <c r="J55" s="77">
        <f t="shared" ca="1" si="3"/>
        <v>150550</v>
      </c>
      <c r="K55" s="78">
        <f t="shared" ca="1" si="4"/>
        <v>99.271372523161119</v>
      </c>
      <c r="L55" s="77">
        <f ca="1">IFERROR(__xludf.DUMMYFUNCTION("IMPORTRANGE(""https://docs.google.com/spreadsheets/d/1MeEWN-I1oV_STSDYn1IFDPWt_1FKiwhDph83XaGc0o0/edit?usp=sharing"",""งบพรบ!BR55"")"),47550)</f>
        <v>47550</v>
      </c>
      <c r="M55" s="79">
        <f t="shared" ca="1" si="5"/>
        <v>97.728907614839173</v>
      </c>
      <c r="N55" s="79">
        <f t="shared" ca="1" si="6"/>
        <v>97.728907614839173</v>
      </c>
      <c r="O55" s="80">
        <f ca="1">IFERROR(__xludf.DUMMYFUNCTION("IMPORTRANGE(""https://docs.google.com/spreadsheets/d/1MeEWN-I1oV_STSDYn1IFDPWt_1FKiwhDph83XaGc0o0/edit?usp=sharing"",""งบพรบ!BS55"")"),103000)</f>
        <v>103000</v>
      </c>
      <c r="P55" s="80">
        <f t="shared" ca="1" si="30"/>
        <v>100</v>
      </c>
      <c r="Q55" s="79">
        <f t="shared" ca="1" si="8"/>
        <v>100</v>
      </c>
      <c r="R55" s="81">
        <f ca="1">IFERROR(__xludf.DUMMYFUNCTION("IMPORTRANGE(""https://docs.google.com/spreadsheets/d/14xp6qUzrGFnUk_qnc1eEmfiaNRd4_grkhpfQH_46fa8/edit?usp=sharing"",""ฉะเชิงเทรา!J142"")"),1)</f>
        <v>1</v>
      </c>
      <c r="S55" s="81">
        <f ca="1">IFERROR(__xludf.DUMMYFUNCTION("IMPORTRANGE(""https://docs.google.com/spreadsheets/d/14xp6qUzrGFnUk_qnc1eEmfiaNRd4_grkhpfQH_46fa8/edit?usp=sharing"",""ฉะเชิงเทรา!I143"")"),10)</f>
        <v>10</v>
      </c>
      <c r="T55" s="81">
        <f ca="1">IFERROR(__xludf.DUMMYFUNCTION("IMPORTRANGE(""https://docs.google.com/spreadsheets/d/14xp6qUzrGFnUk_qnc1eEmfiaNRd4_grkhpfQH_46fa8/edit?usp=sharing"",""ฉะเชิงเทรา!J143"")"),10)</f>
        <v>10</v>
      </c>
      <c r="U55" s="82">
        <f t="shared" ca="1" si="25"/>
        <v>100</v>
      </c>
      <c r="V55" s="81">
        <f ca="1">IFERROR(__xludf.DUMMYFUNCTION("IMPORTRANGE(""https://docs.google.com/spreadsheets/d/14xp6qUzrGFnUk_qnc1eEmfiaNRd4_grkhpfQH_46fa8/edit?usp=sharing"",""ฉะเชิงเทรา!I144"")"),5)</f>
        <v>5</v>
      </c>
      <c r="W55" s="81">
        <f ca="1">IFERROR(__xludf.DUMMYFUNCTION("IMPORTRANGE(""https://docs.google.com/spreadsheets/d/14xp6qUzrGFnUk_qnc1eEmfiaNRd4_grkhpfQH_46fa8/edit?usp=sharing"",""ฉะเชิงเทรา!J144"")"),10)</f>
        <v>10</v>
      </c>
      <c r="X55" s="82">
        <f t="shared" ca="1" si="26"/>
        <v>200</v>
      </c>
      <c r="Y55" s="81">
        <f ca="1">IFERROR(__xludf.DUMMYFUNCTION("IMPORTRANGE(""https://docs.google.com/spreadsheets/d/14xp6qUzrGFnUk_qnc1eEmfiaNRd4_grkhpfQH_46fa8/edit?usp=sharing"",""ฉะเชิงเทรา!I145"")"),10)</f>
        <v>10</v>
      </c>
      <c r="Z55" s="81">
        <f ca="1">IFERROR(__xludf.DUMMYFUNCTION("IMPORTRANGE(""https://docs.google.com/spreadsheets/d/14xp6qUzrGFnUk_qnc1eEmfiaNRd4_grkhpfQH_46fa8/edit?usp=sharing"",""ฉะเชิงเทรา!J145"")"),10)</f>
        <v>10</v>
      </c>
      <c r="AA55" s="82">
        <f t="shared" ca="1" si="27"/>
        <v>100</v>
      </c>
      <c r="AB55" s="81">
        <f ca="1">IFERROR(__xludf.DUMMYFUNCTION("IMPORTRANGE(""https://docs.google.com/spreadsheets/d/14xp6qUzrGFnUk_qnc1eEmfiaNRd4_grkhpfQH_46fa8/edit?usp=sharing"",""ฉะเชิงเทรา!I146"")"),1)</f>
        <v>1</v>
      </c>
      <c r="AC55" s="81">
        <f ca="1">IFERROR(__xludf.DUMMYFUNCTION("IMPORTRANGE(""https://docs.google.com/spreadsheets/d/14xp6qUzrGFnUk_qnc1eEmfiaNRd4_grkhpfQH_46fa8/edit?usp=sharing"",""ฉะเชิงเทรา!J146"")"),1)</f>
        <v>1</v>
      </c>
      <c r="AD55" s="82">
        <f t="shared" ca="1" si="28"/>
        <v>100</v>
      </c>
    </row>
    <row r="56" spans="1:30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47"/>
        <v>0</v>
      </c>
      <c r="E56" s="77">
        <f ca="1">IFERROR(__xludf.DUMMYFUNCTION("IMPORTRANGE(""https://docs.google.com/spreadsheets/d/1MeEWN-I1oV_STSDYn1IFDPWt_1FKiwhDph83XaGc0o0/edit?usp=sharing"",""งบพรบ!BL56"")"),0)</f>
        <v>0</v>
      </c>
      <c r="F56" s="77">
        <f ca="1">IFERROR(__xludf.DUMMYFUNCTION("IMPORTRANGE(""https://docs.google.com/spreadsheets/d/1MeEWN-I1oV_STSDYn1IFDPWt_1FKiwhDph83XaGc0o0/edit?usp=sharing"",""งบพรบ!BM56"")"),0)</f>
        <v>0</v>
      </c>
      <c r="G56" s="77">
        <f ca="1">IFERROR(__xludf.DUMMYFUNCTION("IMPORTRANGE(""https://docs.google.com/spreadsheets/d/1MeEWN-I1oV_STSDYn1IFDPWt_1FKiwhDph83XaGc0o0/edit?usp=sharing"",""งบพรบ!BN56"")"),0)</f>
        <v>0</v>
      </c>
      <c r="H56" s="77">
        <f ca="1">IFERROR(__xludf.DUMMYFUNCTION("IMPORTRANGE(""https://docs.google.com/spreadsheets/d/1MeEWN-I1oV_STSDYn1IFDPWt_1FKiwhDph83XaGc0o0/edit?usp=sharing"",""งบพรบ!BP56"")"),0)</f>
        <v>0</v>
      </c>
      <c r="I56" s="77">
        <f ca="1">IFERROR(__xludf.DUMMYFUNCTION("IMPORTRANGE(""https://docs.google.com/spreadsheets/d/1MeEWN-I1oV_STSDYn1IFDPWt_1FKiwhDph83XaGc0o0/edit?usp=sharing"",""งบพรบ!BQ56"")"),0)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IFERROR(__xludf.DUMMYFUNCTION("IMPORTRANGE(""https://docs.google.com/spreadsheets/d/1MeEWN-I1oV_STSDYn1IFDPWt_1FKiwhDph83XaGc0o0/edit?usp=sharing"",""งบพรบ!BR56"")"),0)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IFERROR(__xludf.DUMMYFUNCTION("IMPORTRANGE(""https://docs.google.com/spreadsheets/d/1MeEWN-I1oV_STSDYn1IFDPWt_1FKiwhDph83XaGc0o0/edit?usp=sharing"",""งบพรบ!BS56"")"),0)</f>
        <v>0</v>
      </c>
      <c r="P56" s="80">
        <f t="shared" ca="1" si="30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IFERROR(__xludf.DUMMYFUNCTION("IMPORTRANGE(""https://docs.google.com/spreadsheets/d/1_Zwps30dlVa-pZFsorjVf1Pil6WXwzCsJU0U2whO3NI/edit?usp=sharing"",""ชลบุรี!J142"")"),0)</f>
        <v>0</v>
      </c>
      <c r="S56" s="81">
        <f ca="1">IFERROR(__xludf.DUMMYFUNCTION("IMPORTRANGE(""https://docs.google.com/spreadsheets/d/1_Zwps30dlVa-pZFsorjVf1Pil6WXwzCsJU0U2whO3NI/edit?usp=sharing"",""ชลบุรี!I143"")"),0)</f>
        <v>0</v>
      </c>
      <c r="T56" s="81">
        <f ca="1">IFERROR(__xludf.DUMMYFUNCTION("IMPORTRANGE(""https://docs.google.com/spreadsheets/d/1_Zwps30dlVa-pZFsorjVf1Pil6WXwzCsJU0U2whO3NI/edit?usp=sharing"",""ชลบุรี!J143"")"),0)</f>
        <v>0</v>
      </c>
      <c r="U56" s="82">
        <f t="shared" ca="1" si="25"/>
        <v>0</v>
      </c>
      <c r="V56" s="81">
        <f ca="1">IFERROR(__xludf.DUMMYFUNCTION("IMPORTRANGE(""https://docs.google.com/spreadsheets/d/1_Zwps30dlVa-pZFsorjVf1Pil6WXwzCsJU0U2whO3NI/edit?usp=sharing"",""ชลบุรี!I144"")"),0)</f>
        <v>0</v>
      </c>
      <c r="W56" s="81">
        <f ca="1">IFERROR(__xludf.DUMMYFUNCTION("IMPORTRANGE(""https://docs.google.com/spreadsheets/d/1_Zwps30dlVa-pZFsorjVf1Pil6WXwzCsJU0U2whO3NI/edit?usp=sharing"",""ชลบุรี!J144"")"),0)</f>
        <v>0</v>
      </c>
      <c r="X56" s="82">
        <f t="shared" ca="1" si="26"/>
        <v>0</v>
      </c>
      <c r="Y56" s="81">
        <f ca="1">IFERROR(__xludf.DUMMYFUNCTION("IMPORTRANGE(""https://docs.google.com/spreadsheets/d/1_Zwps30dlVa-pZFsorjVf1Pil6WXwzCsJU0U2whO3NI/edit?usp=sharing"",""ชลบุรี!I145"")"),0)</f>
        <v>0</v>
      </c>
      <c r="Z56" s="81">
        <f ca="1">IFERROR(__xludf.DUMMYFUNCTION("IMPORTRANGE(""https://docs.google.com/spreadsheets/d/1_Zwps30dlVa-pZFsorjVf1Pil6WXwzCsJU0U2whO3NI/edit?usp=sharing"",""ชลบุรี!J145"")"),0)</f>
        <v>0</v>
      </c>
      <c r="AA56" s="82">
        <f t="shared" ca="1" si="27"/>
        <v>0</v>
      </c>
      <c r="AB56" s="81">
        <f ca="1">IFERROR(__xludf.DUMMYFUNCTION("IMPORTRANGE(""https://docs.google.com/spreadsheets/d/1_Zwps30dlVa-pZFsorjVf1Pil6WXwzCsJU0U2whO3NI/edit?usp=sharing"",""ชลบุรี!I146"")"),0)</f>
        <v>0</v>
      </c>
      <c r="AC56" s="81">
        <f ca="1">IFERROR(__xludf.DUMMYFUNCTION("IMPORTRANGE(""https://docs.google.com/spreadsheets/d/1_Zwps30dlVa-pZFsorjVf1Pil6WXwzCsJU0U2whO3NI/edit?usp=sharing"",""ชลบุรี!J146"")"),0)</f>
        <v>0</v>
      </c>
      <c r="AD56" s="82">
        <f t="shared" ca="1" si="28"/>
        <v>0</v>
      </c>
    </row>
    <row r="57" spans="1:30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47"/>
        <v>0</v>
      </c>
      <c r="E57" s="77">
        <f ca="1">IFERROR(__xludf.DUMMYFUNCTION("IMPORTRANGE(""https://docs.google.com/spreadsheets/d/1MeEWN-I1oV_STSDYn1IFDPWt_1FKiwhDph83XaGc0o0/edit?usp=sharing"",""งบพรบ!BL57"")"),0)</f>
        <v>0</v>
      </c>
      <c r="F57" s="77">
        <f ca="1">IFERROR(__xludf.DUMMYFUNCTION("IMPORTRANGE(""https://docs.google.com/spreadsheets/d/1MeEWN-I1oV_STSDYn1IFDPWt_1FKiwhDph83XaGc0o0/edit?usp=sharing"",""งบพรบ!BM57"")"),0)</f>
        <v>0</v>
      </c>
      <c r="G57" s="77">
        <f ca="1">IFERROR(__xludf.DUMMYFUNCTION("IMPORTRANGE(""https://docs.google.com/spreadsheets/d/1MeEWN-I1oV_STSDYn1IFDPWt_1FKiwhDph83XaGc0o0/edit?usp=sharing"",""งบพรบ!BN57"")"),0)</f>
        <v>0</v>
      </c>
      <c r="H57" s="77">
        <f ca="1">IFERROR(__xludf.DUMMYFUNCTION("IMPORTRANGE(""https://docs.google.com/spreadsheets/d/1MeEWN-I1oV_STSDYn1IFDPWt_1FKiwhDph83XaGc0o0/edit?usp=sharing"",""งบพรบ!BP57"")"),0)</f>
        <v>0</v>
      </c>
      <c r="I57" s="77">
        <f ca="1">IFERROR(__xludf.DUMMYFUNCTION("IMPORTRANGE(""https://docs.google.com/spreadsheets/d/1MeEWN-I1oV_STSDYn1IFDPWt_1FKiwhDph83XaGc0o0/edit?usp=sharing"",""งบพรบ!BQ57"")"),0)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IFERROR(__xludf.DUMMYFUNCTION("IMPORTRANGE(""https://docs.google.com/spreadsheets/d/1MeEWN-I1oV_STSDYn1IFDPWt_1FKiwhDph83XaGc0o0/edit?usp=sharing"",""งบพรบ!BR57"")"),0)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IFERROR(__xludf.DUMMYFUNCTION("IMPORTRANGE(""https://docs.google.com/spreadsheets/d/1MeEWN-I1oV_STSDYn1IFDPWt_1FKiwhDph83XaGc0o0/edit?usp=sharing"",""งบพรบ!BS57"")"),0)</f>
        <v>0</v>
      </c>
      <c r="P57" s="80">
        <f t="shared" ca="1" si="30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IFERROR(__xludf.DUMMYFUNCTION("IMPORTRANGE(""https://docs.google.com/spreadsheets/d/1xAsT4sUbBlom7l0acStESh_15nvjZcXjZM7fK5uZSq8/edit?usp=sharing"",""ชัยนาท!J142"")"),0)</f>
        <v>0</v>
      </c>
      <c r="S57" s="81">
        <f ca="1">IFERROR(__xludf.DUMMYFUNCTION("IMPORTRANGE(""https://docs.google.com/spreadsheets/d/1xAsT4sUbBlom7l0acStESh_15nvjZcXjZM7fK5uZSq8/edit?usp=sharing"",""ชัยนาท!I143"")"),0)</f>
        <v>0</v>
      </c>
      <c r="T57" s="81">
        <f ca="1">IFERROR(__xludf.DUMMYFUNCTION("IMPORTRANGE(""https://docs.google.com/spreadsheets/d/1xAsT4sUbBlom7l0acStESh_15nvjZcXjZM7fK5uZSq8/edit?usp=sharing"",""ชัยนาท!J143"")"),0)</f>
        <v>0</v>
      </c>
      <c r="U57" s="82">
        <f t="shared" ca="1" si="25"/>
        <v>0</v>
      </c>
      <c r="V57" s="81">
        <f ca="1">IFERROR(__xludf.DUMMYFUNCTION("IMPORTRANGE(""https://docs.google.com/spreadsheets/d/1xAsT4sUbBlom7l0acStESh_15nvjZcXjZM7fK5uZSq8/edit?usp=sharing"",""ชัยนาท!I144"")"),0)</f>
        <v>0</v>
      </c>
      <c r="W57" s="81">
        <f ca="1">IFERROR(__xludf.DUMMYFUNCTION("IMPORTRANGE(""https://docs.google.com/spreadsheets/d/1xAsT4sUbBlom7l0acStESh_15nvjZcXjZM7fK5uZSq8/edit?usp=sharing"",""ชัยนาท!J144"")"),0)</f>
        <v>0</v>
      </c>
      <c r="X57" s="82">
        <f t="shared" ca="1" si="26"/>
        <v>0</v>
      </c>
      <c r="Y57" s="81">
        <f ca="1">IFERROR(__xludf.DUMMYFUNCTION("IMPORTRANGE(""https://docs.google.com/spreadsheets/d/1xAsT4sUbBlom7l0acStESh_15nvjZcXjZM7fK5uZSq8/edit?usp=sharing"",""ชัยนาท!I145"")"),0)</f>
        <v>0</v>
      </c>
      <c r="Z57" s="81">
        <f ca="1">IFERROR(__xludf.DUMMYFUNCTION("IMPORTRANGE(""https://docs.google.com/spreadsheets/d/1xAsT4sUbBlom7l0acStESh_15nvjZcXjZM7fK5uZSq8/edit?usp=sharing"",""ชัยนาท!J145"")"),0)</f>
        <v>0</v>
      </c>
      <c r="AA57" s="82">
        <f t="shared" ca="1" si="27"/>
        <v>0</v>
      </c>
      <c r="AB57" s="81">
        <f ca="1">IFERROR(__xludf.DUMMYFUNCTION("IMPORTRANGE(""https://docs.google.com/spreadsheets/d/1xAsT4sUbBlom7l0acStESh_15nvjZcXjZM7fK5uZSq8/edit?usp=sharing"",""ชัยนาท!I146"")"),0)</f>
        <v>0</v>
      </c>
      <c r="AC57" s="81">
        <f ca="1">IFERROR(__xludf.DUMMYFUNCTION("IMPORTRANGE(""https://docs.google.com/spreadsheets/d/1xAsT4sUbBlom7l0acStESh_15nvjZcXjZM7fK5uZSq8/edit?usp=sharing"",""ชัยนาท!J146"")"),0)</f>
        <v>0</v>
      </c>
      <c r="AD57" s="82">
        <f t="shared" ca="1" si="28"/>
        <v>0</v>
      </c>
    </row>
    <row r="58" spans="1:3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7"/>
        <v>0</v>
      </c>
      <c r="E58" s="77">
        <f ca="1">IFERROR(__xludf.DUMMYFUNCTION("IMPORTRANGE(""https://docs.google.com/spreadsheets/d/1MeEWN-I1oV_STSDYn1IFDPWt_1FKiwhDph83XaGc0o0/edit?usp=sharing"",""งบพรบ!BL58"")"),0)</f>
        <v>0</v>
      </c>
      <c r="F58" s="77">
        <f ca="1">IFERROR(__xludf.DUMMYFUNCTION("IMPORTRANGE(""https://docs.google.com/spreadsheets/d/1MeEWN-I1oV_STSDYn1IFDPWt_1FKiwhDph83XaGc0o0/edit?usp=sharing"",""งบพรบ!BM58"")"),0)</f>
        <v>0</v>
      </c>
      <c r="G58" s="77">
        <f ca="1">IFERROR(__xludf.DUMMYFUNCTION("IMPORTRANGE(""https://docs.google.com/spreadsheets/d/1MeEWN-I1oV_STSDYn1IFDPWt_1FKiwhDph83XaGc0o0/edit?usp=sharing"",""งบพรบ!BN58"")"),0)</f>
        <v>0</v>
      </c>
      <c r="H58" s="77">
        <f ca="1">IFERROR(__xludf.DUMMYFUNCTION("IMPORTRANGE(""https://docs.google.com/spreadsheets/d/1MeEWN-I1oV_STSDYn1IFDPWt_1FKiwhDph83XaGc0o0/edit?usp=sharing"",""งบพรบ!BP58"")"),0)</f>
        <v>0</v>
      </c>
      <c r="I58" s="77">
        <f ca="1">IFERROR(__xludf.DUMMYFUNCTION("IMPORTRANGE(""https://docs.google.com/spreadsheets/d/1MeEWN-I1oV_STSDYn1IFDPWt_1FKiwhDph83XaGc0o0/edit?usp=sharing"",""งบพรบ!BQ58"")"),0)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IFERROR(__xludf.DUMMYFUNCTION("IMPORTRANGE(""https://docs.google.com/spreadsheets/d/1MeEWN-I1oV_STSDYn1IFDPWt_1FKiwhDph83XaGc0o0/edit?usp=sharing"",""งบพรบ!BR58"")"),0)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IFERROR(__xludf.DUMMYFUNCTION("IMPORTRANGE(""https://docs.google.com/spreadsheets/d/1MeEWN-I1oV_STSDYn1IFDPWt_1FKiwhDph83XaGc0o0/edit?usp=sharing"",""งบพรบ!BS58"")"),0)</f>
        <v>0</v>
      </c>
      <c r="P58" s="80">
        <f t="shared" ca="1" si="30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IFERROR(__xludf.DUMMYFUNCTION("IMPORTRANGE(""https://docs.google.com/spreadsheets/d/1vWPVBOAaZ6mHSI8yf95DNqHwTJ1cpeFsvqt6cxV34QA/edit?usp=sharing"",""ตราด!J142"")"),0)</f>
        <v>0</v>
      </c>
      <c r="S58" s="81">
        <f ca="1">IFERROR(__xludf.DUMMYFUNCTION("IMPORTRANGE(""https://docs.google.com/spreadsheets/d/1vWPVBOAaZ6mHSI8yf95DNqHwTJ1cpeFsvqt6cxV34QA/edit?usp=sharing"",""ตราด!I143"")"),0)</f>
        <v>0</v>
      </c>
      <c r="T58" s="81">
        <f ca="1">IFERROR(__xludf.DUMMYFUNCTION("IMPORTRANGE(""https://docs.google.com/spreadsheets/d/1vWPVBOAaZ6mHSI8yf95DNqHwTJ1cpeFsvqt6cxV34QA/edit?usp=sharing"",""ตราด!J143"")"),0)</f>
        <v>0</v>
      </c>
      <c r="U58" s="82">
        <f t="shared" ca="1" si="25"/>
        <v>0</v>
      </c>
      <c r="V58" s="81">
        <f ca="1">IFERROR(__xludf.DUMMYFUNCTION("IMPORTRANGE(""https://docs.google.com/spreadsheets/d/1vWPVBOAaZ6mHSI8yf95DNqHwTJ1cpeFsvqt6cxV34QA/edit?usp=sharing"",""ตราด!I144"")"),0)</f>
        <v>0</v>
      </c>
      <c r="W58" s="81">
        <f ca="1">IFERROR(__xludf.DUMMYFUNCTION("IMPORTRANGE(""https://docs.google.com/spreadsheets/d/1vWPVBOAaZ6mHSI8yf95DNqHwTJ1cpeFsvqt6cxV34QA/edit?usp=sharing"",""ตราด!J144"")"),0)</f>
        <v>0</v>
      </c>
      <c r="X58" s="82">
        <f t="shared" ca="1" si="26"/>
        <v>0</v>
      </c>
      <c r="Y58" s="81">
        <f ca="1">IFERROR(__xludf.DUMMYFUNCTION("IMPORTRANGE(""https://docs.google.com/spreadsheets/d/1vWPVBOAaZ6mHSI8yf95DNqHwTJ1cpeFsvqt6cxV34QA/edit?usp=sharing"",""ตราด!I145"")"),0)</f>
        <v>0</v>
      </c>
      <c r="Z58" s="81">
        <f ca="1">IFERROR(__xludf.DUMMYFUNCTION("IMPORTRANGE(""https://docs.google.com/spreadsheets/d/1vWPVBOAaZ6mHSI8yf95DNqHwTJ1cpeFsvqt6cxV34QA/edit?usp=sharing"",""ตราด!J145"")"),0)</f>
        <v>0</v>
      </c>
      <c r="AA58" s="82">
        <f t="shared" ca="1" si="27"/>
        <v>0</v>
      </c>
      <c r="AB58" s="81">
        <f ca="1">IFERROR(__xludf.DUMMYFUNCTION("IMPORTRANGE(""https://docs.google.com/spreadsheets/d/1vWPVBOAaZ6mHSI8yf95DNqHwTJ1cpeFsvqt6cxV34QA/edit?usp=sharing"",""ตราด!I146"")"),0)</f>
        <v>0</v>
      </c>
      <c r="AC58" s="81">
        <f ca="1">IFERROR(__xludf.DUMMYFUNCTION("IMPORTRANGE(""https://docs.google.com/spreadsheets/d/1vWPVBOAaZ6mHSI8yf95DNqHwTJ1cpeFsvqt6cxV34QA/edit?usp=sharing"",""ตราด!J146"")"),0)</f>
        <v>0</v>
      </c>
      <c r="AD58" s="82">
        <f t="shared" ca="1" si="28"/>
        <v>0</v>
      </c>
    </row>
    <row r="59" spans="1:3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47"/>
        <v>0</v>
      </c>
      <c r="E59" s="77">
        <f ca="1">IFERROR(__xludf.DUMMYFUNCTION("IMPORTRANGE(""https://docs.google.com/spreadsheets/d/1MeEWN-I1oV_STSDYn1IFDPWt_1FKiwhDph83XaGc0o0/edit?usp=sharing"",""งบพรบ!BL59"")"),0)</f>
        <v>0</v>
      </c>
      <c r="F59" s="77">
        <f ca="1">IFERROR(__xludf.DUMMYFUNCTION("IMPORTRANGE(""https://docs.google.com/spreadsheets/d/1MeEWN-I1oV_STSDYn1IFDPWt_1FKiwhDph83XaGc0o0/edit?usp=sharing"",""งบพรบ!BM59"")"),0)</f>
        <v>0</v>
      </c>
      <c r="G59" s="77">
        <f ca="1">IFERROR(__xludf.DUMMYFUNCTION("IMPORTRANGE(""https://docs.google.com/spreadsheets/d/1MeEWN-I1oV_STSDYn1IFDPWt_1FKiwhDph83XaGc0o0/edit?usp=sharing"",""งบพรบ!BN59"")"),0)</f>
        <v>0</v>
      </c>
      <c r="H59" s="77">
        <f ca="1">IFERROR(__xludf.DUMMYFUNCTION("IMPORTRANGE(""https://docs.google.com/spreadsheets/d/1MeEWN-I1oV_STSDYn1IFDPWt_1FKiwhDph83XaGc0o0/edit?usp=sharing"",""งบพรบ!BP59"")"),0)</f>
        <v>0</v>
      </c>
      <c r="I59" s="77">
        <f ca="1">IFERROR(__xludf.DUMMYFUNCTION("IMPORTRANGE(""https://docs.google.com/spreadsheets/d/1MeEWN-I1oV_STSDYn1IFDPWt_1FKiwhDph83XaGc0o0/edit?usp=sharing"",""งบพรบ!BQ59"")"),0)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IFERROR(__xludf.DUMMYFUNCTION("IMPORTRANGE(""https://docs.google.com/spreadsheets/d/1MeEWN-I1oV_STSDYn1IFDPWt_1FKiwhDph83XaGc0o0/edit?usp=sharing"",""งบพรบ!BR59"")"),0)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IFERROR(__xludf.DUMMYFUNCTION("IMPORTRANGE(""https://docs.google.com/spreadsheets/d/1MeEWN-I1oV_STSDYn1IFDPWt_1FKiwhDph83XaGc0o0/edit?usp=sharing"",""งบพรบ!BS59"")"),0)</f>
        <v>0</v>
      </c>
      <c r="P59" s="80">
        <f t="shared" ca="1" si="30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IFERROR(__xludf.DUMMYFUNCTION("IMPORTRANGE(""https://docs.google.com/spreadsheets/d/1phaeSb9lTGgzDpbvVqI9hfmOQQzUom07-HEvpbARzEg/edit?usp=sharing"",""นครนายก!J142"")"),0)</f>
        <v>0</v>
      </c>
      <c r="S59" s="81">
        <f ca="1">IFERROR(__xludf.DUMMYFUNCTION("IMPORTRANGE(""https://docs.google.com/spreadsheets/d/1phaeSb9lTGgzDpbvVqI9hfmOQQzUom07-HEvpbARzEg/edit?usp=sharing"",""นครนายก!I143"")"),0)</f>
        <v>0</v>
      </c>
      <c r="T59" s="81">
        <f ca="1">IFERROR(__xludf.DUMMYFUNCTION("IMPORTRANGE(""https://docs.google.com/spreadsheets/d/1phaeSb9lTGgzDpbvVqI9hfmOQQzUom07-HEvpbARzEg/edit?usp=sharing"",""นครนายก!J143"")"),0)</f>
        <v>0</v>
      </c>
      <c r="U59" s="82">
        <f t="shared" ca="1" si="25"/>
        <v>0</v>
      </c>
      <c r="V59" s="81">
        <f ca="1">IFERROR(__xludf.DUMMYFUNCTION("IMPORTRANGE(""https://docs.google.com/spreadsheets/d/1phaeSb9lTGgzDpbvVqI9hfmOQQzUom07-HEvpbARzEg/edit?usp=sharing"",""นครนายก!I144"")"),0)</f>
        <v>0</v>
      </c>
      <c r="W59" s="81">
        <f ca="1">IFERROR(__xludf.DUMMYFUNCTION("IMPORTRANGE(""https://docs.google.com/spreadsheets/d/1phaeSb9lTGgzDpbvVqI9hfmOQQzUom07-HEvpbARzEg/edit?usp=sharing"",""นครนายก!J144"")"),0)</f>
        <v>0</v>
      </c>
      <c r="X59" s="82">
        <f t="shared" ca="1" si="26"/>
        <v>0</v>
      </c>
      <c r="Y59" s="81">
        <f ca="1">IFERROR(__xludf.DUMMYFUNCTION("IMPORTRANGE(""https://docs.google.com/spreadsheets/d/1phaeSb9lTGgzDpbvVqI9hfmOQQzUom07-HEvpbARzEg/edit?usp=sharing"",""นครนายก!I145"")"),0)</f>
        <v>0</v>
      </c>
      <c r="Z59" s="81">
        <f ca="1">IFERROR(__xludf.DUMMYFUNCTION("IMPORTRANGE(""https://docs.google.com/spreadsheets/d/1phaeSb9lTGgzDpbvVqI9hfmOQQzUom07-HEvpbARzEg/edit?usp=sharing"",""นครนายก!J145"")"),0)</f>
        <v>0</v>
      </c>
      <c r="AA59" s="82">
        <f t="shared" ca="1" si="27"/>
        <v>0</v>
      </c>
      <c r="AB59" s="81">
        <f ca="1">IFERROR(__xludf.DUMMYFUNCTION("IMPORTRANGE(""https://docs.google.com/spreadsheets/d/1phaeSb9lTGgzDpbvVqI9hfmOQQzUom07-HEvpbARzEg/edit?usp=sharing"",""นครนายก!I146"")"),0)</f>
        <v>0</v>
      </c>
      <c r="AC59" s="81">
        <f ca="1">IFERROR(__xludf.DUMMYFUNCTION("IMPORTRANGE(""https://docs.google.com/spreadsheets/d/1phaeSb9lTGgzDpbvVqI9hfmOQQzUom07-HEvpbARzEg/edit?usp=sharing"",""นครนายก!J146"")"),0)</f>
        <v>0</v>
      </c>
      <c r="AD59" s="82">
        <f t="shared" ca="1" si="28"/>
        <v>0</v>
      </c>
    </row>
    <row r="60" spans="1:3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7"/>
        <v>0</v>
      </c>
      <c r="E60" s="77">
        <f ca="1">IFERROR(__xludf.DUMMYFUNCTION("IMPORTRANGE(""https://docs.google.com/spreadsheets/d/1MeEWN-I1oV_STSDYn1IFDPWt_1FKiwhDph83XaGc0o0/edit?usp=sharing"",""งบพรบ!BL60"")"),0)</f>
        <v>0</v>
      </c>
      <c r="F60" s="77">
        <f ca="1">IFERROR(__xludf.DUMMYFUNCTION("IMPORTRANGE(""https://docs.google.com/spreadsheets/d/1MeEWN-I1oV_STSDYn1IFDPWt_1FKiwhDph83XaGc0o0/edit?usp=sharing"",""งบพรบ!BM60"")"),0)</f>
        <v>0</v>
      </c>
      <c r="G60" s="77">
        <f ca="1">IFERROR(__xludf.DUMMYFUNCTION("IMPORTRANGE(""https://docs.google.com/spreadsheets/d/1MeEWN-I1oV_STSDYn1IFDPWt_1FKiwhDph83XaGc0o0/edit?usp=sharing"",""งบพรบ!BN60"")"),0)</f>
        <v>0</v>
      </c>
      <c r="H60" s="77">
        <f ca="1">IFERROR(__xludf.DUMMYFUNCTION("IMPORTRANGE(""https://docs.google.com/spreadsheets/d/1MeEWN-I1oV_STSDYn1IFDPWt_1FKiwhDph83XaGc0o0/edit?usp=sharing"",""งบพรบ!BP60"")"),0)</f>
        <v>0</v>
      </c>
      <c r="I60" s="77">
        <f ca="1">IFERROR(__xludf.DUMMYFUNCTION("IMPORTRANGE(""https://docs.google.com/spreadsheets/d/1MeEWN-I1oV_STSDYn1IFDPWt_1FKiwhDph83XaGc0o0/edit?usp=sharing"",""งบพรบ!BQ60"")"),0)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IFERROR(__xludf.DUMMYFUNCTION("IMPORTRANGE(""https://docs.google.com/spreadsheets/d/1MeEWN-I1oV_STSDYn1IFDPWt_1FKiwhDph83XaGc0o0/edit?usp=sharing"",""งบพรบ!BR60"")"),0)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IFERROR(__xludf.DUMMYFUNCTION("IMPORTRANGE(""https://docs.google.com/spreadsheets/d/1MeEWN-I1oV_STSDYn1IFDPWt_1FKiwhDph83XaGc0o0/edit?usp=sharing"",""งบพรบ!BS60"")"),0)</f>
        <v>0</v>
      </c>
      <c r="P60" s="80">
        <f t="shared" ca="1" si="30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IFERROR(__xludf.DUMMYFUNCTION("IMPORTRANGE(""https://docs.google.com/spreadsheets/d/1tpwhWwkqkBeiSWCcfB5f2fbwPRbM9hHOEDSDHpl2MIc/edit?usp=sharing"",""นครปฐม!J142"")"),0)</f>
        <v>0</v>
      </c>
      <c r="S60" s="81">
        <f ca="1">IFERROR(__xludf.DUMMYFUNCTION("IMPORTRANGE(""https://docs.google.com/spreadsheets/d/1tpwhWwkqkBeiSWCcfB5f2fbwPRbM9hHOEDSDHpl2MIc/edit?usp=sharing"",""นครปฐม!I143"")"),0)</f>
        <v>0</v>
      </c>
      <c r="T60" s="81">
        <f ca="1">IFERROR(__xludf.DUMMYFUNCTION("IMPORTRANGE(""https://docs.google.com/spreadsheets/d/1tpwhWwkqkBeiSWCcfB5f2fbwPRbM9hHOEDSDHpl2MIc/edit?usp=sharing"",""นครปฐม!J143"")"),0)</f>
        <v>0</v>
      </c>
      <c r="U60" s="82">
        <f t="shared" ca="1" si="25"/>
        <v>0</v>
      </c>
      <c r="V60" s="81">
        <f ca="1">IFERROR(__xludf.DUMMYFUNCTION("IMPORTRANGE(""https://docs.google.com/spreadsheets/d/1tpwhWwkqkBeiSWCcfB5f2fbwPRbM9hHOEDSDHpl2MIc/edit?usp=sharing"",""นครปฐม!I144"")"),0)</f>
        <v>0</v>
      </c>
      <c r="W60" s="81">
        <f ca="1">IFERROR(__xludf.DUMMYFUNCTION("IMPORTRANGE(""https://docs.google.com/spreadsheets/d/1tpwhWwkqkBeiSWCcfB5f2fbwPRbM9hHOEDSDHpl2MIc/edit?usp=sharing"",""นครปฐม!J144"")"),0)</f>
        <v>0</v>
      </c>
      <c r="X60" s="82">
        <f t="shared" ca="1" si="26"/>
        <v>0</v>
      </c>
      <c r="Y60" s="81">
        <f ca="1">IFERROR(__xludf.DUMMYFUNCTION("IMPORTRANGE(""https://docs.google.com/spreadsheets/d/1tpwhWwkqkBeiSWCcfB5f2fbwPRbM9hHOEDSDHpl2MIc/edit?usp=sharing"",""นครปฐม!I145"")"),0)</f>
        <v>0</v>
      </c>
      <c r="Z60" s="81">
        <f ca="1">IFERROR(__xludf.DUMMYFUNCTION("IMPORTRANGE(""https://docs.google.com/spreadsheets/d/1tpwhWwkqkBeiSWCcfB5f2fbwPRbM9hHOEDSDHpl2MIc/edit?usp=sharing"",""นครปฐม!J145"")"),0)</f>
        <v>0</v>
      </c>
      <c r="AA60" s="82">
        <f t="shared" ca="1" si="27"/>
        <v>0</v>
      </c>
      <c r="AB60" s="81">
        <f ca="1">IFERROR(__xludf.DUMMYFUNCTION("IMPORTRANGE(""https://docs.google.com/spreadsheets/d/1tpwhWwkqkBeiSWCcfB5f2fbwPRbM9hHOEDSDHpl2MIc/edit?usp=sharing"",""นครปฐม!I146"")"),0)</f>
        <v>0</v>
      </c>
      <c r="AC60" s="81">
        <f ca="1">IFERROR(__xludf.DUMMYFUNCTION("IMPORTRANGE(""https://docs.google.com/spreadsheets/d/1tpwhWwkqkBeiSWCcfB5f2fbwPRbM9hHOEDSDHpl2MIc/edit?usp=sharing"",""นครปฐม!J146"")"),0)</f>
        <v>0</v>
      </c>
      <c r="AD60" s="82">
        <f t="shared" ca="1" si="28"/>
        <v>0</v>
      </c>
    </row>
    <row r="61" spans="1:3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7"/>
        <v>0</v>
      </c>
      <c r="E61" s="77">
        <f ca="1">IFERROR(__xludf.DUMMYFUNCTION("IMPORTRANGE(""https://docs.google.com/spreadsheets/d/1MeEWN-I1oV_STSDYn1IFDPWt_1FKiwhDph83XaGc0o0/edit?usp=sharing"",""งบพรบ!BL61"")"),0)</f>
        <v>0</v>
      </c>
      <c r="F61" s="77">
        <f ca="1">IFERROR(__xludf.DUMMYFUNCTION("IMPORTRANGE(""https://docs.google.com/spreadsheets/d/1MeEWN-I1oV_STSDYn1IFDPWt_1FKiwhDph83XaGc0o0/edit?usp=sharing"",""งบพรบ!BM61"")"),0)</f>
        <v>0</v>
      </c>
      <c r="G61" s="77">
        <f ca="1">IFERROR(__xludf.DUMMYFUNCTION("IMPORTRANGE(""https://docs.google.com/spreadsheets/d/1MeEWN-I1oV_STSDYn1IFDPWt_1FKiwhDph83XaGc0o0/edit?usp=sharing"",""งบพรบ!BN61"")"),0)</f>
        <v>0</v>
      </c>
      <c r="H61" s="77">
        <f ca="1">IFERROR(__xludf.DUMMYFUNCTION("IMPORTRANGE(""https://docs.google.com/spreadsheets/d/1MeEWN-I1oV_STSDYn1IFDPWt_1FKiwhDph83XaGc0o0/edit?usp=sharing"",""งบพรบ!BP61"")"),0)</f>
        <v>0</v>
      </c>
      <c r="I61" s="77">
        <f ca="1">IFERROR(__xludf.DUMMYFUNCTION("IMPORTRANGE(""https://docs.google.com/spreadsheets/d/1MeEWN-I1oV_STSDYn1IFDPWt_1FKiwhDph83XaGc0o0/edit?usp=sharing"",""งบพรบ!BQ61"")"),0)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IFERROR(__xludf.DUMMYFUNCTION("IMPORTRANGE(""https://docs.google.com/spreadsheets/d/1MeEWN-I1oV_STSDYn1IFDPWt_1FKiwhDph83XaGc0o0/edit?usp=sharing"",""งบพรบ!BR61"")"),0)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IFERROR(__xludf.DUMMYFUNCTION("IMPORTRANGE(""https://docs.google.com/spreadsheets/d/1MeEWN-I1oV_STSDYn1IFDPWt_1FKiwhDph83XaGc0o0/edit?usp=sharing"",""งบพรบ!BS61"")"),0)</f>
        <v>0</v>
      </c>
      <c r="P61" s="80">
        <f t="shared" ca="1" si="30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IFERROR(__xludf.DUMMYFUNCTION("IMPORTRANGE(""https://docs.google.com/spreadsheets/d/1fJJCVBkBnhriyv0Cp5ZFMr0I_yrfdEITNpb4zILJgUQ/edit?usp=sharing"",""ปทุมธานี!J142"")"),0)</f>
        <v>0</v>
      </c>
      <c r="S61" s="81">
        <f ca="1">IFERROR(__xludf.DUMMYFUNCTION("IMPORTRANGE(""https://docs.google.com/spreadsheets/d/1fJJCVBkBnhriyv0Cp5ZFMr0I_yrfdEITNpb4zILJgUQ/edit?usp=sharing"",""ปทุมธานี!I143"")"),0)</f>
        <v>0</v>
      </c>
      <c r="T61" s="81">
        <f ca="1">IFERROR(__xludf.DUMMYFUNCTION("IMPORTRANGE(""https://docs.google.com/spreadsheets/d/1fJJCVBkBnhriyv0Cp5ZFMr0I_yrfdEITNpb4zILJgUQ/edit?usp=sharing"",""ปทุมธานี!J143"")"),0)</f>
        <v>0</v>
      </c>
      <c r="U61" s="82">
        <f t="shared" ca="1" si="25"/>
        <v>0</v>
      </c>
      <c r="V61" s="81">
        <f ca="1">IFERROR(__xludf.DUMMYFUNCTION("IMPORTRANGE(""https://docs.google.com/spreadsheets/d/1fJJCVBkBnhriyv0Cp5ZFMr0I_yrfdEITNpb4zILJgUQ/edit?usp=sharing"",""ปทุมธานี!I144"")"),0)</f>
        <v>0</v>
      </c>
      <c r="W61" s="81">
        <f ca="1">IFERROR(__xludf.DUMMYFUNCTION("IMPORTRANGE(""https://docs.google.com/spreadsheets/d/1fJJCVBkBnhriyv0Cp5ZFMr0I_yrfdEITNpb4zILJgUQ/edit?usp=sharing"",""ปทุมธานี!J144"")"),0)</f>
        <v>0</v>
      </c>
      <c r="X61" s="82">
        <f t="shared" ca="1" si="26"/>
        <v>0</v>
      </c>
      <c r="Y61" s="81">
        <f ca="1">IFERROR(__xludf.DUMMYFUNCTION("IMPORTRANGE(""https://docs.google.com/spreadsheets/d/1fJJCVBkBnhriyv0Cp5ZFMr0I_yrfdEITNpb4zILJgUQ/edit?usp=sharing"",""ปทุมธานี!I145"")"),0)</f>
        <v>0</v>
      </c>
      <c r="Z61" s="81">
        <f ca="1">IFERROR(__xludf.DUMMYFUNCTION("IMPORTRANGE(""https://docs.google.com/spreadsheets/d/1fJJCVBkBnhriyv0Cp5ZFMr0I_yrfdEITNpb4zILJgUQ/edit?usp=sharing"",""ปทุมธานี!J145"")"),0)</f>
        <v>0</v>
      </c>
      <c r="AA61" s="82">
        <f t="shared" ca="1" si="27"/>
        <v>0</v>
      </c>
      <c r="AB61" s="81">
        <f ca="1">IFERROR(__xludf.DUMMYFUNCTION("IMPORTRANGE(""https://docs.google.com/spreadsheets/d/1fJJCVBkBnhriyv0Cp5ZFMr0I_yrfdEITNpb4zILJgUQ/edit?usp=sharing"",""ปทุมธานี!I146"")"),0)</f>
        <v>0</v>
      </c>
      <c r="AC61" s="81">
        <f ca="1">IFERROR(__xludf.DUMMYFUNCTION("IMPORTRANGE(""https://docs.google.com/spreadsheets/d/1fJJCVBkBnhriyv0Cp5ZFMr0I_yrfdEITNpb4zILJgUQ/edit?usp=sharing"",""ปทุมธานี!J146"")"),0)</f>
        <v>0</v>
      </c>
      <c r="AD61" s="82">
        <f t="shared" ca="1" si="28"/>
        <v>0</v>
      </c>
    </row>
    <row r="62" spans="1:30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7"/>
        <v>0</v>
      </c>
      <c r="E62" s="77">
        <f ca="1">IFERROR(__xludf.DUMMYFUNCTION("IMPORTRANGE(""https://docs.google.com/spreadsheets/d/1MeEWN-I1oV_STSDYn1IFDPWt_1FKiwhDph83XaGc0o0/edit?usp=sharing"",""งบพรบ!BL62"")"),0)</f>
        <v>0</v>
      </c>
      <c r="F62" s="77">
        <f ca="1">IFERROR(__xludf.DUMMYFUNCTION("IMPORTRANGE(""https://docs.google.com/spreadsheets/d/1MeEWN-I1oV_STSDYn1IFDPWt_1FKiwhDph83XaGc0o0/edit?usp=sharing"",""งบพรบ!BM62"")"),0)</f>
        <v>0</v>
      </c>
      <c r="G62" s="77">
        <f ca="1">IFERROR(__xludf.DUMMYFUNCTION("IMPORTRANGE(""https://docs.google.com/spreadsheets/d/1MeEWN-I1oV_STSDYn1IFDPWt_1FKiwhDph83XaGc0o0/edit?usp=sharing"",""งบพรบ!BN62"")"),0)</f>
        <v>0</v>
      </c>
      <c r="H62" s="77">
        <f ca="1">IFERROR(__xludf.DUMMYFUNCTION("IMPORTRANGE(""https://docs.google.com/spreadsheets/d/1MeEWN-I1oV_STSDYn1IFDPWt_1FKiwhDph83XaGc0o0/edit?usp=sharing"",""งบพรบ!BP62"")"),0)</f>
        <v>0</v>
      </c>
      <c r="I62" s="77">
        <f ca="1">IFERROR(__xludf.DUMMYFUNCTION("IMPORTRANGE(""https://docs.google.com/spreadsheets/d/1MeEWN-I1oV_STSDYn1IFDPWt_1FKiwhDph83XaGc0o0/edit?usp=sharing"",""งบพรบ!BQ62"")"),0)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IFERROR(__xludf.DUMMYFUNCTION("IMPORTRANGE(""https://docs.google.com/spreadsheets/d/1MeEWN-I1oV_STSDYn1IFDPWt_1FKiwhDph83XaGc0o0/edit?usp=sharing"",""งบพรบ!BR62"")"),0)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IFERROR(__xludf.DUMMYFUNCTION("IMPORTRANGE(""https://docs.google.com/spreadsheets/d/1MeEWN-I1oV_STSDYn1IFDPWt_1FKiwhDph83XaGc0o0/edit?usp=sharing"",""งบพรบ!BS62"")"),0)</f>
        <v>0</v>
      </c>
      <c r="P62" s="80">
        <f t="shared" ca="1" si="30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81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2">
        <f t="shared" ca="1" si="25"/>
        <v>0</v>
      </c>
      <c r="V62" s="81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81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2">
        <f t="shared" ca="1" si="26"/>
        <v>0</v>
      </c>
      <c r="Y62" s="81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2">
        <f t="shared" ca="1" si="27"/>
        <v>0</v>
      </c>
      <c r="AB62" s="81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81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2">
        <f t="shared" ca="1" si="28"/>
        <v>0</v>
      </c>
    </row>
    <row r="63" spans="1:30" ht="21" customHeight="1" x14ac:dyDescent="0.2">
      <c r="A63" s="73">
        <v>11</v>
      </c>
      <c r="B63" s="74" t="s">
        <v>85</v>
      </c>
      <c r="C63" s="75">
        <f t="shared" ca="1" si="0"/>
        <v>1017520</v>
      </c>
      <c r="D63" s="76">
        <f t="shared" ca="1" si="47"/>
        <v>605520</v>
      </c>
      <c r="E63" s="77">
        <f ca="1">IFERROR(__xludf.DUMMYFUNCTION("IMPORTRANGE(""https://docs.google.com/spreadsheets/d/1MeEWN-I1oV_STSDYn1IFDPWt_1FKiwhDph83XaGc0o0/edit?usp=sharing"",""งบพรบ!BL63"")"),410900)</f>
        <v>410900</v>
      </c>
      <c r="F63" s="77">
        <f ca="1">IFERROR(__xludf.DUMMYFUNCTION("IMPORTRANGE(""https://docs.google.com/spreadsheets/d/1MeEWN-I1oV_STSDYn1IFDPWt_1FKiwhDph83XaGc0o0/edit?usp=sharing"",""งบพรบ!BM63"")"),194620)</f>
        <v>194620</v>
      </c>
      <c r="G63" s="77">
        <f ca="1">IFERROR(__xludf.DUMMYFUNCTION("IMPORTRANGE(""https://docs.google.com/spreadsheets/d/1MeEWN-I1oV_STSDYn1IFDPWt_1FKiwhDph83XaGc0o0/edit?usp=sharing"",""งบพรบ!BN63"")"),412000)</f>
        <v>412000</v>
      </c>
      <c r="H63" s="77">
        <f ca="1">IFERROR(__xludf.DUMMYFUNCTION("IMPORTRANGE(""https://docs.google.com/spreadsheets/d/1MeEWN-I1oV_STSDYn1IFDPWt_1FKiwhDph83XaGc0o0/edit?usp=sharing"",""งบพรบ!BP63"")"),605520)</f>
        <v>605520</v>
      </c>
      <c r="I63" s="77">
        <f ca="1">IFERROR(__xludf.DUMMYFUNCTION("IMPORTRANGE(""https://docs.google.com/spreadsheets/d/1MeEWN-I1oV_STSDYn1IFDPWt_1FKiwhDph83XaGc0o0/edit?usp=sharing"",""งบพรบ!BQ63"")"),412000)</f>
        <v>412000</v>
      </c>
      <c r="J63" s="77">
        <f t="shared" ca="1" si="3"/>
        <v>973328.2</v>
      </c>
      <c r="K63" s="78">
        <f t="shared" ca="1" si="4"/>
        <v>95.656910920669858</v>
      </c>
      <c r="L63" s="77">
        <f ca="1">IFERROR(__xludf.DUMMYFUNCTION("IMPORTRANGE(""https://docs.google.com/spreadsheets/d/1MeEWN-I1oV_STSDYn1IFDPWt_1FKiwhDph83XaGc0o0/edit?usp=sharing"",""งบพรบ!BR63"")"),561328.2)</f>
        <v>561328.19999999995</v>
      </c>
      <c r="M63" s="79">
        <f t="shared" ca="1" si="5"/>
        <v>92.701843043995225</v>
      </c>
      <c r="N63" s="79">
        <f t="shared" ca="1" si="6"/>
        <v>92.701843043995225</v>
      </c>
      <c r="O63" s="80">
        <f ca="1">IFERROR(__xludf.DUMMYFUNCTION("IMPORTRANGE(""https://docs.google.com/spreadsheets/d/1MeEWN-I1oV_STSDYn1IFDPWt_1FKiwhDph83XaGc0o0/edit?usp=sharing"",""งบพรบ!BS63"")"),412000)</f>
        <v>412000</v>
      </c>
      <c r="P63" s="80">
        <f t="shared" ca="1" si="30"/>
        <v>100</v>
      </c>
      <c r="Q63" s="79">
        <f t="shared" ca="1" si="8"/>
        <v>100</v>
      </c>
      <c r="R63" s="81">
        <f ca="1">IFERROR(__xludf.DUMMYFUNCTION("IMPORTRANGE(""https://docs.google.com/spreadsheets/d/1nYxRXgnCfTXtqUY1otYuTlnrzE0Tn-Y0YRsW5pkRVqo/edit?usp=sharing"",""ปราจีนบุรี!J142"")"),0)</f>
        <v>0</v>
      </c>
      <c r="S63" s="81">
        <f ca="1">IFERROR(__xludf.DUMMYFUNCTION("IMPORTRANGE(""https://docs.google.com/spreadsheets/d/1nYxRXgnCfTXtqUY1otYuTlnrzE0Tn-Y0YRsW5pkRVqo/edit?usp=sharing"",""ปราจีนบุรี!I143"")"),40)</f>
        <v>40</v>
      </c>
      <c r="T63" s="81">
        <f ca="1">IFERROR(__xludf.DUMMYFUNCTION("IMPORTRANGE(""https://docs.google.com/spreadsheets/d/1nYxRXgnCfTXtqUY1otYuTlnrzE0Tn-Y0YRsW5pkRVqo/edit?usp=sharing"",""ปราจีนบุรี!J143"")"),40)</f>
        <v>40</v>
      </c>
      <c r="U63" s="82">
        <f t="shared" ca="1" si="25"/>
        <v>100</v>
      </c>
      <c r="V63" s="81">
        <f ca="1">IFERROR(__xludf.DUMMYFUNCTION("IMPORTRANGE(""https://docs.google.com/spreadsheets/d/1nYxRXgnCfTXtqUY1otYuTlnrzE0Tn-Y0YRsW5pkRVqo/edit?usp=sharing"",""ปราจีนบุรี!I144"")"),20)</f>
        <v>20</v>
      </c>
      <c r="W63" s="81">
        <f ca="1">IFERROR(__xludf.DUMMYFUNCTION("IMPORTRANGE(""https://docs.google.com/spreadsheets/d/1nYxRXgnCfTXtqUY1otYuTlnrzE0Tn-Y0YRsW5pkRVqo/edit?usp=sharing"",""ปราจีนบุรี!J144"")"),40)</f>
        <v>40</v>
      </c>
      <c r="X63" s="82">
        <f t="shared" ca="1" si="26"/>
        <v>200</v>
      </c>
      <c r="Y63" s="81">
        <f ca="1">IFERROR(__xludf.DUMMYFUNCTION("IMPORTRANGE(""https://docs.google.com/spreadsheets/d/1nYxRXgnCfTXtqUY1otYuTlnrzE0Tn-Y0YRsW5pkRVqo/edit?usp=sharing"",""ปราจีนบุรี!I145"")"),40)</f>
        <v>40</v>
      </c>
      <c r="Z63" s="81">
        <f ca="1">IFERROR(__xludf.DUMMYFUNCTION("IMPORTRANGE(""https://docs.google.com/spreadsheets/d/1nYxRXgnCfTXtqUY1otYuTlnrzE0Tn-Y0YRsW5pkRVqo/edit?usp=sharing"",""ปราจีนบุรี!J145"")"),40)</f>
        <v>40</v>
      </c>
      <c r="AA63" s="82">
        <f t="shared" ca="1" si="27"/>
        <v>100</v>
      </c>
      <c r="AB63" s="81">
        <f ca="1">IFERROR(__xludf.DUMMYFUNCTION("IMPORTRANGE(""https://docs.google.com/spreadsheets/d/1nYxRXgnCfTXtqUY1otYuTlnrzE0Tn-Y0YRsW5pkRVqo/edit?usp=sharing"",""ปราจีนบุรี!I146"")"),4)</f>
        <v>4</v>
      </c>
      <c r="AC63" s="81">
        <f ca="1">IFERROR(__xludf.DUMMYFUNCTION("IMPORTRANGE(""https://docs.google.com/spreadsheets/d/1nYxRXgnCfTXtqUY1otYuTlnrzE0Tn-Y0YRsW5pkRVqo/edit?usp=sharing"",""ปราจีนบุรี!J146"")"),4)</f>
        <v>4</v>
      </c>
      <c r="AD63" s="82">
        <f t="shared" ca="1" si="28"/>
        <v>100</v>
      </c>
    </row>
    <row r="64" spans="1:30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47"/>
        <v>0</v>
      </c>
      <c r="E64" s="77">
        <f ca="1">IFERROR(__xludf.DUMMYFUNCTION("IMPORTRANGE(""https://docs.google.com/spreadsheets/d/1MeEWN-I1oV_STSDYn1IFDPWt_1FKiwhDph83XaGc0o0/edit?usp=sharing"",""งบพรบ!BL64"")"),0)</f>
        <v>0</v>
      </c>
      <c r="F64" s="77">
        <f ca="1">IFERROR(__xludf.DUMMYFUNCTION("IMPORTRANGE(""https://docs.google.com/spreadsheets/d/1MeEWN-I1oV_STSDYn1IFDPWt_1FKiwhDph83XaGc0o0/edit?usp=sharing"",""งบพรบ!BM64"")"),0)</f>
        <v>0</v>
      </c>
      <c r="G64" s="77">
        <f ca="1">IFERROR(__xludf.DUMMYFUNCTION("IMPORTRANGE(""https://docs.google.com/spreadsheets/d/1MeEWN-I1oV_STSDYn1IFDPWt_1FKiwhDph83XaGc0o0/edit?usp=sharing"",""งบพรบ!BN64"")"),0)</f>
        <v>0</v>
      </c>
      <c r="H64" s="77">
        <f ca="1">IFERROR(__xludf.DUMMYFUNCTION("IMPORTRANGE(""https://docs.google.com/spreadsheets/d/1MeEWN-I1oV_STSDYn1IFDPWt_1FKiwhDph83XaGc0o0/edit?usp=sharing"",""งบพรบ!BP64"")"),0)</f>
        <v>0</v>
      </c>
      <c r="I64" s="77">
        <f ca="1">IFERROR(__xludf.DUMMYFUNCTION("IMPORTRANGE(""https://docs.google.com/spreadsheets/d/1MeEWN-I1oV_STSDYn1IFDPWt_1FKiwhDph83XaGc0o0/edit?usp=sharing"",""งบพรบ!BQ64"")"),0)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IFERROR(__xludf.DUMMYFUNCTION("IMPORTRANGE(""https://docs.google.com/spreadsheets/d/1MeEWN-I1oV_STSDYn1IFDPWt_1FKiwhDph83XaGc0o0/edit?usp=sharing"",""งบพรบ!BR64"")"),0)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IFERROR(__xludf.DUMMYFUNCTION("IMPORTRANGE(""https://docs.google.com/spreadsheets/d/1MeEWN-I1oV_STSDYn1IFDPWt_1FKiwhDph83XaGc0o0/edit?usp=sharing"",""งบพรบ!BS64"")"),0)</f>
        <v>0</v>
      </c>
      <c r="P64" s="80">
        <f t="shared" ca="1" si="30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81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2">
        <f t="shared" ca="1" si="25"/>
        <v>0</v>
      </c>
      <c r="V64" s="81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81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2">
        <f t="shared" ca="1" si="26"/>
        <v>0</v>
      </c>
      <c r="Y64" s="81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2">
        <f t="shared" ca="1" si="27"/>
        <v>0</v>
      </c>
      <c r="AB64" s="81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81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2">
        <f t="shared" ca="1" si="28"/>
        <v>0</v>
      </c>
    </row>
    <row r="65" spans="1:30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7"/>
        <v>0</v>
      </c>
      <c r="E65" s="77">
        <f ca="1">IFERROR(__xludf.DUMMYFUNCTION("IMPORTRANGE(""https://docs.google.com/spreadsheets/d/1MeEWN-I1oV_STSDYn1IFDPWt_1FKiwhDph83XaGc0o0/edit?usp=sharing"",""งบพรบ!BL65"")"),0)</f>
        <v>0</v>
      </c>
      <c r="F65" s="77">
        <f ca="1">IFERROR(__xludf.DUMMYFUNCTION("IMPORTRANGE(""https://docs.google.com/spreadsheets/d/1MeEWN-I1oV_STSDYn1IFDPWt_1FKiwhDph83XaGc0o0/edit?usp=sharing"",""งบพรบ!BM65"")"),0)</f>
        <v>0</v>
      </c>
      <c r="G65" s="77">
        <f ca="1">IFERROR(__xludf.DUMMYFUNCTION("IMPORTRANGE(""https://docs.google.com/spreadsheets/d/1MeEWN-I1oV_STSDYn1IFDPWt_1FKiwhDph83XaGc0o0/edit?usp=sharing"",""งบพรบ!BN65"")"),0)</f>
        <v>0</v>
      </c>
      <c r="H65" s="77">
        <f ca="1">IFERROR(__xludf.DUMMYFUNCTION("IMPORTRANGE(""https://docs.google.com/spreadsheets/d/1MeEWN-I1oV_STSDYn1IFDPWt_1FKiwhDph83XaGc0o0/edit?usp=sharing"",""งบพรบ!BP65"")"),0)</f>
        <v>0</v>
      </c>
      <c r="I65" s="77">
        <f ca="1">IFERROR(__xludf.DUMMYFUNCTION("IMPORTRANGE(""https://docs.google.com/spreadsheets/d/1MeEWN-I1oV_STSDYn1IFDPWt_1FKiwhDph83XaGc0o0/edit?usp=sharing"",""งบพรบ!BQ65"")"),0)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IFERROR(__xludf.DUMMYFUNCTION("IMPORTRANGE(""https://docs.google.com/spreadsheets/d/1MeEWN-I1oV_STSDYn1IFDPWt_1FKiwhDph83XaGc0o0/edit?usp=sharing"",""งบพรบ!BR65"")"),0)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IFERROR(__xludf.DUMMYFUNCTION("IMPORTRANGE(""https://docs.google.com/spreadsheets/d/1MeEWN-I1oV_STSDYn1IFDPWt_1FKiwhDph83XaGc0o0/edit?usp=sharing"",""งบพรบ!BS65"")"),0)</f>
        <v>0</v>
      </c>
      <c r="P65" s="80">
        <f t="shared" ca="1" si="30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IFERROR(__xludf.DUMMYFUNCTION("IMPORTRANGE(""https://docs.google.com/spreadsheets/d/1CdNicvf3i6yt4tJlCePe3V1Va76wYqW0QzMzTsaGRrA/edit?usp=sharing"",""เพชรบุรี!J142"")"),0)</f>
        <v>0</v>
      </c>
      <c r="S65" s="81">
        <f ca="1">IFERROR(__xludf.DUMMYFUNCTION("IMPORTRANGE(""https://docs.google.com/spreadsheets/d/1CdNicvf3i6yt4tJlCePe3V1Va76wYqW0QzMzTsaGRrA/edit?usp=sharing"",""เพชรบุรี!I143"")"),0)</f>
        <v>0</v>
      </c>
      <c r="T65" s="81">
        <f ca="1">IFERROR(__xludf.DUMMYFUNCTION("IMPORTRANGE(""https://docs.google.com/spreadsheets/d/1CdNicvf3i6yt4tJlCePe3V1Va76wYqW0QzMzTsaGRrA/edit?usp=sharing"",""เพชรบุรี!J143"")"),0)</f>
        <v>0</v>
      </c>
      <c r="U65" s="82">
        <f t="shared" ca="1" si="25"/>
        <v>0</v>
      </c>
      <c r="V65" s="81">
        <f ca="1">IFERROR(__xludf.DUMMYFUNCTION("IMPORTRANGE(""https://docs.google.com/spreadsheets/d/1CdNicvf3i6yt4tJlCePe3V1Va76wYqW0QzMzTsaGRrA/edit?usp=sharing"",""เพชรบุรี!I144"")"),0)</f>
        <v>0</v>
      </c>
      <c r="W65" s="81">
        <f ca="1">IFERROR(__xludf.DUMMYFUNCTION("IMPORTRANGE(""https://docs.google.com/spreadsheets/d/1CdNicvf3i6yt4tJlCePe3V1Va76wYqW0QzMzTsaGRrA/edit?usp=sharing"",""เพชรบุรี!J144"")"),0)</f>
        <v>0</v>
      </c>
      <c r="X65" s="82">
        <f t="shared" ca="1" si="26"/>
        <v>0</v>
      </c>
      <c r="Y65" s="81">
        <f ca="1">IFERROR(__xludf.DUMMYFUNCTION("IMPORTRANGE(""https://docs.google.com/spreadsheets/d/1CdNicvf3i6yt4tJlCePe3V1Va76wYqW0QzMzTsaGRrA/edit?usp=sharing"",""เพชรบุรี!I145"")"),0)</f>
        <v>0</v>
      </c>
      <c r="Z65" s="81">
        <f ca="1">IFERROR(__xludf.DUMMYFUNCTION("IMPORTRANGE(""https://docs.google.com/spreadsheets/d/1CdNicvf3i6yt4tJlCePe3V1Va76wYqW0QzMzTsaGRrA/edit?usp=sharing"",""เพชรบุรี!J145"")"),0)</f>
        <v>0</v>
      </c>
      <c r="AA65" s="82">
        <f t="shared" ca="1" si="27"/>
        <v>0</v>
      </c>
      <c r="AB65" s="81">
        <f ca="1">IFERROR(__xludf.DUMMYFUNCTION("IMPORTRANGE(""https://docs.google.com/spreadsheets/d/1CdNicvf3i6yt4tJlCePe3V1Va76wYqW0QzMzTsaGRrA/edit?usp=sharing"",""เพชรบุรี!I146"")"),0)</f>
        <v>0</v>
      </c>
      <c r="AC65" s="81">
        <f ca="1">IFERROR(__xludf.DUMMYFUNCTION("IMPORTRANGE(""https://docs.google.com/spreadsheets/d/1CdNicvf3i6yt4tJlCePe3V1Va76wYqW0QzMzTsaGRrA/edit?usp=sharing"",""เพชรบุรี!J146"")"),0)</f>
        <v>0</v>
      </c>
      <c r="AD65" s="82">
        <f t="shared" ca="1" si="28"/>
        <v>0</v>
      </c>
    </row>
    <row r="66" spans="1:3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7"/>
        <v>0</v>
      </c>
      <c r="E66" s="77">
        <f ca="1">IFERROR(__xludf.DUMMYFUNCTION("IMPORTRANGE(""https://docs.google.com/spreadsheets/d/1MeEWN-I1oV_STSDYn1IFDPWt_1FKiwhDph83XaGc0o0/edit?usp=sharing"",""งบพรบ!BL66"")"),0)</f>
        <v>0</v>
      </c>
      <c r="F66" s="77">
        <f ca="1">IFERROR(__xludf.DUMMYFUNCTION("IMPORTRANGE(""https://docs.google.com/spreadsheets/d/1MeEWN-I1oV_STSDYn1IFDPWt_1FKiwhDph83XaGc0o0/edit?usp=sharing"",""งบพรบ!BM66"")"),0)</f>
        <v>0</v>
      </c>
      <c r="G66" s="77">
        <f ca="1">IFERROR(__xludf.DUMMYFUNCTION("IMPORTRANGE(""https://docs.google.com/spreadsheets/d/1MeEWN-I1oV_STSDYn1IFDPWt_1FKiwhDph83XaGc0o0/edit?usp=sharing"",""งบพรบ!BN66"")"),0)</f>
        <v>0</v>
      </c>
      <c r="H66" s="77">
        <f ca="1">IFERROR(__xludf.DUMMYFUNCTION("IMPORTRANGE(""https://docs.google.com/spreadsheets/d/1MeEWN-I1oV_STSDYn1IFDPWt_1FKiwhDph83XaGc0o0/edit?usp=sharing"",""งบพรบ!BP66"")"),0)</f>
        <v>0</v>
      </c>
      <c r="I66" s="77">
        <f ca="1">IFERROR(__xludf.DUMMYFUNCTION("IMPORTRANGE(""https://docs.google.com/spreadsheets/d/1MeEWN-I1oV_STSDYn1IFDPWt_1FKiwhDph83XaGc0o0/edit?usp=sharing"",""งบพรบ!BQ66"")"),0)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IFERROR(__xludf.DUMMYFUNCTION("IMPORTRANGE(""https://docs.google.com/spreadsheets/d/1MeEWN-I1oV_STSDYn1IFDPWt_1FKiwhDph83XaGc0o0/edit?usp=sharing"",""งบพรบ!BR66"")"),0)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IFERROR(__xludf.DUMMYFUNCTION("IMPORTRANGE(""https://docs.google.com/spreadsheets/d/1MeEWN-I1oV_STSDYn1IFDPWt_1FKiwhDph83XaGc0o0/edit?usp=sharing"",""งบพรบ!BS66"")"),0)</f>
        <v>0</v>
      </c>
      <c r="P66" s="80">
        <f t="shared" ca="1" si="30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IFERROR(__xludf.DUMMYFUNCTION("IMPORTRANGE(""https://docs.google.com/spreadsheets/d/1XiF77UIVHV0Kjc6xbXuOuJ10WgJYxd4p_22ngKVV5oM/edit?usp=sharing"",""ระยอง!J142"")"),0)</f>
        <v>0</v>
      </c>
      <c r="S66" s="81">
        <f ca="1">IFERROR(__xludf.DUMMYFUNCTION("IMPORTRANGE(""https://docs.google.com/spreadsheets/d/1XiF77UIVHV0Kjc6xbXuOuJ10WgJYxd4p_22ngKVV5oM/edit?usp=sharing"",""ระยอง!I143"")"),0)</f>
        <v>0</v>
      </c>
      <c r="T66" s="81">
        <f ca="1">IFERROR(__xludf.DUMMYFUNCTION("IMPORTRANGE(""https://docs.google.com/spreadsheets/d/1XiF77UIVHV0Kjc6xbXuOuJ10WgJYxd4p_22ngKVV5oM/edit?usp=sharing"",""ระยอง!J143"")"),0)</f>
        <v>0</v>
      </c>
      <c r="U66" s="82">
        <f t="shared" ca="1" si="25"/>
        <v>0</v>
      </c>
      <c r="V66" s="81">
        <f ca="1">IFERROR(__xludf.DUMMYFUNCTION("IMPORTRANGE(""https://docs.google.com/spreadsheets/d/1XiF77UIVHV0Kjc6xbXuOuJ10WgJYxd4p_22ngKVV5oM/edit?usp=sharing"",""ระยอง!I144"")"),0)</f>
        <v>0</v>
      </c>
      <c r="W66" s="81">
        <f ca="1">IFERROR(__xludf.DUMMYFUNCTION("IMPORTRANGE(""https://docs.google.com/spreadsheets/d/1XiF77UIVHV0Kjc6xbXuOuJ10WgJYxd4p_22ngKVV5oM/edit?usp=sharing"",""ระยอง!J144"")"),0)</f>
        <v>0</v>
      </c>
      <c r="X66" s="82">
        <f t="shared" ca="1" si="26"/>
        <v>0</v>
      </c>
      <c r="Y66" s="81">
        <f ca="1">IFERROR(__xludf.DUMMYFUNCTION("IMPORTRANGE(""https://docs.google.com/spreadsheets/d/1XiF77UIVHV0Kjc6xbXuOuJ10WgJYxd4p_22ngKVV5oM/edit?usp=sharing"",""ระยอง!I145"")"),0)</f>
        <v>0</v>
      </c>
      <c r="Z66" s="81">
        <f ca="1">IFERROR(__xludf.DUMMYFUNCTION("IMPORTRANGE(""https://docs.google.com/spreadsheets/d/1XiF77UIVHV0Kjc6xbXuOuJ10WgJYxd4p_22ngKVV5oM/edit?usp=sharing"",""ระยอง!J145"")"),0)</f>
        <v>0</v>
      </c>
      <c r="AA66" s="82">
        <f t="shared" ca="1" si="27"/>
        <v>0</v>
      </c>
      <c r="AB66" s="81">
        <f ca="1">IFERROR(__xludf.DUMMYFUNCTION("IMPORTRANGE(""https://docs.google.com/spreadsheets/d/1XiF77UIVHV0Kjc6xbXuOuJ10WgJYxd4p_22ngKVV5oM/edit?usp=sharing"",""ระยอง!I146"")"),0)</f>
        <v>0</v>
      </c>
      <c r="AC66" s="81">
        <f ca="1">IFERROR(__xludf.DUMMYFUNCTION("IMPORTRANGE(""https://docs.google.com/spreadsheets/d/1XiF77UIVHV0Kjc6xbXuOuJ10WgJYxd4p_22ngKVV5oM/edit?usp=sharing"",""ระยอง!J146"")"),0)</f>
        <v>0</v>
      </c>
      <c r="AD66" s="82">
        <f t="shared" ca="1" si="28"/>
        <v>0</v>
      </c>
    </row>
    <row r="67" spans="1:30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47"/>
        <v>0</v>
      </c>
      <c r="E67" s="77">
        <f ca="1">IFERROR(__xludf.DUMMYFUNCTION("IMPORTRANGE(""https://docs.google.com/spreadsheets/d/1MeEWN-I1oV_STSDYn1IFDPWt_1FKiwhDph83XaGc0o0/edit?usp=sharing"",""งบพรบ!BL67"")"),0)</f>
        <v>0</v>
      </c>
      <c r="F67" s="77">
        <f ca="1">IFERROR(__xludf.DUMMYFUNCTION("IMPORTRANGE(""https://docs.google.com/spreadsheets/d/1MeEWN-I1oV_STSDYn1IFDPWt_1FKiwhDph83XaGc0o0/edit?usp=sharing"",""งบพรบ!BM67"")"),0)</f>
        <v>0</v>
      </c>
      <c r="G67" s="77">
        <f ca="1">IFERROR(__xludf.DUMMYFUNCTION("IMPORTRANGE(""https://docs.google.com/spreadsheets/d/1MeEWN-I1oV_STSDYn1IFDPWt_1FKiwhDph83XaGc0o0/edit?usp=sharing"",""งบพรบ!BN67"")"),0)</f>
        <v>0</v>
      </c>
      <c r="H67" s="77">
        <f ca="1">IFERROR(__xludf.DUMMYFUNCTION("IMPORTRANGE(""https://docs.google.com/spreadsheets/d/1MeEWN-I1oV_STSDYn1IFDPWt_1FKiwhDph83XaGc0o0/edit?usp=sharing"",""งบพรบ!BP67"")"),0)</f>
        <v>0</v>
      </c>
      <c r="I67" s="77">
        <f ca="1">IFERROR(__xludf.DUMMYFUNCTION("IMPORTRANGE(""https://docs.google.com/spreadsheets/d/1MeEWN-I1oV_STSDYn1IFDPWt_1FKiwhDph83XaGc0o0/edit?usp=sharing"",""งบพรบ!BQ67"")"),0)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IFERROR(__xludf.DUMMYFUNCTION("IMPORTRANGE(""https://docs.google.com/spreadsheets/d/1MeEWN-I1oV_STSDYn1IFDPWt_1FKiwhDph83XaGc0o0/edit?usp=sharing"",""งบพรบ!BR67"")"),0)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IFERROR(__xludf.DUMMYFUNCTION("IMPORTRANGE(""https://docs.google.com/spreadsheets/d/1MeEWN-I1oV_STSDYn1IFDPWt_1FKiwhDph83XaGc0o0/edit?usp=sharing"",""งบพรบ!BS67"")"),0)</f>
        <v>0</v>
      </c>
      <c r="P67" s="80">
        <f t="shared" ca="1" si="30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IFERROR(__xludf.DUMMYFUNCTION("IMPORTRANGE(""https://docs.google.com/spreadsheets/d/1qU-W_9MCQD1pgIVXGEOjCFo9QqlmJywuebyGgaN92r8/edit?usp=sharing"",""ราชบุรี!J142"")"),0)</f>
        <v>0</v>
      </c>
      <c r="S67" s="81">
        <f ca="1">IFERROR(__xludf.DUMMYFUNCTION("IMPORTRANGE(""https://docs.google.com/spreadsheets/d/1qU-W_9MCQD1pgIVXGEOjCFo9QqlmJywuebyGgaN92r8/edit?usp=sharing"",""ราชบุรี!I143"")"),0)</f>
        <v>0</v>
      </c>
      <c r="T67" s="81">
        <f ca="1">IFERROR(__xludf.DUMMYFUNCTION("IMPORTRANGE(""https://docs.google.com/spreadsheets/d/1qU-W_9MCQD1pgIVXGEOjCFo9QqlmJywuebyGgaN92r8/edit?usp=sharing"",""ราชบุรี!J143"")"),0)</f>
        <v>0</v>
      </c>
      <c r="U67" s="82">
        <f t="shared" ca="1" si="25"/>
        <v>0</v>
      </c>
      <c r="V67" s="81">
        <f ca="1">IFERROR(__xludf.DUMMYFUNCTION("IMPORTRANGE(""https://docs.google.com/spreadsheets/d/1qU-W_9MCQD1pgIVXGEOjCFo9QqlmJywuebyGgaN92r8/edit?usp=sharing"",""ราชบุรี!I144"")"),0)</f>
        <v>0</v>
      </c>
      <c r="W67" s="81">
        <f ca="1">IFERROR(__xludf.DUMMYFUNCTION("IMPORTRANGE(""https://docs.google.com/spreadsheets/d/1qU-W_9MCQD1pgIVXGEOjCFo9QqlmJywuebyGgaN92r8/edit?usp=sharing"",""ราชบุรี!J144"")"),0)</f>
        <v>0</v>
      </c>
      <c r="X67" s="82">
        <f t="shared" ca="1" si="26"/>
        <v>0</v>
      </c>
      <c r="Y67" s="81">
        <f ca="1">IFERROR(__xludf.DUMMYFUNCTION("IMPORTRANGE(""https://docs.google.com/spreadsheets/d/1qU-W_9MCQD1pgIVXGEOjCFo9QqlmJywuebyGgaN92r8/edit?usp=sharing"",""ราชบุรี!I145"")"),0)</f>
        <v>0</v>
      </c>
      <c r="Z67" s="81">
        <f ca="1">IFERROR(__xludf.DUMMYFUNCTION("IMPORTRANGE(""https://docs.google.com/spreadsheets/d/1qU-W_9MCQD1pgIVXGEOjCFo9QqlmJywuebyGgaN92r8/edit?usp=sharing"",""ราชบุรี!J145"")"),0)</f>
        <v>0</v>
      </c>
      <c r="AA67" s="82">
        <f t="shared" ca="1" si="27"/>
        <v>0</v>
      </c>
      <c r="AB67" s="81">
        <f ca="1">IFERROR(__xludf.DUMMYFUNCTION("IMPORTRANGE(""https://docs.google.com/spreadsheets/d/1qU-W_9MCQD1pgIVXGEOjCFo9QqlmJywuebyGgaN92r8/edit?usp=sharing"",""ราชบุรี!I146"")"),0)</f>
        <v>0</v>
      </c>
      <c r="AC67" s="81">
        <f ca="1">IFERROR(__xludf.DUMMYFUNCTION("IMPORTRANGE(""https://docs.google.com/spreadsheets/d/1qU-W_9MCQD1pgIVXGEOjCFo9QqlmJywuebyGgaN92r8/edit?usp=sharing"",""ราชบุรี!J146"")"),0)</f>
        <v>0</v>
      </c>
      <c r="AD67" s="82">
        <f t="shared" ca="1" si="28"/>
        <v>0</v>
      </c>
    </row>
    <row r="68" spans="1:30" ht="24" customHeight="1" x14ac:dyDescent="0.2">
      <c r="A68" s="73">
        <v>16</v>
      </c>
      <c r="B68" s="74" t="s">
        <v>90</v>
      </c>
      <c r="C68" s="75">
        <f t="shared" ca="1" si="0"/>
        <v>0</v>
      </c>
      <c r="D68" s="76">
        <f t="shared" ca="1" si="47"/>
        <v>0</v>
      </c>
      <c r="E68" s="77">
        <f ca="1">IFERROR(__xludf.DUMMYFUNCTION("IMPORTRANGE(""https://docs.google.com/spreadsheets/d/1MeEWN-I1oV_STSDYn1IFDPWt_1FKiwhDph83XaGc0o0/edit?usp=sharing"",""งบพรบ!BL68"")"),0)</f>
        <v>0</v>
      </c>
      <c r="F68" s="77">
        <f ca="1">IFERROR(__xludf.DUMMYFUNCTION("IMPORTRANGE(""https://docs.google.com/spreadsheets/d/1MeEWN-I1oV_STSDYn1IFDPWt_1FKiwhDph83XaGc0o0/edit?usp=sharing"",""งบพรบ!BM68"")"),0)</f>
        <v>0</v>
      </c>
      <c r="G68" s="77">
        <f ca="1">IFERROR(__xludf.DUMMYFUNCTION("IMPORTRANGE(""https://docs.google.com/spreadsheets/d/1MeEWN-I1oV_STSDYn1IFDPWt_1FKiwhDph83XaGc0o0/edit?usp=sharing"",""งบพรบ!BN68"")"),0)</f>
        <v>0</v>
      </c>
      <c r="H68" s="77">
        <f ca="1">IFERROR(__xludf.DUMMYFUNCTION("IMPORTRANGE(""https://docs.google.com/spreadsheets/d/1MeEWN-I1oV_STSDYn1IFDPWt_1FKiwhDph83XaGc0o0/edit?usp=sharing"",""งบพรบ!BP68"")"),0)</f>
        <v>0</v>
      </c>
      <c r="I68" s="77">
        <f ca="1">IFERROR(__xludf.DUMMYFUNCTION("IMPORTRANGE(""https://docs.google.com/spreadsheets/d/1MeEWN-I1oV_STSDYn1IFDPWt_1FKiwhDph83XaGc0o0/edit?usp=sharing"",""งบพรบ!BQ68"")"),0)</f>
        <v>0</v>
      </c>
      <c r="J68" s="77">
        <f t="shared" ca="1" si="3"/>
        <v>0</v>
      </c>
      <c r="K68" s="78">
        <f t="shared" ca="1" si="4"/>
        <v>0</v>
      </c>
      <c r="L68" s="77">
        <f ca="1">IFERROR(__xludf.DUMMYFUNCTION("IMPORTRANGE(""https://docs.google.com/spreadsheets/d/1MeEWN-I1oV_STSDYn1IFDPWt_1FKiwhDph83XaGc0o0/edit?usp=sharing"",""งบพรบ!BR68"")"),0)</f>
        <v>0</v>
      </c>
      <c r="M68" s="79">
        <f t="shared" ca="1" si="5"/>
        <v>0</v>
      </c>
      <c r="N68" s="79">
        <f t="shared" ca="1" si="6"/>
        <v>0</v>
      </c>
      <c r="O68" s="80">
        <f ca="1">IFERROR(__xludf.DUMMYFUNCTION("IMPORTRANGE(""https://docs.google.com/spreadsheets/d/1MeEWN-I1oV_STSDYn1IFDPWt_1FKiwhDph83XaGc0o0/edit?usp=sharing"",""งบพรบ!BS68"")"),0)</f>
        <v>0</v>
      </c>
      <c r="P68" s="80">
        <f t="shared" ca="1" si="30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IFERROR(__xludf.DUMMYFUNCTION("IMPORTRANGE(""https://docs.google.com/spreadsheets/d/1xYFIxIM_CspAP5Q-5Zx_V0T_Ut3cjryrjd2hss28vGk/edit?usp=sharing"",""ลพบุรี!J142"")"),0)</f>
        <v>0</v>
      </c>
      <c r="S68" s="81">
        <f ca="1">IFERROR(__xludf.DUMMYFUNCTION("IMPORTRANGE(""https://docs.google.com/spreadsheets/d/1xYFIxIM_CspAP5Q-5Zx_V0T_Ut3cjryrjd2hss28vGk/edit?usp=sharing"",""ลพบุรี!I143"")"),0)</f>
        <v>0</v>
      </c>
      <c r="T68" s="81">
        <f ca="1">IFERROR(__xludf.DUMMYFUNCTION("IMPORTRANGE(""https://docs.google.com/spreadsheets/d/1xYFIxIM_CspAP5Q-5Zx_V0T_Ut3cjryrjd2hss28vGk/edit?usp=sharing"",""ลพบุรี!J143"")"),0)</f>
        <v>0</v>
      </c>
      <c r="U68" s="82">
        <f t="shared" ca="1" si="25"/>
        <v>0</v>
      </c>
      <c r="V68" s="81">
        <f ca="1">IFERROR(__xludf.DUMMYFUNCTION("IMPORTRANGE(""https://docs.google.com/spreadsheets/d/1xYFIxIM_CspAP5Q-5Zx_V0T_Ut3cjryrjd2hss28vGk/edit?usp=sharing"",""ลพบุรี!I144"")"),0)</f>
        <v>0</v>
      </c>
      <c r="W68" s="81">
        <f ca="1">IFERROR(__xludf.DUMMYFUNCTION("IMPORTRANGE(""https://docs.google.com/spreadsheets/d/1xYFIxIM_CspAP5Q-5Zx_V0T_Ut3cjryrjd2hss28vGk/edit?usp=sharing"",""ลพบุรี!J144"")"),0)</f>
        <v>0</v>
      </c>
      <c r="X68" s="82">
        <f t="shared" ca="1" si="26"/>
        <v>0</v>
      </c>
      <c r="Y68" s="81">
        <f ca="1">IFERROR(__xludf.DUMMYFUNCTION("IMPORTRANGE(""https://docs.google.com/spreadsheets/d/1xYFIxIM_CspAP5Q-5Zx_V0T_Ut3cjryrjd2hss28vGk/edit?usp=sharing"",""ลพบุรี!I145"")"),0)</f>
        <v>0</v>
      </c>
      <c r="Z68" s="81">
        <f ca="1">IFERROR(__xludf.DUMMYFUNCTION("IMPORTRANGE(""https://docs.google.com/spreadsheets/d/1xYFIxIM_CspAP5Q-5Zx_V0T_Ut3cjryrjd2hss28vGk/edit?usp=sharing"",""ลพบุรี!J145"")"),0)</f>
        <v>0</v>
      </c>
      <c r="AA68" s="82">
        <f t="shared" ca="1" si="27"/>
        <v>0</v>
      </c>
      <c r="AB68" s="81">
        <f ca="1">IFERROR(__xludf.DUMMYFUNCTION("IMPORTRANGE(""https://docs.google.com/spreadsheets/d/1xYFIxIM_CspAP5Q-5Zx_V0T_Ut3cjryrjd2hss28vGk/edit?usp=sharing"",""ลพบุรี!I146"")"),0)</f>
        <v>0</v>
      </c>
      <c r="AC68" s="81">
        <f ca="1">IFERROR(__xludf.DUMMYFUNCTION("IMPORTRANGE(""https://docs.google.com/spreadsheets/d/1xYFIxIM_CspAP5Q-5Zx_V0T_Ut3cjryrjd2hss28vGk/edit?usp=sharing"",""ลพบุรี!J146"")"),0)</f>
        <v>0</v>
      </c>
      <c r="AD68" s="82">
        <f t="shared" ca="1" si="28"/>
        <v>0</v>
      </c>
    </row>
    <row r="69" spans="1:30" ht="21" customHeight="1" x14ac:dyDescent="0.2">
      <c r="A69" s="73">
        <v>17</v>
      </c>
      <c r="B69" s="74" t="s">
        <v>91</v>
      </c>
      <c r="C69" s="75">
        <f t="shared" ca="1" si="0"/>
        <v>0</v>
      </c>
      <c r="D69" s="76">
        <f t="shared" ca="1" si="47"/>
        <v>0</v>
      </c>
      <c r="E69" s="77">
        <f ca="1">IFERROR(__xludf.DUMMYFUNCTION("IMPORTRANGE(""https://docs.google.com/spreadsheets/d/1MeEWN-I1oV_STSDYn1IFDPWt_1FKiwhDph83XaGc0o0/edit?usp=sharing"",""งบพรบ!BL69"")"),0)</f>
        <v>0</v>
      </c>
      <c r="F69" s="77">
        <f ca="1">IFERROR(__xludf.DUMMYFUNCTION("IMPORTRANGE(""https://docs.google.com/spreadsheets/d/1MeEWN-I1oV_STSDYn1IFDPWt_1FKiwhDph83XaGc0o0/edit?usp=sharing"",""งบพรบ!BM69"")"),0)</f>
        <v>0</v>
      </c>
      <c r="G69" s="77">
        <f ca="1">IFERROR(__xludf.DUMMYFUNCTION("IMPORTRANGE(""https://docs.google.com/spreadsheets/d/1MeEWN-I1oV_STSDYn1IFDPWt_1FKiwhDph83XaGc0o0/edit?usp=sharing"",""งบพรบ!BN69"")"),0)</f>
        <v>0</v>
      </c>
      <c r="H69" s="77">
        <f ca="1">IFERROR(__xludf.DUMMYFUNCTION("IMPORTRANGE(""https://docs.google.com/spreadsheets/d/1MeEWN-I1oV_STSDYn1IFDPWt_1FKiwhDph83XaGc0o0/edit?usp=sharing"",""งบพรบ!BP69"")"),0)</f>
        <v>0</v>
      </c>
      <c r="I69" s="77">
        <f ca="1">IFERROR(__xludf.DUMMYFUNCTION("IMPORTRANGE(""https://docs.google.com/spreadsheets/d/1MeEWN-I1oV_STSDYn1IFDPWt_1FKiwhDph83XaGc0o0/edit?usp=sharing"",""งบพรบ!BQ69"")"),0)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IFERROR(__xludf.DUMMYFUNCTION("IMPORTRANGE(""https://docs.google.com/spreadsheets/d/1MeEWN-I1oV_STSDYn1IFDPWt_1FKiwhDph83XaGc0o0/edit?usp=sharing"",""งบพรบ!BR69"")"),0)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IFERROR(__xludf.DUMMYFUNCTION("IMPORTRANGE(""https://docs.google.com/spreadsheets/d/1MeEWN-I1oV_STSDYn1IFDPWt_1FKiwhDph83XaGc0o0/edit?usp=sharing"",""งบพรบ!BS69"")"),0)</f>
        <v>0</v>
      </c>
      <c r="P69" s="80">
        <f t="shared" ca="1" si="30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IFERROR(__xludf.DUMMYFUNCTION("IMPORTRANGE(""https://docs.google.com/spreadsheets/d/11s9m3tKsCBdPWq6syhZm27eBGbKneDLZc75co106bio/edit?usp=sharing"",""สระแก้ว!J142"")"),0)</f>
        <v>0</v>
      </c>
      <c r="S69" s="81">
        <f ca="1">IFERROR(__xludf.DUMMYFUNCTION("IMPORTRANGE(""https://docs.google.com/spreadsheets/d/11s9m3tKsCBdPWq6syhZm27eBGbKneDLZc75co106bio/edit?usp=sharing"",""สระแก้ว!I143"")"),0)</f>
        <v>0</v>
      </c>
      <c r="T69" s="81">
        <f ca="1">IFERROR(__xludf.DUMMYFUNCTION("IMPORTRANGE(""https://docs.google.com/spreadsheets/d/11s9m3tKsCBdPWq6syhZm27eBGbKneDLZc75co106bio/edit?usp=sharing"",""สระแก้ว!J143"")"),0)</f>
        <v>0</v>
      </c>
      <c r="U69" s="82">
        <f t="shared" ca="1" si="25"/>
        <v>0</v>
      </c>
      <c r="V69" s="81">
        <f ca="1">IFERROR(__xludf.DUMMYFUNCTION("IMPORTRANGE(""https://docs.google.com/spreadsheets/d/11s9m3tKsCBdPWq6syhZm27eBGbKneDLZc75co106bio/edit?usp=sharing"",""สระแก้ว!I144"")"),0)</f>
        <v>0</v>
      </c>
      <c r="W69" s="81">
        <f ca="1">IFERROR(__xludf.DUMMYFUNCTION("IMPORTRANGE(""https://docs.google.com/spreadsheets/d/11s9m3tKsCBdPWq6syhZm27eBGbKneDLZc75co106bio/edit?usp=sharing"",""สระแก้ว!J144"")"),0)</f>
        <v>0</v>
      </c>
      <c r="X69" s="82">
        <f t="shared" ca="1" si="26"/>
        <v>0</v>
      </c>
      <c r="Y69" s="81">
        <f ca="1">IFERROR(__xludf.DUMMYFUNCTION("IMPORTRANGE(""https://docs.google.com/spreadsheets/d/11s9m3tKsCBdPWq6syhZm27eBGbKneDLZc75co106bio/edit?usp=sharing"",""สระแก้ว!I145"")"),0)</f>
        <v>0</v>
      </c>
      <c r="Z69" s="81">
        <f ca="1">IFERROR(__xludf.DUMMYFUNCTION("IMPORTRANGE(""https://docs.google.com/spreadsheets/d/11s9m3tKsCBdPWq6syhZm27eBGbKneDLZc75co106bio/edit?usp=sharing"",""สระแก้ว!J145"")"),0)</f>
        <v>0</v>
      </c>
      <c r="AA69" s="82">
        <f t="shared" ca="1" si="27"/>
        <v>0</v>
      </c>
      <c r="AB69" s="81">
        <f ca="1">IFERROR(__xludf.DUMMYFUNCTION("IMPORTRANGE(""https://docs.google.com/spreadsheets/d/11s9m3tKsCBdPWq6syhZm27eBGbKneDLZc75co106bio/edit?usp=sharing"",""สระแก้ว!I146"")"),0)</f>
        <v>0</v>
      </c>
      <c r="AC69" s="81">
        <f ca="1">IFERROR(__xludf.DUMMYFUNCTION("IMPORTRANGE(""https://docs.google.com/spreadsheets/d/11s9m3tKsCBdPWq6syhZm27eBGbKneDLZc75co106bio/edit?usp=sharing"",""สระแก้ว!J146"")"),0)</f>
        <v>0</v>
      </c>
      <c r="AD69" s="82">
        <f t="shared" ca="1" si="28"/>
        <v>0</v>
      </c>
    </row>
    <row r="70" spans="1:30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7"/>
        <v>0</v>
      </c>
      <c r="E70" s="77">
        <f ca="1">IFERROR(__xludf.DUMMYFUNCTION("IMPORTRANGE(""https://docs.google.com/spreadsheets/d/1MeEWN-I1oV_STSDYn1IFDPWt_1FKiwhDph83XaGc0o0/edit?usp=sharing"",""งบพรบ!BL70"")"),0)</f>
        <v>0</v>
      </c>
      <c r="F70" s="77">
        <f ca="1">IFERROR(__xludf.DUMMYFUNCTION("IMPORTRANGE(""https://docs.google.com/spreadsheets/d/1MeEWN-I1oV_STSDYn1IFDPWt_1FKiwhDph83XaGc0o0/edit?usp=sharing"",""งบพรบ!BM70"")"),0)</f>
        <v>0</v>
      </c>
      <c r="G70" s="77">
        <f ca="1">IFERROR(__xludf.DUMMYFUNCTION("IMPORTRANGE(""https://docs.google.com/spreadsheets/d/1MeEWN-I1oV_STSDYn1IFDPWt_1FKiwhDph83XaGc0o0/edit?usp=sharing"",""งบพรบ!BN70"")"),0)</f>
        <v>0</v>
      </c>
      <c r="H70" s="77">
        <f ca="1">IFERROR(__xludf.DUMMYFUNCTION("IMPORTRANGE(""https://docs.google.com/spreadsheets/d/1MeEWN-I1oV_STSDYn1IFDPWt_1FKiwhDph83XaGc0o0/edit?usp=sharing"",""งบพรบ!BP70"")"),0)</f>
        <v>0</v>
      </c>
      <c r="I70" s="77">
        <f ca="1">IFERROR(__xludf.DUMMYFUNCTION("IMPORTRANGE(""https://docs.google.com/spreadsheets/d/1MeEWN-I1oV_STSDYn1IFDPWt_1FKiwhDph83XaGc0o0/edit?usp=sharing"",""งบพรบ!BQ70"")"),0)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IFERROR(__xludf.DUMMYFUNCTION("IMPORTRANGE(""https://docs.google.com/spreadsheets/d/1MeEWN-I1oV_STSDYn1IFDPWt_1FKiwhDph83XaGc0o0/edit?usp=sharing"",""งบพรบ!BR70"")"),0)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IFERROR(__xludf.DUMMYFUNCTION("IMPORTRANGE(""https://docs.google.com/spreadsheets/d/1MeEWN-I1oV_STSDYn1IFDPWt_1FKiwhDph83XaGc0o0/edit?usp=sharing"",""งบพรบ!BS70"")"),0)</f>
        <v>0</v>
      </c>
      <c r="P70" s="80">
        <f t="shared" ca="1" si="30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IFERROR(__xludf.DUMMYFUNCTION("IMPORTRANGE(""https://docs.google.com/spreadsheets/d/1Nn1EvsFPtXldgpgVb3Rcng2K2cls68LFQsBh2FyW0Bg/edit?usp=sharing"",""สระบุรี!J142"")"),0)</f>
        <v>0</v>
      </c>
      <c r="S70" s="81">
        <f ca="1">IFERROR(__xludf.DUMMYFUNCTION("IMPORTRANGE(""https://docs.google.com/spreadsheets/d/1Nn1EvsFPtXldgpgVb3Rcng2K2cls68LFQsBh2FyW0Bg/edit?usp=sharing"",""สระบุรี!I143"")"),0)</f>
        <v>0</v>
      </c>
      <c r="T70" s="81">
        <f ca="1">IFERROR(__xludf.DUMMYFUNCTION("IMPORTRANGE(""https://docs.google.com/spreadsheets/d/1Nn1EvsFPtXldgpgVb3Rcng2K2cls68LFQsBh2FyW0Bg/edit?usp=sharing"",""สระบุรี!J143"")"),0)</f>
        <v>0</v>
      </c>
      <c r="U70" s="82">
        <f t="shared" ca="1" si="25"/>
        <v>0</v>
      </c>
      <c r="V70" s="81">
        <f ca="1">IFERROR(__xludf.DUMMYFUNCTION("IMPORTRANGE(""https://docs.google.com/spreadsheets/d/1Nn1EvsFPtXldgpgVb3Rcng2K2cls68LFQsBh2FyW0Bg/edit?usp=sharing"",""สระบุรี!I144"")"),0)</f>
        <v>0</v>
      </c>
      <c r="W70" s="81">
        <f ca="1">IFERROR(__xludf.DUMMYFUNCTION("IMPORTRANGE(""https://docs.google.com/spreadsheets/d/1Nn1EvsFPtXldgpgVb3Rcng2K2cls68LFQsBh2FyW0Bg/edit?usp=sharing"",""สระบุรี!J144"")"),0)</f>
        <v>0</v>
      </c>
      <c r="X70" s="82">
        <f t="shared" ca="1" si="26"/>
        <v>0</v>
      </c>
      <c r="Y70" s="81">
        <f ca="1">IFERROR(__xludf.DUMMYFUNCTION("IMPORTRANGE(""https://docs.google.com/spreadsheets/d/1Nn1EvsFPtXldgpgVb3Rcng2K2cls68LFQsBh2FyW0Bg/edit?usp=sharing"",""สระบุรี!I145"")"),0)</f>
        <v>0</v>
      </c>
      <c r="Z70" s="81">
        <f ca="1">IFERROR(__xludf.DUMMYFUNCTION("IMPORTRANGE(""https://docs.google.com/spreadsheets/d/1Nn1EvsFPtXldgpgVb3Rcng2K2cls68LFQsBh2FyW0Bg/edit?usp=sharing"",""สระบุรี!J145"")"),0)</f>
        <v>0</v>
      </c>
      <c r="AA70" s="82">
        <f t="shared" ca="1" si="27"/>
        <v>0</v>
      </c>
      <c r="AB70" s="81">
        <f ca="1">IFERROR(__xludf.DUMMYFUNCTION("IMPORTRANGE(""https://docs.google.com/spreadsheets/d/1Nn1EvsFPtXldgpgVb3Rcng2K2cls68LFQsBh2FyW0Bg/edit?usp=sharing"",""สระบุรี!I146"")"),0)</f>
        <v>0</v>
      </c>
      <c r="AC70" s="81">
        <f ca="1">IFERROR(__xludf.DUMMYFUNCTION("IMPORTRANGE(""https://docs.google.com/spreadsheets/d/1Nn1EvsFPtXldgpgVb3Rcng2K2cls68LFQsBh2FyW0Bg/edit?usp=sharing"",""สระบุรี!J146"")"),0)</f>
        <v>0</v>
      </c>
      <c r="AD70" s="82">
        <f t="shared" ca="1" si="28"/>
        <v>0</v>
      </c>
    </row>
    <row r="71" spans="1:3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7"/>
        <v>0</v>
      </c>
      <c r="E71" s="77">
        <f ca="1">IFERROR(__xludf.DUMMYFUNCTION("IMPORTRANGE(""https://docs.google.com/spreadsheets/d/1MeEWN-I1oV_STSDYn1IFDPWt_1FKiwhDph83XaGc0o0/edit?usp=sharing"",""งบพรบ!BL71"")"),0)</f>
        <v>0</v>
      </c>
      <c r="F71" s="77">
        <f ca="1">IFERROR(__xludf.DUMMYFUNCTION("IMPORTRANGE(""https://docs.google.com/spreadsheets/d/1MeEWN-I1oV_STSDYn1IFDPWt_1FKiwhDph83XaGc0o0/edit?usp=sharing"",""งบพรบ!BM71"")"),0)</f>
        <v>0</v>
      </c>
      <c r="G71" s="77">
        <f ca="1">IFERROR(__xludf.DUMMYFUNCTION("IMPORTRANGE(""https://docs.google.com/spreadsheets/d/1MeEWN-I1oV_STSDYn1IFDPWt_1FKiwhDph83XaGc0o0/edit?usp=sharing"",""งบพรบ!BN71"")"),0)</f>
        <v>0</v>
      </c>
      <c r="H71" s="77">
        <f ca="1">IFERROR(__xludf.DUMMYFUNCTION("IMPORTRANGE(""https://docs.google.com/spreadsheets/d/1MeEWN-I1oV_STSDYn1IFDPWt_1FKiwhDph83XaGc0o0/edit?usp=sharing"",""งบพรบ!BP71"")"),0)</f>
        <v>0</v>
      </c>
      <c r="I71" s="77">
        <f ca="1">IFERROR(__xludf.DUMMYFUNCTION("IMPORTRANGE(""https://docs.google.com/spreadsheets/d/1MeEWN-I1oV_STSDYn1IFDPWt_1FKiwhDph83XaGc0o0/edit?usp=sharing"",""งบพรบ!BQ71"")"),0)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IFERROR(__xludf.DUMMYFUNCTION("IMPORTRANGE(""https://docs.google.com/spreadsheets/d/1MeEWN-I1oV_STSDYn1IFDPWt_1FKiwhDph83XaGc0o0/edit?usp=sharing"",""งบพรบ!BR71"")"),0)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IFERROR(__xludf.DUMMYFUNCTION("IMPORTRANGE(""https://docs.google.com/spreadsheets/d/1MeEWN-I1oV_STSDYn1IFDPWt_1FKiwhDph83XaGc0o0/edit?usp=sharing"",""งบพรบ!BS71"")"),0)</f>
        <v>0</v>
      </c>
      <c r="P71" s="80">
        <f t="shared" ca="1" si="30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IFERROR(__xludf.DUMMYFUNCTION("IMPORTRANGE(""https://docs.google.com/spreadsheets/d/149xufxukrnEciK3WPbNpHwUK8BKEJxp3UcBG3Al6dA4/edit?usp=sharing"",""สิงห์บุรี!J142"")"),0)</f>
        <v>0</v>
      </c>
      <c r="S71" s="81">
        <f ca="1">IFERROR(__xludf.DUMMYFUNCTION("IMPORTRANGE(""https://docs.google.com/spreadsheets/d/149xufxukrnEciK3WPbNpHwUK8BKEJxp3UcBG3Al6dA4/edit?usp=sharing"",""สิงห์บุรี!I143"")"),0)</f>
        <v>0</v>
      </c>
      <c r="T71" s="81">
        <f ca="1">IFERROR(__xludf.DUMMYFUNCTION("IMPORTRANGE(""https://docs.google.com/spreadsheets/d/149xufxukrnEciK3WPbNpHwUK8BKEJxp3UcBG3Al6dA4/edit?usp=sharing"",""สิงห์บุรี!J143"")"),0)</f>
        <v>0</v>
      </c>
      <c r="U71" s="82">
        <f t="shared" ca="1" si="25"/>
        <v>0</v>
      </c>
      <c r="V71" s="81">
        <f ca="1">IFERROR(__xludf.DUMMYFUNCTION("IMPORTRANGE(""https://docs.google.com/spreadsheets/d/149xufxukrnEciK3WPbNpHwUK8BKEJxp3UcBG3Al6dA4/edit?usp=sharing"",""สิงห์บุรี!I144"")"),0)</f>
        <v>0</v>
      </c>
      <c r="W71" s="81">
        <f ca="1">IFERROR(__xludf.DUMMYFUNCTION("IMPORTRANGE(""https://docs.google.com/spreadsheets/d/149xufxukrnEciK3WPbNpHwUK8BKEJxp3UcBG3Al6dA4/edit?usp=sharing"",""สิงห์บุรี!J144"")"),0)</f>
        <v>0</v>
      </c>
      <c r="X71" s="82">
        <f t="shared" ca="1" si="26"/>
        <v>0</v>
      </c>
      <c r="Y71" s="81">
        <f ca="1">IFERROR(__xludf.DUMMYFUNCTION("IMPORTRANGE(""https://docs.google.com/spreadsheets/d/149xufxukrnEciK3WPbNpHwUK8BKEJxp3UcBG3Al6dA4/edit?usp=sharing"",""สิงห์บุรี!I145"")"),0)</f>
        <v>0</v>
      </c>
      <c r="Z71" s="81">
        <f ca="1">IFERROR(__xludf.DUMMYFUNCTION("IMPORTRANGE(""https://docs.google.com/spreadsheets/d/149xufxukrnEciK3WPbNpHwUK8BKEJxp3UcBG3Al6dA4/edit?usp=sharing"",""สิงห์บุรี!J145"")"),0)</f>
        <v>0</v>
      </c>
      <c r="AA71" s="82">
        <f t="shared" ca="1" si="27"/>
        <v>0</v>
      </c>
      <c r="AB71" s="81">
        <f ca="1">IFERROR(__xludf.DUMMYFUNCTION("IMPORTRANGE(""https://docs.google.com/spreadsheets/d/149xufxukrnEciK3WPbNpHwUK8BKEJxp3UcBG3Al6dA4/edit?usp=sharing"",""สิงห์บุรี!I146"")"),0)</f>
        <v>0</v>
      </c>
      <c r="AC71" s="81">
        <f ca="1">IFERROR(__xludf.DUMMYFUNCTION("IMPORTRANGE(""https://docs.google.com/spreadsheets/d/149xufxukrnEciK3WPbNpHwUK8BKEJxp3UcBG3Al6dA4/edit?usp=sharing"",""สิงห์บุรี!J146"")"),0)</f>
        <v>0</v>
      </c>
      <c r="AD71" s="82">
        <f t="shared" ca="1" si="28"/>
        <v>0</v>
      </c>
    </row>
    <row r="72" spans="1:30" ht="21" customHeight="1" x14ac:dyDescent="0.2">
      <c r="A72" s="73">
        <v>20</v>
      </c>
      <c r="B72" s="74" t="s">
        <v>94</v>
      </c>
      <c r="C72" s="75">
        <f t="shared" ca="1" si="0"/>
        <v>0</v>
      </c>
      <c r="D72" s="76">
        <f t="shared" ca="1" si="47"/>
        <v>0</v>
      </c>
      <c r="E72" s="77">
        <f ca="1">IFERROR(__xludf.DUMMYFUNCTION("IMPORTRANGE(""https://docs.google.com/spreadsheets/d/1MeEWN-I1oV_STSDYn1IFDPWt_1FKiwhDph83XaGc0o0/edit?usp=sharing"",""งบพรบ!BL72"")"),0)</f>
        <v>0</v>
      </c>
      <c r="F72" s="77">
        <f ca="1">IFERROR(__xludf.DUMMYFUNCTION("IMPORTRANGE(""https://docs.google.com/spreadsheets/d/1MeEWN-I1oV_STSDYn1IFDPWt_1FKiwhDph83XaGc0o0/edit?usp=sharing"",""งบพรบ!BM72"")"),0)</f>
        <v>0</v>
      </c>
      <c r="G72" s="77">
        <f ca="1">IFERROR(__xludf.DUMMYFUNCTION("IMPORTRANGE(""https://docs.google.com/spreadsheets/d/1MeEWN-I1oV_STSDYn1IFDPWt_1FKiwhDph83XaGc0o0/edit?usp=sharing"",""งบพรบ!BN72"")"),0)</f>
        <v>0</v>
      </c>
      <c r="H72" s="77">
        <f ca="1">IFERROR(__xludf.DUMMYFUNCTION("IMPORTRANGE(""https://docs.google.com/spreadsheets/d/1MeEWN-I1oV_STSDYn1IFDPWt_1FKiwhDph83XaGc0o0/edit?usp=sharing"",""งบพรบ!BP72"")"),0)</f>
        <v>0</v>
      </c>
      <c r="I72" s="77">
        <f ca="1">IFERROR(__xludf.DUMMYFUNCTION("IMPORTRANGE(""https://docs.google.com/spreadsheets/d/1MeEWN-I1oV_STSDYn1IFDPWt_1FKiwhDph83XaGc0o0/edit?usp=sharing"",""งบพรบ!BQ72"")"),0)</f>
        <v>0</v>
      </c>
      <c r="J72" s="77">
        <f t="shared" ca="1" si="3"/>
        <v>0</v>
      </c>
      <c r="K72" s="78">
        <f t="shared" ca="1" si="4"/>
        <v>0</v>
      </c>
      <c r="L72" s="77">
        <f ca="1">IFERROR(__xludf.DUMMYFUNCTION("IMPORTRANGE(""https://docs.google.com/spreadsheets/d/1MeEWN-I1oV_STSDYn1IFDPWt_1FKiwhDph83XaGc0o0/edit?usp=sharing"",""งบพรบ!BR72"")"),0)</f>
        <v>0</v>
      </c>
      <c r="M72" s="79">
        <f t="shared" ca="1" si="5"/>
        <v>0</v>
      </c>
      <c r="N72" s="79">
        <f t="shared" ca="1" si="6"/>
        <v>0</v>
      </c>
      <c r="O72" s="80">
        <f ca="1">IFERROR(__xludf.DUMMYFUNCTION("IMPORTRANGE(""https://docs.google.com/spreadsheets/d/1MeEWN-I1oV_STSDYn1IFDPWt_1FKiwhDph83XaGc0o0/edit?usp=sharing"",""งบพรบ!BS72"")"),0)</f>
        <v>0</v>
      </c>
      <c r="P72" s="80">
        <f t="shared" ca="1" si="30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IFERROR(__xludf.DUMMYFUNCTION("IMPORTRANGE(""https://docs.google.com/spreadsheets/d/132g-zJpz2uMKimp17uOIx8A7o3w1Z25zwJyXnwsB56c/edit?usp=sharing"",""สุพรรณบุรี!J142"")"),0)</f>
        <v>0</v>
      </c>
      <c r="S72" s="81">
        <f ca="1">IFERROR(__xludf.DUMMYFUNCTION("IMPORTRANGE(""https://docs.google.com/spreadsheets/d/132g-zJpz2uMKimp17uOIx8A7o3w1Z25zwJyXnwsB56c/edit?usp=sharing"",""สุพรรณบุรี!I143"")"),0)</f>
        <v>0</v>
      </c>
      <c r="T72" s="81">
        <f ca="1">IFERROR(__xludf.DUMMYFUNCTION("IMPORTRANGE(""https://docs.google.com/spreadsheets/d/132g-zJpz2uMKimp17uOIx8A7o3w1Z25zwJyXnwsB56c/edit?usp=sharing"",""สุพรรณบุรี!J143"")"),0)</f>
        <v>0</v>
      </c>
      <c r="U72" s="82">
        <f t="shared" ca="1" si="25"/>
        <v>0</v>
      </c>
      <c r="V72" s="81">
        <f ca="1">IFERROR(__xludf.DUMMYFUNCTION("IMPORTRANGE(""https://docs.google.com/spreadsheets/d/132g-zJpz2uMKimp17uOIx8A7o3w1Z25zwJyXnwsB56c/edit?usp=sharing"",""สุพรรณบุรี!I144"")"),0)</f>
        <v>0</v>
      </c>
      <c r="W72" s="81">
        <f ca="1">IFERROR(__xludf.DUMMYFUNCTION("IMPORTRANGE(""https://docs.google.com/spreadsheets/d/132g-zJpz2uMKimp17uOIx8A7o3w1Z25zwJyXnwsB56c/edit?usp=sharing"",""สุพรรณบุรี!J144"")"),0)</f>
        <v>0</v>
      </c>
      <c r="X72" s="82">
        <f t="shared" ca="1" si="26"/>
        <v>0</v>
      </c>
      <c r="Y72" s="81">
        <f ca="1">IFERROR(__xludf.DUMMYFUNCTION("IMPORTRANGE(""https://docs.google.com/spreadsheets/d/132g-zJpz2uMKimp17uOIx8A7o3w1Z25zwJyXnwsB56c/edit?usp=sharing"",""สุพรรณบุรี!I145"")"),0)</f>
        <v>0</v>
      </c>
      <c r="Z72" s="81">
        <f ca="1">IFERROR(__xludf.DUMMYFUNCTION("IMPORTRANGE(""https://docs.google.com/spreadsheets/d/132g-zJpz2uMKimp17uOIx8A7o3w1Z25zwJyXnwsB56c/edit?usp=sharing"",""สุพรรณบุรี!J145"")"),0)</f>
        <v>0</v>
      </c>
      <c r="AA72" s="82">
        <f t="shared" ca="1" si="27"/>
        <v>0</v>
      </c>
      <c r="AB72" s="81">
        <f ca="1">IFERROR(__xludf.DUMMYFUNCTION("IMPORTRANGE(""https://docs.google.com/spreadsheets/d/132g-zJpz2uMKimp17uOIx8A7o3w1Z25zwJyXnwsB56c/edit?usp=sharing"",""สุพรรณบุรี!I146"")"),0)</f>
        <v>0</v>
      </c>
      <c r="AC72" s="81">
        <f ca="1">IFERROR(__xludf.DUMMYFUNCTION("IMPORTRANGE(""https://docs.google.com/spreadsheets/d/132g-zJpz2uMKimp17uOIx8A7o3w1Z25zwJyXnwsB56c/edit?usp=sharing"",""สุพรรณบุรี!J146"")"),0)</f>
        <v>0</v>
      </c>
      <c r="AD72" s="82">
        <f t="shared" ca="1" si="28"/>
        <v>0</v>
      </c>
    </row>
    <row r="73" spans="1:3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7"/>
        <v>0</v>
      </c>
      <c r="E73" s="88">
        <f ca="1">IFERROR(__xludf.DUMMYFUNCTION("IMPORTRANGE(""https://docs.google.com/spreadsheets/d/1MeEWN-I1oV_STSDYn1IFDPWt_1FKiwhDph83XaGc0o0/edit?usp=sharing"",""งบพรบ!BL73"")"),0)</f>
        <v>0</v>
      </c>
      <c r="F73" s="88">
        <f ca="1">IFERROR(__xludf.DUMMYFUNCTION("IMPORTRANGE(""https://docs.google.com/spreadsheets/d/1MeEWN-I1oV_STSDYn1IFDPWt_1FKiwhDph83XaGc0o0/edit?usp=sharing"",""งบพรบ!BM73"")"),0)</f>
        <v>0</v>
      </c>
      <c r="G73" s="88">
        <f ca="1">IFERROR(__xludf.DUMMYFUNCTION("IMPORTRANGE(""https://docs.google.com/spreadsheets/d/1MeEWN-I1oV_STSDYn1IFDPWt_1FKiwhDph83XaGc0o0/edit?usp=sharing"",""งบพรบ!BN73"")"),0)</f>
        <v>0</v>
      </c>
      <c r="H73" s="88">
        <f ca="1">IFERROR(__xludf.DUMMYFUNCTION("IMPORTRANGE(""https://docs.google.com/spreadsheets/d/1MeEWN-I1oV_STSDYn1IFDPWt_1FKiwhDph83XaGc0o0/edit?usp=sharing"",""งบพรบ!BP73"")"),0)</f>
        <v>0</v>
      </c>
      <c r="I73" s="88">
        <f ca="1">IFERROR(__xludf.DUMMYFUNCTION("IMPORTRANGE(""https://docs.google.com/spreadsheets/d/1MeEWN-I1oV_STSDYn1IFDPWt_1FKiwhDph83XaGc0o0/edit?usp=sharing"",""งบพรบ!BQ73"")"),0)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IFERROR(__xludf.DUMMYFUNCTION("IMPORTRANGE(""https://docs.google.com/spreadsheets/d/1MeEWN-I1oV_STSDYn1IFDPWt_1FKiwhDph83XaGc0o0/edit?usp=sharing"",""งบพรบ!BR73"")"),0)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IFERROR(__xludf.DUMMYFUNCTION("IMPORTRANGE(""https://docs.google.com/spreadsheets/d/1MeEWN-I1oV_STSDYn1IFDPWt_1FKiwhDph83XaGc0o0/edit?usp=sharing"",""งบพรบ!BS73"")"),0)</f>
        <v>0</v>
      </c>
      <c r="P73" s="91">
        <f t="shared" ca="1" si="30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IFERROR(__xludf.DUMMYFUNCTION("IMPORTRANGE(""https://docs.google.com/spreadsheets/d/12Q_U0nVnFdxDFwa0pej9xvx8ZvLC9Dpi_vRro_aiG5g/edit?usp=sharing"",""อ่างทอง!J142"")"),0)</f>
        <v>0</v>
      </c>
      <c r="S73" s="92">
        <f ca="1">IFERROR(__xludf.DUMMYFUNCTION("IMPORTRANGE(""https://docs.google.com/spreadsheets/d/12Q_U0nVnFdxDFwa0pej9xvx8ZvLC9Dpi_vRro_aiG5g/edit?usp=sharing"",""อ่างทอง!I143"")"),0)</f>
        <v>0</v>
      </c>
      <c r="T73" s="92">
        <f ca="1">IFERROR(__xludf.DUMMYFUNCTION("IMPORTRANGE(""https://docs.google.com/spreadsheets/d/12Q_U0nVnFdxDFwa0pej9xvx8ZvLC9Dpi_vRro_aiG5g/edit?usp=sharing"",""อ่างทอง!J143"")"),0)</f>
        <v>0</v>
      </c>
      <c r="U73" s="93">
        <f t="shared" ca="1" si="25"/>
        <v>0</v>
      </c>
      <c r="V73" s="92">
        <f ca="1">IFERROR(__xludf.DUMMYFUNCTION("IMPORTRANGE(""https://docs.google.com/spreadsheets/d/12Q_U0nVnFdxDFwa0pej9xvx8ZvLC9Dpi_vRro_aiG5g/edit?usp=sharing"",""อ่างทอง!I144"")"),0)</f>
        <v>0</v>
      </c>
      <c r="W73" s="92">
        <f ca="1">IFERROR(__xludf.DUMMYFUNCTION("IMPORTRANGE(""https://docs.google.com/spreadsheets/d/12Q_U0nVnFdxDFwa0pej9xvx8ZvLC9Dpi_vRro_aiG5g/edit?usp=sharing"",""อ่างทอง!J144"")"),0)</f>
        <v>0</v>
      </c>
      <c r="X73" s="93">
        <f t="shared" ca="1" si="26"/>
        <v>0</v>
      </c>
      <c r="Y73" s="92">
        <f ca="1">IFERROR(__xludf.DUMMYFUNCTION("IMPORTRANGE(""https://docs.google.com/spreadsheets/d/12Q_U0nVnFdxDFwa0pej9xvx8ZvLC9Dpi_vRro_aiG5g/edit?usp=sharing"",""อ่างทอง!I145"")"),0)</f>
        <v>0</v>
      </c>
      <c r="Z73" s="92">
        <f ca="1">IFERROR(__xludf.DUMMYFUNCTION("IMPORTRANGE(""https://docs.google.com/spreadsheets/d/12Q_U0nVnFdxDFwa0pej9xvx8ZvLC9Dpi_vRro_aiG5g/edit?usp=sharing"",""อ่างทอง!J145"")"),0)</f>
        <v>0</v>
      </c>
      <c r="AA73" s="93">
        <f t="shared" ca="1" si="27"/>
        <v>0</v>
      </c>
      <c r="AB73" s="92">
        <f ca="1">IFERROR(__xludf.DUMMYFUNCTION("IMPORTRANGE(""https://docs.google.com/spreadsheets/d/12Q_U0nVnFdxDFwa0pej9xvx8ZvLC9Dpi_vRro_aiG5g/edit?usp=sharing"",""อ่างทอง!I146"")"),0)</f>
        <v>0</v>
      </c>
      <c r="AC73" s="92">
        <f ca="1">IFERROR(__xludf.DUMMYFUNCTION("IMPORTRANGE(""https://docs.google.com/spreadsheets/d/12Q_U0nVnFdxDFwa0pej9xvx8ZvLC9Dpi_vRro_aiG5g/edit?usp=sharing"",""อ่างทอง!J146"")"),0)</f>
        <v>0</v>
      </c>
      <c r="AD73" s="93">
        <f t="shared" ca="1" si="28"/>
        <v>0</v>
      </c>
    </row>
    <row r="74" spans="1:30" ht="21" customHeight="1" x14ac:dyDescent="0.2">
      <c r="A74" s="381" t="s">
        <v>96</v>
      </c>
      <c r="B74" s="370"/>
      <c r="C74" s="99">
        <f t="shared" ca="1" si="0"/>
        <v>2365095</v>
      </c>
      <c r="D74" s="57">
        <f t="shared" ref="D74:I74" ca="1" si="48">SUM(D75:D88)</f>
        <v>1438095</v>
      </c>
      <c r="E74" s="57">
        <f t="shared" ca="1" si="48"/>
        <v>1000200</v>
      </c>
      <c r="F74" s="57">
        <f t="shared" ca="1" si="48"/>
        <v>437895</v>
      </c>
      <c r="G74" s="57">
        <f t="shared" ca="1" si="48"/>
        <v>927000</v>
      </c>
      <c r="H74" s="57">
        <f t="shared" ca="1" si="48"/>
        <v>1438095</v>
      </c>
      <c r="I74" s="57">
        <f t="shared" ca="1" si="48"/>
        <v>921000</v>
      </c>
      <c r="J74" s="57">
        <f t="shared" ca="1" si="3"/>
        <v>2199359.87</v>
      </c>
      <c r="K74" s="95">
        <f t="shared" ca="1" si="4"/>
        <v>92.99245358008875</v>
      </c>
      <c r="L74" s="57">
        <f ca="1">SUM(L75:L88)</f>
        <v>1278359.8700000001</v>
      </c>
      <c r="M74" s="96">
        <f t="shared" ca="1" si="5"/>
        <v>88.892588459037839</v>
      </c>
      <c r="N74" s="96">
        <f t="shared" ca="1" si="6"/>
        <v>88.892588459037839</v>
      </c>
      <c r="O74" s="97">
        <f ca="1">SUM(O75:O88)</f>
        <v>921000</v>
      </c>
      <c r="P74" s="97">
        <f t="shared" ca="1" si="30"/>
        <v>99.35275080906149</v>
      </c>
      <c r="Q74" s="96">
        <f t="shared" ca="1" si="8"/>
        <v>100</v>
      </c>
      <c r="R74" s="57">
        <f t="shared" ref="R74:T74" ca="1" si="49">SUM(R75:R88)</f>
        <v>10</v>
      </c>
      <c r="S74" s="57">
        <f t="shared" ca="1" si="49"/>
        <v>90</v>
      </c>
      <c r="T74" s="57">
        <f t="shared" ca="1" si="49"/>
        <v>90</v>
      </c>
      <c r="U74" s="96">
        <f t="shared" ca="1" si="25"/>
        <v>100</v>
      </c>
      <c r="V74" s="57">
        <f t="shared" ref="V74:W74" ca="1" si="50">SUM(V75:V88)</f>
        <v>45</v>
      </c>
      <c r="W74" s="57">
        <f t="shared" ca="1" si="50"/>
        <v>55</v>
      </c>
      <c r="X74" s="96">
        <f t="shared" ca="1" si="26"/>
        <v>122.22222222222223</v>
      </c>
      <c r="Y74" s="57">
        <f t="shared" ref="Y74:Z74" ca="1" si="51">SUM(Y75:Y88)</f>
        <v>90</v>
      </c>
      <c r="Z74" s="57">
        <f t="shared" ca="1" si="51"/>
        <v>90</v>
      </c>
      <c r="AA74" s="96">
        <f t="shared" ca="1" si="27"/>
        <v>100</v>
      </c>
      <c r="AB74" s="57">
        <f t="shared" ref="AB74:AC74" ca="1" si="52">SUM(AB75:AB88)</f>
        <v>9</v>
      </c>
      <c r="AC74" s="57">
        <f t="shared" ca="1" si="52"/>
        <v>9</v>
      </c>
      <c r="AD74" s="96">
        <f t="shared" ca="1" si="28"/>
        <v>100</v>
      </c>
    </row>
    <row r="75" spans="1:30" ht="21" customHeight="1" x14ac:dyDescent="0.2">
      <c r="A75" s="63">
        <v>1</v>
      </c>
      <c r="B75" s="64" t="s">
        <v>97</v>
      </c>
      <c r="C75" s="98">
        <f t="shared" ca="1" si="0"/>
        <v>0</v>
      </c>
      <c r="D75" s="66">
        <f t="shared" ref="D75:D88" ca="1" si="53">+E75+F75</f>
        <v>0</v>
      </c>
      <c r="E75" s="67">
        <f ca="1">IFERROR(__xludf.DUMMYFUNCTION("IMPORTRANGE(""https://docs.google.com/spreadsheets/d/1MeEWN-I1oV_STSDYn1IFDPWt_1FKiwhDph83XaGc0o0/edit?usp=sharing"",""งบพรบ!BL75"")"),0)</f>
        <v>0</v>
      </c>
      <c r="F75" s="67">
        <f ca="1">IFERROR(__xludf.DUMMYFUNCTION("IMPORTRANGE(""https://docs.google.com/spreadsheets/d/1MeEWN-I1oV_STSDYn1IFDPWt_1FKiwhDph83XaGc0o0/edit?usp=sharing"",""งบพรบ!BM75"")"),0)</f>
        <v>0</v>
      </c>
      <c r="G75" s="100">
        <f ca="1">IFERROR(__xludf.DUMMYFUNCTION("IMPORTRANGE(""https://docs.google.com/spreadsheets/d/1MeEWN-I1oV_STSDYn1IFDPWt_1FKiwhDph83XaGc0o0/edit?usp=sharing"",""งบพรบ!BN75"")"),0)</f>
        <v>0</v>
      </c>
      <c r="H75" s="100">
        <f ca="1">IFERROR(__xludf.DUMMYFUNCTION("IMPORTRANGE(""https://docs.google.com/spreadsheets/d/1MeEWN-I1oV_STSDYn1IFDPWt_1FKiwhDph83XaGc0o0/edit?usp=sharing"",""งบพรบ!BP75"")"),0)</f>
        <v>0</v>
      </c>
      <c r="I75" s="100">
        <f ca="1">IFERROR(__xludf.DUMMYFUNCTION("IMPORTRANGE(""https://docs.google.com/spreadsheets/d/1MeEWN-I1oV_STSDYn1IFDPWt_1FKiwhDph83XaGc0o0/edit?usp=sharing"",""งบพรบ!BQ75"")"),0)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IFERROR(__xludf.DUMMYFUNCTION("IMPORTRANGE(""https://docs.google.com/spreadsheets/d/1MeEWN-I1oV_STSDYn1IFDPWt_1FKiwhDph83XaGc0o0/edit?usp=sharing"",""งบพรบ!BR75"")"),0)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IFERROR(__xludf.DUMMYFUNCTION("IMPORTRANGE(""https://docs.google.com/spreadsheets/d/1MeEWN-I1oV_STSDYn1IFDPWt_1FKiwhDph83XaGc0o0/edit?usp=sharing"",""งบพรบ!BS75"")"),0)</f>
        <v>0</v>
      </c>
      <c r="P75" s="71">
        <f t="shared" ca="1" si="30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IFERROR(__xludf.DUMMYFUNCTION("IMPORTRANGE(""https://docs.google.com/spreadsheets/d/1kC41EOXpGBFOW658Fs3oD8beYlym0-zO54WY-2Qnp9I/edit?usp=sharing"",""กระบี่!J142"")"),0)</f>
        <v>0</v>
      </c>
      <c r="S75" s="68">
        <f ca="1">IFERROR(__xludf.DUMMYFUNCTION("IMPORTRANGE(""https://docs.google.com/spreadsheets/d/1kC41EOXpGBFOW658Fs3oD8beYlym0-zO54WY-2Qnp9I/edit?usp=sharing"",""กระบี่!I143"")"),0)</f>
        <v>0</v>
      </c>
      <c r="T75" s="68">
        <f ca="1">IFERROR(__xludf.DUMMYFUNCTION("IMPORTRANGE(""https://docs.google.com/spreadsheets/d/1kC41EOXpGBFOW658Fs3oD8beYlym0-zO54WY-2Qnp9I/edit?usp=sharing"",""กระบี่!J143"")"),0)</f>
        <v>0</v>
      </c>
      <c r="U75" s="72">
        <f t="shared" ca="1" si="25"/>
        <v>0</v>
      </c>
      <c r="V75" s="68">
        <f ca="1">IFERROR(__xludf.DUMMYFUNCTION("IMPORTRANGE(""https://docs.google.com/spreadsheets/d/1kC41EOXpGBFOW658Fs3oD8beYlym0-zO54WY-2Qnp9I/edit?usp=sharing"",""กระบี่!I144"")"),0)</f>
        <v>0</v>
      </c>
      <c r="W75" s="68">
        <f ca="1">IFERROR(__xludf.DUMMYFUNCTION("IMPORTRANGE(""https://docs.google.com/spreadsheets/d/1kC41EOXpGBFOW658Fs3oD8beYlym0-zO54WY-2Qnp9I/edit?usp=sharing"",""กระบี่!J144"")"),0)</f>
        <v>0</v>
      </c>
      <c r="X75" s="72">
        <f t="shared" ca="1" si="26"/>
        <v>0</v>
      </c>
      <c r="Y75" s="68">
        <f ca="1">IFERROR(__xludf.DUMMYFUNCTION("IMPORTRANGE(""https://docs.google.com/spreadsheets/d/1kC41EOXpGBFOW658Fs3oD8beYlym0-zO54WY-2Qnp9I/edit?usp=sharing"",""กระบี่!I145"")"),0)</f>
        <v>0</v>
      </c>
      <c r="Z75" s="68">
        <f ca="1">IFERROR(__xludf.DUMMYFUNCTION("IMPORTRANGE(""https://docs.google.com/spreadsheets/d/1kC41EOXpGBFOW658Fs3oD8beYlym0-zO54WY-2Qnp9I/edit?usp=sharing"",""กระบี่!J145"")"),0)</f>
        <v>0</v>
      </c>
      <c r="AA75" s="72">
        <f t="shared" ca="1" si="27"/>
        <v>0</v>
      </c>
      <c r="AB75" s="68">
        <f ca="1">IFERROR(__xludf.DUMMYFUNCTION("IMPORTRANGE(""https://docs.google.com/spreadsheets/d/1kC41EOXpGBFOW658Fs3oD8beYlym0-zO54WY-2Qnp9I/edit?usp=sharing"",""กระบี่!I146"")"),0)</f>
        <v>0</v>
      </c>
      <c r="AC75" s="68">
        <f ca="1">IFERROR(__xludf.DUMMYFUNCTION("IMPORTRANGE(""https://docs.google.com/spreadsheets/d/1kC41EOXpGBFOW658Fs3oD8beYlym0-zO54WY-2Qnp9I/edit?usp=sharing"",""กระบี่!J146"")"),0)</f>
        <v>0</v>
      </c>
      <c r="AD75" s="72">
        <f t="shared" ca="1" si="28"/>
        <v>0</v>
      </c>
    </row>
    <row r="76" spans="1:30" ht="21" customHeight="1" x14ac:dyDescent="0.2">
      <c r="A76" s="73">
        <v>2</v>
      </c>
      <c r="B76" s="74" t="s">
        <v>98</v>
      </c>
      <c r="C76" s="75">
        <f t="shared" ca="1" si="0"/>
        <v>151655</v>
      </c>
      <c r="D76" s="76">
        <f t="shared" ca="1" si="53"/>
        <v>48655</v>
      </c>
      <c r="E76" s="77">
        <f ca="1">IFERROR(__xludf.DUMMYFUNCTION("IMPORTRANGE(""https://docs.google.com/spreadsheets/d/1MeEWN-I1oV_STSDYn1IFDPWt_1FKiwhDph83XaGc0o0/edit?usp=sharing"",""งบพรบ!BL76"")"),0)</f>
        <v>0</v>
      </c>
      <c r="F76" s="77">
        <f ca="1">IFERROR(__xludf.DUMMYFUNCTION("IMPORTRANGE(""https://docs.google.com/spreadsheets/d/1MeEWN-I1oV_STSDYn1IFDPWt_1FKiwhDph83XaGc0o0/edit?usp=sharing"",""งบพรบ!BM76"")"),48655)</f>
        <v>48655</v>
      </c>
      <c r="G76" s="77">
        <f ca="1">IFERROR(__xludf.DUMMYFUNCTION("IMPORTRANGE(""https://docs.google.com/spreadsheets/d/1MeEWN-I1oV_STSDYn1IFDPWt_1FKiwhDph83XaGc0o0/edit?usp=sharing"",""งบพรบ!BN76"")"),103000)</f>
        <v>103000</v>
      </c>
      <c r="H76" s="77">
        <f ca="1">IFERROR(__xludf.DUMMYFUNCTION("IMPORTRANGE(""https://docs.google.com/spreadsheets/d/1MeEWN-I1oV_STSDYn1IFDPWt_1FKiwhDph83XaGc0o0/edit?usp=sharing"",""งบพรบ!BP76"")"),48655)</f>
        <v>48655</v>
      </c>
      <c r="I76" s="77">
        <f ca="1">IFERROR(__xludf.DUMMYFUNCTION("IMPORTRANGE(""https://docs.google.com/spreadsheets/d/1MeEWN-I1oV_STSDYn1IFDPWt_1FKiwhDph83XaGc0o0/edit?usp=sharing"",""งบพรบ!BQ76"")"),103000)</f>
        <v>103000</v>
      </c>
      <c r="J76" s="77">
        <f t="shared" ca="1" si="3"/>
        <v>125625</v>
      </c>
      <c r="K76" s="78">
        <f t="shared" ca="1" si="4"/>
        <v>82.836042332926709</v>
      </c>
      <c r="L76" s="77">
        <f ca="1">IFERROR(__xludf.DUMMYFUNCTION("IMPORTRANGE(""https://docs.google.com/spreadsheets/d/1MeEWN-I1oV_STSDYn1IFDPWt_1FKiwhDph83XaGc0o0/edit?usp=sharing"",""งบพรบ!BR76"")"),22625)</f>
        <v>22625</v>
      </c>
      <c r="M76" s="79">
        <f t="shared" ca="1" si="5"/>
        <v>46.500873497071218</v>
      </c>
      <c r="N76" s="79">
        <f t="shared" ca="1" si="6"/>
        <v>46.500873497071218</v>
      </c>
      <c r="O76" s="80">
        <f ca="1">IFERROR(__xludf.DUMMYFUNCTION("IMPORTRANGE(""https://docs.google.com/spreadsheets/d/1MeEWN-I1oV_STSDYn1IFDPWt_1FKiwhDph83XaGc0o0/edit?usp=sharing"",""งบพรบ!BS76"")"),103000)</f>
        <v>103000</v>
      </c>
      <c r="P76" s="80">
        <f t="shared" ca="1" si="30"/>
        <v>100</v>
      </c>
      <c r="Q76" s="79">
        <f t="shared" ca="1" si="8"/>
        <v>100</v>
      </c>
      <c r="R76" s="81">
        <f ca="1">IFERROR(__xludf.DUMMYFUNCTION("IMPORTRANGE(""https://docs.google.com/spreadsheets/d/1FbzMZY_f3MDiEuK7RpCQKrilJ_kpX0Wm7QBZ1L7EjIU/edit?usp=sharing"",""ชุมพร!J142"")"),0)</f>
        <v>0</v>
      </c>
      <c r="S76" s="81">
        <f ca="1">IFERROR(__xludf.DUMMYFUNCTION("IMPORTRANGE(""https://docs.google.com/spreadsheets/d/1FbzMZY_f3MDiEuK7RpCQKrilJ_kpX0Wm7QBZ1L7EjIU/edit?usp=sharing"",""ชุมพร!I143"")"),10)</f>
        <v>10</v>
      </c>
      <c r="T76" s="81">
        <f ca="1">IFERROR(__xludf.DUMMYFUNCTION("IMPORTRANGE(""https://docs.google.com/spreadsheets/d/1FbzMZY_f3MDiEuK7RpCQKrilJ_kpX0Wm7QBZ1L7EjIU/edit?usp=sharing"",""ชุมพร!J143"")"),10)</f>
        <v>10</v>
      </c>
      <c r="U76" s="82">
        <f t="shared" ca="1" si="25"/>
        <v>100</v>
      </c>
      <c r="V76" s="81">
        <f ca="1">IFERROR(__xludf.DUMMYFUNCTION("IMPORTRANGE(""https://docs.google.com/spreadsheets/d/1FbzMZY_f3MDiEuK7RpCQKrilJ_kpX0Wm7QBZ1L7EjIU/edit?usp=sharing"",""ชุมพร!I144"")"),5)</f>
        <v>5</v>
      </c>
      <c r="W76" s="81">
        <f ca="1">IFERROR(__xludf.DUMMYFUNCTION("IMPORTRANGE(""https://docs.google.com/spreadsheets/d/1FbzMZY_f3MDiEuK7RpCQKrilJ_kpX0Wm7QBZ1L7EjIU/edit?usp=sharing"",""ชุมพร!J144"")"),5)</f>
        <v>5</v>
      </c>
      <c r="X76" s="82">
        <f t="shared" ca="1" si="26"/>
        <v>100</v>
      </c>
      <c r="Y76" s="81">
        <f ca="1">IFERROR(__xludf.DUMMYFUNCTION("IMPORTRANGE(""https://docs.google.com/spreadsheets/d/1FbzMZY_f3MDiEuK7RpCQKrilJ_kpX0Wm7QBZ1L7EjIU/edit?usp=sharing"",""ชุมพร!I145"")"),10)</f>
        <v>10</v>
      </c>
      <c r="Z76" s="81">
        <f ca="1">IFERROR(__xludf.DUMMYFUNCTION("IMPORTRANGE(""https://docs.google.com/spreadsheets/d/1FbzMZY_f3MDiEuK7RpCQKrilJ_kpX0Wm7QBZ1L7EjIU/edit?usp=sharing"",""ชุมพร!J145"")"),10)</f>
        <v>10</v>
      </c>
      <c r="AA76" s="82">
        <f t="shared" ca="1" si="27"/>
        <v>100</v>
      </c>
      <c r="AB76" s="81">
        <f ca="1">IFERROR(__xludf.DUMMYFUNCTION("IMPORTRANGE(""https://docs.google.com/spreadsheets/d/1FbzMZY_f3MDiEuK7RpCQKrilJ_kpX0Wm7QBZ1L7EjIU/edit?usp=sharing"",""ชุมพร!I146"")"),1)</f>
        <v>1</v>
      </c>
      <c r="AC76" s="81">
        <f ca="1">IFERROR(__xludf.DUMMYFUNCTION("IMPORTRANGE(""https://docs.google.com/spreadsheets/d/1FbzMZY_f3MDiEuK7RpCQKrilJ_kpX0Wm7QBZ1L7EjIU/edit?usp=sharing"",""ชุมพร!J146"")"),1)</f>
        <v>1</v>
      </c>
      <c r="AD76" s="82">
        <f t="shared" ca="1" si="28"/>
        <v>100</v>
      </c>
    </row>
    <row r="77" spans="1:3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53"/>
        <v>0</v>
      </c>
      <c r="E77" s="77">
        <f ca="1">IFERROR(__xludf.DUMMYFUNCTION("IMPORTRANGE(""https://docs.google.com/spreadsheets/d/1MeEWN-I1oV_STSDYn1IFDPWt_1FKiwhDph83XaGc0o0/edit?usp=sharing"",""งบพรบ!BL77"")"),0)</f>
        <v>0</v>
      </c>
      <c r="F77" s="77">
        <f ca="1">IFERROR(__xludf.DUMMYFUNCTION("IMPORTRANGE(""https://docs.google.com/spreadsheets/d/1MeEWN-I1oV_STSDYn1IFDPWt_1FKiwhDph83XaGc0o0/edit?usp=sharing"",""งบพรบ!BM77"")"),0)</f>
        <v>0</v>
      </c>
      <c r="G77" s="77">
        <f ca="1">IFERROR(__xludf.DUMMYFUNCTION("IMPORTRANGE(""https://docs.google.com/spreadsheets/d/1MeEWN-I1oV_STSDYn1IFDPWt_1FKiwhDph83XaGc0o0/edit?usp=sharing"",""งบพรบ!BN77"")"),0)</f>
        <v>0</v>
      </c>
      <c r="H77" s="77">
        <f ca="1">IFERROR(__xludf.DUMMYFUNCTION("IMPORTRANGE(""https://docs.google.com/spreadsheets/d/1MeEWN-I1oV_STSDYn1IFDPWt_1FKiwhDph83XaGc0o0/edit?usp=sharing"",""งบพรบ!BP77"")"),0)</f>
        <v>0</v>
      </c>
      <c r="I77" s="77">
        <f ca="1">IFERROR(__xludf.DUMMYFUNCTION("IMPORTRANGE(""https://docs.google.com/spreadsheets/d/1MeEWN-I1oV_STSDYn1IFDPWt_1FKiwhDph83XaGc0o0/edit?usp=sharing"",""งบพรบ!BQ77"")"),0)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IFERROR(__xludf.DUMMYFUNCTION("IMPORTRANGE(""https://docs.google.com/spreadsheets/d/1MeEWN-I1oV_STSDYn1IFDPWt_1FKiwhDph83XaGc0o0/edit?usp=sharing"",""งบพรบ!BR77"")"),0)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IFERROR(__xludf.DUMMYFUNCTION("IMPORTRANGE(""https://docs.google.com/spreadsheets/d/1MeEWN-I1oV_STSDYn1IFDPWt_1FKiwhDph83XaGc0o0/edit?usp=sharing"",""งบพรบ!BS77"")"),0)</f>
        <v>0</v>
      </c>
      <c r="P77" s="80">
        <f t="shared" ca="1" si="30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IFERROR(__xludf.DUMMYFUNCTION("IMPORTRANGE(""https://docs.google.com/spreadsheets/d/1v5sN-00LrXuhBxw4dkh2GrG_z4l5oAqOdJRBCsUyMaM/edit?usp=sharing"",""ตรัง!J142"")"),0)</f>
        <v>0</v>
      </c>
      <c r="S77" s="81">
        <f ca="1">IFERROR(__xludf.DUMMYFUNCTION("IMPORTRANGE(""https://docs.google.com/spreadsheets/d/1v5sN-00LrXuhBxw4dkh2GrG_z4l5oAqOdJRBCsUyMaM/edit?usp=sharing"",""ตรัง!I143"")"),0)</f>
        <v>0</v>
      </c>
      <c r="T77" s="81">
        <f ca="1">IFERROR(__xludf.DUMMYFUNCTION("IMPORTRANGE(""https://docs.google.com/spreadsheets/d/1v5sN-00LrXuhBxw4dkh2GrG_z4l5oAqOdJRBCsUyMaM/edit?usp=sharing"",""ตรัง!J143"")"),0)</f>
        <v>0</v>
      </c>
      <c r="U77" s="82">
        <f t="shared" ca="1" si="25"/>
        <v>0</v>
      </c>
      <c r="V77" s="81">
        <f ca="1">IFERROR(__xludf.DUMMYFUNCTION("IMPORTRANGE(""https://docs.google.com/spreadsheets/d/1v5sN-00LrXuhBxw4dkh2GrG_z4l5oAqOdJRBCsUyMaM/edit?usp=sharing"",""ตรัง!I144"")"),0)</f>
        <v>0</v>
      </c>
      <c r="W77" s="81">
        <f ca="1">IFERROR(__xludf.DUMMYFUNCTION("IMPORTRANGE(""https://docs.google.com/spreadsheets/d/1v5sN-00LrXuhBxw4dkh2GrG_z4l5oAqOdJRBCsUyMaM/edit?usp=sharing"",""ตรัง!J144"")"),0)</f>
        <v>0</v>
      </c>
      <c r="X77" s="82">
        <f t="shared" ca="1" si="26"/>
        <v>0</v>
      </c>
      <c r="Y77" s="81">
        <f ca="1">IFERROR(__xludf.DUMMYFUNCTION("IMPORTRANGE(""https://docs.google.com/spreadsheets/d/1v5sN-00LrXuhBxw4dkh2GrG_z4l5oAqOdJRBCsUyMaM/edit?usp=sharing"",""ตรัง!I145"")"),0)</f>
        <v>0</v>
      </c>
      <c r="Z77" s="81">
        <f ca="1">IFERROR(__xludf.DUMMYFUNCTION("IMPORTRANGE(""https://docs.google.com/spreadsheets/d/1v5sN-00LrXuhBxw4dkh2GrG_z4l5oAqOdJRBCsUyMaM/edit?usp=sharing"",""ตรัง!J145"")"),0)</f>
        <v>0</v>
      </c>
      <c r="AA77" s="82">
        <f t="shared" ca="1" si="27"/>
        <v>0</v>
      </c>
      <c r="AB77" s="81">
        <f ca="1">IFERROR(__xludf.DUMMYFUNCTION("IMPORTRANGE(""https://docs.google.com/spreadsheets/d/1v5sN-00LrXuhBxw4dkh2GrG_z4l5oAqOdJRBCsUyMaM/edit?usp=sharing"",""ตรัง!I146"")"),0)</f>
        <v>0</v>
      </c>
      <c r="AC77" s="81">
        <f ca="1">IFERROR(__xludf.DUMMYFUNCTION("IMPORTRANGE(""https://docs.google.com/spreadsheets/d/1v5sN-00LrXuhBxw4dkh2GrG_z4l5oAqOdJRBCsUyMaM/edit?usp=sharing"",""ตรัง!J146"")"),0)</f>
        <v>0</v>
      </c>
      <c r="AD77" s="82">
        <f t="shared" ca="1" si="28"/>
        <v>0</v>
      </c>
    </row>
    <row r="78" spans="1:30" ht="21" customHeight="1" x14ac:dyDescent="0.2">
      <c r="A78" s="73">
        <v>4</v>
      </c>
      <c r="B78" s="74" t="s">
        <v>100</v>
      </c>
      <c r="C78" s="75">
        <f t="shared" ca="1" si="0"/>
        <v>303310</v>
      </c>
      <c r="D78" s="76">
        <f t="shared" ca="1" si="53"/>
        <v>97310</v>
      </c>
      <c r="E78" s="77">
        <f ca="1">IFERROR(__xludf.DUMMYFUNCTION("IMPORTRANGE(""https://docs.google.com/spreadsheets/d/1MeEWN-I1oV_STSDYn1IFDPWt_1FKiwhDph83XaGc0o0/edit?usp=sharing"",""งบพรบ!BL78"")"),0)</f>
        <v>0</v>
      </c>
      <c r="F78" s="77">
        <f ca="1">IFERROR(__xludf.DUMMYFUNCTION("IMPORTRANGE(""https://docs.google.com/spreadsheets/d/1MeEWN-I1oV_STSDYn1IFDPWt_1FKiwhDph83XaGc0o0/edit?usp=sharing"",""งบพรบ!BM78"")"),97310)</f>
        <v>97310</v>
      </c>
      <c r="G78" s="77">
        <f ca="1">IFERROR(__xludf.DUMMYFUNCTION("IMPORTRANGE(""https://docs.google.com/spreadsheets/d/1MeEWN-I1oV_STSDYn1IFDPWt_1FKiwhDph83XaGc0o0/edit?usp=sharing"",""งบพรบ!BN78"")"),206000)</f>
        <v>206000</v>
      </c>
      <c r="H78" s="77">
        <f ca="1">IFERROR(__xludf.DUMMYFUNCTION("IMPORTRANGE(""https://docs.google.com/spreadsheets/d/1MeEWN-I1oV_STSDYn1IFDPWt_1FKiwhDph83XaGc0o0/edit?usp=sharing"",""งบพรบ!BP78"")"),97310)</f>
        <v>97310</v>
      </c>
      <c r="I78" s="77">
        <f ca="1">IFERROR(__xludf.DUMMYFUNCTION("IMPORTRANGE(""https://docs.google.com/spreadsheets/d/1MeEWN-I1oV_STSDYn1IFDPWt_1FKiwhDph83XaGc0o0/edit?usp=sharing"",""งบพรบ!BQ78"")"),206000)</f>
        <v>206000</v>
      </c>
      <c r="J78" s="77">
        <f t="shared" ca="1" si="3"/>
        <v>277410</v>
      </c>
      <c r="K78" s="78">
        <f t="shared" ca="1" si="4"/>
        <v>91.460881606277411</v>
      </c>
      <c r="L78" s="77">
        <f ca="1">IFERROR(__xludf.DUMMYFUNCTION("IMPORTRANGE(""https://docs.google.com/spreadsheets/d/1MeEWN-I1oV_STSDYn1IFDPWt_1FKiwhDph83XaGc0o0/edit?usp=sharing"",""งบพรบ!BR78"")"),71410)</f>
        <v>71410</v>
      </c>
      <c r="M78" s="79">
        <f t="shared" ca="1" si="5"/>
        <v>73.384030418250944</v>
      </c>
      <c r="N78" s="79">
        <f t="shared" ca="1" si="6"/>
        <v>73.384030418250944</v>
      </c>
      <c r="O78" s="80">
        <f ca="1">IFERROR(__xludf.DUMMYFUNCTION("IMPORTRANGE(""https://docs.google.com/spreadsheets/d/1MeEWN-I1oV_STSDYn1IFDPWt_1FKiwhDph83XaGc0o0/edit?usp=sharing"",""งบพรบ!BS78"")"),206000)</f>
        <v>206000</v>
      </c>
      <c r="P78" s="80">
        <f t="shared" ca="1" si="30"/>
        <v>100</v>
      </c>
      <c r="Q78" s="79">
        <f t="shared" ca="1" si="8"/>
        <v>100</v>
      </c>
      <c r="R78" s="81">
        <f ca="1">IFERROR(__xludf.DUMMYFUNCTION("IMPORTRANGE(""https://docs.google.com/spreadsheets/d/1T5rRTzFc79aSIvqnzkZNvwPstq829QYz_xALlO1Z0s8/edit?usp=sharing"",""นครศรีธรรมราช!J142"")"),0)</f>
        <v>0</v>
      </c>
      <c r="S78" s="81">
        <f ca="1">IFERROR(__xludf.DUMMYFUNCTION("IMPORTRANGE(""https://docs.google.com/spreadsheets/d/1T5rRTzFc79aSIvqnzkZNvwPstq829QYz_xALlO1Z0s8/edit?usp=sharing"",""นครศรีธรรมราช!I143"")"),20)</f>
        <v>20</v>
      </c>
      <c r="T78" s="81">
        <f ca="1">IFERROR(__xludf.DUMMYFUNCTION("IMPORTRANGE(""https://docs.google.com/spreadsheets/d/1T5rRTzFc79aSIvqnzkZNvwPstq829QYz_xALlO1Z0s8/edit?usp=sharing"",""นครศรีธรรมราช!J143"")"),20)</f>
        <v>20</v>
      </c>
      <c r="U78" s="82">
        <f t="shared" ca="1" si="25"/>
        <v>100</v>
      </c>
      <c r="V78" s="81">
        <f ca="1">IFERROR(__xludf.DUMMYFUNCTION("IMPORTRANGE(""https://docs.google.com/spreadsheets/d/1T5rRTzFc79aSIvqnzkZNvwPstq829QYz_xALlO1Z0s8/edit?usp=sharing"",""นครศรีธรรมราช!I144"")"),10)</f>
        <v>10</v>
      </c>
      <c r="W78" s="81">
        <f ca="1">IFERROR(__xludf.DUMMYFUNCTION("IMPORTRANGE(""https://docs.google.com/spreadsheets/d/1T5rRTzFc79aSIvqnzkZNvwPstq829QYz_xALlO1Z0s8/edit?usp=sharing"",""นครศรีธรรมราช!J144"")"),20)</f>
        <v>20</v>
      </c>
      <c r="X78" s="82">
        <f t="shared" ca="1" si="26"/>
        <v>200</v>
      </c>
      <c r="Y78" s="81">
        <f ca="1">IFERROR(__xludf.DUMMYFUNCTION("IMPORTRANGE(""https://docs.google.com/spreadsheets/d/1T5rRTzFc79aSIvqnzkZNvwPstq829QYz_xALlO1Z0s8/edit?usp=sharing"",""นครศรีธรรมราช!I145"")"),20)</f>
        <v>20</v>
      </c>
      <c r="Z78" s="81">
        <f ca="1">IFERROR(__xludf.DUMMYFUNCTION("IMPORTRANGE(""https://docs.google.com/spreadsheets/d/1T5rRTzFc79aSIvqnzkZNvwPstq829QYz_xALlO1Z0s8/edit?usp=sharing"",""นครศรีธรรมราช!J145"")"),20)</f>
        <v>20</v>
      </c>
      <c r="AA78" s="82">
        <f t="shared" ca="1" si="27"/>
        <v>100</v>
      </c>
      <c r="AB78" s="81">
        <f ca="1">IFERROR(__xludf.DUMMYFUNCTION("IMPORTRANGE(""https://docs.google.com/spreadsheets/d/1T5rRTzFc79aSIvqnzkZNvwPstq829QYz_xALlO1Z0s8/edit?usp=sharing"",""นครศรีธรรมราช!I146"")"),2)</f>
        <v>2</v>
      </c>
      <c r="AC78" s="81">
        <f ca="1">IFERROR(__xludf.DUMMYFUNCTION("IMPORTRANGE(""https://docs.google.com/spreadsheets/d/1T5rRTzFc79aSIvqnzkZNvwPstq829QYz_xALlO1Z0s8/edit?usp=sharing"",""นครศรีธรรมราช!J146"")"),2)</f>
        <v>2</v>
      </c>
      <c r="AD78" s="82">
        <f t="shared" ca="1" si="28"/>
        <v>100</v>
      </c>
    </row>
    <row r="79" spans="1:3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53"/>
        <v>0</v>
      </c>
      <c r="E79" s="77">
        <f ca="1">IFERROR(__xludf.DUMMYFUNCTION("IMPORTRANGE(""https://docs.google.com/spreadsheets/d/1MeEWN-I1oV_STSDYn1IFDPWt_1FKiwhDph83XaGc0o0/edit?usp=sharing"",""งบพรบ!BL79"")"),0)</f>
        <v>0</v>
      </c>
      <c r="F79" s="77">
        <f ca="1">IFERROR(__xludf.DUMMYFUNCTION("IMPORTRANGE(""https://docs.google.com/spreadsheets/d/1MeEWN-I1oV_STSDYn1IFDPWt_1FKiwhDph83XaGc0o0/edit?usp=sharing"",""งบพรบ!BM79"")"),0)</f>
        <v>0</v>
      </c>
      <c r="G79" s="77">
        <f ca="1">IFERROR(__xludf.DUMMYFUNCTION("IMPORTRANGE(""https://docs.google.com/spreadsheets/d/1MeEWN-I1oV_STSDYn1IFDPWt_1FKiwhDph83XaGc0o0/edit?usp=sharing"",""งบพรบ!BN79"")"),0)</f>
        <v>0</v>
      </c>
      <c r="H79" s="77">
        <f ca="1">IFERROR(__xludf.DUMMYFUNCTION("IMPORTRANGE(""https://docs.google.com/spreadsheets/d/1MeEWN-I1oV_STSDYn1IFDPWt_1FKiwhDph83XaGc0o0/edit?usp=sharing"",""งบพรบ!BP79"")"),0)</f>
        <v>0</v>
      </c>
      <c r="I79" s="77">
        <f ca="1">IFERROR(__xludf.DUMMYFUNCTION("IMPORTRANGE(""https://docs.google.com/spreadsheets/d/1MeEWN-I1oV_STSDYn1IFDPWt_1FKiwhDph83XaGc0o0/edit?usp=sharing"",""งบพรบ!BQ79"")"),0)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IFERROR(__xludf.DUMMYFUNCTION("IMPORTRANGE(""https://docs.google.com/spreadsheets/d/1MeEWN-I1oV_STSDYn1IFDPWt_1FKiwhDph83XaGc0o0/edit?usp=sharing"",""งบพรบ!BR79"")"),0)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IFERROR(__xludf.DUMMYFUNCTION("IMPORTRANGE(""https://docs.google.com/spreadsheets/d/1MeEWN-I1oV_STSDYn1IFDPWt_1FKiwhDph83XaGc0o0/edit?usp=sharing"",""งบพรบ!BS79"")"),0)</f>
        <v>0</v>
      </c>
      <c r="P79" s="80">
        <f t="shared" ca="1" si="30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IFERROR(__xludf.DUMMYFUNCTION("IMPORTRANGE(""https://docs.google.com/spreadsheets/d/1BeghqumK0IvCmRd2QOy6_afsZq7ZtAGrSnVJy2u7WmY/edit?usp=sharing"",""นราธิวาส!J142"")"),0)</f>
        <v>0</v>
      </c>
      <c r="S79" s="81">
        <f ca="1">IFERROR(__xludf.DUMMYFUNCTION("IMPORTRANGE(""https://docs.google.com/spreadsheets/d/1BeghqumK0IvCmRd2QOy6_afsZq7ZtAGrSnVJy2u7WmY/edit?usp=sharing"",""นราธิวาส!I143"")"),0)</f>
        <v>0</v>
      </c>
      <c r="T79" s="81">
        <f ca="1">IFERROR(__xludf.DUMMYFUNCTION("IMPORTRANGE(""https://docs.google.com/spreadsheets/d/1BeghqumK0IvCmRd2QOy6_afsZq7ZtAGrSnVJy2u7WmY/edit?usp=sharing"",""นราธิวาส!J143"")"),0)</f>
        <v>0</v>
      </c>
      <c r="U79" s="82">
        <f t="shared" ca="1" si="25"/>
        <v>0</v>
      </c>
      <c r="V79" s="81">
        <f ca="1">IFERROR(__xludf.DUMMYFUNCTION("IMPORTRANGE(""https://docs.google.com/spreadsheets/d/1BeghqumK0IvCmRd2QOy6_afsZq7ZtAGrSnVJy2u7WmY/edit?usp=sharing"",""นราธิวาส!I144"")"),0)</f>
        <v>0</v>
      </c>
      <c r="W79" s="81">
        <f ca="1">IFERROR(__xludf.DUMMYFUNCTION("IMPORTRANGE(""https://docs.google.com/spreadsheets/d/1BeghqumK0IvCmRd2QOy6_afsZq7ZtAGrSnVJy2u7WmY/edit?usp=sharing"",""นราธิวาส!J144"")"),0)</f>
        <v>0</v>
      </c>
      <c r="X79" s="82">
        <f t="shared" ca="1" si="26"/>
        <v>0</v>
      </c>
      <c r="Y79" s="81">
        <f ca="1">IFERROR(__xludf.DUMMYFUNCTION("IMPORTRANGE(""https://docs.google.com/spreadsheets/d/1BeghqumK0IvCmRd2QOy6_afsZq7ZtAGrSnVJy2u7WmY/edit?usp=sharing"",""นราธิวาส!I145"")"),0)</f>
        <v>0</v>
      </c>
      <c r="Z79" s="81">
        <f ca="1">IFERROR(__xludf.DUMMYFUNCTION("IMPORTRANGE(""https://docs.google.com/spreadsheets/d/1BeghqumK0IvCmRd2QOy6_afsZq7ZtAGrSnVJy2u7WmY/edit?usp=sharing"",""นราธิวาส!J145"")"),0)</f>
        <v>0</v>
      </c>
      <c r="AA79" s="82">
        <f t="shared" ca="1" si="27"/>
        <v>0</v>
      </c>
      <c r="AB79" s="81">
        <f ca="1">IFERROR(__xludf.DUMMYFUNCTION("IMPORTRANGE(""https://docs.google.com/spreadsheets/d/1BeghqumK0IvCmRd2QOy6_afsZq7ZtAGrSnVJy2u7WmY/edit?usp=sharing"",""นราธิวาส!I146"")"),0)</f>
        <v>0</v>
      </c>
      <c r="AC79" s="81">
        <f ca="1">IFERROR(__xludf.DUMMYFUNCTION("IMPORTRANGE(""https://docs.google.com/spreadsheets/d/1BeghqumK0IvCmRd2QOy6_afsZq7ZtAGrSnVJy2u7WmY/edit?usp=sharing"",""นราธิวาส!J146"")"),0)</f>
        <v>0</v>
      </c>
      <c r="AD79" s="82">
        <f t="shared" ca="1" si="28"/>
        <v>0</v>
      </c>
    </row>
    <row r="80" spans="1:3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53"/>
        <v>0</v>
      </c>
      <c r="E80" s="77">
        <f ca="1">IFERROR(__xludf.DUMMYFUNCTION("IMPORTRANGE(""https://docs.google.com/spreadsheets/d/1MeEWN-I1oV_STSDYn1IFDPWt_1FKiwhDph83XaGc0o0/edit?usp=sharing"",""งบพรบ!BL80"")"),0)</f>
        <v>0</v>
      </c>
      <c r="F80" s="77">
        <f ca="1">IFERROR(__xludf.DUMMYFUNCTION("IMPORTRANGE(""https://docs.google.com/spreadsheets/d/1MeEWN-I1oV_STSDYn1IFDPWt_1FKiwhDph83XaGc0o0/edit?usp=sharing"",""งบพรบ!BM80"")"),0)</f>
        <v>0</v>
      </c>
      <c r="G80" s="77">
        <f ca="1">IFERROR(__xludf.DUMMYFUNCTION("IMPORTRANGE(""https://docs.google.com/spreadsheets/d/1MeEWN-I1oV_STSDYn1IFDPWt_1FKiwhDph83XaGc0o0/edit?usp=sharing"",""งบพรบ!BN80"")"),0)</f>
        <v>0</v>
      </c>
      <c r="H80" s="77">
        <f ca="1">IFERROR(__xludf.DUMMYFUNCTION("IMPORTRANGE(""https://docs.google.com/spreadsheets/d/1MeEWN-I1oV_STSDYn1IFDPWt_1FKiwhDph83XaGc0o0/edit?usp=sharing"",""งบพรบ!BP80"")"),0)</f>
        <v>0</v>
      </c>
      <c r="I80" s="77">
        <f ca="1">IFERROR(__xludf.DUMMYFUNCTION("IMPORTRANGE(""https://docs.google.com/spreadsheets/d/1MeEWN-I1oV_STSDYn1IFDPWt_1FKiwhDph83XaGc0o0/edit?usp=sharing"",""งบพรบ!BQ80"")"),0)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IFERROR(__xludf.DUMMYFUNCTION("IMPORTRANGE(""https://docs.google.com/spreadsheets/d/1MeEWN-I1oV_STSDYn1IFDPWt_1FKiwhDph83XaGc0o0/edit?usp=sharing"",""งบพรบ!BR80"")"),0)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IFERROR(__xludf.DUMMYFUNCTION("IMPORTRANGE(""https://docs.google.com/spreadsheets/d/1MeEWN-I1oV_STSDYn1IFDPWt_1FKiwhDph83XaGc0o0/edit?usp=sharing"",""งบพรบ!BS80"")"),0)</f>
        <v>0</v>
      </c>
      <c r="P80" s="80">
        <f t="shared" ca="1" si="30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IFERROR(__xludf.DUMMYFUNCTION("IMPORTRANGE(""https://docs.google.com/spreadsheets/d/1IwnW3-jjRf74MCLW-6PiFwMUffRQXZwZA7YM609NmRc/edit?usp=sharing"",""ปัตตานี!J142"")"),0)</f>
        <v>0</v>
      </c>
      <c r="S80" s="81">
        <f ca="1">IFERROR(__xludf.DUMMYFUNCTION("IMPORTRANGE(""https://docs.google.com/spreadsheets/d/1IwnW3-jjRf74MCLW-6PiFwMUffRQXZwZA7YM609NmRc/edit?usp=sharing"",""ปัตตานี!I143"")"),0)</f>
        <v>0</v>
      </c>
      <c r="T80" s="81">
        <f ca="1">IFERROR(__xludf.DUMMYFUNCTION("IMPORTRANGE(""https://docs.google.com/spreadsheets/d/1IwnW3-jjRf74MCLW-6PiFwMUffRQXZwZA7YM609NmRc/edit?usp=sharing"",""ปัตตานี!J143"")"),0)</f>
        <v>0</v>
      </c>
      <c r="U80" s="82">
        <f t="shared" ca="1" si="25"/>
        <v>0</v>
      </c>
      <c r="V80" s="81">
        <f ca="1">IFERROR(__xludf.DUMMYFUNCTION("IMPORTRANGE(""https://docs.google.com/spreadsheets/d/1IwnW3-jjRf74MCLW-6PiFwMUffRQXZwZA7YM609NmRc/edit?usp=sharing"",""ปัตตานี!I144"")"),0)</f>
        <v>0</v>
      </c>
      <c r="W80" s="81">
        <f ca="1">IFERROR(__xludf.DUMMYFUNCTION("IMPORTRANGE(""https://docs.google.com/spreadsheets/d/1IwnW3-jjRf74MCLW-6PiFwMUffRQXZwZA7YM609NmRc/edit?usp=sharing"",""ปัตตานี!J144"")"),0)</f>
        <v>0</v>
      </c>
      <c r="X80" s="82">
        <f t="shared" ca="1" si="26"/>
        <v>0</v>
      </c>
      <c r="Y80" s="81">
        <f ca="1">IFERROR(__xludf.DUMMYFUNCTION("IMPORTRANGE(""https://docs.google.com/spreadsheets/d/1IwnW3-jjRf74MCLW-6PiFwMUffRQXZwZA7YM609NmRc/edit?usp=sharing"",""ปัตตานี!I145"")"),0)</f>
        <v>0</v>
      </c>
      <c r="Z80" s="81">
        <f ca="1">IFERROR(__xludf.DUMMYFUNCTION("IMPORTRANGE(""https://docs.google.com/spreadsheets/d/1IwnW3-jjRf74MCLW-6PiFwMUffRQXZwZA7YM609NmRc/edit?usp=sharing"",""ปัตตานี!J145"")"),0)</f>
        <v>0</v>
      </c>
      <c r="AA80" s="82">
        <f t="shared" ca="1" si="27"/>
        <v>0</v>
      </c>
      <c r="AB80" s="81">
        <f ca="1">IFERROR(__xludf.DUMMYFUNCTION("IMPORTRANGE(""https://docs.google.com/spreadsheets/d/1IwnW3-jjRf74MCLW-6PiFwMUffRQXZwZA7YM609NmRc/edit?usp=sharing"",""ปัตตานี!I146"")"),0)</f>
        <v>0</v>
      </c>
      <c r="AC80" s="81">
        <f ca="1">IFERROR(__xludf.DUMMYFUNCTION("IMPORTRANGE(""https://docs.google.com/spreadsheets/d/1IwnW3-jjRf74MCLW-6PiFwMUffRQXZwZA7YM609NmRc/edit?usp=sharing"",""ปัตตานี!J146"")"),0)</f>
        <v>0</v>
      </c>
      <c r="AD80" s="82">
        <f t="shared" ca="1" si="28"/>
        <v>0</v>
      </c>
    </row>
    <row r="81" spans="1:3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53"/>
        <v>0</v>
      </c>
      <c r="E81" s="77">
        <f ca="1">IFERROR(__xludf.DUMMYFUNCTION("IMPORTRANGE(""https://docs.google.com/spreadsheets/d/1MeEWN-I1oV_STSDYn1IFDPWt_1FKiwhDph83XaGc0o0/edit?usp=sharing"",""งบพรบ!BL81"")"),0)</f>
        <v>0</v>
      </c>
      <c r="F81" s="77">
        <f ca="1">IFERROR(__xludf.DUMMYFUNCTION("IMPORTRANGE(""https://docs.google.com/spreadsheets/d/1MeEWN-I1oV_STSDYn1IFDPWt_1FKiwhDph83XaGc0o0/edit?usp=sharing"",""งบพรบ!BM81"")"),0)</f>
        <v>0</v>
      </c>
      <c r="G81" s="77">
        <f ca="1">IFERROR(__xludf.DUMMYFUNCTION("IMPORTRANGE(""https://docs.google.com/spreadsheets/d/1MeEWN-I1oV_STSDYn1IFDPWt_1FKiwhDph83XaGc0o0/edit?usp=sharing"",""งบพรบ!BN81"")"),0)</f>
        <v>0</v>
      </c>
      <c r="H81" s="77">
        <f ca="1">IFERROR(__xludf.DUMMYFUNCTION("IMPORTRANGE(""https://docs.google.com/spreadsheets/d/1MeEWN-I1oV_STSDYn1IFDPWt_1FKiwhDph83XaGc0o0/edit?usp=sharing"",""งบพรบ!BP81"")"),0)</f>
        <v>0</v>
      </c>
      <c r="I81" s="77">
        <f ca="1">IFERROR(__xludf.DUMMYFUNCTION("IMPORTRANGE(""https://docs.google.com/spreadsheets/d/1MeEWN-I1oV_STSDYn1IFDPWt_1FKiwhDph83XaGc0o0/edit?usp=sharing"",""งบพรบ!BQ81"")"),0)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IFERROR(__xludf.DUMMYFUNCTION("IMPORTRANGE(""https://docs.google.com/spreadsheets/d/1MeEWN-I1oV_STSDYn1IFDPWt_1FKiwhDph83XaGc0o0/edit?usp=sharing"",""งบพรบ!BR81"")"),0)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IFERROR(__xludf.DUMMYFUNCTION("IMPORTRANGE(""https://docs.google.com/spreadsheets/d/1MeEWN-I1oV_STSDYn1IFDPWt_1FKiwhDph83XaGc0o0/edit?usp=sharing"",""งบพรบ!BS81"")"),0)</f>
        <v>0</v>
      </c>
      <c r="P81" s="80">
        <f t="shared" ca="1" si="30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IFERROR(__xludf.DUMMYFUNCTION("IMPORTRANGE(""https://docs.google.com/spreadsheets/d/1vl4QWbWdFruual5o_wdo6ZSqXZ_it806oja4CctTLKs/edit?usp=sharing"",""พังงา!J142"")"),0)</f>
        <v>0</v>
      </c>
      <c r="S81" s="81">
        <f ca="1">IFERROR(__xludf.DUMMYFUNCTION("IMPORTRANGE(""https://docs.google.com/spreadsheets/d/1vl4QWbWdFruual5o_wdo6ZSqXZ_it806oja4CctTLKs/edit?usp=sharing"",""พังงา!I143"")"),0)</f>
        <v>0</v>
      </c>
      <c r="T81" s="81">
        <f ca="1">IFERROR(__xludf.DUMMYFUNCTION("IMPORTRANGE(""https://docs.google.com/spreadsheets/d/1vl4QWbWdFruual5o_wdo6ZSqXZ_it806oja4CctTLKs/edit?usp=sharing"",""พังงา!J143"")"),0)</f>
        <v>0</v>
      </c>
      <c r="U81" s="82">
        <f t="shared" ca="1" si="25"/>
        <v>0</v>
      </c>
      <c r="V81" s="81">
        <f ca="1">IFERROR(__xludf.DUMMYFUNCTION("IMPORTRANGE(""https://docs.google.com/spreadsheets/d/1vl4QWbWdFruual5o_wdo6ZSqXZ_it806oja4CctTLKs/edit?usp=sharing"",""พังงา!I144"")"),0)</f>
        <v>0</v>
      </c>
      <c r="W81" s="81">
        <f ca="1">IFERROR(__xludf.DUMMYFUNCTION("IMPORTRANGE(""https://docs.google.com/spreadsheets/d/1vl4QWbWdFruual5o_wdo6ZSqXZ_it806oja4CctTLKs/edit?usp=sharing"",""พังงา!J144"")"),0)</f>
        <v>0</v>
      </c>
      <c r="X81" s="82">
        <f t="shared" ca="1" si="26"/>
        <v>0</v>
      </c>
      <c r="Y81" s="81">
        <f ca="1">IFERROR(__xludf.DUMMYFUNCTION("IMPORTRANGE(""https://docs.google.com/spreadsheets/d/1vl4QWbWdFruual5o_wdo6ZSqXZ_it806oja4CctTLKs/edit?usp=sharing"",""พังงา!I145"")"),0)</f>
        <v>0</v>
      </c>
      <c r="Z81" s="81">
        <f ca="1">IFERROR(__xludf.DUMMYFUNCTION("IMPORTRANGE(""https://docs.google.com/spreadsheets/d/1vl4QWbWdFruual5o_wdo6ZSqXZ_it806oja4CctTLKs/edit?usp=sharing"",""พังงา!J145"")"),0)</f>
        <v>0</v>
      </c>
      <c r="AA81" s="82">
        <f t="shared" ca="1" si="27"/>
        <v>0</v>
      </c>
      <c r="AB81" s="81">
        <f ca="1">IFERROR(__xludf.DUMMYFUNCTION("IMPORTRANGE(""https://docs.google.com/spreadsheets/d/1vl4QWbWdFruual5o_wdo6ZSqXZ_it806oja4CctTLKs/edit?usp=sharing"",""พังงา!I146"")"),0)</f>
        <v>0</v>
      </c>
      <c r="AC81" s="81">
        <f ca="1">IFERROR(__xludf.DUMMYFUNCTION("IMPORTRANGE(""https://docs.google.com/spreadsheets/d/1vl4QWbWdFruual5o_wdo6ZSqXZ_it806oja4CctTLKs/edit?usp=sharing"",""พังงา!J146"")"),0)</f>
        <v>0</v>
      </c>
      <c r="AD81" s="82">
        <f t="shared" ca="1" si="28"/>
        <v>0</v>
      </c>
    </row>
    <row r="82" spans="1:30" ht="21" customHeight="1" x14ac:dyDescent="0.2">
      <c r="A82" s="73">
        <v>8</v>
      </c>
      <c r="B82" s="74" t="s">
        <v>104</v>
      </c>
      <c r="C82" s="75">
        <f t="shared" ca="1" si="0"/>
        <v>454965</v>
      </c>
      <c r="D82" s="76">
        <f t="shared" ca="1" si="53"/>
        <v>145965</v>
      </c>
      <c r="E82" s="77">
        <f ca="1">IFERROR(__xludf.DUMMYFUNCTION("IMPORTRANGE(""https://docs.google.com/spreadsheets/d/1MeEWN-I1oV_STSDYn1IFDPWt_1FKiwhDph83XaGc0o0/edit?usp=sharing"",""งบพรบ!BL82"")"),0)</f>
        <v>0</v>
      </c>
      <c r="F82" s="77">
        <f ca="1">IFERROR(__xludf.DUMMYFUNCTION("IMPORTRANGE(""https://docs.google.com/spreadsheets/d/1MeEWN-I1oV_STSDYn1IFDPWt_1FKiwhDph83XaGc0o0/edit?usp=sharing"",""งบพรบ!BM82"")"),145965)</f>
        <v>145965</v>
      </c>
      <c r="G82" s="77">
        <f ca="1">IFERROR(__xludf.DUMMYFUNCTION("IMPORTRANGE(""https://docs.google.com/spreadsheets/d/1MeEWN-I1oV_STSDYn1IFDPWt_1FKiwhDph83XaGc0o0/edit?usp=sharing"",""งบพรบ!BN82"")"),309000)</f>
        <v>309000</v>
      </c>
      <c r="H82" s="77">
        <f ca="1">IFERROR(__xludf.DUMMYFUNCTION("IMPORTRANGE(""https://docs.google.com/spreadsheets/d/1MeEWN-I1oV_STSDYn1IFDPWt_1FKiwhDph83XaGc0o0/edit?usp=sharing"",""งบพรบ!BP82"")"),145965)</f>
        <v>145965</v>
      </c>
      <c r="I82" s="77">
        <f ca="1">IFERROR(__xludf.DUMMYFUNCTION("IMPORTRANGE(""https://docs.google.com/spreadsheets/d/1MeEWN-I1oV_STSDYn1IFDPWt_1FKiwhDph83XaGc0o0/edit?usp=sharing"",""งบพรบ!BQ82"")"),309000)</f>
        <v>309000</v>
      </c>
      <c r="J82" s="77">
        <f t="shared" ca="1" si="3"/>
        <v>454821</v>
      </c>
      <c r="K82" s="78">
        <f t="shared" ca="1" si="4"/>
        <v>99.968349213675779</v>
      </c>
      <c r="L82" s="77">
        <f ca="1">IFERROR(__xludf.DUMMYFUNCTION("IMPORTRANGE(""https://docs.google.com/spreadsheets/d/1MeEWN-I1oV_STSDYn1IFDPWt_1FKiwhDph83XaGc0o0/edit?usp=sharing"",""งบพรบ!BR82"")"),145821)</f>
        <v>145821</v>
      </c>
      <c r="M82" s="79">
        <f t="shared" ca="1" si="5"/>
        <v>99.90134621313328</v>
      </c>
      <c r="N82" s="79">
        <f t="shared" ca="1" si="6"/>
        <v>99.90134621313328</v>
      </c>
      <c r="O82" s="80">
        <f ca="1">IFERROR(__xludf.DUMMYFUNCTION("IMPORTRANGE(""https://docs.google.com/spreadsheets/d/1MeEWN-I1oV_STSDYn1IFDPWt_1FKiwhDph83XaGc0o0/edit?usp=sharing"",""งบพรบ!BS82"")"),309000)</f>
        <v>309000</v>
      </c>
      <c r="P82" s="80">
        <f t="shared" ca="1" si="30"/>
        <v>100</v>
      </c>
      <c r="Q82" s="79">
        <f t="shared" ca="1" si="8"/>
        <v>100</v>
      </c>
      <c r="R82" s="81">
        <f ca="1">IFERROR(__xludf.DUMMYFUNCTION("IMPORTRANGE(""https://docs.google.com/spreadsheets/d/1b6QssHQp2FoAPSMKHOy273KNzAomaIKhtdlvuZ_zDNE/edit?usp=sharing"",""พัทลุง!J142"")"),0)</f>
        <v>0</v>
      </c>
      <c r="S82" s="81">
        <f ca="1">IFERROR(__xludf.DUMMYFUNCTION("IMPORTRANGE(""https://docs.google.com/spreadsheets/d/1b6QssHQp2FoAPSMKHOy273KNzAomaIKhtdlvuZ_zDNE/edit?usp=sharing"",""พัทลุง!I143"")"),30)</f>
        <v>30</v>
      </c>
      <c r="T82" s="81">
        <f ca="1">IFERROR(__xludf.DUMMYFUNCTION("IMPORTRANGE(""https://docs.google.com/spreadsheets/d/1b6QssHQp2FoAPSMKHOy273KNzAomaIKhtdlvuZ_zDNE/edit?usp=sharing"",""พัทลุง!J143"")"),30)</f>
        <v>30</v>
      </c>
      <c r="U82" s="82">
        <f t="shared" ca="1" si="25"/>
        <v>100</v>
      </c>
      <c r="V82" s="81">
        <f ca="1">IFERROR(__xludf.DUMMYFUNCTION("IMPORTRANGE(""https://docs.google.com/spreadsheets/d/1b6QssHQp2FoAPSMKHOy273KNzAomaIKhtdlvuZ_zDNE/edit?usp=sharing"",""พัทลุง!I144"")"),15)</f>
        <v>15</v>
      </c>
      <c r="W82" s="81">
        <f ca="1">IFERROR(__xludf.DUMMYFUNCTION("IMPORTRANGE(""https://docs.google.com/spreadsheets/d/1b6QssHQp2FoAPSMKHOy273KNzAomaIKhtdlvuZ_zDNE/edit?usp=sharing"",""พัทลุง!J144"")"),15)</f>
        <v>15</v>
      </c>
      <c r="X82" s="82">
        <f t="shared" ca="1" si="26"/>
        <v>100</v>
      </c>
      <c r="Y82" s="81">
        <f ca="1">IFERROR(__xludf.DUMMYFUNCTION("IMPORTRANGE(""https://docs.google.com/spreadsheets/d/1b6QssHQp2FoAPSMKHOy273KNzAomaIKhtdlvuZ_zDNE/edit?usp=sharing"",""พัทลุง!I145"")"),30)</f>
        <v>30</v>
      </c>
      <c r="Z82" s="81">
        <f ca="1">IFERROR(__xludf.DUMMYFUNCTION("IMPORTRANGE(""https://docs.google.com/spreadsheets/d/1b6QssHQp2FoAPSMKHOy273KNzAomaIKhtdlvuZ_zDNE/edit?usp=sharing"",""พัทลุง!J145"")"),30)</f>
        <v>30</v>
      </c>
      <c r="AA82" s="82">
        <f t="shared" ca="1" si="27"/>
        <v>100</v>
      </c>
      <c r="AB82" s="81">
        <f ca="1">IFERROR(__xludf.DUMMYFUNCTION("IMPORTRANGE(""https://docs.google.com/spreadsheets/d/1b6QssHQp2FoAPSMKHOy273KNzAomaIKhtdlvuZ_zDNE/edit?usp=sharing"",""พัทลุง!I146"")"),3)</f>
        <v>3</v>
      </c>
      <c r="AC82" s="81">
        <f ca="1">IFERROR(__xludf.DUMMYFUNCTION("IMPORTRANGE(""https://docs.google.com/spreadsheets/d/1b6QssHQp2FoAPSMKHOy273KNzAomaIKhtdlvuZ_zDNE/edit?usp=sharing"",""พัทลุง!J146"")"),3)</f>
        <v>3</v>
      </c>
      <c r="AD82" s="82">
        <f t="shared" ca="1" si="28"/>
        <v>100</v>
      </c>
    </row>
    <row r="83" spans="1:3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53"/>
        <v>0</v>
      </c>
      <c r="E83" s="77">
        <f ca="1">IFERROR(__xludf.DUMMYFUNCTION("IMPORTRANGE(""https://docs.google.com/spreadsheets/d/1MeEWN-I1oV_STSDYn1IFDPWt_1FKiwhDph83XaGc0o0/edit?usp=sharing"",""งบพรบ!BL83"")"),0)</f>
        <v>0</v>
      </c>
      <c r="F83" s="77">
        <f ca="1">IFERROR(__xludf.DUMMYFUNCTION("IMPORTRANGE(""https://docs.google.com/spreadsheets/d/1MeEWN-I1oV_STSDYn1IFDPWt_1FKiwhDph83XaGc0o0/edit?usp=sharing"",""งบพรบ!BM83"")"),0)</f>
        <v>0</v>
      </c>
      <c r="G83" s="77">
        <f ca="1">IFERROR(__xludf.DUMMYFUNCTION("IMPORTRANGE(""https://docs.google.com/spreadsheets/d/1MeEWN-I1oV_STSDYn1IFDPWt_1FKiwhDph83XaGc0o0/edit?usp=sharing"",""งบพรบ!BN83"")"),0)</f>
        <v>0</v>
      </c>
      <c r="H83" s="77">
        <f ca="1">IFERROR(__xludf.DUMMYFUNCTION("IMPORTRANGE(""https://docs.google.com/spreadsheets/d/1MeEWN-I1oV_STSDYn1IFDPWt_1FKiwhDph83XaGc0o0/edit?usp=sharing"",""งบพรบ!BP83"")"),0)</f>
        <v>0</v>
      </c>
      <c r="I83" s="77">
        <f ca="1">IFERROR(__xludf.DUMMYFUNCTION("IMPORTRANGE(""https://docs.google.com/spreadsheets/d/1MeEWN-I1oV_STSDYn1IFDPWt_1FKiwhDph83XaGc0o0/edit?usp=sharing"",""งบพรบ!BQ83"")"),0)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IFERROR(__xludf.DUMMYFUNCTION("IMPORTRANGE(""https://docs.google.com/spreadsheets/d/1MeEWN-I1oV_STSDYn1IFDPWt_1FKiwhDph83XaGc0o0/edit?usp=sharing"",""งบพรบ!BR83"")"),0)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IFERROR(__xludf.DUMMYFUNCTION("IMPORTRANGE(""https://docs.google.com/spreadsheets/d/1MeEWN-I1oV_STSDYn1IFDPWt_1FKiwhDph83XaGc0o0/edit?usp=sharing"",""งบพรบ!BS83"")"),0)</f>
        <v>0</v>
      </c>
      <c r="P83" s="80">
        <f t="shared" ca="1" si="30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IFERROR(__xludf.DUMMYFUNCTION("IMPORTRANGE(""https://docs.google.com/spreadsheets/d/1o7UZe4_OqlqtLDHrj01Z2YFRSZDf1DMy1n3XViHaxRc/edit?usp=sharing"",""ภูเก็ต!J142"")"),0)</f>
        <v>0</v>
      </c>
      <c r="S83" s="81">
        <f ca="1">IFERROR(__xludf.DUMMYFUNCTION("IMPORTRANGE(""https://docs.google.com/spreadsheets/d/1o7UZe4_OqlqtLDHrj01Z2YFRSZDf1DMy1n3XViHaxRc/edit?usp=sharing"",""ภูเก็ต!I143"")"),0)</f>
        <v>0</v>
      </c>
      <c r="T83" s="81">
        <f ca="1">IFERROR(__xludf.DUMMYFUNCTION("IMPORTRANGE(""https://docs.google.com/spreadsheets/d/1o7UZe4_OqlqtLDHrj01Z2YFRSZDf1DMy1n3XViHaxRc/edit?usp=sharing"",""ภูเก็ต!J143"")"),0)</f>
        <v>0</v>
      </c>
      <c r="U83" s="82">
        <f t="shared" ca="1" si="25"/>
        <v>0</v>
      </c>
      <c r="V83" s="81">
        <f ca="1">IFERROR(__xludf.DUMMYFUNCTION("IMPORTRANGE(""https://docs.google.com/spreadsheets/d/1o7UZe4_OqlqtLDHrj01Z2YFRSZDf1DMy1n3XViHaxRc/edit?usp=sharing"",""ภูเก็ต!I144"")"),0)</f>
        <v>0</v>
      </c>
      <c r="W83" s="81">
        <f ca="1">IFERROR(__xludf.DUMMYFUNCTION("IMPORTRANGE(""https://docs.google.com/spreadsheets/d/1o7UZe4_OqlqtLDHrj01Z2YFRSZDf1DMy1n3XViHaxRc/edit?usp=sharing"",""ภูเก็ต!J144"")"),0)</f>
        <v>0</v>
      </c>
      <c r="X83" s="82">
        <f t="shared" ca="1" si="26"/>
        <v>0</v>
      </c>
      <c r="Y83" s="81">
        <f ca="1">IFERROR(__xludf.DUMMYFUNCTION("IMPORTRANGE(""https://docs.google.com/spreadsheets/d/1o7UZe4_OqlqtLDHrj01Z2YFRSZDf1DMy1n3XViHaxRc/edit?usp=sharing"",""ภูเก็ต!I145"")"),0)</f>
        <v>0</v>
      </c>
      <c r="Z83" s="81">
        <f ca="1">IFERROR(__xludf.DUMMYFUNCTION("IMPORTRANGE(""https://docs.google.com/spreadsheets/d/1o7UZe4_OqlqtLDHrj01Z2YFRSZDf1DMy1n3XViHaxRc/edit?usp=sharing"",""ภูเก็ต!J145"")"),0)</f>
        <v>0</v>
      </c>
      <c r="AA83" s="82">
        <f t="shared" ca="1" si="27"/>
        <v>0</v>
      </c>
      <c r="AB83" s="81">
        <f ca="1">IFERROR(__xludf.DUMMYFUNCTION("IMPORTRANGE(""https://docs.google.com/spreadsheets/d/1o7UZe4_OqlqtLDHrj01Z2YFRSZDf1DMy1n3XViHaxRc/edit?usp=sharing"",""ภูเก็ต!I146"")"),0)</f>
        <v>0</v>
      </c>
      <c r="AC83" s="81">
        <f ca="1">IFERROR(__xludf.DUMMYFUNCTION("IMPORTRANGE(""https://docs.google.com/spreadsheets/d/1o7UZe4_OqlqtLDHrj01Z2YFRSZDf1DMy1n3XViHaxRc/edit?usp=sharing"",""ภูเก็ต!J146"")"),0)</f>
        <v>0</v>
      </c>
      <c r="AD83" s="82">
        <f t="shared" ca="1" si="28"/>
        <v>0</v>
      </c>
    </row>
    <row r="84" spans="1:3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53"/>
        <v>0</v>
      </c>
      <c r="E84" s="77">
        <f ca="1">IFERROR(__xludf.DUMMYFUNCTION("IMPORTRANGE(""https://docs.google.com/spreadsheets/d/1MeEWN-I1oV_STSDYn1IFDPWt_1FKiwhDph83XaGc0o0/edit?usp=sharing"",""งบพรบ!BL84"")"),0)</f>
        <v>0</v>
      </c>
      <c r="F84" s="77">
        <f ca="1">IFERROR(__xludf.DUMMYFUNCTION("IMPORTRANGE(""https://docs.google.com/spreadsheets/d/1MeEWN-I1oV_STSDYn1IFDPWt_1FKiwhDph83XaGc0o0/edit?usp=sharing"",""งบพรบ!BM84"")"),0)</f>
        <v>0</v>
      </c>
      <c r="G84" s="77">
        <f ca="1">IFERROR(__xludf.DUMMYFUNCTION("IMPORTRANGE(""https://docs.google.com/spreadsheets/d/1MeEWN-I1oV_STSDYn1IFDPWt_1FKiwhDph83XaGc0o0/edit?usp=sharing"",""งบพรบ!BN84"")"),0)</f>
        <v>0</v>
      </c>
      <c r="H84" s="77">
        <f ca="1">IFERROR(__xludf.DUMMYFUNCTION("IMPORTRANGE(""https://docs.google.com/spreadsheets/d/1MeEWN-I1oV_STSDYn1IFDPWt_1FKiwhDph83XaGc0o0/edit?usp=sharing"",""งบพรบ!BP84"")"),0)</f>
        <v>0</v>
      </c>
      <c r="I84" s="77">
        <f ca="1">IFERROR(__xludf.DUMMYFUNCTION("IMPORTRANGE(""https://docs.google.com/spreadsheets/d/1MeEWN-I1oV_STSDYn1IFDPWt_1FKiwhDph83XaGc0o0/edit?usp=sharing"",""งบพรบ!BQ84"")"),0)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IFERROR(__xludf.DUMMYFUNCTION("IMPORTRANGE(""https://docs.google.com/spreadsheets/d/1MeEWN-I1oV_STSDYn1IFDPWt_1FKiwhDph83XaGc0o0/edit?usp=sharing"",""งบพรบ!BR84"")"),0)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IFERROR(__xludf.DUMMYFUNCTION("IMPORTRANGE(""https://docs.google.com/spreadsheets/d/1MeEWN-I1oV_STSDYn1IFDPWt_1FKiwhDph83XaGc0o0/edit?usp=sharing"",""งบพรบ!BS84"")"),0)</f>
        <v>0</v>
      </c>
      <c r="P84" s="80">
        <f t="shared" ca="1" si="30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IFERROR(__xludf.DUMMYFUNCTION("IMPORTRANGE(""https://docs.google.com/spreadsheets/d/1ctPm1vUzcUCPuOj9-eoHUD85PqINFqUB0TjdSWmR5-c/edit?usp=sharing"",""ยะลา!J142"")"),0)</f>
        <v>0</v>
      </c>
      <c r="S84" s="81">
        <f ca="1">IFERROR(__xludf.DUMMYFUNCTION("IMPORTRANGE(""https://docs.google.com/spreadsheets/d/1ctPm1vUzcUCPuOj9-eoHUD85PqINFqUB0TjdSWmR5-c/edit?usp=sharing"",""ยะลา!I143"")"),0)</f>
        <v>0</v>
      </c>
      <c r="T84" s="81">
        <f ca="1">IFERROR(__xludf.DUMMYFUNCTION("IMPORTRANGE(""https://docs.google.com/spreadsheets/d/1ctPm1vUzcUCPuOj9-eoHUD85PqINFqUB0TjdSWmR5-c/edit?usp=sharing"",""ยะลา!J143"")"),0)</f>
        <v>0</v>
      </c>
      <c r="U84" s="82">
        <f t="shared" ca="1" si="25"/>
        <v>0</v>
      </c>
      <c r="V84" s="81">
        <f ca="1">IFERROR(__xludf.DUMMYFUNCTION("IMPORTRANGE(""https://docs.google.com/spreadsheets/d/1ctPm1vUzcUCPuOj9-eoHUD85PqINFqUB0TjdSWmR5-c/edit?usp=sharing"",""ยะลา!I144"")"),0)</f>
        <v>0</v>
      </c>
      <c r="W84" s="81">
        <f ca="1">IFERROR(__xludf.DUMMYFUNCTION("IMPORTRANGE(""https://docs.google.com/spreadsheets/d/1ctPm1vUzcUCPuOj9-eoHUD85PqINFqUB0TjdSWmR5-c/edit?usp=sharing"",""ยะลา!J144"")"),0)</f>
        <v>0</v>
      </c>
      <c r="X84" s="82">
        <f t="shared" ca="1" si="26"/>
        <v>0</v>
      </c>
      <c r="Y84" s="81">
        <f ca="1">IFERROR(__xludf.DUMMYFUNCTION("IMPORTRANGE(""https://docs.google.com/spreadsheets/d/1ctPm1vUzcUCPuOj9-eoHUD85PqINFqUB0TjdSWmR5-c/edit?usp=sharing"",""ยะลา!I145"")"),0)</f>
        <v>0</v>
      </c>
      <c r="Z84" s="81">
        <f ca="1">IFERROR(__xludf.DUMMYFUNCTION("IMPORTRANGE(""https://docs.google.com/spreadsheets/d/1ctPm1vUzcUCPuOj9-eoHUD85PqINFqUB0TjdSWmR5-c/edit?usp=sharing"",""ยะลา!J145"")"),0)</f>
        <v>0</v>
      </c>
      <c r="AA84" s="82">
        <f t="shared" ca="1" si="27"/>
        <v>0</v>
      </c>
      <c r="AB84" s="81">
        <f ca="1">IFERROR(__xludf.DUMMYFUNCTION("IMPORTRANGE(""https://docs.google.com/spreadsheets/d/1ctPm1vUzcUCPuOj9-eoHUD85PqINFqUB0TjdSWmR5-c/edit?usp=sharing"",""ยะลา!I146"")"),0)</f>
        <v>0</v>
      </c>
      <c r="AC84" s="81">
        <f ca="1">IFERROR(__xludf.DUMMYFUNCTION("IMPORTRANGE(""https://docs.google.com/spreadsheets/d/1ctPm1vUzcUCPuOj9-eoHUD85PqINFqUB0TjdSWmR5-c/edit?usp=sharing"",""ยะลา!J146"")"),0)</f>
        <v>0</v>
      </c>
      <c r="AD84" s="82">
        <f t="shared" ca="1" si="28"/>
        <v>0</v>
      </c>
    </row>
    <row r="85" spans="1:3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53"/>
        <v>0</v>
      </c>
      <c r="E85" s="77">
        <f ca="1">IFERROR(__xludf.DUMMYFUNCTION("IMPORTRANGE(""https://docs.google.com/spreadsheets/d/1MeEWN-I1oV_STSDYn1IFDPWt_1FKiwhDph83XaGc0o0/edit?usp=sharing"",""งบพรบ!BL85"")"),0)</f>
        <v>0</v>
      </c>
      <c r="F85" s="77">
        <f ca="1">IFERROR(__xludf.DUMMYFUNCTION("IMPORTRANGE(""https://docs.google.com/spreadsheets/d/1MeEWN-I1oV_STSDYn1IFDPWt_1FKiwhDph83XaGc0o0/edit?usp=sharing"",""งบพรบ!BM85"")"),0)</f>
        <v>0</v>
      </c>
      <c r="G85" s="77">
        <f ca="1">IFERROR(__xludf.DUMMYFUNCTION("IMPORTRANGE(""https://docs.google.com/spreadsheets/d/1MeEWN-I1oV_STSDYn1IFDPWt_1FKiwhDph83XaGc0o0/edit?usp=sharing"",""งบพรบ!BN85"")"),0)</f>
        <v>0</v>
      </c>
      <c r="H85" s="77">
        <f ca="1">IFERROR(__xludf.DUMMYFUNCTION("IMPORTRANGE(""https://docs.google.com/spreadsheets/d/1MeEWN-I1oV_STSDYn1IFDPWt_1FKiwhDph83XaGc0o0/edit?usp=sharing"",""งบพรบ!BP85"")"),0)</f>
        <v>0</v>
      </c>
      <c r="I85" s="77">
        <f ca="1">IFERROR(__xludf.DUMMYFUNCTION("IMPORTRANGE(""https://docs.google.com/spreadsheets/d/1MeEWN-I1oV_STSDYn1IFDPWt_1FKiwhDph83XaGc0o0/edit?usp=sharing"",""งบพรบ!BQ85"")"),0)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IFERROR(__xludf.DUMMYFUNCTION("IMPORTRANGE(""https://docs.google.com/spreadsheets/d/1MeEWN-I1oV_STSDYn1IFDPWt_1FKiwhDph83XaGc0o0/edit?usp=sharing"",""งบพรบ!BR85"")"),0)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IFERROR(__xludf.DUMMYFUNCTION("IMPORTRANGE(""https://docs.google.com/spreadsheets/d/1MeEWN-I1oV_STSDYn1IFDPWt_1FKiwhDph83XaGc0o0/edit?usp=sharing"",""งบพรบ!BS85"")"),0)</f>
        <v>0</v>
      </c>
      <c r="P85" s="80">
        <f t="shared" ca="1" si="30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IFERROR(__xludf.DUMMYFUNCTION("IMPORTRANGE(""https://docs.google.com/spreadsheets/d/1YiDIE7Klmt8osgdapRqYWNr7iPGFSsiJqq46S7PYRE0/edit?usp=sharing"",""ระนอง!J142"")"),0)</f>
        <v>0</v>
      </c>
      <c r="S85" s="81">
        <f ca="1">IFERROR(__xludf.DUMMYFUNCTION("IMPORTRANGE(""https://docs.google.com/spreadsheets/d/1YiDIE7Klmt8osgdapRqYWNr7iPGFSsiJqq46S7PYRE0/edit?usp=sharing"",""ระนอง!I143"")"),0)</f>
        <v>0</v>
      </c>
      <c r="T85" s="81">
        <f ca="1">IFERROR(__xludf.DUMMYFUNCTION("IMPORTRANGE(""https://docs.google.com/spreadsheets/d/1YiDIE7Klmt8osgdapRqYWNr7iPGFSsiJqq46S7PYRE0/edit?usp=sharing"",""ระนอง!J143"")"),0)</f>
        <v>0</v>
      </c>
      <c r="U85" s="82">
        <f t="shared" ca="1" si="25"/>
        <v>0</v>
      </c>
      <c r="V85" s="81">
        <f ca="1">IFERROR(__xludf.DUMMYFUNCTION("IMPORTRANGE(""https://docs.google.com/spreadsheets/d/1YiDIE7Klmt8osgdapRqYWNr7iPGFSsiJqq46S7PYRE0/edit?usp=sharing"",""ระนอง!I144"")"),0)</f>
        <v>0</v>
      </c>
      <c r="W85" s="81">
        <f ca="1">IFERROR(__xludf.DUMMYFUNCTION("IMPORTRANGE(""https://docs.google.com/spreadsheets/d/1YiDIE7Klmt8osgdapRqYWNr7iPGFSsiJqq46S7PYRE0/edit?usp=sharing"",""ระนอง!J144"")"),0)</f>
        <v>0</v>
      </c>
      <c r="X85" s="82">
        <f t="shared" ca="1" si="26"/>
        <v>0</v>
      </c>
      <c r="Y85" s="81">
        <f ca="1">IFERROR(__xludf.DUMMYFUNCTION("IMPORTRANGE(""https://docs.google.com/spreadsheets/d/1YiDIE7Klmt8osgdapRqYWNr7iPGFSsiJqq46S7PYRE0/edit?usp=sharing"",""ระนอง!I145"")"),0)</f>
        <v>0</v>
      </c>
      <c r="Z85" s="81">
        <f ca="1">IFERROR(__xludf.DUMMYFUNCTION("IMPORTRANGE(""https://docs.google.com/spreadsheets/d/1YiDIE7Klmt8osgdapRqYWNr7iPGFSsiJqq46S7PYRE0/edit?usp=sharing"",""ระนอง!J145"")"),0)</f>
        <v>0</v>
      </c>
      <c r="AA85" s="82">
        <f t="shared" ca="1" si="27"/>
        <v>0</v>
      </c>
      <c r="AB85" s="81">
        <f ca="1">IFERROR(__xludf.DUMMYFUNCTION("IMPORTRANGE(""https://docs.google.com/spreadsheets/d/1YiDIE7Klmt8osgdapRqYWNr7iPGFSsiJqq46S7PYRE0/edit?usp=sharing"",""ระนอง!I146"")"),0)</f>
        <v>0</v>
      </c>
      <c r="AC85" s="81">
        <f ca="1">IFERROR(__xludf.DUMMYFUNCTION("IMPORTRANGE(""https://docs.google.com/spreadsheets/d/1YiDIE7Klmt8osgdapRqYWNr7iPGFSsiJqq46S7PYRE0/edit?usp=sharing"",""ระนอง!J146"")"),0)</f>
        <v>0</v>
      </c>
      <c r="AD85" s="82">
        <f t="shared" ca="1" si="28"/>
        <v>0</v>
      </c>
    </row>
    <row r="86" spans="1:30" ht="24" customHeight="1" x14ac:dyDescent="0.2">
      <c r="A86" s="73">
        <v>12</v>
      </c>
      <c r="B86" s="74" t="s">
        <v>108</v>
      </c>
      <c r="C86" s="75">
        <f t="shared" ca="1" si="0"/>
        <v>543555</v>
      </c>
      <c r="D86" s="76">
        <f t="shared" ca="1" si="53"/>
        <v>440555</v>
      </c>
      <c r="E86" s="77">
        <f ca="1">IFERROR(__xludf.DUMMYFUNCTION("IMPORTRANGE(""https://docs.google.com/spreadsheets/d/1MeEWN-I1oV_STSDYn1IFDPWt_1FKiwhDph83XaGc0o0/edit?usp=sharing"",""งบพรบ!BL86"")"),391900)</f>
        <v>391900</v>
      </c>
      <c r="F86" s="77">
        <f ca="1">IFERROR(__xludf.DUMMYFUNCTION("IMPORTRANGE(""https://docs.google.com/spreadsheets/d/1MeEWN-I1oV_STSDYn1IFDPWt_1FKiwhDph83XaGc0o0/edit?usp=sharing"",""งบพรบ!BM86"")"),48655)</f>
        <v>48655</v>
      </c>
      <c r="G86" s="77">
        <f ca="1">IFERROR(__xludf.DUMMYFUNCTION("IMPORTRANGE(""https://docs.google.com/spreadsheets/d/1MeEWN-I1oV_STSDYn1IFDPWt_1FKiwhDph83XaGc0o0/edit?usp=sharing"",""งบพรบ!BN86"")"),103000)</f>
        <v>103000</v>
      </c>
      <c r="H86" s="77">
        <f ca="1">IFERROR(__xludf.DUMMYFUNCTION("IMPORTRANGE(""https://docs.google.com/spreadsheets/d/1MeEWN-I1oV_STSDYn1IFDPWt_1FKiwhDph83XaGc0o0/edit?usp=sharing"",""งบพรบ!BP86"")"),440555)</f>
        <v>440555</v>
      </c>
      <c r="I86" s="77">
        <f ca="1">IFERROR(__xludf.DUMMYFUNCTION("IMPORTRANGE(""https://docs.google.com/spreadsheets/d/1MeEWN-I1oV_STSDYn1IFDPWt_1FKiwhDph83XaGc0o0/edit?usp=sharing"",""งบพรบ!BQ86"")"),103000)</f>
        <v>103000</v>
      </c>
      <c r="J86" s="77">
        <f t="shared" ca="1" si="3"/>
        <v>508460</v>
      </c>
      <c r="K86" s="78">
        <f t="shared" ca="1" si="4"/>
        <v>93.543431667448559</v>
      </c>
      <c r="L86" s="77">
        <f ca="1">IFERROR(__xludf.DUMMYFUNCTION("IMPORTRANGE(""https://docs.google.com/spreadsheets/d/1MeEWN-I1oV_STSDYn1IFDPWt_1FKiwhDph83XaGc0o0/edit?usp=sharing"",""งบพรบ!BR86"")"),405460)</f>
        <v>405460</v>
      </c>
      <c r="M86" s="79">
        <f t="shared" ca="1" si="5"/>
        <v>92.033911770380541</v>
      </c>
      <c r="N86" s="79">
        <f t="shared" ca="1" si="6"/>
        <v>92.033911770380541</v>
      </c>
      <c r="O86" s="80">
        <f ca="1">IFERROR(__xludf.DUMMYFUNCTION("IMPORTRANGE(""https://docs.google.com/spreadsheets/d/1MeEWN-I1oV_STSDYn1IFDPWt_1FKiwhDph83XaGc0o0/edit?usp=sharing"",""งบพรบ!BS86"")"),103000)</f>
        <v>103000</v>
      </c>
      <c r="P86" s="80">
        <f t="shared" ca="1" si="30"/>
        <v>100</v>
      </c>
      <c r="Q86" s="79">
        <f t="shared" ca="1" si="8"/>
        <v>100</v>
      </c>
      <c r="R86" s="81">
        <f ca="1">IFERROR(__xludf.DUMMYFUNCTION("IMPORTRANGE(""https://docs.google.com/spreadsheets/d/16o_4B-V7AWw_6E93bSpXj_XxVv1oVQctk-B6z1dNEWU/edit?usp=sharing"",""สงขลา!J142"")"),10)</f>
        <v>10</v>
      </c>
      <c r="S86" s="81">
        <f ca="1">IFERROR(__xludf.DUMMYFUNCTION("IMPORTRANGE(""https://docs.google.com/spreadsheets/d/16o_4B-V7AWw_6E93bSpXj_XxVv1oVQctk-B6z1dNEWU/edit?usp=sharing"",""สงขลา!I143"")"),10)</f>
        <v>10</v>
      </c>
      <c r="T86" s="81">
        <f ca="1">IFERROR(__xludf.DUMMYFUNCTION("IMPORTRANGE(""https://docs.google.com/spreadsheets/d/16o_4B-V7AWw_6E93bSpXj_XxVv1oVQctk-B6z1dNEWU/edit?usp=sharing"",""สงขลา!J143"")"),10)</f>
        <v>10</v>
      </c>
      <c r="U86" s="82">
        <f t="shared" ca="1" si="25"/>
        <v>100</v>
      </c>
      <c r="V86" s="81">
        <f ca="1">IFERROR(__xludf.DUMMYFUNCTION("IMPORTRANGE(""https://docs.google.com/spreadsheets/d/16o_4B-V7AWw_6E93bSpXj_XxVv1oVQctk-B6z1dNEWU/edit?usp=sharing"",""สงขลา!I144"")"),5)</f>
        <v>5</v>
      </c>
      <c r="W86" s="81">
        <f ca="1">IFERROR(__xludf.DUMMYFUNCTION("IMPORTRANGE(""https://docs.google.com/spreadsheets/d/16o_4B-V7AWw_6E93bSpXj_XxVv1oVQctk-B6z1dNEWU/edit?usp=sharing"",""สงขลา!J144"")"),5)</f>
        <v>5</v>
      </c>
      <c r="X86" s="82">
        <f t="shared" ca="1" si="26"/>
        <v>100</v>
      </c>
      <c r="Y86" s="81">
        <f ca="1">IFERROR(__xludf.DUMMYFUNCTION("IMPORTRANGE(""https://docs.google.com/spreadsheets/d/16o_4B-V7AWw_6E93bSpXj_XxVv1oVQctk-B6z1dNEWU/edit?usp=sharing"",""สงขลา!I145"")"),10)</f>
        <v>10</v>
      </c>
      <c r="Z86" s="81">
        <f ca="1">IFERROR(__xludf.DUMMYFUNCTION("IMPORTRANGE(""https://docs.google.com/spreadsheets/d/16o_4B-V7AWw_6E93bSpXj_XxVv1oVQctk-B6z1dNEWU/edit?usp=sharing"",""สงขลา!J145"")"),10)</f>
        <v>10</v>
      </c>
      <c r="AA86" s="82">
        <f t="shared" ca="1" si="27"/>
        <v>100</v>
      </c>
      <c r="AB86" s="81">
        <f ca="1">IFERROR(__xludf.DUMMYFUNCTION("IMPORTRANGE(""https://docs.google.com/spreadsheets/d/16o_4B-V7AWw_6E93bSpXj_XxVv1oVQctk-B6z1dNEWU/edit?usp=sharing"",""สงขลา!I146"")"),1)</f>
        <v>1</v>
      </c>
      <c r="AC86" s="81">
        <f ca="1">IFERROR(__xludf.DUMMYFUNCTION("IMPORTRANGE(""https://docs.google.com/spreadsheets/d/16o_4B-V7AWw_6E93bSpXj_XxVv1oVQctk-B6z1dNEWU/edit?usp=sharing"",""สงขลา!J146"")"),1)</f>
        <v>1</v>
      </c>
      <c r="AD86" s="82">
        <f t="shared" ca="1" si="28"/>
        <v>100</v>
      </c>
    </row>
    <row r="87" spans="1:3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53"/>
        <v>0</v>
      </c>
      <c r="E87" s="77">
        <f ca="1">IFERROR(__xludf.DUMMYFUNCTION("IMPORTRANGE(""https://docs.google.com/spreadsheets/d/1MeEWN-I1oV_STSDYn1IFDPWt_1FKiwhDph83XaGc0o0/edit?usp=sharing"",""งบพรบ!BL87"")"),0)</f>
        <v>0</v>
      </c>
      <c r="F87" s="77">
        <f ca="1">IFERROR(__xludf.DUMMYFUNCTION("IMPORTRANGE(""https://docs.google.com/spreadsheets/d/1MeEWN-I1oV_STSDYn1IFDPWt_1FKiwhDph83XaGc0o0/edit?usp=sharing"",""งบพรบ!BM87"")"),0)</f>
        <v>0</v>
      </c>
      <c r="G87" s="77">
        <f ca="1">IFERROR(__xludf.DUMMYFUNCTION("IMPORTRANGE(""https://docs.google.com/spreadsheets/d/1MeEWN-I1oV_STSDYn1IFDPWt_1FKiwhDph83XaGc0o0/edit?usp=sharing"",""งบพรบ!BN87"")"),0)</f>
        <v>0</v>
      </c>
      <c r="H87" s="77">
        <f ca="1">IFERROR(__xludf.DUMMYFUNCTION("IMPORTRANGE(""https://docs.google.com/spreadsheets/d/1MeEWN-I1oV_STSDYn1IFDPWt_1FKiwhDph83XaGc0o0/edit?usp=sharing"",""งบพรบ!BP87"")"),0)</f>
        <v>0</v>
      </c>
      <c r="I87" s="77">
        <f ca="1">IFERROR(__xludf.DUMMYFUNCTION("IMPORTRANGE(""https://docs.google.com/spreadsheets/d/1MeEWN-I1oV_STSDYn1IFDPWt_1FKiwhDph83XaGc0o0/edit?usp=sharing"",""งบพรบ!BQ87"")"),0)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IFERROR(__xludf.DUMMYFUNCTION("IMPORTRANGE(""https://docs.google.com/spreadsheets/d/1MeEWN-I1oV_STSDYn1IFDPWt_1FKiwhDph83XaGc0o0/edit?usp=sharing"",""งบพรบ!BR87"")"),0)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IFERROR(__xludf.DUMMYFUNCTION("IMPORTRANGE(""https://docs.google.com/spreadsheets/d/1MeEWN-I1oV_STSDYn1IFDPWt_1FKiwhDph83XaGc0o0/edit?usp=sharing"",""งบพรบ!BS87"")"),0)</f>
        <v>0</v>
      </c>
      <c r="P87" s="80">
        <f t="shared" ca="1" si="30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IFERROR(__xludf.DUMMYFUNCTION("IMPORTRANGE(""https://docs.google.com/spreadsheets/d/16cywr71Fj4fA5OGRHsZh30ZG2gwJhMAQv69oVBzYHv0/edit?usp=sharing"",""สตูล!J142"")"),0)</f>
        <v>0</v>
      </c>
      <c r="S87" s="81">
        <f ca="1">IFERROR(__xludf.DUMMYFUNCTION("IMPORTRANGE(""https://docs.google.com/spreadsheets/d/16cywr71Fj4fA5OGRHsZh30ZG2gwJhMAQv69oVBzYHv0/edit?usp=sharing"",""สตูล!I143"")"),0)</f>
        <v>0</v>
      </c>
      <c r="T87" s="81">
        <f ca="1">IFERROR(__xludf.DUMMYFUNCTION("IMPORTRANGE(""https://docs.google.com/spreadsheets/d/16cywr71Fj4fA5OGRHsZh30ZG2gwJhMAQv69oVBzYHv0/edit?usp=sharing"",""สตูล!J143"")"),0)</f>
        <v>0</v>
      </c>
      <c r="U87" s="82">
        <f t="shared" ca="1" si="25"/>
        <v>0</v>
      </c>
      <c r="V87" s="81">
        <f ca="1">IFERROR(__xludf.DUMMYFUNCTION("IMPORTRANGE(""https://docs.google.com/spreadsheets/d/16cywr71Fj4fA5OGRHsZh30ZG2gwJhMAQv69oVBzYHv0/edit?usp=sharing"",""สตูล!I144"")"),0)</f>
        <v>0</v>
      </c>
      <c r="W87" s="81">
        <f ca="1">IFERROR(__xludf.DUMMYFUNCTION("IMPORTRANGE(""https://docs.google.com/spreadsheets/d/16cywr71Fj4fA5OGRHsZh30ZG2gwJhMAQv69oVBzYHv0/edit?usp=sharing"",""สตูล!J144"")"),0)</f>
        <v>0</v>
      </c>
      <c r="X87" s="82">
        <f t="shared" ca="1" si="26"/>
        <v>0</v>
      </c>
      <c r="Y87" s="81">
        <f ca="1">IFERROR(__xludf.DUMMYFUNCTION("IMPORTRANGE(""https://docs.google.com/spreadsheets/d/16cywr71Fj4fA5OGRHsZh30ZG2gwJhMAQv69oVBzYHv0/edit?usp=sharing"",""สตูล!I145"")"),0)</f>
        <v>0</v>
      </c>
      <c r="Z87" s="81">
        <f ca="1">IFERROR(__xludf.DUMMYFUNCTION("IMPORTRANGE(""https://docs.google.com/spreadsheets/d/16cywr71Fj4fA5OGRHsZh30ZG2gwJhMAQv69oVBzYHv0/edit?usp=sharing"",""สตูล!J145"")"),0)</f>
        <v>0</v>
      </c>
      <c r="AA87" s="82">
        <f t="shared" ca="1" si="27"/>
        <v>0</v>
      </c>
      <c r="AB87" s="81">
        <f ca="1">IFERROR(__xludf.DUMMYFUNCTION("IMPORTRANGE(""https://docs.google.com/spreadsheets/d/16cywr71Fj4fA5OGRHsZh30ZG2gwJhMAQv69oVBzYHv0/edit?usp=sharing"",""สตูล!I146"")"),0)</f>
        <v>0</v>
      </c>
      <c r="AC87" s="81">
        <f ca="1">IFERROR(__xludf.DUMMYFUNCTION("IMPORTRANGE(""https://docs.google.com/spreadsheets/d/16cywr71Fj4fA5OGRHsZh30ZG2gwJhMAQv69oVBzYHv0/edit?usp=sharing"",""สตูล!J146"")"),0)</f>
        <v>0</v>
      </c>
      <c r="AD87" s="82">
        <f t="shared" ca="1" si="28"/>
        <v>0</v>
      </c>
    </row>
    <row r="88" spans="1:30" ht="24" customHeight="1" x14ac:dyDescent="0.2">
      <c r="A88" s="84">
        <v>14</v>
      </c>
      <c r="B88" s="85" t="s">
        <v>110</v>
      </c>
      <c r="C88" s="86">
        <f t="shared" ca="1" si="0"/>
        <v>911610</v>
      </c>
      <c r="D88" s="87">
        <f t="shared" ca="1" si="53"/>
        <v>705610</v>
      </c>
      <c r="E88" s="88">
        <f ca="1">IFERROR(__xludf.DUMMYFUNCTION("IMPORTRANGE(""https://docs.google.com/spreadsheets/d/1MeEWN-I1oV_STSDYn1IFDPWt_1FKiwhDph83XaGc0o0/edit?usp=sharing"",""งบพรบ!BL88"")"),608300)</f>
        <v>608300</v>
      </c>
      <c r="F88" s="88">
        <f ca="1">IFERROR(__xludf.DUMMYFUNCTION("IMPORTRANGE(""https://docs.google.com/spreadsheets/d/1MeEWN-I1oV_STSDYn1IFDPWt_1FKiwhDph83XaGc0o0/edit?usp=sharing"",""งบพรบ!BM88"")"),97310)</f>
        <v>97310</v>
      </c>
      <c r="G88" s="88">
        <f ca="1">IFERROR(__xludf.DUMMYFUNCTION("IMPORTRANGE(""https://docs.google.com/spreadsheets/d/1MeEWN-I1oV_STSDYn1IFDPWt_1FKiwhDph83XaGc0o0/edit?usp=sharing"",""งบพรบ!BN88"")"),206000)</f>
        <v>206000</v>
      </c>
      <c r="H88" s="88">
        <f ca="1">IFERROR(__xludf.DUMMYFUNCTION("IMPORTRANGE(""https://docs.google.com/spreadsheets/d/1MeEWN-I1oV_STSDYn1IFDPWt_1FKiwhDph83XaGc0o0/edit?usp=sharing"",""งบพรบ!BP88"")"),705610)</f>
        <v>705610</v>
      </c>
      <c r="I88" s="88">
        <f ca="1">IFERROR(__xludf.DUMMYFUNCTION("IMPORTRANGE(""https://docs.google.com/spreadsheets/d/1MeEWN-I1oV_STSDYn1IFDPWt_1FKiwhDph83XaGc0o0/edit?usp=sharing"",""งบพรบ!BQ88"")"),200000)</f>
        <v>200000</v>
      </c>
      <c r="J88" s="88">
        <f t="shared" ca="1" si="3"/>
        <v>833043.87</v>
      </c>
      <c r="K88" s="89">
        <f t="shared" ca="1" si="4"/>
        <v>91.381607266265178</v>
      </c>
      <c r="L88" s="88">
        <f ca="1">IFERROR(__xludf.DUMMYFUNCTION("IMPORTRANGE(""https://docs.google.com/spreadsheets/d/1MeEWN-I1oV_STSDYn1IFDPWt_1FKiwhDph83XaGc0o0/edit?usp=sharing"",""งบพรบ!BR88"")"),633043.87)</f>
        <v>633043.87</v>
      </c>
      <c r="M88" s="90">
        <f t="shared" ca="1" si="5"/>
        <v>89.715830274514246</v>
      </c>
      <c r="N88" s="90">
        <f t="shared" ca="1" si="6"/>
        <v>89.715830274514246</v>
      </c>
      <c r="O88" s="91">
        <f ca="1">IFERROR(__xludf.DUMMYFUNCTION("IMPORTRANGE(""https://docs.google.com/spreadsheets/d/1MeEWN-I1oV_STSDYn1IFDPWt_1FKiwhDph83XaGc0o0/edit?usp=sharing"",""งบพรบ!BS88"")"),200000)</f>
        <v>200000</v>
      </c>
      <c r="P88" s="91">
        <f t="shared" ca="1" si="30"/>
        <v>97.087378640776706</v>
      </c>
      <c r="Q88" s="90">
        <f t="shared" ca="1" si="8"/>
        <v>100</v>
      </c>
      <c r="R88" s="92">
        <f ca="1">IFERROR(__xludf.DUMMYFUNCTION("IMPORTRANGE(""https://docs.google.com/spreadsheets/d/1vO9Sws6kMtrVtyvrAJptINXjK8TFBoX9xLYOVK_C8bQ/edit?usp=sharing"",""สุราษฎร์ธานี!J142"")"),0)</f>
        <v>0</v>
      </c>
      <c r="S88" s="92">
        <f ca="1">IFERROR(__xludf.DUMMYFUNCTION("IMPORTRANGE(""https://docs.google.com/spreadsheets/d/1vO9Sws6kMtrVtyvrAJptINXjK8TFBoX9xLYOVK_C8bQ/edit?usp=sharing"",""สุราษฎร์ธานี!I143"")"),20)</f>
        <v>20</v>
      </c>
      <c r="T88" s="92">
        <f ca="1">IFERROR(__xludf.DUMMYFUNCTION("IMPORTRANGE(""https://docs.google.com/spreadsheets/d/1vO9Sws6kMtrVtyvrAJptINXjK8TFBoX9xLYOVK_C8bQ/edit?usp=sharing"",""สุราษฎร์ธานี!J143"")"),20)</f>
        <v>20</v>
      </c>
      <c r="U88" s="93">
        <f t="shared" ca="1" si="25"/>
        <v>100</v>
      </c>
      <c r="V88" s="92">
        <f ca="1">IFERROR(__xludf.DUMMYFUNCTION("IMPORTRANGE(""https://docs.google.com/spreadsheets/d/1vO9Sws6kMtrVtyvrAJptINXjK8TFBoX9xLYOVK_C8bQ/edit?usp=sharing"",""สุราษฎร์ธานี!I144"")"),10)</f>
        <v>10</v>
      </c>
      <c r="W88" s="92">
        <f ca="1">IFERROR(__xludf.DUMMYFUNCTION("IMPORTRANGE(""https://docs.google.com/spreadsheets/d/1vO9Sws6kMtrVtyvrAJptINXjK8TFBoX9xLYOVK_C8bQ/edit?usp=sharing"",""สุราษฎร์ธานี!J144"")"),10)</f>
        <v>10</v>
      </c>
      <c r="X88" s="93">
        <f t="shared" ca="1" si="26"/>
        <v>100</v>
      </c>
      <c r="Y88" s="92">
        <f ca="1">IFERROR(__xludf.DUMMYFUNCTION("IMPORTRANGE(""https://docs.google.com/spreadsheets/d/1vO9Sws6kMtrVtyvrAJptINXjK8TFBoX9xLYOVK_C8bQ/edit?usp=sharing"",""สุราษฎร์ธานี!I145"")"),20)</f>
        <v>20</v>
      </c>
      <c r="Z88" s="92">
        <f ca="1">IFERROR(__xludf.DUMMYFUNCTION("IMPORTRANGE(""https://docs.google.com/spreadsheets/d/1vO9Sws6kMtrVtyvrAJptINXjK8TFBoX9xLYOVK_C8bQ/edit?usp=sharing"",""สุราษฎร์ธานี!J145"")"),20)</f>
        <v>20</v>
      </c>
      <c r="AA88" s="93">
        <f t="shared" ca="1" si="27"/>
        <v>100</v>
      </c>
      <c r="AB88" s="92">
        <f ca="1">IFERROR(__xludf.DUMMYFUNCTION("IMPORTRANGE(""https://docs.google.com/spreadsheets/d/1vO9Sws6kMtrVtyvrAJptINXjK8TFBoX9xLYOVK_C8bQ/edit?usp=sharing"",""สุราษฎร์ธานี!I146"")"),2)</f>
        <v>2</v>
      </c>
      <c r="AC88" s="92">
        <f ca="1">IFERROR(__xludf.DUMMYFUNCTION("IMPORTRANGE(""https://docs.google.com/spreadsheets/d/1vO9Sws6kMtrVtyvrAJptINXjK8TFBoX9xLYOVK_C8bQ/edit?usp=sharing"",""สุราษฎร์ธานี!J146"")"),2)</f>
        <v>2</v>
      </c>
      <c r="AD88" s="93">
        <f t="shared" ca="1" si="28"/>
        <v>100</v>
      </c>
    </row>
    <row r="89" spans="1:30" ht="21" hidden="1" customHeight="1" x14ac:dyDescent="0.2">
      <c r="A89" s="369" t="s">
        <v>111</v>
      </c>
      <c r="B89" s="370"/>
      <c r="C89" s="102">
        <f t="shared" ca="1" si="0"/>
        <v>1220800</v>
      </c>
      <c r="D89" s="41">
        <f t="shared" ref="D89:I89" ca="1" si="54">+D90+D91+D92+D93+D94+D95+D96+D97+D98+D99+D100+D101+D102+D103</f>
        <v>1220800</v>
      </c>
      <c r="E89" s="41">
        <f t="shared" ca="1" si="54"/>
        <v>135000</v>
      </c>
      <c r="F89" s="41">
        <f t="shared" ca="1" si="54"/>
        <v>1085800</v>
      </c>
      <c r="G89" s="41">
        <f t="shared" ca="1" si="54"/>
        <v>0</v>
      </c>
      <c r="H89" s="41">
        <f t="shared" ca="1" si="54"/>
        <v>1344250</v>
      </c>
      <c r="I89" s="41">
        <f t="shared" ca="1" si="54"/>
        <v>0</v>
      </c>
      <c r="J89" s="41">
        <f t="shared" ca="1" si="3"/>
        <v>692931.6</v>
      </c>
      <c r="K89" s="43">
        <f t="shared" ca="1" si="4"/>
        <v>56.76045216251638</v>
      </c>
      <c r="L89" s="41">
        <f ca="1">+L90+L91+L92+L93+L94+L95+L96+L97+L98+L99+L100+L101+L102+L103</f>
        <v>692931.6</v>
      </c>
      <c r="M89" s="44">
        <f t="shared" ca="1" si="5"/>
        <v>56.76045216251638</v>
      </c>
      <c r="N89" s="44">
        <f t="shared" ca="1" si="6"/>
        <v>51.547822205690906</v>
      </c>
      <c r="O89" s="45">
        <f ca="1">+O90+O91+O92+O93+O94+O95+O96+O97+O98+O99+O100+O101+O102+O103</f>
        <v>0</v>
      </c>
      <c r="P89" s="45">
        <f t="shared" ca="1" si="30"/>
        <v>0</v>
      </c>
      <c r="Q89" s="44">
        <f t="shared" ca="1" si="8"/>
        <v>0</v>
      </c>
      <c r="R89" s="41"/>
      <c r="S89" s="41"/>
      <c r="T89" s="41"/>
      <c r="U89" s="44"/>
      <c r="V89" s="41"/>
      <c r="W89" s="41"/>
      <c r="X89" s="44"/>
      <c r="Y89" s="41"/>
      <c r="Z89" s="41"/>
      <c r="AA89" s="44"/>
      <c r="AB89" s="41"/>
      <c r="AC89" s="41"/>
      <c r="AD89" s="44"/>
    </row>
    <row r="90" spans="1:3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5">+E90+F90</f>
        <v>0</v>
      </c>
      <c r="E90" s="67">
        <f ca="1">IFERROR(__xludf.DUMMYFUNCTION("IMPORTRANGE(""https://docs.google.com/spreadsheets/d/1MeEWN-I1oV_STSDYn1IFDPWt_1FKiwhDph83XaGc0o0/edit?usp=sharing"",""งบพรบ!BL90"")"),0)</f>
        <v>0</v>
      </c>
      <c r="F90" s="67">
        <f ca="1">IFERROR(__xludf.DUMMYFUNCTION("IMPORTRANGE(""https://docs.google.com/spreadsheets/d/1MeEWN-I1oV_STSDYn1IFDPWt_1FKiwhDph83XaGc0o0/edit?usp=sharing"",""งบพรบ!BM90"")"),0)</f>
        <v>0</v>
      </c>
      <c r="G90" s="67">
        <f ca="1">IFERROR(__xludf.DUMMYFUNCTION("IMPORTRANGE(""https://docs.google.com/spreadsheets/d/1MeEWN-I1oV_STSDYn1IFDPWt_1FKiwhDph83XaGc0o0/edit?usp=sharing"",""งบพรบ!BN90"")"),0)</f>
        <v>0</v>
      </c>
      <c r="H90" s="67">
        <f ca="1">IFERROR(__xludf.DUMMYFUNCTION("IMPORTRANGE(""https://docs.google.com/spreadsheets/d/1MeEWN-I1oV_STSDYn1IFDPWt_1FKiwhDph83XaGc0o0/edit?usp=sharing"",""งบพรบ!BP90"")"),0)</f>
        <v>0</v>
      </c>
      <c r="I90" s="67">
        <f ca="1">IFERROR(__xludf.DUMMYFUNCTION("IMPORTRANGE(""https://docs.google.com/spreadsheets/d/1MeEWN-I1oV_STSDYn1IFDPWt_1FKiwhDph83XaGc0o0/edit?usp=sharing"",""งบพรบ!BQ90"")"),0)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IFERROR(__xludf.DUMMYFUNCTION("IMPORTRANGE(""https://docs.google.com/spreadsheets/d/1MeEWN-I1oV_STSDYn1IFDPWt_1FKiwhDph83XaGc0o0/edit?usp=sharing"",""งบพรบ!BR90"")"),0)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IFERROR(__xludf.DUMMYFUNCTION("IMPORTRANGE(""https://docs.google.com/spreadsheets/d/1MeEWN-I1oV_STSDYn1IFDPWt_1FKiwhDph83XaGc0o0/edit?usp=sharing"",""งบพรบ!BS90"")"),0)</f>
        <v>0</v>
      </c>
      <c r="P90" s="71">
        <f t="shared" ca="1" si="30"/>
        <v>0</v>
      </c>
      <c r="Q90" s="70">
        <f t="shared" ca="1" si="8"/>
        <v>0</v>
      </c>
      <c r="R90" s="67"/>
      <c r="S90" s="67"/>
      <c r="T90" s="67"/>
      <c r="U90" s="70"/>
      <c r="V90" s="67"/>
      <c r="W90" s="67"/>
      <c r="X90" s="70"/>
      <c r="Y90" s="67"/>
      <c r="Z90" s="67"/>
      <c r="AA90" s="70"/>
      <c r="AB90" s="67"/>
      <c r="AC90" s="67"/>
      <c r="AD90" s="70"/>
    </row>
    <row r="91" spans="1:3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5"/>
        <v>0</v>
      </c>
      <c r="E91" s="77">
        <f ca="1">IFERROR(__xludf.DUMMYFUNCTION("IMPORTRANGE(""https://docs.google.com/spreadsheets/d/1MeEWN-I1oV_STSDYn1IFDPWt_1FKiwhDph83XaGc0o0/edit?usp=sharing"",""งบพรบ!BL91"")"),0)</f>
        <v>0</v>
      </c>
      <c r="F91" s="77">
        <f ca="1">IFERROR(__xludf.DUMMYFUNCTION("IMPORTRANGE(""https://docs.google.com/spreadsheets/d/1MeEWN-I1oV_STSDYn1IFDPWt_1FKiwhDph83XaGc0o0/edit?usp=sharing"",""งบพรบ!BM91"")"),0)</f>
        <v>0</v>
      </c>
      <c r="G91" s="77">
        <f ca="1">IFERROR(__xludf.DUMMYFUNCTION("IMPORTRANGE(""https://docs.google.com/spreadsheets/d/1MeEWN-I1oV_STSDYn1IFDPWt_1FKiwhDph83XaGc0o0/edit?usp=sharing"",""งบพรบ!BN91"")"),0)</f>
        <v>0</v>
      </c>
      <c r="H91" s="77">
        <f ca="1">IFERROR(__xludf.DUMMYFUNCTION("IMPORTRANGE(""https://docs.google.com/spreadsheets/d/1MeEWN-I1oV_STSDYn1IFDPWt_1FKiwhDph83XaGc0o0/edit?usp=sharing"",""งบพรบ!BP91"")"),0)</f>
        <v>0</v>
      </c>
      <c r="I91" s="77">
        <f ca="1">IFERROR(__xludf.DUMMYFUNCTION("IMPORTRANGE(""https://docs.google.com/spreadsheets/d/1MeEWN-I1oV_STSDYn1IFDPWt_1FKiwhDph83XaGc0o0/edit?usp=sharing"",""งบพรบ!BQ91"")"),0)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IFERROR(__xludf.DUMMYFUNCTION("IMPORTRANGE(""https://docs.google.com/spreadsheets/d/1MeEWN-I1oV_STSDYn1IFDPWt_1FKiwhDph83XaGc0o0/edit?usp=sharing"",""งบพรบ!BR91"")"),0)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IFERROR(__xludf.DUMMYFUNCTION("IMPORTRANGE(""https://docs.google.com/spreadsheets/d/1MeEWN-I1oV_STSDYn1IFDPWt_1FKiwhDph83XaGc0o0/edit?usp=sharing"",""งบพรบ!BS91"")"),0)</f>
        <v>0</v>
      </c>
      <c r="P91" s="80">
        <f t="shared" ca="1" si="30"/>
        <v>0</v>
      </c>
      <c r="Q91" s="79">
        <f t="shared" ca="1" si="8"/>
        <v>0</v>
      </c>
      <c r="R91" s="77"/>
      <c r="S91" s="77"/>
      <c r="T91" s="77"/>
      <c r="U91" s="79"/>
      <c r="V91" s="77"/>
      <c r="W91" s="77"/>
      <c r="X91" s="79"/>
      <c r="Y91" s="77"/>
      <c r="Z91" s="77"/>
      <c r="AA91" s="79"/>
      <c r="AB91" s="77"/>
      <c r="AC91" s="77"/>
      <c r="AD91" s="79"/>
    </row>
    <row r="92" spans="1:3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55"/>
        <v>0</v>
      </c>
      <c r="E92" s="77">
        <f ca="1">IFERROR(__xludf.DUMMYFUNCTION("IMPORTRANGE(""https://docs.google.com/spreadsheets/d/1MeEWN-I1oV_STSDYn1IFDPWt_1FKiwhDph83XaGc0o0/edit?usp=sharing"",""งบพรบ!BL92"")"),0)</f>
        <v>0</v>
      </c>
      <c r="F92" s="77">
        <f ca="1">IFERROR(__xludf.DUMMYFUNCTION("IMPORTRANGE(""https://docs.google.com/spreadsheets/d/1MeEWN-I1oV_STSDYn1IFDPWt_1FKiwhDph83XaGc0o0/edit?usp=sharing"",""งบพรบ!BM92"")"),0)</f>
        <v>0</v>
      </c>
      <c r="G92" s="77">
        <f ca="1">IFERROR(__xludf.DUMMYFUNCTION("IMPORTRANGE(""https://docs.google.com/spreadsheets/d/1MeEWN-I1oV_STSDYn1IFDPWt_1FKiwhDph83XaGc0o0/edit?usp=sharing"",""งบพรบ!BN92"")"),0)</f>
        <v>0</v>
      </c>
      <c r="H92" s="77">
        <f ca="1">IFERROR(__xludf.DUMMYFUNCTION("IMPORTRANGE(""https://docs.google.com/spreadsheets/d/1MeEWN-I1oV_STSDYn1IFDPWt_1FKiwhDph83XaGc0o0/edit?usp=sharing"",""งบพรบ!BP92"")"),123450)</f>
        <v>123450</v>
      </c>
      <c r="I92" s="77">
        <f ca="1">IFERROR(__xludf.DUMMYFUNCTION("IMPORTRANGE(""https://docs.google.com/spreadsheets/d/1MeEWN-I1oV_STSDYn1IFDPWt_1FKiwhDph83XaGc0o0/edit?usp=sharing"",""งบพรบ!BQ92"")"),0)</f>
        <v>0</v>
      </c>
      <c r="J92" s="77">
        <f t="shared" ca="1" si="3"/>
        <v>120000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IFERROR(__xludf.DUMMYFUNCTION("IMPORTRANGE(""https://docs.google.com/spreadsheets/d/1MeEWN-I1oV_STSDYn1IFDPWt_1FKiwhDph83XaGc0o0/edit?usp=sharing"",""งบพรบ!BR92"")"),120000)</f>
        <v>120000</v>
      </c>
      <c r="M92" s="79">
        <f t="shared" ca="1" si="5"/>
        <v>0</v>
      </c>
      <c r="N92" s="79">
        <f t="shared" ca="1" si="6"/>
        <v>97.205346294046166</v>
      </c>
      <c r="O92" s="80">
        <f ca="1">IFERROR(__xludf.DUMMYFUNCTION("IMPORTRANGE(""https://docs.google.com/spreadsheets/d/1MeEWN-I1oV_STSDYn1IFDPWt_1FKiwhDph83XaGc0o0/edit?usp=sharing"",""งบพรบ!BS92"")"),0)</f>
        <v>0</v>
      </c>
      <c r="P92" s="80">
        <f t="shared" ca="1" si="30"/>
        <v>0</v>
      </c>
      <c r="Q92" s="79">
        <f t="shared" ca="1" si="8"/>
        <v>0</v>
      </c>
      <c r="R92" s="77"/>
      <c r="S92" s="77"/>
      <c r="T92" s="77"/>
      <c r="U92" s="79"/>
      <c r="V92" s="77"/>
      <c r="W92" s="77"/>
      <c r="X92" s="79"/>
      <c r="Y92" s="77"/>
      <c r="Z92" s="77"/>
      <c r="AA92" s="79"/>
      <c r="AB92" s="77"/>
      <c r="AC92" s="77"/>
      <c r="AD92" s="79"/>
    </row>
    <row r="93" spans="1:30" ht="24" hidden="1" customHeight="1" x14ac:dyDescent="0.2">
      <c r="A93" s="106">
        <f t="shared" ref="A93:A103" si="56">+A92+1</f>
        <v>4</v>
      </c>
      <c r="B93" s="107" t="s">
        <v>115</v>
      </c>
      <c r="C93" s="75">
        <f t="shared" ca="1" si="0"/>
        <v>135000</v>
      </c>
      <c r="D93" s="76">
        <f t="shared" ca="1" si="55"/>
        <v>135000</v>
      </c>
      <c r="E93" s="77">
        <f ca="1">IFERROR(__xludf.DUMMYFUNCTION("IMPORTRANGE(""https://docs.google.com/spreadsheets/d/1MeEWN-I1oV_STSDYn1IFDPWt_1FKiwhDph83XaGc0o0/edit?usp=sharing"",""งบพรบ!BL93"")"),135000)</f>
        <v>135000</v>
      </c>
      <c r="F93" s="77">
        <f ca="1">IFERROR(__xludf.DUMMYFUNCTION("IMPORTRANGE(""https://docs.google.com/spreadsheets/d/1MeEWN-I1oV_STSDYn1IFDPWt_1FKiwhDph83XaGc0o0/edit?usp=sharing"",""งบพรบ!BM93"")"),0)</f>
        <v>0</v>
      </c>
      <c r="G93" s="77">
        <f ca="1">IFERROR(__xludf.DUMMYFUNCTION("IMPORTRANGE(""https://docs.google.com/spreadsheets/d/1MeEWN-I1oV_STSDYn1IFDPWt_1FKiwhDph83XaGc0o0/edit?usp=sharing"",""งบพรบ!BN93"")"),0)</f>
        <v>0</v>
      </c>
      <c r="H93" s="77">
        <f ca="1">IFERROR(__xludf.DUMMYFUNCTION("IMPORTRANGE(""https://docs.google.com/spreadsheets/d/1MeEWN-I1oV_STSDYn1IFDPWt_1FKiwhDph83XaGc0o0/edit?usp=sharing"",""งบพรบ!BP93"")"),135000)</f>
        <v>135000</v>
      </c>
      <c r="I93" s="77">
        <f ca="1">IFERROR(__xludf.DUMMYFUNCTION("IMPORTRANGE(""https://docs.google.com/spreadsheets/d/1MeEWN-I1oV_STSDYn1IFDPWt_1FKiwhDph83XaGc0o0/edit?usp=sharing"",""งบพรบ!BQ93"")"),0)</f>
        <v>0</v>
      </c>
      <c r="J93" s="77">
        <f t="shared" ca="1" si="3"/>
        <v>128635.8</v>
      </c>
      <c r="K93" s="78">
        <f t="shared" ca="1" si="4"/>
        <v>95.285777777777781</v>
      </c>
      <c r="L93" s="77">
        <f ca="1">IFERROR(__xludf.DUMMYFUNCTION("IMPORTRANGE(""https://docs.google.com/spreadsheets/d/1MeEWN-I1oV_STSDYn1IFDPWt_1FKiwhDph83XaGc0o0/edit?usp=sharing"",""งบพรบ!BR93"")"),128635.8)</f>
        <v>128635.8</v>
      </c>
      <c r="M93" s="79">
        <f t="shared" ca="1" si="5"/>
        <v>95.285777777777781</v>
      </c>
      <c r="N93" s="79">
        <f t="shared" ca="1" si="6"/>
        <v>95.285777777777781</v>
      </c>
      <c r="O93" s="80">
        <f ca="1">IFERROR(__xludf.DUMMYFUNCTION("IMPORTRANGE(""https://docs.google.com/spreadsheets/d/1MeEWN-I1oV_STSDYn1IFDPWt_1FKiwhDph83XaGc0o0/edit?usp=sharing"",""งบพรบ!BS93"")"),0)</f>
        <v>0</v>
      </c>
      <c r="P93" s="80">
        <f t="shared" ca="1" si="30"/>
        <v>0</v>
      </c>
      <c r="Q93" s="79">
        <f t="shared" ca="1" si="8"/>
        <v>0</v>
      </c>
      <c r="R93" s="77"/>
      <c r="S93" s="77"/>
      <c r="T93" s="77"/>
      <c r="U93" s="79"/>
      <c r="V93" s="77"/>
      <c r="W93" s="77"/>
      <c r="X93" s="79"/>
      <c r="Y93" s="77"/>
      <c r="Z93" s="77"/>
      <c r="AA93" s="79"/>
      <c r="AB93" s="77"/>
      <c r="AC93" s="77"/>
      <c r="AD93" s="79"/>
    </row>
    <row r="94" spans="1:30" ht="24" hidden="1" customHeight="1" x14ac:dyDescent="0.2">
      <c r="A94" s="106">
        <f t="shared" si="56"/>
        <v>5</v>
      </c>
      <c r="B94" s="107" t="s">
        <v>116</v>
      </c>
      <c r="C94" s="75">
        <f t="shared" ca="1" si="0"/>
        <v>0</v>
      </c>
      <c r="D94" s="76">
        <f t="shared" ca="1" si="55"/>
        <v>0</v>
      </c>
      <c r="E94" s="77">
        <f ca="1">IFERROR(__xludf.DUMMYFUNCTION("IMPORTRANGE(""https://docs.google.com/spreadsheets/d/1MeEWN-I1oV_STSDYn1IFDPWt_1FKiwhDph83XaGc0o0/edit?usp=sharing"",""งบพรบ!BL94"")"),0)</f>
        <v>0</v>
      </c>
      <c r="F94" s="77">
        <f ca="1">IFERROR(__xludf.DUMMYFUNCTION("IMPORTRANGE(""https://docs.google.com/spreadsheets/d/1MeEWN-I1oV_STSDYn1IFDPWt_1FKiwhDph83XaGc0o0/edit?usp=sharing"",""งบพรบ!BM94"")"),0)</f>
        <v>0</v>
      </c>
      <c r="G94" s="77">
        <f ca="1">IFERROR(__xludf.DUMMYFUNCTION("IMPORTRANGE(""https://docs.google.com/spreadsheets/d/1MeEWN-I1oV_STSDYn1IFDPWt_1FKiwhDph83XaGc0o0/edit?usp=sharing"",""งบพรบ!BN94"")"),0)</f>
        <v>0</v>
      </c>
      <c r="H94" s="77">
        <f ca="1">IFERROR(__xludf.DUMMYFUNCTION("IMPORTRANGE(""https://docs.google.com/spreadsheets/d/1MeEWN-I1oV_STSDYn1IFDPWt_1FKiwhDph83XaGc0o0/edit?usp=sharing"",""งบพรบ!BP94"")"),0)</f>
        <v>0</v>
      </c>
      <c r="I94" s="77">
        <f ca="1">IFERROR(__xludf.DUMMYFUNCTION("IMPORTRANGE(""https://docs.google.com/spreadsheets/d/1MeEWN-I1oV_STSDYn1IFDPWt_1FKiwhDph83XaGc0o0/edit?usp=sharing"",""งบพรบ!BQ94"")"),0)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IFERROR(__xludf.DUMMYFUNCTION("IMPORTRANGE(""https://docs.google.com/spreadsheets/d/1MeEWN-I1oV_STSDYn1IFDPWt_1FKiwhDph83XaGc0o0/edit?usp=sharing"",""งบพรบ!BR94"")"),0)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IFERROR(__xludf.DUMMYFUNCTION("IMPORTRANGE(""https://docs.google.com/spreadsheets/d/1MeEWN-I1oV_STSDYn1IFDPWt_1FKiwhDph83XaGc0o0/edit?usp=sharing"",""งบพรบ!BS94"")"),0)</f>
        <v>0</v>
      </c>
      <c r="P94" s="80">
        <f t="shared" ca="1" si="30"/>
        <v>0</v>
      </c>
      <c r="Q94" s="79">
        <f t="shared" ca="1" si="8"/>
        <v>0</v>
      </c>
      <c r="R94" s="77"/>
      <c r="S94" s="77"/>
      <c r="T94" s="77"/>
      <c r="U94" s="79"/>
      <c r="V94" s="77"/>
      <c r="W94" s="77"/>
      <c r="X94" s="79"/>
      <c r="Y94" s="77"/>
      <c r="Z94" s="77"/>
      <c r="AA94" s="79"/>
      <c r="AB94" s="77"/>
      <c r="AC94" s="77"/>
      <c r="AD94" s="79"/>
    </row>
    <row r="95" spans="1:30" ht="24" hidden="1" customHeight="1" x14ac:dyDescent="0.2">
      <c r="A95" s="106">
        <f t="shared" si="56"/>
        <v>6</v>
      </c>
      <c r="B95" s="107" t="s">
        <v>117</v>
      </c>
      <c r="C95" s="75">
        <f t="shared" ca="1" si="0"/>
        <v>0</v>
      </c>
      <c r="D95" s="76">
        <f t="shared" ca="1" si="55"/>
        <v>0</v>
      </c>
      <c r="E95" s="77">
        <f ca="1">IFERROR(__xludf.DUMMYFUNCTION("IMPORTRANGE(""https://docs.google.com/spreadsheets/d/1MeEWN-I1oV_STSDYn1IFDPWt_1FKiwhDph83XaGc0o0/edit?usp=sharing"",""งบพรบ!BL95"")"),0)</f>
        <v>0</v>
      </c>
      <c r="F95" s="77">
        <f ca="1">IFERROR(__xludf.DUMMYFUNCTION("IMPORTRANGE(""https://docs.google.com/spreadsheets/d/1MeEWN-I1oV_STSDYn1IFDPWt_1FKiwhDph83XaGc0o0/edit?usp=sharing"",""งบพรบ!BM95"")"),0)</f>
        <v>0</v>
      </c>
      <c r="G95" s="77">
        <f ca="1">IFERROR(__xludf.DUMMYFUNCTION("IMPORTRANGE(""https://docs.google.com/spreadsheets/d/1MeEWN-I1oV_STSDYn1IFDPWt_1FKiwhDph83XaGc0o0/edit?usp=sharing"",""งบพรบ!BN95"")"),0)</f>
        <v>0</v>
      </c>
      <c r="H95" s="77">
        <f ca="1">IFERROR(__xludf.DUMMYFUNCTION("IMPORTRANGE(""https://docs.google.com/spreadsheets/d/1MeEWN-I1oV_STSDYn1IFDPWt_1FKiwhDph83XaGc0o0/edit?usp=sharing"",""งบพรบ!BP95"")"),0)</f>
        <v>0</v>
      </c>
      <c r="I95" s="77">
        <f ca="1">IFERROR(__xludf.DUMMYFUNCTION("IMPORTRANGE(""https://docs.google.com/spreadsheets/d/1MeEWN-I1oV_STSDYn1IFDPWt_1FKiwhDph83XaGc0o0/edit?usp=sharing"",""งบพรบ!BQ95"")"),0)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IFERROR(__xludf.DUMMYFUNCTION("IMPORTRANGE(""https://docs.google.com/spreadsheets/d/1MeEWN-I1oV_STSDYn1IFDPWt_1FKiwhDph83XaGc0o0/edit?usp=sharing"",""งบพรบ!BR95"")"),0)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IFERROR(__xludf.DUMMYFUNCTION("IMPORTRANGE(""https://docs.google.com/spreadsheets/d/1MeEWN-I1oV_STSDYn1IFDPWt_1FKiwhDph83XaGc0o0/edit?usp=sharing"",""งบพรบ!BS95"")"),0)</f>
        <v>0</v>
      </c>
      <c r="P95" s="80">
        <f t="shared" ca="1" si="30"/>
        <v>0</v>
      </c>
      <c r="Q95" s="79">
        <f t="shared" ca="1" si="8"/>
        <v>0</v>
      </c>
      <c r="R95" s="77"/>
      <c r="S95" s="77"/>
      <c r="T95" s="77"/>
      <c r="U95" s="79"/>
      <c r="V95" s="77"/>
      <c r="W95" s="77"/>
      <c r="X95" s="79"/>
      <c r="Y95" s="77"/>
      <c r="Z95" s="77"/>
      <c r="AA95" s="79"/>
      <c r="AB95" s="77"/>
      <c r="AC95" s="77"/>
      <c r="AD95" s="79"/>
    </row>
    <row r="96" spans="1:30" ht="24" hidden="1" customHeight="1" x14ac:dyDescent="0.2">
      <c r="A96" s="106">
        <f t="shared" si="56"/>
        <v>7</v>
      </c>
      <c r="B96" s="107" t="s">
        <v>118</v>
      </c>
      <c r="C96" s="75">
        <f t="shared" ca="1" si="0"/>
        <v>1085800</v>
      </c>
      <c r="D96" s="76">
        <f t="shared" ca="1" si="55"/>
        <v>1085800</v>
      </c>
      <c r="E96" s="77">
        <f ca="1">IFERROR(__xludf.DUMMYFUNCTION("IMPORTRANGE(""https://docs.google.com/spreadsheets/d/1MeEWN-I1oV_STSDYn1IFDPWt_1FKiwhDph83XaGc0o0/edit?usp=sharing"",""งบพรบ!BL96"")"),0)</f>
        <v>0</v>
      </c>
      <c r="F96" s="77">
        <f ca="1">IFERROR(__xludf.DUMMYFUNCTION("IMPORTRANGE(""https://docs.google.com/spreadsheets/d/1MeEWN-I1oV_STSDYn1IFDPWt_1FKiwhDph83XaGc0o0/edit?usp=sharing"",""งบพรบ!BM96"")"),1085800)</f>
        <v>1085800</v>
      </c>
      <c r="G96" s="77">
        <f ca="1">IFERROR(__xludf.DUMMYFUNCTION("IMPORTRANGE(""https://docs.google.com/spreadsheets/d/1MeEWN-I1oV_STSDYn1IFDPWt_1FKiwhDph83XaGc0o0/edit?usp=sharing"",""งบพรบ!BN96"")"),0)</f>
        <v>0</v>
      </c>
      <c r="H96" s="77">
        <f ca="1">IFERROR(__xludf.DUMMYFUNCTION("IMPORTRANGE(""https://docs.google.com/spreadsheets/d/1MeEWN-I1oV_STSDYn1IFDPWt_1FKiwhDph83XaGc0o0/edit?usp=sharing"",""งบพรบ!BP96"")"),1085800)</f>
        <v>1085800</v>
      </c>
      <c r="I96" s="77">
        <f ca="1">IFERROR(__xludf.DUMMYFUNCTION("IMPORTRANGE(""https://docs.google.com/spreadsheets/d/1MeEWN-I1oV_STSDYn1IFDPWt_1FKiwhDph83XaGc0o0/edit?usp=sharing"",""งบพรบ!BQ96"")"),0)</f>
        <v>0</v>
      </c>
      <c r="J96" s="77">
        <f t="shared" ca="1" si="3"/>
        <v>444295.8</v>
      </c>
      <c r="K96" s="78">
        <f t="shared" ca="1" si="4"/>
        <v>40.918751151224903</v>
      </c>
      <c r="L96" s="77">
        <f ca="1">IFERROR(__xludf.DUMMYFUNCTION("IMPORTRANGE(""https://docs.google.com/spreadsheets/d/1MeEWN-I1oV_STSDYn1IFDPWt_1FKiwhDph83XaGc0o0/edit?usp=sharing"",""งบพรบ!BR96"")"),444295.8)</f>
        <v>444295.8</v>
      </c>
      <c r="M96" s="79">
        <f t="shared" ca="1" si="5"/>
        <v>40.918751151224903</v>
      </c>
      <c r="N96" s="79">
        <f t="shared" ca="1" si="6"/>
        <v>40.918751151224903</v>
      </c>
      <c r="O96" s="80">
        <f ca="1">IFERROR(__xludf.DUMMYFUNCTION("IMPORTRANGE(""https://docs.google.com/spreadsheets/d/1MeEWN-I1oV_STSDYn1IFDPWt_1FKiwhDph83XaGc0o0/edit?usp=sharing"",""งบพรบ!BS96"")"),0)</f>
        <v>0</v>
      </c>
      <c r="P96" s="80">
        <f t="shared" ca="1" si="30"/>
        <v>0</v>
      </c>
      <c r="Q96" s="79">
        <f t="shared" ca="1" si="8"/>
        <v>0</v>
      </c>
      <c r="R96" s="77"/>
      <c r="S96" s="77"/>
      <c r="T96" s="77"/>
      <c r="U96" s="79"/>
      <c r="V96" s="77"/>
      <c r="W96" s="77"/>
      <c r="X96" s="79"/>
      <c r="Y96" s="77"/>
      <c r="Z96" s="77"/>
      <c r="AA96" s="79"/>
      <c r="AB96" s="77"/>
      <c r="AC96" s="77"/>
      <c r="AD96" s="79"/>
    </row>
    <row r="97" spans="1:30" ht="24" hidden="1" customHeight="1" x14ac:dyDescent="0.2">
      <c r="A97" s="106">
        <f t="shared" si="56"/>
        <v>8</v>
      </c>
      <c r="B97" s="107" t="s">
        <v>119</v>
      </c>
      <c r="C97" s="75">
        <f t="shared" ca="1" si="0"/>
        <v>0</v>
      </c>
      <c r="D97" s="76">
        <f t="shared" ca="1" si="55"/>
        <v>0</v>
      </c>
      <c r="E97" s="77">
        <f ca="1">IFERROR(__xludf.DUMMYFUNCTION("IMPORTRANGE(""https://docs.google.com/spreadsheets/d/1MeEWN-I1oV_STSDYn1IFDPWt_1FKiwhDph83XaGc0o0/edit?usp=sharing"",""งบพรบ!BL97"")"),0)</f>
        <v>0</v>
      </c>
      <c r="F97" s="77">
        <f ca="1">IFERROR(__xludf.DUMMYFUNCTION("IMPORTRANGE(""https://docs.google.com/spreadsheets/d/1MeEWN-I1oV_STSDYn1IFDPWt_1FKiwhDph83XaGc0o0/edit?usp=sharing"",""งบพรบ!BM97"")"),0)</f>
        <v>0</v>
      </c>
      <c r="G97" s="77">
        <f ca="1">IFERROR(__xludf.DUMMYFUNCTION("IMPORTRANGE(""https://docs.google.com/spreadsheets/d/1MeEWN-I1oV_STSDYn1IFDPWt_1FKiwhDph83XaGc0o0/edit?usp=sharing"",""งบพรบ!BN97"")"),0)</f>
        <v>0</v>
      </c>
      <c r="H97" s="77">
        <f ca="1">IFERROR(__xludf.DUMMYFUNCTION("IMPORTRANGE(""https://docs.google.com/spreadsheets/d/1MeEWN-I1oV_STSDYn1IFDPWt_1FKiwhDph83XaGc0o0/edit?usp=sharing"",""งบพรบ!BP97"")"),0)</f>
        <v>0</v>
      </c>
      <c r="I97" s="77">
        <f ca="1">IFERROR(__xludf.DUMMYFUNCTION("IMPORTRANGE(""https://docs.google.com/spreadsheets/d/1MeEWN-I1oV_STSDYn1IFDPWt_1FKiwhDph83XaGc0o0/edit?usp=sharing"",""งบพรบ!BQ97"")"),0)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IFERROR(__xludf.DUMMYFUNCTION("IMPORTRANGE(""https://docs.google.com/spreadsheets/d/1MeEWN-I1oV_STSDYn1IFDPWt_1FKiwhDph83XaGc0o0/edit?usp=sharing"",""งบพรบ!BR97"")"),0)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IFERROR(__xludf.DUMMYFUNCTION("IMPORTRANGE(""https://docs.google.com/spreadsheets/d/1MeEWN-I1oV_STSDYn1IFDPWt_1FKiwhDph83XaGc0o0/edit?usp=sharing"",""งบพรบ!BS97"")"),0)</f>
        <v>0</v>
      </c>
      <c r="P97" s="80">
        <f t="shared" ca="1" si="30"/>
        <v>0</v>
      </c>
      <c r="Q97" s="79">
        <f t="shared" ca="1" si="8"/>
        <v>0</v>
      </c>
      <c r="R97" s="77"/>
      <c r="S97" s="77"/>
      <c r="T97" s="77"/>
      <c r="U97" s="79"/>
      <c r="V97" s="77"/>
      <c r="W97" s="77"/>
      <c r="X97" s="79"/>
      <c r="Y97" s="77"/>
      <c r="Z97" s="77"/>
      <c r="AA97" s="79"/>
      <c r="AB97" s="77"/>
      <c r="AC97" s="77"/>
      <c r="AD97" s="79"/>
    </row>
    <row r="98" spans="1:30" ht="24" hidden="1" customHeight="1" x14ac:dyDescent="0.2">
      <c r="A98" s="106">
        <f t="shared" si="56"/>
        <v>9</v>
      </c>
      <c r="B98" s="107" t="s">
        <v>120</v>
      </c>
      <c r="C98" s="75">
        <f t="shared" ca="1" si="0"/>
        <v>0</v>
      </c>
      <c r="D98" s="76">
        <f t="shared" ca="1" si="55"/>
        <v>0</v>
      </c>
      <c r="E98" s="77">
        <f ca="1">IFERROR(__xludf.DUMMYFUNCTION("IMPORTRANGE(""https://docs.google.com/spreadsheets/d/1MeEWN-I1oV_STSDYn1IFDPWt_1FKiwhDph83XaGc0o0/edit?usp=sharing"",""งบพรบ!BL98"")"),0)</f>
        <v>0</v>
      </c>
      <c r="F98" s="77">
        <f ca="1">IFERROR(__xludf.DUMMYFUNCTION("IMPORTRANGE(""https://docs.google.com/spreadsheets/d/1MeEWN-I1oV_STSDYn1IFDPWt_1FKiwhDph83XaGc0o0/edit?usp=sharing"",""งบพรบ!BM98"")"),0)</f>
        <v>0</v>
      </c>
      <c r="G98" s="77">
        <f ca="1">IFERROR(__xludf.DUMMYFUNCTION("IMPORTRANGE(""https://docs.google.com/spreadsheets/d/1MeEWN-I1oV_STSDYn1IFDPWt_1FKiwhDph83XaGc0o0/edit?usp=sharing"",""งบพรบ!BN98"")"),0)</f>
        <v>0</v>
      </c>
      <c r="H98" s="77">
        <f ca="1">IFERROR(__xludf.DUMMYFUNCTION("IMPORTRANGE(""https://docs.google.com/spreadsheets/d/1MeEWN-I1oV_STSDYn1IFDPWt_1FKiwhDph83XaGc0o0/edit?usp=sharing"",""งบพรบ!BP98"")"),0)</f>
        <v>0</v>
      </c>
      <c r="I98" s="77">
        <f ca="1">IFERROR(__xludf.DUMMYFUNCTION("IMPORTRANGE(""https://docs.google.com/spreadsheets/d/1MeEWN-I1oV_STSDYn1IFDPWt_1FKiwhDph83XaGc0o0/edit?usp=sharing"",""งบพรบ!BQ98"")"),0)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IFERROR(__xludf.DUMMYFUNCTION("IMPORTRANGE(""https://docs.google.com/spreadsheets/d/1MeEWN-I1oV_STSDYn1IFDPWt_1FKiwhDph83XaGc0o0/edit?usp=sharing"",""งบพรบ!BR98"")"),0)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IFERROR(__xludf.DUMMYFUNCTION("IMPORTRANGE(""https://docs.google.com/spreadsheets/d/1MeEWN-I1oV_STSDYn1IFDPWt_1FKiwhDph83XaGc0o0/edit?usp=sharing"",""งบพรบ!BS98"")"),0)</f>
        <v>0</v>
      </c>
      <c r="P98" s="80">
        <f t="shared" ca="1" si="30"/>
        <v>0</v>
      </c>
      <c r="Q98" s="79">
        <f t="shared" ca="1" si="8"/>
        <v>0</v>
      </c>
      <c r="R98" s="77"/>
      <c r="S98" s="77"/>
      <c r="T98" s="77"/>
      <c r="U98" s="79"/>
      <c r="V98" s="77"/>
      <c r="W98" s="77"/>
      <c r="X98" s="79"/>
      <c r="Y98" s="77"/>
      <c r="Z98" s="77"/>
      <c r="AA98" s="79"/>
      <c r="AB98" s="77"/>
      <c r="AC98" s="77"/>
      <c r="AD98" s="79"/>
    </row>
    <row r="99" spans="1:30" ht="24" hidden="1" customHeight="1" x14ac:dyDescent="0.2">
      <c r="A99" s="106">
        <f t="shared" si="56"/>
        <v>10</v>
      </c>
      <c r="B99" s="107" t="s">
        <v>121</v>
      </c>
      <c r="C99" s="75">
        <f t="shared" ca="1" si="0"/>
        <v>0</v>
      </c>
      <c r="D99" s="76">
        <f t="shared" ca="1" si="55"/>
        <v>0</v>
      </c>
      <c r="E99" s="77">
        <f ca="1">IFERROR(__xludf.DUMMYFUNCTION("IMPORTRANGE(""https://docs.google.com/spreadsheets/d/1MeEWN-I1oV_STSDYn1IFDPWt_1FKiwhDph83XaGc0o0/edit?usp=sharing"",""งบพรบ!BL99"")"),0)</f>
        <v>0</v>
      </c>
      <c r="F99" s="77">
        <f ca="1">IFERROR(__xludf.DUMMYFUNCTION("IMPORTRANGE(""https://docs.google.com/spreadsheets/d/1MeEWN-I1oV_STSDYn1IFDPWt_1FKiwhDph83XaGc0o0/edit?usp=sharing"",""งบพรบ!BM99"")"),0)</f>
        <v>0</v>
      </c>
      <c r="G99" s="77">
        <f ca="1">IFERROR(__xludf.DUMMYFUNCTION("IMPORTRANGE(""https://docs.google.com/spreadsheets/d/1MeEWN-I1oV_STSDYn1IFDPWt_1FKiwhDph83XaGc0o0/edit?usp=sharing"",""งบพรบ!BN99"")"),0)</f>
        <v>0</v>
      </c>
      <c r="H99" s="77">
        <f ca="1">IFERROR(__xludf.DUMMYFUNCTION("IMPORTRANGE(""https://docs.google.com/spreadsheets/d/1MeEWN-I1oV_STSDYn1IFDPWt_1FKiwhDph83XaGc0o0/edit?usp=sharing"",""งบพรบ!BP99"")"),0)</f>
        <v>0</v>
      </c>
      <c r="I99" s="77">
        <f ca="1">IFERROR(__xludf.DUMMYFUNCTION("IMPORTRANGE(""https://docs.google.com/spreadsheets/d/1MeEWN-I1oV_STSDYn1IFDPWt_1FKiwhDph83XaGc0o0/edit?usp=sharing"",""งบพรบ!BQ99"")"),0)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IFERROR(__xludf.DUMMYFUNCTION("IMPORTRANGE(""https://docs.google.com/spreadsheets/d/1MeEWN-I1oV_STSDYn1IFDPWt_1FKiwhDph83XaGc0o0/edit?usp=sharing"",""งบพรบ!BR99"")"),0)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IFERROR(__xludf.DUMMYFUNCTION("IMPORTRANGE(""https://docs.google.com/spreadsheets/d/1MeEWN-I1oV_STSDYn1IFDPWt_1FKiwhDph83XaGc0o0/edit?usp=sharing"",""งบพรบ!BS99"")"),0)</f>
        <v>0</v>
      </c>
      <c r="P99" s="80">
        <f t="shared" ca="1" si="30"/>
        <v>0</v>
      </c>
      <c r="Q99" s="79">
        <f t="shared" ca="1" si="8"/>
        <v>0</v>
      </c>
      <c r="R99" s="77"/>
      <c r="S99" s="77"/>
      <c r="T99" s="77"/>
      <c r="U99" s="79"/>
      <c r="V99" s="77"/>
      <c r="W99" s="77"/>
      <c r="X99" s="79"/>
      <c r="Y99" s="77"/>
      <c r="Z99" s="77"/>
      <c r="AA99" s="79"/>
      <c r="AB99" s="77"/>
      <c r="AC99" s="77"/>
      <c r="AD99" s="79"/>
    </row>
    <row r="100" spans="1:30" ht="24" hidden="1" customHeight="1" x14ac:dyDescent="0.2">
      <c r="A100" s="106">
        <f t="shared" si="56"/>
        <v>11</v>
      </c>
      <c r="B100" s="107" t="s">
        <v>122</v>
      </c>
      <c r="C100" s="75">
        <f t="shared" ca="1" si="0"/>
        <v>0</v>
      </c>
      <c r="D100" s="76">
        <f t="shared" ca="1" si="55"/>
        <v>0</v>
      </c>
      <c r="E100" s="77">
        <f ca="1">IFERROR(__xludf.DUMMYFUNCTION("IMPORTRANGE(""https://docs.google.com/spreadsheets/d/1MeEWN-I1oV_STSDYn1IFDPWt_1FKiwhDph83XaGc0o0/edit?usp=sharing"",""งบพรบ!BL100"")"),0)</f>
        <v>0</v>
      </c>
      <c r="F100" s="77">
        <f ca="1">IFERROR(__xludf.DUMMYFUNCTION("IMPORTRANGE(""https://docs.google.com/spreadsheets/d/1MeEWN-I1oV_STSDYn1IFDPWt_1FKiwhDph83XaGc0o0/edit?usp=sharing"",""งบพรบ!BM100"")"),0)</f>
        <v>0</v>
      </c>
      <c r="G100" s="77">
        <f ca="1">IFERROR(__xludf.DUMMYFUNCTION("IMPORTRANGE(""https://docs.google.com/spreadsheets/d/1MeEWN-I1oV_STSDYn1IFDPWt_1FKiwhDph83XaGc0o0/edit?usp=sharing"",""งบพรบ!BN100"")"),0)</f>
        <v>0</v>
      </c>
      <c r="H100" s="77">
        <f ca="1">IFERROR(__xludf.DUMMYFUNCTION("IMPORTRANGE(""https://docs.google.com/spreadsheets/d/1MeEWN-I1oV_STSDYn1IFDPWt_1FKiwhDph83XaGc0o0/edit?usp=sharing"",""งบพรบ!BP100"")"),0)</f>
        <v>0</v>
      </c>
      <c r="I100" s="77">
        <f ca="1">IFERROR(__xludf.DUMMYFUNCTION("IMPORTRANGE(""https://docs.google.com/spreadsheets/d/1MeEWN-I1oV_STSDYn1IFDPWt_1FKiwhDph83XaGc0o0/edit?usp=sharing"",""งบพรบ!BQ100"")"),0)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IFERROR(__xludf.DUMMYFUNCTION("IMPORTRANGE(""https://docs.google.com/spreadsheets/d/1MeEWN-I1oV_STSDYn1IFDPWt_1FKiwhDph83XaGc0o0/edit?usp=sharing"",""งบพรบ!BR100"")"),0)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IFERROR(__xludf.DUMMYFUNCTION("IMPORTRANGE(""https://docs.google.com/spreadsheets/d/1MeEWN-I1oV_STSDYn1IFDPWt_1FKiwhDph83XaGc0o0/edit?usp=sharing"",""งบพรบ!BS100"")"),0)</f>
        <v>0</v>
      </c>
      <c r="P100" s="80">
        <f t="shared" ca="1" si="30"/>
        <v>0</v>
      </c>
      <c r="Q100" s="79">
        <f t="shared" ca="1" si="8"/>
        <v>0</v>
      </c>
      <c r="R100" s="77"/>
      <c r="S100" s="77"/>
      <c r="T100" s="77"/>
      <c r="U100" s="79"/>
      <c r="V100" s="77"/>
      <c r="W100" s="77"/>
      <c r="X100" s="79"/>
      <c r="Y100" s="77"/>
      <c r="Z100" s="77"/>
      <c r="AA100" s="79"/>
      <c r="AB100" s="77"/>
      <c r="AC100" s="77"/>
      <c r="AD100" s="79"/>
    </row>
    <row r="101" spans="1:30" ht="24" hidden="1" customHeight="1" x14ac:dyDescent="0.2">
      <c r="A101" s="106">
        <f t="shared" si="56"/>
        <v>12</v>
      </c>
      <c r="B101" s="107" t="s">
        <v>123</v>
      </c>
      <c r="C101" s="75">
        <f t="shared" ca="1" si="0"/>
        <v>0</v>
      </c>
      <c r="D101" s="76">
        <f t="shared" ca="1" si="55"/>
        <v>0</v>
      </c>
      <c r="E101" s="77">
        <f ca="1">IFERROR(__xludf.DUMMYFUNCTION("IMPORTRANGE(""https://docs.google.com/spreadsheets/d/1MeEWN-I1oV_STSDYn1IFDPWt_1FKiwhDph83XaGc0o0/edit?usp=sharing"",""งบพรบ!BL101"")"),0)</f>
        <v>0</v>
      </c>
      <c r="F101" s="77">
        <f ca="1">IFERROR(__xludf.DUMMYFUNCTION("IMPORTRANGE(""https://docs.google.com/spreadsheets/d/1MeEWN-I1oV_STSDYn1IFDPWt_1FKiwhDph83XaGc0o0/edit?usp=sharing"",""งบพรบ!BM101"")"),0)</f>
        <v>0</v>
      </c>
      <c r="G101" s="77">
        <f ca="1">IFERROR(__xludf.DUMMYFUNCTION("IMPORTRANGE(""https://docs.google.com/spreadsheets/d/1MeEWN-I1oV_STSDYn1IFDPWt_1FKiwhDph83XaGc0o0/edit?usp=sharing"",""งบพรบ!BN101"")"),0)</f>
        <v>0</v>
      </c>
      <c r="H101" s="77">
        <f ca="1">IFERROR(__xludf.DUMMYFUNCTION("IMPORTRANGE(""https://docs.google.com/spreadsheets/d/1MeEWN-I1oV_STSDYn1IFDPWt_1FKiwhDph83XaGc0o0/edit?usp=sharing"",""งบพรบ!BP101"")"),0)</f>
        <v>0</v>
      </c>
      <c r="I101" s="77">
        <f ca="1">IFERROR(__xludf.DUMMYFUNCTION("IMPORTRANGE(""https://docs.google.com/spreadsheets/d/1MeEWN-I1oV_STSDYn1IFDPWt_1FKiwhDph83XaGc0o0/edit?usp=sharing"",""งบพรบ!BQ101"")"),0)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IFERROR(__xludf.DUMMYFUNCTION("IMPORTRANGE(""https://docs.google.com/spreadsheets/d/1MeEWN-I1oV_STSDYn1IFDPWt_1FKiwhDph83XaGc0o0/edit?usp=sharing"",""งบพรบ!BR101"")"),0)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IFERROR(__xludf.DUMMYFUNCTION("IMPORTRANGE(""https://docs.google.com/spreadsheets/d/1MeEWN-I1oV_STSDYn1IFDPWt_1FKiwhDph83XaGc0o0/edit?usp=sharing"",""งบพรบ!BS101"")"),0)</f>
        <v>0</v>
      </c>
      <c r="P101" s="80">
        <f t="shared" ca="1" si="30"/>
        <v>0</v>
      </c>
      <c r="Q101" s="79">
        <f t="shared" ca="1" si="8"/>
        <v>0</v>
      </c>
      <c r="R101" s="77"/>
      <c r="S101" s="77"/>
      <c r="T101" s="77"/>
      <c r="U101" s="79"/>
      <c r="V101" s="77"/>
      <c r="W101" s="77"/>
      <c r="X101" s="79"/>
      <c r="Y101" s="77"/>
      <c r="Z101" s="77"/>
      <c r="AA101" s="79"/>
      <c r="AB101" s="77"/>
      <c r="AC101" s="77"/>
      <c r="AD101" s="79"/>
    </row>
    <row r="102" spans="1:30" ht="24" hidden="1" customHeight="1" x14ac:dyDescent="0.2">
      <c r="A102" s="106">
        <f t="shared" si="56"/>
        <v>13</v>
      </c>
      <c r="B102" s="107" t="s">
        <v>124</v>
      </c>
      <c r="C102" s="75">
        <f t="shared" ca="1" si="0"/>
        <v>0</v>
      </c>
      <c r="D102" s="76">
        <f t="shared" ca="1" si="55"/>
        <v>0</v>
      </c>
      <c r="E102" s="77">
        <f ca="1">IFERROR(__xludf.DUMMYFUNCTION("IMPORTRANGE(""https://docs.google.com/spreadsheets/d/1MeEWN-I1oV_STSDYn1IFDPWt_1FKiwhDph83XaGc0o0/edit?usp=sharing"",""งบพรบ!BL102"")"),0)</f>
        <v>0</v>
      </c>
      <c r="F102" s="77">
        <f ca="1">IFERROR(__xludf.DUMMYFUNCTION("IMPORTRANGE(""https://docs.google.com/spreadsheets/d/1MeEWN-I1oV_STSDYn1IFDPWt_1FKiwhDph83XaGc0o0/edit?usp=sharing"",""งบพรบ!BM102"")"),0)</f>
        <v>0</v>
      </c>
      <c r="G102" s="77">
        <f ca="1">IFERROR(__xludf.DUMMYFUNCTION("IMPORTRANGE(""https://docs.google.com/spreadsheets/d/1MeEWN-I1oV_STSDYn1IFDPWt_1FKiwhDph83XaGc0o0/edit?usp=sharing"",""งบพรบ!BN102"")"),0)</f>
        <v>0</v>
      </c>
      <c r="H102" s="77">
        <f ca="1">IFERROR(__xludf.DUMMYFUNCTION("IMPORTRANGE(""https://docs.google.com/spreadsheets/d/1MeEWN-I1oV_STSDYn1IFDPWt_1FKiwhDph83XaGc0o0/edit?usp=sharing"",""งบพรบ!BP102"")"),0)</f>
        <v>0</v>
      </c>
      <c r="I102" s="77">
        <f ca="1">IFERROR(__xludf.DUMMYFUNCTION("IMPORTRANGE(""https://docs.google.com/spreadsheets/d/1MeEWN-I1oV_STSDYn1IFDPWt_1FKiwhDph83XaGc0o0/edit?usp=sharing"",""งบพรบ!BQ102"")"),0)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IFERROR(__xludf.DUMMYFUNCTION("IMPORTRANGE(""https://docs.google.com/spreadsheets/d/1MeEWN-I1oV_STSDYn1IFDPWt_1FKiwhDph83XaGc0o0/edit?usp=sharing"",""งบพรบ!BR102"")"),0)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IFERROR(__xludf.DUMMYFUNCTION("IMPORTRANGE(""https://docs.google.com/spreadsheets/d/1MeEWN-I1oV_STSDYn1IFDPWt_1FKiwhDph83XaGc0o0/edit?usp=sharing"",""งบพรบ!BS102"")"),0)</f>
        <v>0</v>
      </c>
      <c r="P102" s="80">
        <f t="shared" ca="1" si="30"/>
        <v>0</v>
      </c>
      <c r="Q102" s="79">
        <f t="shared" ca="1" si="8"/>
        <v>0</v>
      </c>
      <c r="R102" s="77"/>
      <c r="S102" s="77"/>
      <c r="T102" s="77"/>
      <c r="U102" s="79"/>
      <c r="V102" s="77"/>
      <c r="W102" s="77"/>
      <c r="X102" s="79"/>
      <c r="Y102" s="77"/>
      <c r="Z102" s="77"/>
      <c r="AA102" s="79"/>
      <c r="AB102" s="77"/>
      <c r="AC102" s="77"/>
      <c r="AD102" s="79"/>
    </row>
    <row r="103" spans="1:30" ht="24" hidden="1" customHeight="1" x14ac:dyDescent="0.2">
      <c r="A103" s="108">
        <f t="shared" si="56"/>
        <v>14</v>
      </c>
      <c r="B103" s="109" t="s">
        <v>125</v>
      </c>
      <c r="C103" s="86">
        <f t="shared" ca="1" si="0"/>
        <v>0</v>
      </c>
      <c r="D103" s="87">
        <f t="shared" ca="1" si="55"/>
        <v>0</v>
      </c>
      <c r="E103" s="88">
        <f ca="1">IFERROR(__xludf.DUMMYFUNCTION("IMPORTRANGE(""https://docs.google.com/spreadsheets/d/1MeEWN-I1oV_STSDYn1IFDPWt_1FKiwhDph83XaGc0o0/edit?usp=sharing"",""งบพรบ!BL103"")"),0)</f>
        <v>0</v>
      </c>
      <c r="F103" s="88">
        <f ca="1">IFERROR(__xludf.DUMMYFUNCTION("IMPORTRANGE(""https://docs.google.com/spreadsheets/d/1MeEWN-I1oV_STSDYn1IFDPWt_1FKiwhDph83XaGc0o0/edit?usp=sharing"",""งบพรบ!BM103"")"),0)</f>
        <v>0</v>
      </c>
      <c r="G103" s="88">
        <f ca="1">IFERROR(__xludf.DUMMYFUNCTION("IMPORTRANGE(""https://docs.google.com/spreadsheets/d/1MeEWN-I1oV_STSDYn1IFDPWt_1FKiwhDph83XaGc0o0/edit?usp=sharing"",""งบพรบ!BN103"")"),0)</f>
        <v>0</v>
      </c>
      <c r="H103" s="88">
        <f ca="1">IFERROR(__xludf.DUMMYFUNCTION("IMPORTRANGE(""https://docs.google.com/spreadsheets/d/1MeEWN-I1oV_STSDYn1IFDPWt_1FKiwhDph83XaGc0o0/edit?usp=sharing"",""งบพรบ!BP103"")"),0)</f>
        <v>0</v>
      </c>
      <c r="I103" s="88">
        <f ca="1">IFERROR(__xludf.DUMMYFUNCTION("IMPORTRANGE(""https://docs.google.com/spreadsheets/d/1MeEWN-I1oV_STSDYn1IFDPWt_1FKiwhDph83XaGc0o0/edit?usp=sharing"",""งบพรบ!BQ103"")"),0)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IFERROR(__xludf.DUMMYFUNCTION("IMPORTRANGE(""https://docs.google.com/spreadsheets/d/1MeEWN-I1oV_STSDYn1IFDPWt_1FKiwhDph83XaGc0o0/edit?usp=sharing"",""งบพรบ!BR103"")"),0)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IFERROR(__xludf.DUMMYFUNCTION("IMPORTRANGE(""https://docs.google.com/spreadsheets/d/1MeEWN-I1oV_STSDYn1IFDPWt_1FKiwhDph83XaGc0o0/edit?usp=sharing"",""งบพรบ!BS103"")"),0)</f>
        <v>0</v>
      </c>
      <c r="P103" s="91">
        <f t="shared" ca="1" si="30"/>
        <v>0</v>
      </c>
      <c r="Q103" s="90">
        <f t="shared" ca="1" si="8"/>
        <v>0</v>
      </c>
      <c r="R103" s="88"/>
      <c r="S103" s="88"/>
      <c r="T103" s="88"/>
      <c r="U103" s="90"/>
      <c r="V103" s="88"/>
      <c r="W103" s="88"/>
      <c r="X103" s="90"/>
      <c r="Y103" s="88"/>
      <c r="Z103" s="88"/>
      <c r="AA103" s="90"/>
      <c r="AB103" s="88"/>
      <c r="AC103" s="88"/>
      <c r="AD103" s="90"/>
    </row>
    <row r="104" spans="1:30" ht="21" hidden="1" customHeight="1" x14ac:dyDescent="0.2">
      <c r="A104" s="369" t="s">
        <v>126</v>
      </c>
      <c r="B104" s="370"/>
      <c r="C104" s="102">
        <f t="shared" ca="1" si="0"/>
        <v>246900</v>
      </c>
      <c r="D104" s="41">
        <f ca="1">SUM(D105:D116)</f>
        <v>246900</v>
      </c>
      <c r="E104" s="41">
        <f ca="1">IFERROR(__xludf.DUMMYFUNCTION("IMPORTRANGE(""https://docs.google.com/spreadsheets/d/1MeEWN-I1oV_STSDYn1IFDPWt_1FKiwhDph83XaGc0o0/edit?usp=sharing"",""งบพรบ!BL104"")"),246900)</f>
        <v>246900</v>
      </c>
      <c r="F104" s="41">
        <f ca="1">IFERROR(__xludf.DUMMYFUNCTION("IMPORTRANGE(""https://docs.google.com/spreadsheets/d/1MeEWN-I1oV_STSDYn1IFDPWt_1FKiwhDph83XaGc0o0/edit?usp=sharing"",""งบพรบ!BM104"")"),0)</f>
        <v>0</v>
      </c>
      <c r="G104" s="41">
        <f ca="1">IFERROR(__xludf.DUMMYFUNCTION("IMPORTRANGE(""https://docs.google.com/spreadsheets/d/1MeEWN-I1oV_STSDYn1IFDPWt_1FKiwhDph83XaGc0o0/edit?usp=sharing"",""งบพรบ!BN104"")"),0)</f>
        <v>0</v>
      </c>
      <c r="H104" s="41">
        <f ca="1">IFERROR(__xludf.DUMMYFUNCTION("IMPORTRANGE(""https://docs.google.com/spreadsheets/d/1MeEWN-I1oV_STSDYn1IFDPWt_1FKiwhDph83XaGc0o0/edit?usp=sharing"",""งบพรบ!BP104"")"),123450)</f>
        <v>123450</v>
      </c>
      <c r="I104" s="41">
        <f ca="1">IFERROR(__xludf.DUMMYFUNCTION("IMPORTRANGE(""https://docs.google.com/spreadsheets/d/1MeEWN-I1oV_STSDYn1IFDPWt_1FKiwhDph83XaGc0o0/edit?usp=sharing"",""งบพรบ!BQ104"")"),500)</f>
        <v>500</v>
      </c>
      <c r="J104" s="41">
        <f t="shared" ca="1" si="3"/>
        <v>35129</v>
      </c>
      <c r="K104" s="43">
        <f t="shared" ca="1" si="4"/>
        <v>14.228027541514784</v>
      </c>
      <c r="L104" s="41">
        <f ca="1">IFERROR(__xludf.DUMMYFUNCTION("IMPORTRANGE(""https://docs.google.com/spreadsheets/d/1MeEWN-I1oV_STSDYn1IFDPWt_1FKiwhDph83XaGc0o0/edit?usp=sharing"",""งบพรบ!BR104"")"),35129)</f>
        <v>35129</v>
      </c>
      <c r="M104" s="43">
        <f t="shared" ca="1" si="5"/>
        <v>14.228027541514784</v>
      </c>
      <c r="N104" s="43">
        <f t="shared" ca="1" si="6"/>
        <v>28.456055083029568</v>
      </c>
      <c r="O104" s="41">
        <f ca="1">IFERROR(__xludf.DUMMYFUNCTION("IMPORTRANGE(""https://docs.google.com/spreadsheets/d/1MeEWN-I1oV_STSDYn1IFDPWt_1FKiwhDph83XaGc0o0/edit?usp=sharing"",""งบพรบ!BS104"")"),0)</f>
        <v>0</v>
      </c>
      <c r="P104" s="41">
        <f t="shared" ca="1" si="30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</row>
    <row r="105" spans="1:30" ht="24" hidden="1" customHeight="1" x14ac:dyDescent="0.2">
      <c r="A105" s="103">
        <v>1</v>
      </c>
      <c r="B105" s="110" t="s">
        <v>127</v>
      </c>
      <c r="C105" s="111">
        <f t="shared" ca="1" si="0"/>
        <v>246900</v>
      </c>
      <c r="D105" s="66">
        <f t="shared" ref="D105:D116" ca="1" si="57">+E105+F105</f>
        <v>246900</v>
      </c>
      <c r="E105" s="67">
        <f ca="1">IFERROR(__xludf.DUMMYFUNCTION("IMPORTRANGE(""https://docs.google.com/spreadsheets/d/1MeEWN-I1oV_STSDYn1IFDPWt_1FKiwhDph83XaGc0o0/edit?usp=sharing"",""งบพรบ!BL105"")"),246900)</f>
        <v>246900</v>
      </c>
      <c r="F105" s="67">
        <f ca="1">IFERROR(__xludf.DUMMYFUNCTION("IMPORTRANGE(""https://docs.google.com/spreadsheets/d/1MeEWN-I1oV_STSDYn1IFDPWt_1FKiwhDph83XaGc0o0/edit?usp=sharing"",""งบพรบ!BM105"")"),0)</f>
        <v>0</v>
      </c>
      <c r="G105" s="67">
        <f ca="1">IFERROR(__xludf.DUMMYFUNCTION("IMPORTRANGE(""https://docs.google.com/spreadsheets/d/1MeEWN-I1oV_STSDYn1IFDPWt_1FKiwhDph83XaGc0o0/edit?usp=sharing"",""งบพรบ!BN105"")"),0)</f>
        <v>0</v>
      </c>
      <c r="H105" s="67">
        <f ca="1">IFERROR(__xludf.DUMMYFUNCTION("IMPORTRANGE(""https://docs.google.com/spreadsheets/d/1MeEWN-I1oV_STSDYn1IFDPWt_1FKiwhDph83XaGc0o0/edit?usp=sharing"",""งบพรบ!BP105"")"),0)</f>
        <v>0</v>
      </c>
      <c r="I105" s="67">
        <f ca="1">IFERROR(__xludf.DUMMYFUNCTION("IMPORTRANGE(""https://docs.google.com/spreadsheets/d/1MeEWN-I1oV_STSDYn1IFDPWt_1FKiwhDph83XaGc0o0/edit?usp=sharing"",""งบพรบ!BQ105"")"),0)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IFERROR(__xludf.DUMMYFUNCTION("IMPORTRANGE(""https://docs.google.com/spreadsheets/d/1MeEWN-I1oV_STSDYn1IFDPWt_1FKiwhDph83XaGc0o0/edit?usp=sharing"",""งบพรบ!BR105"")"),0)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IFERROR(__xludf.DUMMYFUNCTION("IMPORTRANGE(""https://docs.google.com/spreadsheets/d/1MeEWN-I1oV_STSDYn1IFDPWt_1FKiwhDph83XaGc0o0/edit?usp=sharing"",""งบพรบ!BS105"")"),0)</f>
        <v>0</v>
      </c>
      <c r="P105" s="71">
        <f t="shared" ca="1" si="30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7"/>
        <v>0</v>
      </c>
      <c r="E106" s="77">
        <f ca="1">IFERROR(__xludf.DUMMYFUNCTION("IMPORTRANGE(""https://docs.google.com/spreadsheets/d/1MeEWN-I1oV_STSDYn1IFDPWt_1FKiwhDph83XaGc0o0/edit?usp=sharing"",""งบพรบ!BL106"")"),0)</f>
        <v>0</v>
      </c>
      <c r="F106" s="77">
        <f ca="1">IFERROR(__xludf.DUMMYFUNCTION("IMPORTRANGE(""https://docs.google.com/spreadsheets/d/1MeEWN-I1oV_STSDYn1IFDPWt_1FKiwhDph83XaGc0o0/edit?usp=sharing"",""งบพรบ!BM106"")"),0)</f>
        <v>0</v>
      </c>
      <c r="G106" s="77">
        <f ca="1">IFERROR(__xludf.DUMMYFUNCTION("IMPORTRANGE(""https://docs.google.com/spreadsheets/d/1MeEWN-I1oV_STSDYn1IFDPWt_1FKiwhDph83XaGc0o0/edit?usp=sharing"",""งบพรบ!BN106"")"),0)</f>
        <v>0</v>
      </c>
      <c r="H106" s="77">
        <f ca="1">IFERROR(__xludf.DUMMYFUNCTION("IMPORTRANGE(""https://docs.google.com/spreadsheets/d/1MeEWN-I1oV_STSDYn1IFDPWt_1FKiwhDph83XaGc0o0/edit?usp=sharing"",""งบพรบ!BP106"")"),0)</f>
        <v>0</v>
      </c>
      <c r="I106" s="77">
        <f ca="1">IFERROR(__xludf.DUMMYFUNCTION("IMPORTRANGE(""https://docs.google.com/spreadsheets/d/1MeEWN-I1oV_STSDYn1IFDPWt_1FKiwhDph83XaGc0o0/edit?usp=sharing"",""งบพรบ!BQ106"")"),0)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IFERROR(__xludf.DUMMYFUNCTION("IMPORTRANGE(""https://docs.google.com/spreadsheets/d/1MeEWN-I1oV_STSDYn1IFDPWt_1FKiwhDph83XaGc0o0/edit?usp=sharing"",""งบพรบ!BR106"")"),0)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IFERROR(__xludf.DUMMYFUNCTION("IMPORTRANGE(""https://docs.google.com/spreadsheets/d/1MeEWN-I1oV_STSDYn1IFDPWt_1FKiwhDph83XaGc0o0/edit?usp=sharing"",""งบพรบ!BS106"")"),0)</f>
        <v>0</v>
      </c>
      <c r="P106" s="80">
        <f t="shared" ca="1" si="30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7"/>
        <v>0</v>
      </c>
      <c r="E107" s="77">
        <f ca="1">IFERROR(__xludf.DUMMYFUNCTION("IMPORTRANGE(""https://docs.google.com/spreadsheets/d/1MeEWN-I1oV_STSDYn1IFDPWt_1FKiwhDph83XaGc0o0/edit?usp=sharing"",""งบพรบ!BL107"")"),0)</f>
        <v>0</v>
      </c>
      <c r="F107" s="77">
        <f ca="1">IFERROR(__xludf.DUMMYFUNCTION("IMPORTRANGE(""https://docs.google.com/spreadsheets/d/1MeEWN-I1oV_STSDYn1IFDPWt_1FKiwhDph83XaGc0o0/edit?usp=sharing"",""งบพรบ!BM107"")"),0)</f>
        <v>0</v>
      </c>
      <c r="G107" s="77">
        <f ca="1">IFERROR(__xludf.DUMMYFUNCTION("IMPORTRANGE(""https://docs.google.com/spreadsheets/d/1MeEWN-I1oV_STSDYn1IFDPWt_1FKiwhDph83XaGc0o0/edit?usp=sharing"",""งบพรบ!BN107"")"),0)</f>
        <v>0</v>
      </c>
      <c r="H107" s="77">
        <f ca="1">IFERROR(__xludf.DUMMYFUNCTION("IMPORTRANGE(""https://docs.google.com/spreadsheets/d/1MeEWN-I1oV_STSDYn1IFDPWt_1FKiwhDph83XaGc0o0/edit?usp=sharing"",""งบพรบ!BP107"")"),0)</f>
        <v>0</v>
      </c>
      <c r="I107" s="77">
        <f ca="1">IFERROR(__xludf.DUMMYFUNCTION("IMPORTRANGE(""https://docs.google.com/spreadsheets/d/1MeEWN-I1oV_STSDYn1IFDPWt_1FKiwhDph83XaGc0o0/edit?usp=sharing"",""งบพรบ!BQ107"")"),0)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IFERROR(__xludf.DUMMYFUNCTION("IMPORTRANGE(""https://docs.google.com/spreadsheets/d/1MeEWN-I1oV_STSDYn1IFDPWt_1FKiwhDph83XaGc0o0/edit?usp=sharing"",""งบพรบ!BR107"")"),0)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IFERROR(__xludf.DUMMYFUNCTION("IMPORTRANGE(""https://docs.google.com/spreadsheets/d/1MeEWN-I1oV_STSDYn1IFDPWt_1FKiwhDph83XaGc0o0/edit?usp=sharing"",""งบพรบ!BS107"")"),0)</f>
        <v>0</v>
      </c>
      <c r="P107" s="80">
        <f t="shared" ca="1" si="30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7"/>
        <v>0</v>
      </c>
      <c r="E108" s="77">
        <f ca="1">IFERROR(__xludf.DUMMYFUNCTION("IMPORTRANGE(""https://docs.google.com/spreadsheets/d/1MeEWN-I1oV_STSDYn1IFDPWt_1FKiwhDph83XaGc0o0/edit?usp=sharing"",""งบพรบ!BL108"")"),0)</f>
        <v>0</v>
      </c>
      <c r="F108" s="77">
        <f ca="1">IFERROR(__xludf.DUMMYFUNCTION("IMPORTRANGE(""https://docs.google.com/spreadsheets/d/1MeEWN-I1oV_STSDYn1IFDPWt_1FKiwhDph83XaGc0o0/edit?usp=sharing"",""งบพรบ!BM108"")"),0)</f>
        <v>0</v>
      </c>
      <c r="G108" s="77">
        <f ca="1">IFERROR(__xludf.DUMMYFUNCTION("IMPORTRANGE(""https://docs.google.com/spreadsheets/d/1MeEWN-I1oV_STSDYn1IFDPWt_1FKiwhDph83XaGc0o0/edit?usp=sharing"",""งบพรบ!BN108"")"),0)</f>
        <v>0</v>
      </c>
      <c r="H108" s="77">
        <f ca="1">IFERROR(__xludf.DUMMYFUNCTION("IMPORTRANGE(""https://docs.google.com/spreadsheets/d/1MeEWN-I1oV_STSDYn1IFDPWt_1FKiwhDph83XaGc0o0/edit?usp=sharing"",""งบพรบ!BP108"")"),0)</f>
        <v>0</v>
      </c>
      <c r="I108" s="77">
        <f ca="1">IFERROR(__xludf.DUMMYFUNCTION("IMPORTRANGE(""https://docs.google.com/spreadsheets/d/1MeEWN-I1oV_STSDYn1IFDPWt_1FKiwhDph83XaGc0o0/edit?usp=sharing"",""งบพรบ!BQ108"")"),0)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IFERROR(__xludf.DUMMYFUNCTION("IMPORTRANGE(""https://docs.google.com/spreadsheets/d/1MeEWN-I1oV_STSDYn1IFDPWt_1FKiwhDph83XaGc0o0/edit?usp=sharing"",""งบพรบ!BR108"")"),0)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IFERROR(__xludf.DUMMYFUNCTION("IMPORTRANGE(""https://docs.google.com/spreadsheets/d/1MeEWN-I1oV_STSDYn1IFDPWt_1FKiwhDph83XaGc0o0/edit?usp=sharing"",""งบพรบ!BS108"")"),0)</f>
        <v>0</v>
      </c>
      <c r="P108" s="80">
        <f t="shared" ca="1" si="30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7"/>
        <v>0</v>
      </c>
      <c r="E109" s="77">
        <f ca="1">IFERROR(__xludf.DUMMYFUNCTION("IMPORTRANGE(""https://docs.google.com/spreadsheets/d/1MeEWN-I1oV_STSDYn1IFDPWt_1FKiwhDph83XaGc0o0/edit?usp=sharing"",""งบพรบ!BL109"")"),0)</f>
        <v>0</v>
      </c>
      <c r="F109" s="77">
        <f ca="1">IFERROR(__xludf.DUMMYFUNCTION("IMPORTRANGE(""https://docs.google.com/spreadsheets/d/1MeEWN-I1oV_STSDYn1IFDPWt_1FKiwhDph83XaGc0o0/edit?usp=sharing"",""งบพรบ!BM109"")"),0)</f>
        <v>0</v>
      </c>
      <c r="G109" s="77">
        <f ca="1">IFERROR(__xludf.DUMMYFUNCTION("IMPORTRANGE(""https://docs.google.com/spreadsheets/d/1MeEWN-I1oV_STSDYn1IFDPWt_1FKiwhDph83XaGc0o0/edit?usp=sharing"",""งบพรบ!BN109"")"),0)</f>
        <v>0</v>
      </c>
      <c r="H109" s="77">
        <f ca="1">IFERROR(__xludf.DUMMYFUNCTION("IMPORTRANGE(""https://docs.google.com/spreadsheets/d/1MeEWN-I1oV_STSDYn1IFDPWt_1FKiwhDph83XaGc0o0/edit?usp=sharing"",""งบพรบ!BP109"")"),0)</f>
        <v>0</v>
      </c>
      <c r="I109" s="77">
        <f ca="1">IFERROR(__xludf.DUMMYFUNCTION("IMPORTRANGE(""https://docs.google.com/spreadsheets/d/1MeEWN-I1oV_STSDYn1IFDPWt_1FKiwhDph83XaGc0o0/edit?usp=sharing"",""งบพรบ!BQ109"")"),0)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IFERROR(__xludf.DUMMYFUNCTION("IMPORTRANGE(""https://docs.google.com/spreadsheets/d/1MeEWN-I1oV_STSDYn1IFDPWt_1FKiwhDph83XaGc0o0/edit?usp=sharing"",""งบพรบ!BR109"")"),0)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IFERROR(__xludf.DUMMYFUNCTION("IMPORTRANGE(""https://docs.google.com/spreadsheets/d/1MeEWN-I1oV_STSDYn1IFDPWt_1FKiwhDph83XaGc0o0/edit?usp=sharing"",""งบพรบ!BS109"")"),0)</f>
        <v>0</v>
      </c>
      <c r="P109" s="80">
        <f t="shared" ca="1" si="30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7"/>
        <v>0</v>
      </c>
      <c r="E110" s="77">
        <f ca="1">IFERROR(__xludf.DUMMYFUNCTION("IMPORTRANGE(""https://docs.google.com/spreadsheets/d/1MeEWN-I1oV_STSDYn1IFDPWt_1FKiwhDph83XaGc0o0/edit?usp=sharing"",""งบพรบ!BL110"")"),0)</f>
        <v>0</v>
      </c>
      <c r="F110" s="77">
        <f ca="1">IFERROR(__xludf.DUMMYFUNCTION("IMPORTRANGE(""https://docs.google.com/spreadsheets/d/1MeEWN-I1oV_STSDYn1IFDPWt_1FKiwhDph83XaGc0o0/edit?usp=sharing"",""งบพรบ!BM110"")"),0)</f>
        <v>0</v>
      </c>
      <c r="G110" s="77">
        <f ca="1">IFERROR(__xludf.DUMMYFUNCTION("IMPORTRANGE(""https://docs.google.com/spreadsheets/d/1MeEWN-I1oV_STSDYn1IFDPWt_1FKiwhDph83XaGc0o0/edit?usp=sharing"",""งบพรบ!BN110"")"),0)</f>
        <v>0</v>
      </c>
      <c r="H110" s="77">
        <f ca="1">IFERROR(__xludf.DUMMYFUNCTION("IMPORTRANGE(""https://docs.google.com/spreadsheets/d/1MeEWN-I1oV_STSDYn1IFDPWt_1FKiwhDph83XaGc0o0/edit?usp=sharing"",""งบพรบ!BP110"")"),0)</f>
        <v>0</v>
      </c>
      <c r="I110" s="77">
        <f ca="1">IFERROR(__xludf.DUMMYFUNCTION("IMPORTRANGE(""https://docs.google.com/spreadsheets/d/1MeEWN-I1oV_STSDYn1IFDPWt_1FKiwhDph83XaGc0o0/edit?usp=sharing"",""งบพรบ!BQ110"")"),0)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IFERROR(__xludf.DUMMYFUNCTION("IMPORTRANGE(""https://docs.google.com/spreadsheets/d/1MeEWN-I1oV_STSDYn1IFDPWt_1FKiwhDph83XaGc0o0/edit?usp=sharing"",""งบพรบ!BR110"")"),0)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IFERROR(__xludf.DUMMYFUNCTION("IMPORTRANGE(""https://docs.google.com/spreadsheets/d/1MeEWN-I1oV_STSDYn1IFDPWt_1FKiwhDph83XaGc0o0/edit?usp=sharing"",""งบพรบ!BS110"")"),0)</f>
        <v>0</v>
      </c>
      <c r="P110" s="80">
        <f t="shared" ca="1" si="30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7"/>
        <v>0</v>
      </c>
      <c r="E111" s="77">
        <f ca="1">IFERROR(__xludf.DUMMYFUNCTION("IMPORTRANGE(""https://docs.google.com/spreadsheets/d/1MeEWN-I1oV_STSDYn1IFDPWt_1FKiwhDph83XaGc0o0/edit?usp=sharing"",""งบพรบ!BL111"")"),0)</f>
        <v>0</v>
      </c>
      <c r="F111" s="77">
        <f ca="1">IFERROR(__xludf.DUMMYFUNCTION("IMPORTRANGE(""https://docs.google.com/spreadsheets/d/1MeEWN-I1oV_STSDYn1IFDPWt_1FKiwhDph83XaGc0o0/edit?usp=sharing"",""งบพรบ!BM111"")"),0)</f>
        <v>0</v>
      </c>
      <c r="G111" s="77">
        <f ca="1">IFERROR(__xludf.DUMMYFUNCTION("IMPORTRANGE(""https://docs.google.com/spreadsheets/d/1MeEWN-I1oV_STSDYn1IFDPWt_1FKiwhDph83XaGc0o0/edit?usp=sharing"",""งบพรบ!BN111"")"),0)</f>
        <v>0</v>
      </c>
      <c r="H111" s="77">
        <f ca="1">IFERROR(__xludf.DUMMYFUNCTION("IMPORTRANGE(""https://docs.google.com/spreadsheets/d/1MeEWN-I1oV_STSDYn1IFDPWt_1FKiwhDph83XaGc0o0/edit?usp=sharing"",""งบพรบ!BP111"")"),123450)</f>
        <v>123450</v>
      </c>
      <c r="I111" s="77">
        <f ca="1">IFERROR(__xludf.DUMMYFUNCTION("IMPORTRANGE(""https://docs.google.com/spreadsheets/d/1MeEWN-I1oV_STSDYn1IFDPWt_1FKiwhDph83XaGc0o0/edit?usp=sharing"",""งบพรบ!BQ111"")"),0)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IFERROR(__xludf.DUMMYFUNCTION("IMPORTRANGE(""https://docs.google.com/spreadsheets/d/1MeEWN-I1oV_STSDYn1IFDPWt_1FKiwhDph83XaGc0o0/edit?usp=sharing"",""งบพรบ!BR111"")"),0)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IFERROR(__xludf.DUMMYFUNCTION("IMPORTRANGE(""https://docs.google.com/spreadsheets/d/1MeEWN-I1oV_STSDYn1IFDPWt_1FKiwhDph83XaGc0o0/edit?usp=sharing"",""งบพรบ!BS111"")"),0)</f>
        <v>0</v>
      </c>
      <c r="P111" s="80">
        <f t="shared" ca="1" si="30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7"/>
        <v>0</v>
      </c>
      <c r="E112" s="77">
        <f ca="1">IFERROR(__xludf.DUMMYFUNCTION("IMPORTRANGE(""https://docs.google.com/spreadsheets/d/1MeEWN-I1oV_STSDYn1IFDPWt_1FKiwhDph83XaGc0o0/edit?usp=sharing"",""งบพรบ!BL112"")"),0)</f>
        <v>0</v>
      </c>
      <c r="F112" s="77">
        <f ca="1">IFERROR(__xludf.DUMMYFUNCTION("IMPORTRANGE(""https://docs.google.com/spreadsheets/d/1MeEWN-I1oV_STSDYn1IFDPWt_1FKiwhDph83XaGc0o0/edit?usp=sharing"",""งบพรบ!BM112"")"),0)</f>
        <v>0</v>
      </c>
      <c r="G112" s="77">
        <f ca="1">IFERROR(__xludf.DUMMYFUNCTION("IMPORTRANGE(""https://docs.google.com/spreadsheets/d/1MeEWN-I1oV_STSDYn1IFDPWt_1FKiwhDph83XaGc0o0/edit?usp=sharing"",""งบพรบ!BN112"")"),0)</f>
        <v>0</v>
      </c>
      <c r="H112" s="77">
        <f ca="1">IFERROR(__xludf.DUMMYFUNCTION("IMPORTRANGE(""https://docs.google.com/spreadsheets/d/1MeEWN-I1oV_STSDYn1IFDPWt_1FKiwhDph83XaGc0o0/edit?usp=sharing"",""งบพรบ!BP112"")"),0)</f>
        <v>0</v>
      </c>
      <c r="I112" s="77">
        <f ca="1">IFERROR(__xludf.DUMMYFUNCTION("IMPORTRANGE(""https://docs.google.com/spreadsheets/d/1MeEWN-I1oV_STSDYn1IFDPWt_1FKiwhDph83XaGc0o0/edit?usp=sharing"",""งบพรบ!BQ112"")"),0)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IFERROR(__xludf.DUMMYFUNCTION("IMPORTRANGE(""https://docs.google.com/spreadsheets/d/1MeEWN-I1oV_STSDYn1IFDPWt_1FKiwhDph83XaGc0o0/edit?usp=sharing"",""งบพรบ!BR112"")"),0)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IFERROR(__xludf.DUMMYFUNCTION("IMPORTRANGE(""https://docs.google.com/spreadsheets/d/1MeEWN-I1oV_STSDYn1IFDPWt_1FKiwhDph83XaGc0o0/edit?usp=sharing"",""งบพรบ!BS112"")"),0)</f>
        <v>0</v>
      </c>
      <c r="P112" s="80">
        <f t="shared" ca="1" si="30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7"/>
        <v>0</v>
      </c>
      <c r="E113" s="77">
        <f ca="1">IFERROR(__xludf.DUMMYFUNCTION("IMPORTRANGE(""https://docs.google.com/spreadsheets/d/1MeEWN-I1oV_STSDYn1IFDPWt_1FKiwhDph83XaGc0o0/edit?usp=sharing"",""งบพรบ!BL113"")"),0)</f>
        <v>0</v>
      </c>
      <c r="F113" s="77">
        <f ca="1">IFERROR(__xludf.DUMMYFUNCTION("IMPORTRANGE(""https://docs.google.com/spreadsheets/d/1MeEWN-I1oV_STSDYn1IFDPWt_1FKiwhDph83XaGc0o0/edit?usp=sharing"",""งบพรบ!BM113"")"),0)</f>
        <v>0</v>
      </c>
      <c r="G113" s="77">
        <f ca="1">IFERROR(__xludf.DUMMYFUNCTION("IMPORTRANGE(""https://docs.google.com/spreadsheets/d/1MeEWN-I1oV_STSDYn1IFDPWt_1FKiwhDph83XaGc0o0/edit?usp=sharing"",""งบพรบ!BN113"")"),0)</f>
        <v>0</v>
      </c>
      <c r="H113" s="77">
        <f ca="1">IFERROR(__xludf.DUMMYFUNCTION("IMPORTRANGE(""https://docs.google.com/spreadsheets/d/1MeEWN-I1oV_STSDYn1IFDPWt_1FKiwhDph83XaGc0o0/edit?usp=sharing"",""งบพรบ!BP113"")"),0)</f>
        <v>0</v>
      </c>
      <c r="I113" s="77">
        <f ca="1">IFERROR(__xludf.DUMMYFUNCTION("IMPORTRANGE(""https://docs.google.com/spreadsheets/d/1MeEWN-I1oV_STSDYn1IFDPWt_1FKiwhDph83XaGc0o0/edit?usp=sharing"",""งบพรบ!BQ113"")"),0)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IFERROR(__xludf.DUMMYFUNCTION("IMPORTRANGE(""https://docs.google.com/spreadsheets/d/1MeEWN-I1oV_STSDYn1IFDPWt_1FKiwhDph83XaGc0o0/edit?usp=sharing"",""งบพรบ!BR113"")"),0)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IFERROR(__xludf.DUMMYFUNCTION("IMPORTRANGE(""https://docs.google.com/spreadsheets/d/1MeEWN-I1oV_STSDYn1IFDPWt_1FKiwhDph83XaGc0o0/edit?usp=sharing"",""งบพรบ!BS113"")"),0)</f>
        <v>0</v>
      </c>
      <c r="P113" s="80">
        <f t="shared" ca="1" si="30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7"/>
        <v>0</v>
      </c>
      <c r="E114" s="77">
        <f ca="1">IFERROR(__xludf.DUMMYFUNCTION("IMPORTRANGE(""https://docs.google.com/spreadsheets/d/1MeEWN-I1oV_STSDYn1IFDPWt_1FKiwhDph83XaGc0o0/edit?usp=sharing"",""งบพรบ!BL114"")"),0)</f>
        <v>0</v>
      </c>
      <c r="F114" s="77">
        <f ca="1">IFERROR(__xludf.DUMMYFUNCTION("IMPORTRANGE(""https://docs.google.com/spreadsheets/d/1MeEWN-I1oV_STSDYn1IFDPWt_1FKiwhDph83XaGc0o0/edit?usp=sharing"",""งบพรบ!BM114"")"),0)</f>
        <v>0</v>
      </c>
      <c r="G114" s="77">
        <f ca="1">IFERROR(__xludf.DUMMYFUNCTION("IMPORTRANGE(""https://docs.google.com/spreadsheets/d/1MeEWN-I1oV_STSDYn1IFDPWt_1FKiwhDph83XaGc0o0/edit?usp=sharing"",""งบพรบ!BN114"")"),0)</f>
        <v>0</v>
      </c>
      <c r="H114" s="77">
        <f ca="1">IFERROR(__xludf.DUMMYFUNCTION("IMPORTRANGE(""https://docs.google.com/spreadsheets/d/1MeEWN-I1oV_STSDYn1IFDPWt_1FKiwhDph83XaGc0o0/edit?usp=sharing"",""งบพรบ!BP114"")"),0)</f>
        <v>0</v>
      </c>
      <c r="I114" s="77">
        <f ca="1">IFERROR(__xludf.DUMMYFUNCTION("IMPORTRANGE(""https://docs.google.com/spreadsheets/d/1MeEWN-I1oV_STSDYn1IFDPWt_1FKiwhDph83XaGc0o0/edit?usp=sharing"",""งบพรบ!BQ114"")"),0)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IFERROR(__xludf.DUMMYFUNCTION("IMPORTRANGE(""https://docs.google.com/spreadsheets/d/1MeEWN-I1oV_STSDYn1IFDPWt_1FKiwhDph83XaGc0o0/edit?usp=sharing"",""งบพรบ!BR114"")"),0)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IFERROR(__xludf.DUMMYFUNCTION("IMPORTRANGE(""https://docs.google.com/spreadsheets/d/1MeEWN-I1oV_STSDYn1IFDPWt_1FKiwhDph83XaGc0o0/edit?usp=sharing"",""งบพรบ!BS114"")"),0)</f>
        <v>0</v>
      </c>
      <c r="P114" s="80">
        <f t="shared" ca="1" si="30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7"/>
        <v>0</v>
      </c>
      <c r="E115" s="77">
        <f ca="1">IFERROR(__xludf.DUMMYFUNCTION("IMPORTRANGE(""https://docs.google.com/spreadsheets/d/1MeEWN-I1oV_STSDYn1IFDPWt_1FKiwhDph83XaGc0o0/edit?usp=sharing"",""งบพรบ!BL115"")"),0)</f>
        <v>0</v>
      </c>
      <c r="F115" s="77">
        <f ca="1">IFERROR(__xludf.DUMMYFUNCTION("IMPORTRANGE(""https://docs.google.com/spreadsheets/d/1MeEWN-I1oV_STSDYn1IFDPWt_1FKiwhDph83XaGc0o0/edit?usp=sharing"",""งบพรบ!BM115"")"),0)</f>
        <v>0</v>
      </c>
      <c r="G115" s="77">
        <f ca="1">IFERROR(__xludf.DUMMYFUNCTION("IMPORTRANGE(""https://docs.google.com/spreadsheets/d/1MeEWN-I1oV_STSDYn1IFDPWt_1FKiwhDph83XaGc0o0/edit?usp=sharing"",""งบพรบ!BN115"")"),0)</f>
        <v>0</v>
      </c>
      <c r="H115" s="77">
        <f ca="1">IFERROR(__xludf.DUMMYFUNCTION("IMPORTRANGE(""https://docs.google.com/spreadsheets/d/1MeEWN-I1oV_STSDYn1IFDPWt_1FKiwhDph83XaGc0o0/edit?usp=sharing"",""งบพรบ!BP115"")"),0)</f>
        <v>0</v>
      </c>
      <c r="I115" s="77">
        <f ca="1">IFERROR(__xludf.DUMMYFUNCTION("IMPORTRANGE(""https://docs.google.com/spreadsheets/d/1MeEWN-I1oV_STSDYn1IFDPWt_1FKiwhDph83XaGc0o0/edit?usp=sharing"",""งบพรบ!BQ115"")"),0)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IFERROR(__xludf.DUMMYFUNCTION("IMPORTRANGE(""https://docs.google.com/spreadsheets/d/1MeEWN-I1oV_STSDYn1IFDPWt_1FKiwhDph83XaGc0o0/edit?usp=sharing"",""งบพรบ!BR115"")"),0)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IFERROR(__xludf.DUMMYFUNCTION("IMPORTRANGE(""https://docs.google.com/spreadsheets/d/1MeEWN-I1oV_STSDYn1IFDPWt_1FKiwhDph83XaGc0o0/edit?usp=sharing"",""งบพรบ!BS115"")"),0)</f>
        <v>0</v>
      </c>
      <c r="P115" s="80">
        <f t="shared" ca="1" si="30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7"/>
        <v>0</v>
      </c>
      <c r="E116" s="77">
        <f ca="1">IFERROR(__xludf.DUMMYFUNCTION("IMPORTRANGE(""https://docs.google.com/spreadsheets/d/1MeEWN-I1oV_STSDYn1IFDPWt_1FKiwhDph83XaGc0o0/edit?usp=sharing"",""งบพรบ!BL116"")"),0)</f>
        <v>0</v>
      </c>
      <c r="F116" s="77">
        <f ca="1">IFERROR(__xludf.DUMMYFUNCTION("IMPORTRANGE(""https://docs.google.com/spreadsheets/d/1MeEWN-I1oV_STSDYn1IFDPWt_1FKiwhDph83XaGc0o0/edit?usp=sharing"",""งบพรบ!BM116"")"),0)</f>
        <v>0</v>
      </c>
      <c r="G116" s="77">
        <f ca="1">IFERROR(__xludf.DUMMYFUNCTION("IMPORTRANGE(""https://docs.google.com/spreadsheets/d/1MeEWN-I1oV_STSDYn1IFDPWt_1FKiwhDph83XaGc0o0/edit?usp=sharing"",""งบพรบ!BN116"")"),0)</f>
        <v>0</v>
      </c>
      <c r="H116" s="77">
        <f ca="1">IFERROR(__xludf.DUMMYFUNCTION("IMPORTRANGE(""https://docs.google.com/spreadsheets/d/1MeEWN-I1oV_STSDYn1IFDPWt_1FKiwhDph83XaGc0o0/edit?usp=sharing"",""งบพรบ!BP116"")"),0)</f>
        <v>0</v>
      </c>
      <c r="I116" s="77">
        <f ca="1">IFERROR(__xludf.DUMMYFUNCTION("IMPORTRANGE(""https://docs.google.com/spreadsheets/d/1MeEWN-I1oV_STSDYn1IFDPWt_1FKiwhDph83XaGc0o0/edit?usp=sharing"",""งบพรบ!BQ116"")"),0)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IFERROR(__xludf.DUMMYFUNCTION("IMPORTRANGE(""https://docs.google.com/spreadsheets/d/1MeEWN-I1oV_STSDYn1IFDPWt_1FKiwhDph83XaGc0o0/edit?usp=sharing"",""งบพรบ!BR116"")"),0)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IFERROR(__xludf.DUMMYFUNCTION("IMPORTRANGE(""https://docs.google.com/spreadsheets/d/1MeEWN-I1oV_STSDYn1IFDPWt_1FKiwhDph83XaGc0o0/edit?usp=sharing"",""งบพรบ!BS116"")"),0)</f>
        <v>0</v>
      </c>
      <c r="P116" s="80">
        <f t="shared" ca="1" si="30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5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</row>
    <row r="315" spans="1:3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5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</row>
    <row r="316" spans="1:3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5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</row>
    <row r="317" spans="1:3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5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</row>
    <row r="318" spans="1:3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5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</row>
    <row r="319" spans="1:3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5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</row>
    <row r="320" spans="1:3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5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</row>
    <row r="321" spans="1:3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5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</row>
    <row r="322" spans="1:3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5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</row>
    <row r="323" spans="1:3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5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</row>
    <row r="324" spans="1:3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5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</row>
    <row r="325" spans="1:3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5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</row>
    <row r="326" spans="1:3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5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</row>
    <row r="327" spans="1:3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5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</row>
    <row r="328" spans="1:3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5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</row>
    <row r="329" spans="1:3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5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</row>
    <row r="330" spans="1:3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5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</row>
    <row r="331" spans="1:3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5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</row>
    <row r="332" spans="1:3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5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</row>
    <row r="333" spans="1:3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5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</row>
    <row r="334" spans="1:3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5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</row>
    <row r="335" spans="1:3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5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</row>
    <row r="336" spans="1:3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5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</row>
    <row r="337" spans="1:3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5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</row>
    <row r="338" spans="1:3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5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</row>
    <row r="339" spans="1:3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5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</row>
    <row r="340" spans="1:3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5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</row>
    <row r="341" spans="1:3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5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</row>
    <row r="342" spans="1:3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5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</row>
    <row r="343" spans="1:3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5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</row>
    <row r="344" spans="1:3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5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</row>
    <row r="345" spans="1:3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5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</row>
    <row r="346" spans="1:3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5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</row>
    <row r="347" spans="1:3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5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</row>
    <row r="348" spans="1:3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5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</row>
    <row r="349" spans="1:3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5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</row>
    <row r="350" spans="1:3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5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</row>
    <row r="351" spans="1:3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5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</row>
    <row r="352" spans="1:3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5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</row>
    <row r="353" spans="1:3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5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</row>
    <row r="354" spans="1:3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5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</row>
    <row r="355" spans="1:3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5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</row>
    <row r="356" spans="1:3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5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</row>
    <row r="357" spans="1:3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5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</row>
    <row r="358" spans="1:3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5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</row>
    <row r="359" spans="1:3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5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</row>
    <row r="360" spans="1:3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5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</row>
    <row r="361" spans="1:3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5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</row>
    <row r="362" spans="1:3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5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</row>
    <row r="363" spans="1:3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5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</row>
    <row r="364" spans="1:3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5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</row>
    <row r="365" spans="1:3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5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</row>
    <row r="366" spans="1:3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5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</row>
    <row r="367" spans="1:3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5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</row>
    <row r="368" spans="1:3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5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</row>
    <row r="369" spans="1:3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5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</row>
    <row r="370" spans="1:3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5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</row>
    <row r="371" spans="1:3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5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</row>
    <row r="372" spans="1:3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5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</row>
    <row r="373" spans="1:3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5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</row>
    <row r="374" spans="1:3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5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</row>
    <row r="375" spans="1:3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5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</row>
    <row r="376" spans="1:3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5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</row>
    <row r="377" spans="1:3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5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</row>
    <row r="378" spans="1:3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5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</row>
    <row r="379" spans="1:3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5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</row>
    <row r="380" spans="1:3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5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</row>
    <row r="381" spans="1:3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5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</row>
    <row r="382" spans="1:3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5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</row>
    <row r="383" spans="1:3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5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</row>
    <row r="384" spans="1:3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5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</row>
    <row r="385" spans="1:3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5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</row>
    <row r="386" spans="1:3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5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</row>
    <row r="387" spans="1:3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5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</row>
    <row r="388" spans="1:3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5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</row>
    <row r="389" spans="1:3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5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</row>
    <row r="390" spans="1:3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5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</row>
    <row r="391" spans="1:3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5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</row>
    <row r="392" spans="1:3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5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</row>
    <row r="393" spans="1:3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5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</row>
    <row r="394" spans="1:3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5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</row>
    <row r="395" spans="1:3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5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</row>
    <row r="396" spans="1:3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5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</row>
    <row r="397" spans="1:3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5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</row>
    <row r="398" spans="1:3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5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</row>
    <row r="399" spans="1:3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5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</row>
    <row r="400" spans="1:3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5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</row>
    <row r="401" spans="1:3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5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</row>
    <row r="402" spans="1:3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5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</row>
    <row r="403" spans="1:3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5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</row>
    <row r="404" spans="1:3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5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</row>
    <row r="405" spans="1:3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5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</row>
    <row r="406" spans="1:3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5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</row>
    <row r="407" spans="1:3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5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</row>
    <row r="408" spans="1:3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5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</row>
    <row r="409" spans="1:3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5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</row>
    <row r="410" spans="1:3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5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</row>
    <row r="411" spans="1:3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5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</row>
    <row r="412" spans="1:3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5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</row>
    <row r="413" spans="1:3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5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</row>
    <row r="414" spans="1:3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5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</row>
    <row r="415" spans="1:3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5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</row>
    <row r="416" spans="1:3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5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</row>
    <row r="417" spans="1:3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5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</row>
    <row r="418" spans="1:3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5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</row>
    <row r="419" spans="1:3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5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</row>
    <row r="420" spans="1:3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5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</row>
    <row r="421" spans="1:3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5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</row>
    <row r="422" spans="1:3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5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</row>
    <row r="423" spans="1:3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5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</row>
    <row r="424" spans="1:3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5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</row>
    <row r="425" spans="1:3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5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</row>
    <row r="426" spans="1:3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5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</row>
    <row r="427" spans="1:3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5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</row>
    <row r="428" spans="1:3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5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</row>
    <row r="429" spans="1:3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5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</row>
    <row r="430" spans="1:3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5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</row>
    <row r="431" spans="1:3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5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</row>
    <row r="432" spans="1:3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5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</row>
    <row r="433" spans="1:3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5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</row>
    <row r="434" spans="1:3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5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</row>
    <row r="435" spans="1:3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5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</row>
    <row r="436" spans="1:3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5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</row>
    <row r="437" spans="1:3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5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</row>
    <row r="438" spans="1:3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5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</row>
    <row r="439" spans="1:3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5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</row>
    <row r="440" spans="1:3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5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</row>
    <row r="441" spans="1:3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5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</row>
    <row r="442" spans="1:3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5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</row>
    <row r="443" spans="1:3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5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</row>
    <row r="444" spans="1:3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5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</row>
    <row r="445" spans="1:3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5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</row>
    <row r="446" spans="1:3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5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</row>
    <row r="447" spans="1:3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5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</row>
    <row r="448" spans="1:3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5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</row>
    <row r="449" spans="1:3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5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</row>
    <row r="450" spans="1:3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5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</row>
    <row r="451" spans="1:3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5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</row>
    <row r="452" spans="1:3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5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</row>
    <row r="453" spans="1:3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5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</row>
    <row r="454" spans="1:3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5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</row>
    <row r="455" spans="1:3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5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</row>
    <row r="456" spans="1:3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5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</row>
    <row r="457" spans="1:3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5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</row>
    <row r="458" spans="1:3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5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</row>
    <row r="459" spans="1:3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5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</row>
    <row r="460" spans="1:3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5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</row>
    <row r="461" spans="1:3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5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</row>
    <row r="462" spans="1:3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5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</row>
    <row r="463" spans="1:3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5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</row>
    <row r="464" spans="1:3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5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</row>
    <row r="465" spans="1:3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5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</row>
    <row r="466" spans="1:3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5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</row>
    <row r="467" spans="1:3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5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</row>
    <row r="468" spans="1:3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5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</row>
    <row r="469" spans="1:3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5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</row>
    <row r="470" spans="1:3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5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</row>
    <row r="471" spans="1:3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5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</row>
    <row r="472" spans="1:3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5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</row>
    <row r="473" spans="1:3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5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</row>
    <row r="474" spans="1:3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5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</row>
    <row r="475" spans="1:3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5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</row>
    <row r="476" spans="1:3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5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</row>
    <row r="477" spans="1:3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5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</row>
    <row r="478" spans="1:3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5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</row>
    <row r="479" spans="1:3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5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</row>
    <row r="480" spans="1:3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5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</row>
    <row r="481" spans="1:3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5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</row>
    <row r="482" spans="1:3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5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</row>
    <row r="483" spans="1:3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5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</row>
    <row r="484" spans="1:3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5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</row>
    <row r="485" spans="1:3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5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</row>
    <row r="486" spans="1:3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5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</row>
    <row r="487" spans="1:3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5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</row>
    <row r="488" spans="1:3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5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</row>
    <row r="489" spans="1:3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5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</row>
    <row r="490" spans="1:3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5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</row>
    <row r="491" spans="1:3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5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</row>
    <row r="492" spans="1:3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5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</row>
    <row r="493" spans="1:3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5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</row>
    <row r="494" spans="1:3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5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</row>
    <row r="495" spans="1:3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5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</row>
    <row r="496" spans="1:3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5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</row>
    <row r="497" spans="1:3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5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</row>
    <row r="498" spans="1:3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5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</row>
    <row r="499" spans="1:3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5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</row>
    <row r="500" spans="1:3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5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</row>
    <row r="501" spans="1:3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5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</row>
    <row r="502" spans="1:3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5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</row>
    <row r="503" spans="1:3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5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</row>
    <row r="504" spans="1:3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5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</row>
    <row r="505" spans="1:3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5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</row>
    <row r="506" spans="1:3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5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</row>
    <row r="507" spans="1:3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5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</row>
    <row r="508" spans="1:3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5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</row>
    <row r="509" spans="1:3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5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</row>
    <row r="510" spans="1:3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5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</row>
    <row r="511" spans="1:3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5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</row>
    <row r="512" spans="1:3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5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</row>
    <row r="513" spans="1:3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5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</row>
    <row r="514" spans="1:3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5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</row>
    <row r="515" spans="1:3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5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</row>
    <row r="516" spans="1:3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5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</row>
    <row r="517" spans="1:3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5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</row>
    <row r="518" spans="1:3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5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</row>
    <row r="519" spans="1:3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5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</row>
    <row r="520" spans="1:3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5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</row>
    <row r="521" spans="1:3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5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</row>
    <row r="522" spans="1:3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5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</row>
    <row r="523" spans="1:3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5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</row>
    <row r="524" spans="1:3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5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</row>
    <row r="525" spans="1:3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5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</row>
    <row r="526" spans="1:3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5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</row>
    <row r="527" spans="1:3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5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</row>
    <row r="528" spans="1:3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5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</row>
    <row r="529" spans="1:3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5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</row>
    <row r="530" spans="1:3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5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</row>
    <row r="531" spans="1:3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5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</row>
    <row r="532" spans="1:3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5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</row>
    <row r="533" spans="1:3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5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</row>
    <row r="534" spans="1:3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5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</row>
    <row r="535" spans="1:3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5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</row>
    <row r="536" spans="1:3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5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</row>
    <row r="537" spans="1:3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5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</row>
    <row r="538" spans="1:3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5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</row>
    <row r="539" spans="1:3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5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</row>
    <row r="540" spans="1:3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5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</row>
    <row r="541" spans="1:3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5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</row>
    <row r="542" spans="1:3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5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</row>
    <row r="543" spans="1:3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5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</row>
    <row r="544" spans="1:3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5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</row>
    <row r="545" spans="1:3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5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</row>
    <row r="546" spans="1:3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5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</row>
    <row r="547" spans="1:3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5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</row>
    <row r="548" spans="1:3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5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</row>
    <row r="549" spans="1:3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5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</row>
    <row r="550" spans="1:3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5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</row>
    <row r="551" spans="1:3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5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</row>
    <row r="552" spans="1:3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5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</row>
    <row r="553" spans="1:3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5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</row>
    <row r="554" spans="1:3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5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</row>
    <row r="555" spans="1:3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5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</row>
    <row r="556" spans="1:3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5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</row>
    <row r="557" spans="1:3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5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</row>
    <row r="558" spans="1:3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5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</row>
    <row r="559" spans="1:3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5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</row>
    <row r="560" spans="1:3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5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</row>
    <row r="561" spans="1:3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5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</row>
    <row r="562" spans="1:3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5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</row>
    <row r="563" spans="1:3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5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</row>
    <row r="564" spans="1:3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5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</row>
    <row r="565" spans="1:3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5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</row>
    <row r="566" spans="1:3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5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</row>
    <row r="567" spans="1:3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5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</row>
    <row r="568" spans="1:3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5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</row>
    <row r="569" spans="1:3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5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</row>
    <row r="570" spans="1:3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5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</row>
    <row r="571" spans="1:3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5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</row>
    <row r="572" spans="1:3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5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</row>
    <row r="573" spans="1:3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5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</row>
    <row r="574" spans="1:3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5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</row>
    <row r="575" spans="1:3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5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</row>
    <row r="576" spans="1:3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5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</row>
    <row r="577" spans="1:3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5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</row>
    <row r="578" spans="1:3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5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</row>
    <row r="579" spans="1:3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5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</row>
    <row r="580" spans="1:3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5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</row>
    <row r="581" spans="1:3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5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</row>
    <row r="582" spans="1:3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5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</row>
    <row r="583" spans="1:3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5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</row>
    <row r="584" spans="1:3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5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</row>
    <row r="585" spans="1:3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5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</row>
    <row r="586" spans="1:3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5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</row>
    <row r="587" spans="1:3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5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</row>
    <row r="588" spans="1:3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5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</row>
    <row r="589" spans="1:3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5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</row>
    <row r="590" spans="1:3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5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</row>
    <row r="591" spans="1:3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5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</row>
    <row r="592" spans="1:3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5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</row>
    <row r="593" spans="1:3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5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</row>
    <row r="594" spans="1:3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5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</row>
    <row r="595" spans="1:3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5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</row>
    <row r="596" spans="1:3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5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</row>
    <row r="597" spans="1:3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5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</row>
    <row r="598" spans="1:3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5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</row>
    <row r="599" spans="1:3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5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</row>
    <row r="600" spans="1:3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5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</row>
    <row r="601" spans="1:3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5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</row>
    <row r="602" spans="1:3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5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</row>
    <row r="603" spans="1:3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5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</row>
    <row r="604" spans="1:3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5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</row>
    <row r="605" spans="1:3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5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</row>
    <row r="606" spans="1:3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5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</row>
    <row r="607" spans="1:3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5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</row>
    <row r="608" spans="1:3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5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</row>
    <row r="609" spans="1:3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5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</row>
    <row r="610" spans="1:3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5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</row>
    <row r="611" spans="1:3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5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</row>
    <row r="612" spans="1:3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5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</row>
    <row r="613" spans="1:3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5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</row>
    <row r="614" spans="1:3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5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</row>
    <row r="615" spans="1:3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5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</row>
    <row r="616" spans="1:3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5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</row>
    <row r="617" spans="1:3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5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</row>
    <row r="618" spans="1:3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5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</row>
    <row r="619" spans="1:3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5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</row>
    <row r="620" spans="1:3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5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</row>
    <row r="621" spans="1:3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5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</row>
    <row r="622" spans="1:3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5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</row>
    <row r="623" spans="1:3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5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</row>
    <row r="624" spans="1:3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5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</row>
    <row r="625" spans="1:3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5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</row>
    <row r="626" spans="1:3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5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</row>
    <row r="627" spans="1:3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5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</row>
    <row r="628" spans="1:3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5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</row>
    <row r="629" spans="1:3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5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</row>
    <row r="630" spans="1:3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5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</row>
    <row r="631" spans="1:3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5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</row>
    <row r="632" spans="1:3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5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</row>
    <row r="633" spans="1:3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5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116"/>
    </row>
    <row r="634" spans="1:3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5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116"/>
    </row>
    <row r="635" spans="1:3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5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116"/>
    </row>
    <row r="636" spans="1:3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5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116"/>
    </row>
    <row r="637" spans="1:3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5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116"/>
    </row>
    <row r="638" spans="1:3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5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</row>
    <row r="639" spans="1:3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5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116"/>
    </row>
    <row r="640" spans="1:3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5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</row>
    <row r="641" spans="1:3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5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</row>
    <row r="642" spans="1:3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5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116"/>
    </row>
    <row r="643" spans="1:3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5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</row>
    <row r="644" spans="1:3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5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</row>
    <row r="645" spans="1:3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5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116"/>
    </row>
    <row r="646" spans="1:3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5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116"/>
    </row>
    <row r="647" spans="1:3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5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</row>
    <row r="648" spans="1:3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5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</row>
    <row r="649" spans="1:3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5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116"/>
    </row>
    <row r="650" spans="1:3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5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6"/>
    </row>
    <row r="651" spans="1:3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5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116"/>
    </row>
    <row r="652" spans="1:3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5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</row>
    <row r="653" spans="1:3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5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116"/>
    </row>
    <row r="654" spans="1:3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5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116"/>
    </row>
    <row r="655" spans="1:3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5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116"/>
    </row>
    <row r="656" spans="1:3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5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</row>
    <row r="657" spans="1:3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5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</row>
    <row r="658" spans="1:3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5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116"/>
    </row>
    <row r="659" spans="1:3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5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116"/>
    </row>
    <row r="660" spans="1:3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5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116"/>
    </row>
    <row r="661" spans="1:3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5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</row>
    <row r="662" spans="1:3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5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116"/>
    </row>
    <row r="663" spans="1:3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5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116"/>
    </row>
    <row r="664" spans="1:3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5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116"/>
    </row>
    <row r="665" spans="1:3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5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116"/>
    </row>
    <row r="666" spans="1:3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5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116"/>
    </row>
    <row r="667" spans="1:3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5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</row>
    <row r="668" spans="1:3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5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</row>
    <row r="669" spans="1:3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5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116"/>
    </row>
    <row r="670" spans="1:3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5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116"/>
    </row>
    <row r="671" spans="1:3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5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116"/>
    </row>
    <row r="672" spans="1:3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5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116"/>
    </row>
    <row r="673" spans="1:3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5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</row>
    <row r="674" spans="1:3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5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</row>
    <row r="675" spans="1:3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5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116"/>
    </row>
    <row r="676" spans="1:3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5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116"/>
    </row>
    <row r="677" spans="1:3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5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116"/>
    </row>
    <row r="678" spans="1:3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5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116"/>
    </row>
    <row r="679" spans="1:3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5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116"/>
    </row>
    <row r="680" spans="1:3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5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116"/>
    </row>
    <row r="681" spans="1:3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5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</row>
    <row r="682" spans="1:3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5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</row>
    <row r="683" spans="1:3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5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116"/>
    </row>
    <row r="684" spans="1:3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5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</row>
    <row r="685" spans="1:3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5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</row>
    <row r="686" spans="1:3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5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</row>
    <row r="687" spans="1:3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5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</row>
    <row r="688" spans="1:3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5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</row>
    <row r="689" spans="1:3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5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</row>
    <row r="690" spans="1:3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5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</row>
    <row r="691" spans="1:3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5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</row>
    <row r="692" spans="1:3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5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116"/>
    </row>
    <row r="693" spans="1:3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5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</row>
    <row r="694" spans="1:3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5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</row>
    <row r="695" spans="1:3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5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</row>
    <row r="696" spans="1:3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5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</row>
    <row r="697" spans="1:3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5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</row>
    <row r="698" spans="1:3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5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</row>
    <row r="699" spans="1:3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5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</row>
    <row r="700" spans="1:3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5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</row>
    <row r="701" spans="1:3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5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</row>
    <row r="702" spans="1:3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5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</row>
    <row r="703" spans="1:3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5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</row>
    <row r="704" spans="1:3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5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116"/>
    </row>
    <row r="705" spans="1:3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5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116"/>
    </row>
    <row r="706" spans="1:3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5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116"/>
    </row>
    <row r="707" spans="1:3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5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</row>
    <row r="708" spans="1:3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5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</row>
    <row r="709" spans="1:3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5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</row>
    <row r="710" spans="1:3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5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</row>
    <row r="711" spans="1:3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5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</row>
    <row r="712" spans="1:3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5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</row>
    <row r="713" spans="1:3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5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</row>
    <row r="714" spans="1:3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5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</row>
    <row r="715" spans="1:3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5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</row>
    <row r="716" spans="1:3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5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</row>
    <row r="717" spans="1:3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5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</row>
    <row r="718" spans="1:3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5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</row>
    <row r="719" spans="1:3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5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</row>
    <row r="720" spans="1:3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5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</row>
    <row r="721" spans="1:3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5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</row>
    <row r="722" spans="1:3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5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</row>
    <row r="723" spans="1:3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5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</row>
    <row r="724" spans="1:3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5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</row>
    <row r="725" spans="1:3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5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</row>
    <row r="726" spans="1:3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5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</row>
    <row r="727" spans="1:3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5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</row>
    <row r="728" spans="1:3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5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</row>
    <row r="729" spans="1:3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5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</row>
    <row r="730" spans="1:3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5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</row>
    <row r="731" spans="1:3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5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</row>
    <row r="732" spans="1:3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5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</row>
    <row r="733" spans="1:3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5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</row>
    <row r="734" spans="1:3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5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</row>
    <row r="735" spans="1:3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5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</row>
    <row r="736" spans="1:3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5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</row>
    <row r="737" spans="1:3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5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</row>
    <row r="738" spans="1:3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5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</row>
    <row r="739" spans="1:3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5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</row>
    <row r="740" spans="1:3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5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</row>
    <row r="741" spans="1:3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5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</row>
    <row r="742" spans="1:3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5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</row>
    <row r="743" spans="1:3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5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</row>
    <row r="744" spans="1:3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5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</row>
    <row r="745" spans="1:3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5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</row>
    <row r="746" spans="1:3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5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</row>
    <row r="747" spans="1:3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5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</row>
    <row r="748" spans="1:3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5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</row>
    <row r="749" spans="1:3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5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116"/>
    </row>
    <row r="750" spans="1:3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5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116"/>
    </row>
    <row r="751" spans="1:3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5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</row>
    <row r="752" spans="1:3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5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</row>
    <row r="753" spans="1:3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5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</row>
    <row r="754" spans="1:3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5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</row>
    <row r="755" spans="1:3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5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</row>
    <row r="756" spans="1:3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5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</row>
    <row r="757" spans="1:3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5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</row>
    <row r="758" spans="1:3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5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</row>
    <row r="759" spans="1:3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5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116"/>
    </row>
    <row r="760" spans="1:3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5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116"/>
    </row>
    <row r="761" spans="1:3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5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116"/>
    </row>
    <row r="762" spans="1:3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5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116"/>
    </row>
    <row r="763" spans="1:3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5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</row>
    <row r="764" spans="1:3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5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</row>
    <row r="765" spans="1:3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5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116"/>
    </row>
    <row r="766" spans="1:3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5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116"/>
    </row>
    <row r="767" spans="1:3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5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116"/>
    </row>
    <row r="768" spans="1:3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5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116"/>
    </row>
    <row r="769" spans="1:3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5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116"/>
    </row>
    <row r="770" spans="1:3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5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116"/>
    </row>
    <row r="771" spans="1:3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5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</row>
    <row r="772" spans="1:3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5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116"/>
    </row>
    <row r="773" spans="1:3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5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116"/>
    </row>
    <row r="774" spans="1:3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5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116"/>
    </row>
    <row r="775" spans="1:3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5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116"/>
    </row>
    <row r="776" spans="1:3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5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116"/>
    </row>
    <row r="777" spans="1:3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5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116"/>
    </row>
    <row r="778" spans="1:3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5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116"/>
    </row>
    <row r="779" spans="1:3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5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16"/>
    </row>
    <row r="780" spans="1:3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5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116"/>
    </row>
    <row r="781" spans="1:3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5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116"/>
    </row>
    <row r="782" spans="1:3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5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116"/>
    </row>
    <row r="783" spans="1:3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5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116"/>
    </row>
    <row r="784" spans="1:3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5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</row>
    <row r="785" spans="1:3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5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</row>
    <row r="786" spans="1:3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5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6"/>
    </row>
    <row r="787" spans="1:3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5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116"/>
    </row>
    <row r="788" spans="1:3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5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116"/>
    </row>
    <row r="789" spans="1:3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5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116"/>
    </row>
    <row r="790" spans="1:3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5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</row>
    <row r="791" spans="1:3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5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</row>
    <row r="792" spans="1:3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5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116"/>
    </row>
    <row r="793" spans="1:3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5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116"/>
    </row>
    <row r="794" spans="1:3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5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116"/>
    </row>
    <row r="795" spans="1:3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5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116"/>
    </row>
    <row r="796" spans="1:3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5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116"/>
    </row>
    <row r="797" spans="1:3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5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</row>
    <row r="798" spans="1:3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5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116"/>
    </row>
    <row r="799" spans="1:3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5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</row>
    <row r="800" spans="1:3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5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116"/>
    </row>
    <row r="801" spans="1:3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5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</row>
    <row r="802" spans="1:3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5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116"/>
    </row>
    <row r="803" spans="1:3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5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116"/>
    </row>
    <row r="804" spans="1:3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5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116"/>
    </row>
    <row r="805" spans="1:3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5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116"/>
    </row>
    <row r="806" spans="1:3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5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116"/>
    </row>
    <row r="807" spans="1:3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5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116"/>
    </row>
    <row r="808" spans="1:3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5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116"/>
    </row>
    <row r="809" spans="1:3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5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</row>
    <row r="810" spans="1:3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5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116"/>
    </row>
    <row r="811" spans="1:3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5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116"/>
    </row>
    <row r="812" spans="1:3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5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116"/>
    </row>
    <row r="813" spans="1:3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5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116"/>
    </row>
    <row r="814" spans="1:3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5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116"/>
    </row>
    <row r="815" spans="1:3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5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116"/>
    </row>
    <row r="816" spans="1:3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5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116"/>
    </row>
    <row r="817" spans="1:3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5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116"/>
    </row>
    <row r="818" spans="1:3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5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116"/>
    </row>
    <row r="819" spans="1:3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5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116"/>
    </row>
    <row r="820" spans="1:3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5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116"/>
    </row>
    <row r="821" spans="1:3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5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116"/>
    </row>
    <row r="822" spans="1:3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5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116"/>
    </row>
    <row r="823" spans="1:3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5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116"/>
    </row>
    <row r="824" spans="1:3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5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116"/>
    </row>
    <row r="825" spans="1:3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5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116"/>
    </row>
    <row r="826" spans="1:3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5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116"/>
    </row>
    <row r="827" spans="1:3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5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116"/>
    </row>
    <row r="828" spans="1:3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5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116"/>
    </row>
    <row r="829" spans="1:3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5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</row>
    <row r="830" spans="1:3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5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116"/>
    </row>
    <row r="831" spans="1:3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5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</row>
    <row r="832" spans="1:3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5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116"/>
    </row>
    <row r="833" spans="1:3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5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116"/>
    </row>
    <row r="834" spans="1:3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5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116"/>
    </row>
    <row r="835" spans="1:3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5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116"/>
    </row>
    <row r="836" spans="1:3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5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116"/>
    </row>
    <row r="837" spans="1:3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5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116"/>
    </row>
    <row r="838" spans="1:3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5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116"/>
    </row>
    <row r="839" spans="1:3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5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116"/>
    </row>
    <row r="840" spans="1:3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5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116"/>
    </row>
    <row r="841" spans="1:3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5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116"/>
    </row>
    <row r="842" spans="1:3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5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116"/>
    </row>
    <row r="843" spans="1:3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5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116"/>
    </row>
    <row r="844" spans="1:3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5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116"/>
    </row>
    <row r="845" spans="1:3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5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116"/>
    </row>
    <row r="846" spans="1:3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5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116"/>
    </row>
    <row r="847" spans="1:3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5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116"/>
    </row>
    <row r="848" spans="1:3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5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</row>
    <row r="849" spans="1:3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5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116"/>
    </row>
    <row r="850" spans="1:3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5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116"/>
    </row>
    <row r="851" spans="1:3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5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116"/>
    </row>
    <row r="852" spans="1:3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5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116"/>
    </row>
    <row r="853" spans="1:3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5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116"/>
    </row>
    <row r="854" spans="1:3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5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116"/>
    </row>
    <row r="855" spans="1:3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5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116"/>
    </row>
    <row r="856" spans="1:3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5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116"/>
    </row>
    <row r="857" spans="1:3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5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116"/>
    </row>
    <row r="858" spans="1:3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5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116"/>
    </row>
    <row r="859" spans="1:3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5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116"/>
    </row>
    <row r="860" spans="1:3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5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116"/>
    </row>
    <row r="861" spans="1:3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5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</row>
    <row r="862" spans="1:3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5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116"/>
    </row>
    <row r="863" spans="1:3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5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116"/>
    </row>
    <row r="864" spans="1:3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5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116"/>
    </row>
    <row r="865" spans="1:3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5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</row>
    <row r="866" spans="1:3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5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116"/>
    </row>
    <row r="867" spans="1:3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5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116"/>
    </row>
    <row r="868" spans="1:3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5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116"/>
    </row>
    <row r="869" spans="1:3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5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116"/>
    </row>
    <row r="870" spans="1:3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5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116"/>
    </row>
    <row r="871" spans="1:3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5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</row>
    <row r="872" spans="1:3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5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116"/>
    </row>
    <row r="873" spans="1:3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5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116"/>
    </row>
    <row r="874" spans="1:3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5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116"/>
    </row>
    <row r="875" spans="1:3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5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116"/>
    </row>
    <row r="876" spans="1:3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5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6"/>
    </row>
    <row r="877" spans="1:3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5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</row>
    <row r="878" spans="1:3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5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</row>
    <row r="879" spans="1:3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5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</row>
    <row r="880" spans="1:3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5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</row>
    <row r="881" spans="1:3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5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</row>
    <row r="882" spans="1:3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5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</row>
    <row r="883" spans="1:3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5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</row>
    <row r="884" spans="1:3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5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</row>
    <row r="885" spans="1:3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5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</row>
    <row r="886" spans="1:3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5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</row>
    <row r="887" spans="1:3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5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</row>
    <row r="888" spans="1:3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5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</row>
    <row r="889" spans="1:3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5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</row>
    <row r="890" spans="1:3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5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</row>
    <row r="891" spans="1:3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5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</row>
    <row r="892" spans="1:3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5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</row>
    <row r="893" spans="1:3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5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</row>
    <row r="894" spans="1:3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5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</row>
    <row r="895" spans="1:3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5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</row>
    <row r="896" spans="1:3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5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</row>
    <row r="897" spans="1:3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5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</row>
    <row r="898" spans="1:3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5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</row>
    <row r="899" spans="1:3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5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</row>
    <row r="900" spans="1:3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5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</row>
    <row r="901" spans="1:3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5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</row>
    <row r="902" spans="1:3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5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</row>
    <row r="903" spans="1:3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5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</row>
    <row r="904" spans="1:3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5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</row>
    <row r="905" spans="1:3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5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</row>
    <row r="906" spans="1:3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5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</row>
    <row r="907" spans="1:3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5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</row>
    <row r="908" spans="1:3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5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</row>
    <row r="909" spans="1:3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5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</row>
    <row r="910" spans="1:3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5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</row>
    <row r="911" spans="1:3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5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</row>
    <row r="912" spans="1:3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5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</row>
    <row r="913" spans="1:3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5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</row>
    <row r="914" spans="1:3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5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</row>
    <row r="915" spans="1:3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5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</row>
    <row r="916" spans="1:3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5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</row>
    <row r="917" spans="1:3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5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</row>
    <row r="918" spans="1:3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5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</row>
    <row r="919" spans="1:3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5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</row>
    <row r="920" spans="1:3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5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</row>
    <row r="921" spans="1:3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5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</row>
    <row r="922" spans="1:3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5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</row>
    <row r="923" spans="1:3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5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</row>
    <row r="924" spans="1:3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5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</row>
    <row r="925" spans="1:3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5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</row>
    <row r="926" spans="1:3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5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</row>
    <row r="927" spans="1:3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5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</row>
    <row r="928" spans="1:3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5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</row>
    <row r="929" spans="1:3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5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</row>
    <row r="930" spans="1:3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5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</row>
    <row r="931" spans="1:3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5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</row>
    <row r="932" spans="1:3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5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</row>
    <row r="933" spans="1:3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5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</row>
    <row r="934" spans="1:3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5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</row>
    <row r="935" spans="1:3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5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</row>
    <row r="936" spans="1:3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5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</row>
    <row r="937" spans="1:3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5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</row>
    <row r="938" spans="1:3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5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</row>
    <row r="939" spans="1:3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5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</row>
    <row r="940" spans="1:3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5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</row>
    <row r="941" spans="1:3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5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</row>
    <row r="942" spans="1:3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5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</row>
    <row r="943" spans="1:3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5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</row>
    <row r="944" spans="1:3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5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</row>
    <row r="945" spans="1:3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5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</row>
    <row r="946" spans="1:3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5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</row>
    <row r="947" spans="1:3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5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</row>
    <row r="948" spans="1:3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5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</row>
    <row r="949" spans="1:3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5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</row>
    <row r="950" spans="1:3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5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</row>
    <row r="951" spans="1:3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5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</row>
    <row r="952" spans="1:3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5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</row>
    <row r="953" spans="1:3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5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</row>
    <row r="954" spans="1:3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5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</row>
    <row r="955" spans="1:3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5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</row>
    <row r="956" spans="1:3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5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</row>
    <row r="957" spans="1:3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5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</row>
    <row r="958" spans="1:3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5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</row>
    <row r="959" spans="1:3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5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</row>
    <row r="960" spans="1:3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5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</row>
    <row r="961" spans="1:3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5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</row>
    <row r="962" spans="1:3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5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</row>
    <row r="963" spans="1:3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5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</row>
    <row r="964" spans="1:3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5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</row>
    <row r="965" spans="1:3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5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</row>
    <row r="966" spans="1:3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5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</row>
    <row r="967" spans="1:3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5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</row>
    <row r="968" spans="1:3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5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</row>
    <row r="969" spans="1:3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5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</row>
    <row r="970" spans="1:3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5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</row>
    <row r="971" spans="1:3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5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</row>
    <row r="972" spans="1:3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5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</row>
    <row r="973" spans="1:3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5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</row>
    <row r="974" spans="1:3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5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</row>
    <row r="975" spans="1:3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5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</row>
    <row r="976" spans="1:3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5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</row>
    <row r="977" spans="1:3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5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</row>
    <row r="978" spans="1:3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5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</row>
    <row r="979" spans="1:3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5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</row>
    <row r="980" spans="1:3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5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</row>
    <row r="981" spans="1:3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5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</row>
    <row r="982" spans="1:3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5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</row>
    <row r="983" spans="1:3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5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</row>
    <row r="984" spans="1:3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5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</row>
    <row r="985" spans="1:3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5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</row>
    <row r="986" spans="1:3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5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</row>
    <row r="987" spans="1:3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5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</row>
    <row r="988" spans="1:3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5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</row>
    <row r="989" spans="1:3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5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</row>
    <row r="990" spans="1:3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5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</row>
    <row r="991" spans="1:3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5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</row>
    <row r="992" spans="1:3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5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</row>
    <row r="993" spans="1:3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5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</row>
    <row r="994" spans="1:3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5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</row>
    <row r="995" spans="1:3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5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</row>
    <row r="996" spans="1:3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5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</row>
    <row r="997" spans="1:3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5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</row>
    <row r="998" spans="1:3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5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</row>
    <row r="999" spans="1:3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5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</row>
  </sheetData>
  <mergeCells count="31">
    <mergeCell ref="R4:R6"/>
    <mergeCell ref="J5:K5"/>
    <mergeCell ref="L5:N5"/>
    <mergeCell ref="O5:Q5"/>
    <mergeCell ref="AC5:AD5"/>
    <mergeCell ref="C2:AD2"/>
    <mergeCell ref="C3:Q3"/>
    <mergeCell ref="S3:AA3"/>
    <mergeCell ref="AB3:AD4"/>
    <mergeCell ref="C4:G4"/>
    <mergeCell ref="H4:I4"/>
    <mergeCell ref="Y4:AA4"/>
    <mergeCell ref="F5:F6"/>
    <mergeCell ref="G5:G6"/>
    <mergeCell ref="S4:U4"/>
    <mergeCell ref="V4:X4"/>
    <mergeCell ref="T5:U5"/>
    <mergeCell ref="W5:X5"/>
    <mergeCell ref="Z5:AA5"/>
    <mergeCell ref="J4:Q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7.5703125" customWidth="1"/>
    <col min="20" max="20" width="15.140625" bestFit="1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47" t="s">
        <v>1</v>
      </c>
      <c r="B2" s="407"/>
      <c r="C2" s="400" t="s">
        <v>165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2"/>
    </row>
    <row r="3" spans="1:20" ht="30" customHeight="1" x14ac:dyDescent="0.2">
      <c r="A3" s="416"/>
      <c r="B3" s="393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450" t="s">
        <v>166</v>
      </c>
      <c r="S3" s="406"/>
      <c r="T3" s="407"/>
    </row>
    <row r="4" spans="1:20" ht="30" customHeight="1" x14ac:dyDescent="0.2">
      <c r="A4" s="416"/>
      <c r="B4" s="393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417"/>
      <c r="S4" s="395"/>
      <c r="T4" s="396"/>
    </row>
    <row r="5" spans="1:20" ht="24" customHeight="1" x14ac:dyDescent="0.3">
      <c r="A5" s="416"/>
      <c r="B5" s="393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281" t="s">
        <v>21</v>
      </c>
      <c r="S5" s="399" t="s">
        <v>22</v>
      </c>
      <c r="T5" s="382"/>
    </row>
    <row r="6" spans="1:20" ht="41.25" customHeight="1" x14ac:dyDescent="0.2">
      <c r="A6" s="417"/>
      <c r="B6" s="39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">
      <c r="A7" s="448" t="s">
        <v>239</v>
      </c>
      <c r="B7" s="449"/>
      <c r="C7" s="283">
        <f t="shared" ref="C7:C116" ca="1" si="0">D7+G7</f>
        <v>5113000</v>
      </c>
      <c r="D7" s="284">
        <f t="shared" ref="D7:E7" ca="1" si="1">D8+D9+D12</f>
        <v>5113000</v>
      </c>
      <c r="E7" s="18">
        <f t="shared" ca="1" si="1"/>
        <v>2300900</v>
      </c>
      <c r="F7" s="19">
        <f ca="1">F8+F9</f>
        <v>2812100</v>
      </c>
      <c r="G7" s="20">
        <f t="shared" ref="G7:I7" ca="1" si="2">G8+G9+G12</f>
        <v>0</v>
      </c>
      <c r="H7" s="21">
        <f t="shared" ca="1" si="2"/>
        <v>5113000</v>
      </c>
      <c r="I7" s="21">
        <f t="shared" ca="1" si="2"/>
        <v>0</v>
      </c>
      <c r="J7" s="22">
        <f t="shared" ref="J7:J116" ca="1" si="3">L7+O7</f>
        <v>4649758.76</v>
      </c>
      <c r="K7" s="23">
        <f t="shared" ref="K7:K116" ca="1" si="4">IF(C7&gt;0,J7*100/C7,0)</f>
        <v>90.939932720516325</v>
      </c>
      <c r="L7" s="22">
        <f ca="1">L8+L9+L12</f>
        <v>4649758.76</v>
      </c>
      <c r="M7" s="24">
        <f t="shared" ref="M7:M116" ca="1" si="5">IF(D7&gt;0,L7*100/D7,0)</f>
        <v>90.939932720516325</v>
      </c>
      <c r="N7" s="24">
        <f t="shared" ref="N7:N116" ca="1" si="6">IF(H7&gt;0,L7*100/H7,0)</f>
        <v>90.939932720516325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500</v>
      </c>
      <c r="S7" s="27">
        <f t="shared" ca="1" si="9"/>
        <v>827</v>
      </c>
      <c r="T7" s="28">
        <f t="shared" ref="T7:T8" ca="1" si="10">IF(R7&gt;0,S7*100/R7,0)</f>
        <v>165.4</v>
      </c>
    </row>
    <row r="8" spans="1:20" ht="28.5" customHeight="1" x14ac:dyDescent="0.2">
      <c r="A8" s="29" t="s">
        <v>31</v>
      </c>
      <c r="B8" s="30"/>
      <c r="C8" s="31">
        <f t="shared" ca="1" si="0"/>
        <v>250000</v>
      </c>
      <c r="D8" s="32">
        <f t="shared" ref="D8:I8" ca="1" si="11">+D13+D31+D52+D74</f>
        <v>250000</v>
      </c>
      <c r="E8" s="33">
        <f t="shared" ca="1" si="11"/>
        <v>0</v>
      </c>
      <c r="F8" s="33">
        <f t="shared" ca="1" si="11"/>
        <v>250000</v>
      </c>
      <c r="G8" s="33">
        <f t="shared" ca="1" si="11"/>
        <v>0</v>
      </c>
      <c r="H8" s="33">
        <f t="shared" ca="1" si="11"/>
        <v>920620</v>
      </c>
      <c r="I8" s="33">
        <f t="shared" ca="1" si="11"/>
        <v>0</v>
      </c>
      <c r="J8" s="33">
        <f t="shared" ca="1" si="3"/>
        <v>775703.29</v>
      </c>
      <c r="K8" s="34">
        <f t="shared" ca="1" si="4"/>
        <v>310.281316</v>
      </c>
      <c r="L8" s="33">
        <f ca="1">+L13+L31+L52+L74</f>
        <v>775703.29</v>
      </c>
      <c r="M8" s="35">
        <f t="shared" ca="1" si="5"/>
        <v>310.281316</v>
      </c>
      <c r="N8" s="35">
        <f t="shared" ca="1" si="6"/>
        <v>84.258791901110115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12">+R13+R31+R52+R74</f>
        <v>500</v>
      </c>
      <c r="S8" s="33">
        <f t="shared" ca="1" si="12"/>
        <v>827</v>
      </c>
      <c r="T8" s="35">
        <f t="shared" ca="1" si="10"/>
        <v>165.4</v>
      </c>
    </row>
    <row r="9" spans="1:20" ht="28.5" customHeight="1" x14ac:dyDescent="0.2">
      <c r="A9" s="39" t="s">
        <v>240</v>
      </c>
      <c r="B9" s="40"/>
      <c r="C9" s="41">
        <f t="shared" ca="1" si="0"/>
        <v>4863000</v>
      </c>
      <c r="D9" s="42">
        <f t="shared" ref="D9:I9" ca="1" si="13">+D10+D11</f>
        <v>4863000</v>
      </c>
      <c r="E9" s="41">
        <f t="shared" ca="1" si="13"/>
        <v>2300900</v>
      </c>
      <c r="F9" s="41">
        <f t="shared" ca="1" si="13"/>
        <v>2562100</v>
      </c>
      <c r="G9" s="41">
        <f t="shared" ca="1" si="13"/>
        <v>0</v>
      </c>
      <c r="H9" s="41">
        <f t="shared" ca="1" si="13"/>
        <v>4192380</v>
      </c>
      <c r="I9" s="41">
        <f t="shared" ca="1" si="13"/>
        <v>0</v>
      </c>
      <c r="J9" s="41">
        <f t="shared" ca="1" si="3"/>
        <v>3874055.47</v>
      </c>
      <c r="K9" s="43">
        <f t="shared" ca="1" si="4"/>
        <v>79.663900267324692</v>
      </c>
      <c r="L9" s="41">
        <f ca="1">+L10+L11</f>
        <v>3874055.47</v>
      </c>
      <c r="M9" s="44">
        <f t="shared" ca="1" si="5"/>
        <v>79.663900267324692</v>
      </c>
      <c r="N9" s="44">
        <f t="shared" ca="1" si="6"/>
        <v>92.40706877716238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3058200</v>
      </c>
      <c r="D10" s="42">
        <f t="shared" ref="D10:I10" ca="1" si="14">+D89</f>
        <v>3058200</v>
      </c>
      <c r="E10" s="41">
        <f t="shared" ca="1" si="14"/>
        <v>496100</v>
      </c>
      <c r="F10" s="41">
        <f t="shared" ca="1" si="14"/>
        <v>2562100</v>
      </c>
      <c r="G10" s="41">
        <f t="shared" ca="1" si="14"/>
        <v>0</v>
      </c>
      <c r="H10" s="41">
        <f t="shared" ca="1" si="14"/>
        <v>3002130</v>
      </c>
      <c r="I10" s="41">
        <f t="shared" ca="1" si="14"/>
        <v>0</v>
      </c>
      <c r="J10" s="41">
        <f t="shared" ca="1" si="3"/>
        <v>2683805.4700000002</v>
      </c>
      <c r="K10" s="43">
        <f t="shared" ca="1" si="4"/>
        <v>87.757683277745087</v>
      </c>
      <c r="L10" s="41">
        <f ca="1">+L89</f>
        <v>2683805.4700000002</v>
      </c>
      <c r="M10" s="44">
        <f t="shared" ca="1" si="5"/>
        <v>87.757683277745087</v>
      </c>
      <c r="N10" s="44">
        <f t="shared" ca="1" si="6"/>
        <v>89.39671066875853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1804800</v>
      </c>
      <c r="D11" s="42">
        <f t="shared" ref="D11:I11" ca="1" si="15">+D104</f>
        <v>1804800</v>
      </c>
      <c r="E11" s="41">
        <f t="shared" ca="1" si="15"/>
        <v>1804800</v>
      </c>
      <c r="F11" s="41">
        <f t="shared" ca="1" si="15"/>
        <v>0</v>
      </c>
      <c r="G11" s="41">
        <f t="shared" ca="1" si="15"/>
        <v>0</v>
      </c>
      <c r="H11" s="41">
        <f t="shared" ca="1" si="15"/>
        <v>1190250</v>
      </c>
      <c r="I11" s="41">
        <f t="shared" ca="1" si="15"/>
        <v>0</v>
      </c>
      <c r="J11" s="41">
        <f t="shared" ca="1" si="3"/>
        <v>1190250</v>
      </c>
      <c r="K11" s="43">
        <f t="shared" ca="1" si="4"/>
        <v>65.949135638297875</v>
      </c>
      <c r="L11" s="41">
        <f ca="1">+L104</f>
        <v>1190250</v>
      </c>
      <c r="M11" s="44">
        <f t="shared" ca="1" si="5"/>
        <v>65.949135638297875</v>
      </c>
      <c r="N11" s="44">
        <f t="shared" ca="1" si="6"/>
        <v>100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81" t="s">
        <v>35</v>
      </c>
      <c r="B13" s="382"/>
      <c r="C13" s="57">
        <f t="shared" ca="1" si="0"/>
        <v>90000</v>
      </c>
      <c r="D13" s="58">
        <f t="shared" ref="D13:I13" ca="1" si="17">SUM(D14:D30)</f>
        <v>90000</v>
      </c>
      <c r="E13" s="59">
        <f t="shared" ca="1" si="17"/>
        <v>0</v>
      </c>
      <c r="F13" s="59">
        <f t="shared" ca="1" si="17"/>
        <v>90000</v>
      </c>
      <c r="G13" s="59">
        <f t="shared" ca="1" si="17"/>
        <v>0</v>
      </c>
      <c r="H13" s="59">
        <f t="shared" ca="1" si="17"/>
        <v>393580</v>
      </c>
      <c r="I13" s="59">
        <f t="shared" ca="1" si="17"/>
        <v>0</v>
      </c>
      <c r="J13" s="59">
        <f t="shared" ca="1" si="3"/>
        <v>304002.79000000004</v>
      </c>
      <c r="K13" s="60">
        <f t="shared" ca="1" si="4"/>
        <v>337.78087777777785</v>
      </c>
      <c r="L13" s="59">
        <f ca="1">SUM(L14:L30)</f>
        <v>304002.79000000004</v>
      </c>
      <c r="M13" s="61">
        <f t="shared" ca="1" si="5"/>
        <v>337.78087777777785</v>
      </c>
      <c r="N13" s="61">
        <f t="shared" ca="1" si="6"/>
        <v>77.240406016565885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180</v>
      </c>
      <c r="S13" s="59">
        <f t="shared" ca="1" si="19"/>
        <v>503</v>
      </c>
      <c r="T13" s="61">
        <f t="shared" ca="1" si="16"/>
        <v>279.44444444444446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20">+E14+F14</f>
        <v>0</v>
      </c>
      <c r="E14" s="67">
        <f ca="1">IFERROR(__xludf.DUMMYFUNCTION("IMPORTRANGE(""https://docs.google.com/spreadsheets/d/1MeEWN-I1oV_STSDYn1IFDPWt_1FKiwhDph83XaGc0o0/edit?usp=sharing"",""งบพรบ!BV14"")"),0)</f>
        <v>0</v>
      </c>
      <c r="F14" s="67">
        <f ca="1">IFERROR(__xludf.DUMMYFUNCTION("IMPORTRANGE(""https://docs.google.com/spreadsheets/d/1MeEWN-I1oV_STSDYn1IFDPWt_1FKiwhDph83XaGc0o0/edit?usp=sharing"",""งบพรบ!BW14"")"),0)</f>
        <v>0</v>
      </c>
      <c r="G14" s="68">
        <f ca="1">IFERROR(__xludf.DUMMYFUNCTION("IMPORTRANGE(""https://docs.google.com/spreadsheets/d/1MeEWN-I1oV_STSDYn1IFDPWt_1FKiwhDph83XaGc0o0/edit?usp=sharing"",""งบพรบ!BX14"")"),0)</f>
        <v>0</v>
      </c>
      <c r="H14" s="68">
        <f ca="1">IFERROR(__xludf.DUMMYFUNCTION("IMPORTRANGE(""https://docs.google.com/spreadsheets/d/1MeEWN-I1oV_STSDYn1IFDPWt_1FKiwhDph83XaGc0o0/edit?usp=sharing"",""งบพรบ!BZ14"")"),0)</f>
        <v>0</v>
      </c>
      <c r="I14" s="68">
        <f ca="1">IFERROR(__xludf.DUMMYFUNCTION("IMPORTRANGE(""https://docs.google.com/spreadsheets/d/1MeEWN-I1oV_STSDYn1IFDPWt_1FKiwhDph83XaGc0o0/edit?usp=sharing"",""งบพรบ!CA14"")"),0)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IFERROR(__xludf.DUMMYFUNCTION("IMPORTRANGE(""https://docs.google.com/spreadsheets/d/1MeEWN-I1oV_STSDYn1IFDPWt_1FKiwhDph83XaGc0o0/edit?usp=sharing"",""งบพรบ!CB14"")"),0)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IFERROR(__xludf.DUMMYFUNCTION("IMPORTRANGE(""https://docs.google.com/spreadsheets/d/1MeEWN-I1oV_STSDYn1IFDPWt_1FKiwhDph83XaGc0o0/edit?usp=sharing"",""งบพรบ!CC14"")"),0)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IFERROR(__xludf.DUMMYFUNCTION("IMPORTRANGE(""https://docs.google.com/spreadsheets/d/1KxicF4apzSqm0-jIpmueT4kyZtE-Cwn5zskl7GD4loQ/edit?usp=sharing"",""กำแพงเพชร!I159"")"),0)</f>
        <v>0</v>
      </c>
      <c r="S14" s="68">
        <f ca="1">IFERROR(__xludf.DUMMYFUNCTION("IMPORTRANGE(""https://docs.google.com/spreadsheets/d/1KxicF4apzSqm0-jIpmueT4kyZtE-Cwn5zskl7GD4loQ/edit?usp=sharing"",""กำแพงเพชร!J159"")"),0)</f>
        <v>0</v>
      </c>
      <c r="T14" s="72">
        <f t="shared" ca="1" si="16"/>
        <v>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10000</v>
      </c>
      <c r="D15" s="76">
        <f t="shared" ca="1" si="20"/>
        <v>10000</v>
      </c>
      <c r="E15" s="77">
        <f ca="1">IFERROR(__xludf.DUMMYFUNCTION("IMPORTRANGE(""https://docs.google.com/spreadsheets/d/1MeEWN-I1oV_STSDYn1IFDPWt_1FKiwhDph83XaGc0o0/edit?usp=sharing"",""งบพรบ!BV15"")"),0)</f>
        <v>0</v>
      </c>
      <c r="F15" s="77">
        <f ca="1">IFERROR(__xludf.DUMMYFUNCTION("IMPORTRANGE(""https://docs.google.com/spreadsheets/d/1MeEWN-I1oV_STSDYn1IFDPWt_1FKiwhDph83XaGc0o0/edit?usp=sharing"",""งบพรบ!BW15"")"),10000)</f>
        <v>10000</v>
      </c>
      <c r="G15" s="77">
        <f ca="1">IFERROR(__xludf.DUMMYFUNCTION("IMPORTRANGE(""https://docs.google.com/spreadsheets/d/1MeEWN-I1oV_STSDYn1IFDPWt_1FKiwhDph83XaGc0o0/edit?usp=sharing"",""งบพรบ!BX15"")"),0)</f>
        <v>0</v>
      </c>
      <c r="H15" s="77">
        <f ca="1">IFERROR(__xludf.DUMMYFUNCTION("IMPORTRANGE(""https://docs.google.com/spreadsheets/d/1MeEWN-I1oV_STSDYn1IFDPWt_1FKiwhDph83XaGc0o0/edit?usp=sharing"",""งบพรบ!BZ15"")"),10000)</f>
        <v>10000</v>
      </c>
      <c r="I15" s="77">
        <f ca="1">IFERROR(__xludf.DUMMYFUNCTION("IMPORTRANGE(""https://docs.google.com/spreadsheets/d/1MeEWN-I1oV_STSDYn1IFDPWt_1FKiwhDph83XaGc0o0/edit?usp=sharing"",""งบพรบ!CA15"")"),0)</f>
        <v>0</v>
      </c>
      <c r="J15" s="77">
        <f t="shared" ca="1" si="3"/>
        <v>7320</v>
      </c>
      <c r="K15" s="78">
        <f t="shared" ca="1" si="4"/>
        <v>73.2</v>
      </c>
      <c r="L15" s="77">
        <f ca="1">IFERROR(__xludf.DUMMYFUNCTION("IMPORTRANGE(""https://docs.google.com/spreadsheets/d/1MeEWN-I1oV_STSDYn1IFDPWt_1FKiwhDph83XaGc0o0/edit?usp=sharing"",""งบพรบ!CB15"")"),7320)</f>
        <v>7320</v>
      </c>
      <c r="M15" s="79">
        <f t="shared" ca="1" si="5"/>
        <v>73.2</v>
      </c>
      <c r="N15" s="79">
        <f t="shared" ca="1" si="6"/>
        <v>73.2</v>
      </c>
      <c r="O15" s="80">
        <f ca="1">IFERROR(__xludf.DUMMYFUNCTION("IMPORTRANGE(""https://docs.google.com/spreadsheets/d/1MeEWN-I1oV_STSDYn1IFDPWt_1FKiwhDph83XaGc0o0/edit?usp=sharing"",""งบพรบ!CC15"")"),0)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IFERROR(__xludf.DUMMYFUNCTION("IMPORTRANGE(""https://docs.google.com/spreadsheets/d/1ZNYWeiFoFA1K1U4xKWqRX29MBvEyRHXORjo734Gnq_c/edit?usp=sharing"",""เชียงราย!I159"")"),20)</f>
        <v>20</v>
      </c>
      <c r="S15" s="81">
        <f ca="1">IFERROR(__xludf.DUMMYFUNCTION("IMPORTRANGE(""https://docs.google.com/spreadsheets/d/1ZNYWeiFoFA1K1U4xKWqRX29MBvEyRHXORjo734Gnq_c/edit?usp=sharing"",""เชียงราย!J159"")"),20)</f>
        <v>20</v>
      </c>
      <c r="T15" s="82">
        <f t="shared" ca="1" si="16"/>
        <v>100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20"/>
        <v>0</v>
      </c>
      <c r="E16" s="77">
        <f ca="1">IFERROR(__xludf.DUMMYFUNCTION("IMPORTRANGE(""https://docs.google.com/spreadsheets/d/1MeEWN-I1oV_STSDYn1IFDPWt_1FKiwhDph83XaGc0o0/edit?usp=sharing"",""งบพรบ!BV16"")"),0)</f>
        <v>0</v>
      </c>
      <c r="F16" s="77">
        <f ca="1">IFERROR(__xludf.DUMMYFUNCTION("IMPORTRANGE(""https://docs.google.com/spreadsheets/d/1MeEWN-I1oV_STSDYn1IFDPWt_1FKiwhDph83XaGc0o0/edit?usp=sharing"",""งบพรบ!BW16"")"),0)</f>
        <v>0</v>
      </c>
      <c r="G16" s="77">
        <f ca="1">IFERROR(__xludf.DUMMYFUNCTION("IMPORTRANGE(""https://docs.google.com/spreadsheets/d/1MeEWN-I1oV_STSDYn1IFDPWt_1FKiwhDph83XaGc0o0/edit?usp=sharing"",""งบพรบ!BX16"")"),0)</f>
        <v>0</v>
      </c>
      <c r="H16" s="77">
        <f ca="1">IFERROR(__xludf.DUMMYFUNCTION("IMPORTRANGE(""https://docs.google.com/spreadsheets/d/1MeEWN-I1oV_STSDYn1IFDPWt_1FKiwhDph83XaGc0o0/edit?usp=sharing"",""งบพรบ!BZ16"")"),2000)</f>
        <v>2000</v>
      </c>
      <c r="I16" s="77">
        <f ca="1">IFERROR(__xludf.DUMMYFUNCTION("IMPORTRANGE(""https://docs.google.com/spreadsheets/d/1MeEWN-I1oV_STSDYn1IFDPWt_1FKiwhDph83XaGc0o0/edit?usp=sharing"",""งบพรบ!CA16"")"),0)</f>
        <v>0</v>
      </c>
      <c r="J16" s="77">
        <f t="shared" ca="1" si="3"/>
        <v>2000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IFERROR(__xludf.DUMMYFUNCTION("IMPORTRANGE(""https://docs.google.com/spreadsheets/d/1MeEWN-I1oV_STSDYn1IFDPWt_1FKiwhDph83XaGc0o0/edit?usp=sharing"",""งบพรบ!CB16"")"),2000)</f>
        <v>2000</v>
      </c>
      <c r="M16" s="79">
        <f t="shared" ca="1" si="5"/>
        <v>0</v>
      </c>
      <c r="N16" s="79">
        <f t="shared" ca="1" si="6"/>
        <v>100</v>
      </c>
      <c r="O16" s="80">
        <f ca="1">IFERROR(__xludf.DUMMYFUNCTION("IMPORTRANGE(""https://docs.google.com/spreadsheets/d/1MeEWN-I1oV_STSDYn1IFDPWt_1FKiwhDph83XaGc0o0/edit?usp=sharing"",""งบพรบ!CC16"")"),0)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IFERROR(__xludf.DUMMYFUNCTION("IMPORTRANGE(""https://docs.google.com/spreadsheets/d/1Jgv0Y7YlHDtsiDawwp-uvifEJ8HVaSn0k2aGHG8-hwM/edit?usp=sharing"",""เชียงใหม่!I159"")"),0)</f>
        <v>0</v>
      </c>
      <c r="S16" s="81">
        <f ca="1">IFERROR(__xludf.DUMMYFUNCTION("IMPORTRANGE(""https://docs.google.com/spreadsheets/d/1Jgv0Y7YlHDtsiDawwp-uvifEJ8HVaSn0k2aGHG8-hwM/edit?usp=sharing"",""เชียงใหม่!J159"")"),0)</f>
        <v>0</v>
      </c>
      <c r="T16" s="82">
        <f t="shared" ca="1" si="16"/>
        <v>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10000</v>
      </c>
      <c r="D17" s="76">
        <f t="shared" ca="1" si="20"/>
        <v>10000</v>
      </c>
      <c r="E17" s="77">
        <f ca="1">IFERROR(__xludf.DUMMYFUNCTION("IMPORTRANGE(""https://docs.google.com/spreadsheets/d/1MeEWN-I1oV_STSDYn1IFDPWt_1FKiwhDph83XaGc0o0/edit?usp=sharing"",""งบพรบ!BV17"")"),0)</f>
        <v>0</v>
      </c>
      <c r="F17" s="77">
        <f ca="1">IFERROR(__xludf.DUMMYFUNCTION("IMPORTRANGE(""https://docs.google.com/spreadsheets/d/1MeEWN-I1oV_STSDYn1IFDPWt_1FKiwhDph83XaGc0o0/edit?usp=sharing"",""งบพรบ!BW17"")"),10000)</f>
        <v>10000</v>
      </c>
      <c r="G17" s="77">
        <f ca="1">IFERROR(__xludf.DUMMYFUNCTION("IMPORTRANGE(""https://docs.google.com/spreadsheets/d/1MeEWN-I1oV_STSDYn1IFDPWt_1FKiwhDph83XaGc0o0/edit?usp=sharing"",""งบพรบ!BX17"")"),0)</f>
        <v>0</v>
      </c>
      <c r="H17" s="77">
        <f ca="1">IFERROR(__xludf.DUMMYFUNCTION("IMPORTRANGE(""https://docs.google.com/spreadsheets/d/1MeEWN-I1oV_STSDYn1IFDPWt_1FKiwhDph83XaGc0o0/edit?usp=sharing"",""งบพรบ!BZ17"")"),11360)</f>
        <v>11360</v>
      </c>
      <c r="I17" s="77">
        <f ca="1">IFERROR(__xludf.DUMMYFUNCTION("IMPORTRANGE(""https://docs.google.com/spreadsheets/d/1MeEWN-I1oV_STSDYn1IFDPWt_1FKiwhDph83XaGc0o0/edit?usp=sharing"",""งบพรบ!CA17"")"),0)</f>
        <v>0</v>
      </c>
      <c r="J17" s="77">
        <f t="shared" ca="1" si="3"/>
        <v>10652</v>
      </c>
      <c r="K17" s="78">
        <f t="shared" ca="1" si="4"/>
        <v>106.52</v>
      </c>
      <c r="L17" s="77">
        <f ca="1">IFERROR(__xludf.DUMMYFUNCTION("IMPORTRANGE(""https://docs.google.com/spreadsheets/d/1MeEWN-I1oV_STSDYn1IFDPWt_1FKiwhDph83XaGc0o0/edit?usp=sharing"",""งบพรบ!CB17"")"),10652)</f>
        <v>10652</v>
      </c>
      <c r="M17" s="79">
        <f t="shared" ca="1" si="5"/>
        <v>106.52</v>
      </c>
      <c r="N17" s="79">
        <f t="shared" ca="1" si="6"/>
        <v>93.767605633802816</v>
      </c>
      <c r="O17" s="80">
        <f ca="1">IFERROR(__xludf.DUMMYFUNCTION("IMPORTRANGE(""https://docs.google.com/spreadsheets/d/1MeEWN-I1oV_STSDYn1IFDPWt_1FKiwhDph83XaGc0o0/edit?usp=sharing"",""งบพรบ!CC17"")"),0)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IFERROR(__xludf.DUMMYFUNCTION("IMPORTRANGE(""https://docs.google.com/spreadsheets/d/1JWG2rZePOz9pe-f-ObA-yDr0VoOX2kSb0qIix2mTUo8/edit?usp=sharing"",""ตาก!I159"")"),20)</f>
        <v>20</v>
      </c>
      <c r="S17" s="81">
        <f ca="1">IFERROR(__xludf.DUMMYFUNCTION("IMPORTRANGE(""https://docs.google.com/spreadsheets/d/1JWG2rZePOz9pe-f-ObA-yDr0VoOX2kSb0qIix2mTUo8/edit?usp=sharing"",""ตาก!J159"")"),20)</f>
        <v>20</v>
      </c>
      <c r="T17" s="82">
        <f t="shared" ca="1" si="16"/>
        <v>100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10000</v>
      </c>
      <c r="D18" s="76">
        <f t="shared" ca="1" si="20"/>
        <v>10000</v>
      </c>
      <c r="E18" s="77">
        <f ca="1">IFERROR(__xludf.DUMMYFUNCTION("IMPORTRANGE(""https://docs.google.com/spreadsheets/d/1MeEWN-I1oV_STSDYn1IFDPWt_1FKiwhDph83XaGc0o0/edit?usp=sharing"",""งบพรบ!BV18"")"),0)</f>
        <v>0</v>
      </c>
      <c r="F18" s="77">
        <f ca="1">IFERROR(__xludf.DUMMYFUNCTION("IMPORTRANGE(""https://docs.google.com/spreadsheets/d/1MeEWN-I1oV_STSDYn1IFDPWt_1FKiwhDph83XaGc0o0/edit?usp=sharing"",""งบพรบ!BW18"")"),10000)</f>
        <v>10000</v>
      </c>
      <c r="G18" s="77">
        <f ca="1">IFERROR(__xludf.DUMMYFUNCTION("IMPORTRANGE(""https://docs.google.com/spreadsheets/d/1MeEWN-I1oV_STSDYn1IFDPWt_1FKiwhDph83XaGc0o0/edit?usp=sharing"",""งบพรบ!BX18"")"),0)</f>
        <v>0</v>
      </c>
      <c r="H18" s="77">
        <f ca="1">IFERROR(__xludf.DUMMYFUNCTION("IMPORTRANGE(""https://docs.google.com/spreadsheets/d/1MeEWN-I1oV_STSDYn1IFDPWt_1FKiwhDph83XaGc0o0/edit?usp=sharing"",""งบพรบ!BZ18"")"),27520)</f>
        <v>27520</v>
      </c>
      <c r="I18" s="77">
        <f ca="1">IFERROR(__xludf.DUMMYFUNCTION("IMPORTRANGE(""https://docs.google.com/spreadsheets/d/1MeEWN-I1oV_STSDYn1IFDPWt_1FKiwhDph83XaGc0o0/edit?usp=sharing"",""งบพรบ!CA18"")"),0)</f>
        <v>0</v>
      </c>
      <c r="J18" s="77">
        <f t="shared" ca="1" si="3"/>
        <v>23156</v>
      </c>
      <c r="K18" s="78">
        <f t="shared" ca="1" si="4"/>
        <v>231.56</v>
      </c>
      <c r="L18" s="77">
        <f ca="1">IFERROR(__xludf.DUMMYFUNCTION("IMPORTRANGE(""https://docs.google.com/spreadsheets/d/1MeEWN-I1oV_STSDYn1IFDPWt_1FKiwhDph83XaGc0o0/edit?usp=sharing"",""งบพรบ!CB18"")"),23156)</f>
        <v>23156</v>
      </c>
      <c r="M18" s="79">
        <f t="shared" ca="1" si="5"/>
        <v>231.56</v>
      </c>
      <c r="N18" s="79">
        <f t="shared" ca="1" si="6"/>
        <v>84.142441860465112</v>
      </c>
      <c r="O18" s="80">
        <f ca="1">IFERROR(__xludf.DUMMYFUNCTION("IMPORTRANGE(""https://docs.google.com/spreadsheets/d/1MeEWN-I1oV_STSDYn1IFDPWt_1FKiwhDph83XaGc0o0/edit?usp=sharing"",""งบพรบ!CC18"")"),0)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IFERROR(__xludf.DUMMYFUNCTION("IMPORTRANGE(""https://docs.google.com/spreadsheets/d/10nSRjK08hx8Y6HgSOQKNw81lyY46Zc7U_Cj72hBMp9U/edit?usp=sharing"",""นครสวรรค์!I159"")"),20)</f>
        <v>20</v>
      </c>
      <c r="S18" s="81">
        <f ca="1">IFERROR(__xludf.DUMMYFUNCTION("IMPORTRANGE(""https://docs.google.com/spreadsheets/d/10nSRjK08hx8Y6HgSOQKNw81lyY46Zc7U_Cj72hBMp9U/edit?usp=sharing"",""นครสวรรค์!J159"")"),43)</f>
        <v>43</v>
      </c>
      <c r="T18" s="82">
        <f t="shared" ca="1" si="16"/>
        <v>215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0</v>
      </c>
      <c r="D19" s="76">
        <f t="shared" ca="1" si="20"/>
        <v>0</v>
      </c>
      <c r="E19" s="77">
        <f ca="1">IFERROR(__xludf.DUMMYFUNCTION("IMPORTRANGE(""https://docs.google.com/spreadsheets/d/1MeEWN-I1oV_STSDYn1IFDPWt_1FKiwhDph83XaGc0o0/edit?usp=sharing"",""งบพรบ!BV19"")"),0)</f>
        <v>0</v>
      </c>
      <c r="F19" s="77">
        <f ca="1">IFERROR(__xludf.DUMMYFUNCTION("IMPORTRANGE(""https://docs.google.com/spreadsheets/d/1MeEWN-I1oV_STSDYn1IFDPWt_1FKiwhDph83XaGc0o0/edit?usp=sharing"",""งบพรบ!BW19"")"),0)</f>
        <v>0</v>
      </c>
      <c r="G19" s="77">
        <f ca="1">IFERROR(__xludf.DUMMYFUNCTION("IMPORTRANGE(""https://docs.google.com/spreadsheets/d/1MeEWN-I1oV_STSDYn1IFDPWt_1FKiwhDph83XaGc0o0/edit?usp=sharing"",""งบพรบ!BX19"")"),0)</f>
        <v>0</v>
      </c>
      <c r="H19" s="77">
        <f ca="1">IFERROR(__xludf.DUMMYFUNCTION("IMPORTRANGE(""https://docs.google.com/spreadsheets/d/1MeEWN-I1oV_STSDYn1IFDPWt_1FKiwhDph83XaGc0o0/edit?usp=sharing"",""งบพรบ!BZ19"")"),0)</f>
        <v>0</v>
      </c>
      <c r="I19" s="77">
        <f ca="1">IFERROR(__xludf.DUMMYFUNCTION("IMPORTRANGE(""https://docs.google.com/spreadsheets/d/1MeEWN-I1oV_STSDYn1IFDPWt_1FKiwhDph83XaGc0o0/edit?usp=sharing"",""งบพรบ!CA19"")"),0)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IFERROR(__xludf.DUMMYFUNCTION("IMPORTRANGE(""https://docs.google.com/spreadsheets/d/1MeEWN-I1oV_STSDYn1IFDPWt_1FKiwhDph83XaGc0o0/edit?usp=sharing"",""งบพรบ!CB19"")"),0)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IFERROR(__xludf.DUMMYFUNCTION("IMPORTRANGE(""https://docs.google.com/spreadsheets/d/1MeEWN-I1oV_STSDYn1IFDPWt_1FKiwhDph83XaGc0o0/edit?usp=sharing"",""งบพรบ!CC19"")"),0)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IFERROR(__xludf.DUMMYFUNCTION("IMPORTRANGE(""https://docs.google.com/spreadsheets/d/1gFVb7qd7amutrIxAAoM7lcy35hllxznovot8lyOfvDo/edit?usp=sharing"",""น่าน!I159"")"),0)</f>
        <v>0</v>
      </c>
      <c r="S19" s="81">
        <f ca="1">IFERROR(__xludf.DUMMYFUNCTION("IMPORTRANGE(""https://docs.google.com/spreadsheets/d/1gFVb7qd7amutrIxAAoM7lcy35hllxznovot8lyOfvDo/edit?usp=sharing"",""น่าน!J159"")"),0)</f>
        <v>0</v>
      </c>
      <c r="T19" s="82">
        <f t="shared" ca="1" si="16"/>
        <v>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10000</v>
      </c>
      <c r="D20" s="76">
        <f t="shared" ca="1" si="20"/>
        <v>10000</v>
      </c>
      <c r="E20" s="77">
        <f ca="1">IFERROR(__xludf.DUMMYFUNCTION("IMPORTRANGE(""https://docs.google.com/spreadsheets/d/1MeEWN-I1oV_STSDYn1IFDPWt_1FKiwhDph83XaGc0o0/edit?usp=sharing"",""งบพรบ!BV20"")"),0)</f>
        <v>0</v>
      </c>
      <c r="F20" s="77">
        <f ca="1">IFERROR(__xludf.DUMMYFUNCTION("IMPORTRANGE(""https://docs.google.com/spreadsheets/d/1MeEWN-I1oV_STSDYn1IFDPWt_1FKiwhDph83XaGc0o0/edit?usp=sharing"",""งบพรบ!BW20"")"),10000)</f>
        <v>10000</v>
      </c>
      <c r="G20" s="77">
        <f ca="1">IFERROR(__xludf.DUMMYFUNCTION("IMPORTRANGE(""https://docs.google.com/spreadsheets/d/1MeEWN-I1oV_STSDYn1IFDPWt_1FKiwhDph83XaGc0o0/edit?usp=sharing"",""งบพรบ!BX20"")"),0)</f>
        <v>0</v>
      </c>
      <c r="H20" s="77">
        <f ca="1">IFERROR(__xludf.DUMMYFUNCTION("IMPORTRANGE(""https://docs.google.com/spreadsheets/d/1MeEWN-I1oV_STSDYn1IFDPWt_1FKiwhDph83XaGc0o0/edit?usp=sharing"",""งบพรบ!BZ20"")"),12080)</f>
        <v>12080</v>
      </c>
      <c r="I20" s="77">
        <f ca="1">IFERROR(__xludf.DUMMYFUNCTION("IMPORTRANGE(""https://docs.google.com/spreadsheets/d/1MeEWN-I1oV_STSDYn1IFDPWt_1FKiwhDph83XaGc0o0/edit?usp=sharing"",""งบพรบ!CA20"")"),0)</f>
        <v>0</v>
      </c>
      <c r="J20" s="77">
        <f t="shared" ca="1" si="3"/>
        <v>8840</v>
      </c>
      <c r="K20" s="78">
        <f t="shared" ca="1" si="4"/>
        <v>88.4</v>
      </c>
      <c r="L20" s="77">
        <f ca="1">IFERROR(__xludf.DUMMYFUNCTION("IMPORTRANGE(""https://docs.google.com/spreadsheets/d/1MeEWN-I1oV_STSDYn1IFDPWt_1FKiwhDph83XaGc0o0/edit?usp=sharing"",""งบพรบ!CB20"")"),8840)</f>
        <v>8840</v>
      </c>
      <c r="M20" s="79">
        <f t="shared" ca="1" si="5"/>
        <v>88.4</v>
      </c>
      <c r="N20" s="79">
        <f t="shared" ca="1" si="6"/>
        <v>73.178807947019862</v>
      </c>
      <c r="O20" s="80">
        <f ca="1">IFERROR(__xludf.DUMMYFUNCTION("IMPORTRANGE(""https://docs.google.com/spreadsheets/d/1MeEWN-I1oV_STSDYn1IFDPWt_1FKiwhDph83XaGc0o0/edit?usp=sharing"",""งบพรบ!CC20"")"),0)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IFERROR(__xludf.DUMMYFUNCTION("IMPORTRANGE(""https://docs.google.com/spreadsheets/d/1K0Aa9s-6EuHE5M0FG1F9aHLXRCOV917xvycTdLdct0w/edit?usp=sharing"",""พะเยา!I159"")"),20)</f>
        <v>20</v>
      </c>
      <c r="S20" s="81">
        <f ca="1">IFERROR(__xludf.DUMMYFUNCTION("IMPORTRANGE(""https://docs.google.com/spreadsheets/d/1K0Aa9s-6EuHE5M0FG1F9aHLXRCOV917xvycTdLdct0w/edit?usp=sharing"",""พะเยา!J159"")"),20)</f>
        <v>20</v>
      </c>
      <c r="T20" s="82">
        <f t="shared" ca="1" si="16"/>
        <v>100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20"/>
        <v>0</v>
      </c>
      <c r="E21" s="77">
        <f ca="1">IFERROR(__xludf.DUMMYFUNCTION("IMPORTRANGE(""https://docs.google.com/spreadsheets/d/1MeEWN-I1oV_STSDYn1IFDPWt_1FKiwhDph83XaGc0o0/edit?usp=sharing"",""งบพรบ!BV21"")"),0)</f>
        <v>0</v>
      </c>
      <c r="F21" s="77">
        <f ca="1">IFERROR(__xludf.DUMMYFUNCTION("IMPORTRANGE(""https://docs.google.com/spreadsheets/d/1MeEWN-I1oV_STSDYn1IFDPWt_1FKiwhDph83XaGc0o0/edit?usp=sharing"",""งบพรบ!BW21"")"),0)</f>
        <v>0</v>
      </c>
      <c r="G21" s="77">
        <f ca="1">IFERROR(__xludf.DUMMYFUNCTION("IMPORTRANGE(""https://docs.google.com/spreadsheets/d/1MeEWN-I1oV_STSDYn1IFDPWt_1FKiwhDph83XaGc0o0/edit?usp=sharing"",""งบพรบ!BX21"")"),0)</f>
        <v>0</v>
      </c>
      <c r="H21" s="77">
        <f ca="1">IFERROR(__xludf.DUMMYFUNCTION("IMPORTRANGE(""https://docs.google.com/spreadsheets/d/1MeEWN-I1oV_STSDYn1IFDPWt_1FKiwhDph83XaGc0o0/edit?usp=sharing"",""งบพรบ!BZ21"")"),1600)</f>
        <v>1600</v>
      </c>
      <c r="I21" s="77">
        <f ca="1">IFERROR(__xludf.DUMMYFUNCTION("IMPORTRANGE(""https://docs.google.com/spreadsheets/d/1MeEWN-I1oV_STSDYn1IFDPWt_1FKiwhDph83XaGc0o0/edit?usp=sharing"",""งบพรบ!CA21"")"),0)</f>
        <v>0</v>
      </c>
      <c r="J21" s="77">
        <f t="shared" ca="1" si="3"/>
        <v>1600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IFERROR(__xludf.DUMMYFUNCTION("IMPORTRANGE(""https://docs.google.com/spreadsheets/d/1MeEWN-I1oV_STSDYn1IFDPWt_1FKiwhDph83XaGc0o0/edit?usp=sharing"",""งบพรบ!CB21"")"),1600)</f>
        <v>1600</v>
      </c>
      <c r="M21" s="79">
        <f t="shared" ca="1" si="5"/>
        <v>0</v>
      </c>
      <c r="N21" s="79">
        <f t="shared" ca="1" si="6"/>
        <v>100</v>
      </c>
      <c r="O21" s="80">
        <f ca="1">IFERROR(__xludf.DUMMYFUNCTION("IMPORTRANGE(""https://docs.google.com/spreadsheets/d/1MeEWN-I1oV_STSDYn1IFDPWt_1FKiwhDph83XaGc0o0/edit?usp=sharing"",""งบพรบ!CC21"")"),0)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IFERROR(__xludf.DUMMYFUNCTION("IMPORTRANGE(""https://docs.google.com/spreadsheets/d/1Y9LPKx95PyL5OKy09d-KbKJSuuEZCFdkhYjwC0XQjBA/edit?usp=sharing"",""พิจิตร!I159"")"),0)</f>
        <v>0</v>
      </c>
      <c r="S21" s="81">
        <f ca="1">IFERROR(__xludf.DUMMYFUNCTION("IMPORTRANGE(""https://docs.google.com/spreadsheets/d/1Y9LPKx95PyL5OKy09d-KbKJSuuEZCFdkhYjwC0XQjBA/edit?usp=sharing"",""พิจิตร!J159"")"),0)</f>
        <v>0</v>
      </c>
      <c r="T21" s="82">
        <f t="shared" ca="1" si="16"/>
        <v>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20"/>
        <v>0</v>
      </c>
      <c r="E22" s="77">
        <f ca="1">IFERROR(__xludf.DUMMYFUNCTION("IMPORTRANGE(""https://docs.google.com/spreadsheets/d/1MeEWN-I1oV_STSDYn1IFDPWt_1FKiwhDph83XaGc0o0/edit?usp=sharing"",""งบพรบ!BV22"")"),0)</f>
        <v>0</v>
      </c>
      <c r="F22" s="77">
        <f ca="1">IFERROR(__xludf.DUMMYFUNCTION("IMPORTRANGE(""https://docs.google.com/spreadsheets/d/1MeEWN-I1oV_STSDYn1IFDPWt_1FKiwhDph83XaGc0o0/edit?usp=sharing"",""งบพรบ!BW22"")"),0)</f>
        <v>0</v>
      </c>
      <c r="G22" s="77">
        <f ca="1">IFERROR(__xludf.DUMMYFUNCTION("IMPORTRANGE(""https://docs.google.com/spreadsheets/d/1MeEWN-I1oV_STSDYn1IFDPWt_1FKiwhDph83XaGc0o0/edit?usp=sharing"",""งบพรบ!BX22"")"),0)</f>
        <v>0</v>
      </c>
      <c r="H22" s="77">
        <f ca="1">IFERROR(__xludf.DUMMYFUNCTION("IMPORTRANGE(""https://docs.google.com/spreadsheets/d/1MeEWN-I1oV_STSDYn1IFDPWt_1FKiwhDph83XaGc0o0/edit?usp=sharing"",""งบพรบ!BZ22"")"),36160)</f>
        <v>36160</v>
      </c>
      <c r="I22" s="77">
        <f ca="1">IFERROR(__xludf.DUMMYFUNCTION("IMPORTRANGE(""https://docs.google.com/spreadsheets/d/1MeEWN-I1oV_STSDYn1IFDPWt_1FKiwhDph83XaGc0o0/edit?usp=sharing"",""งบพรบ!CA22"")"),0)</f>
        <v>0</v>
      </c>
      <c r="J22" s="77">
        <f t="shared" ca="1" si="3"/>
        <v>1360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IFERROR(__xludf.DUMMYFUNCTION("IMPORTRANGE(""https://docs.google.com/spreadsheets/d/1MeEWN-I1oV_STSDYn1IFDPWt_1FKiwhDph83XaGc0o0/edit?usp=sharing"",""งบพรบ!CB22"")"),1360)</f>
        <v>1360</v>
      </c>
      <c r="M22" s="79">
        <f t="shared" ca="1" si="5"/>
        <v>0</v>
      </c>
      <c r="N22" s="79">
        <f t="shared" ca="1" si="6"/>
        <v>3.7610619469026547</v>
      </c>
      <c r="O22" s="80">
        <f ca="1">IFERROR(__xludf.DUMMYFUNCTION("IMPORTRANGE(""https://docs.google.com/spreadsheets/d/1MeEWN-I1oV_STSDYn1IFDPWt_1FKiwhDph83XaGc0o0/edit?usp=sharing"",""งบพรบ!CC22"")"),0)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IFERROR(__xludf.DUMMYFUNCTION("IMPORTRANGE(""https://docs.google.com/spreadsheets/d/16OMuOwy2eVqZcYWOouQtTpa8X1L23h4660uVHc0C8os/edit?usp=sharing"",""พิษณุโลก!I159"")"),0)</f>
        <v>0</v>
      </c>
      <c r="S22" s="81">
        <f ca="1">IFERROR(__xludf.DUMMYFUNCTION("IMPORTRANGE(""https://docs.google.com/spreadsheets/d/16OMuOwy2eVqZcYWOouQtTpa8X1L23h4660uVHc0C8os/edit?usp=sharing"",""พิษณุโลก!J159"")"),0)</f>
        <v>0</v>
      </c>
      <c r="T22" s="82">
        <f t="shared" ca="1" si="16"/>
        <v>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10000</v>
      </c>
      <c r="D23" s="76">
        <f t="shared" ca="1" si="20"/>
        <v>10000</v>
      </c>
      <c r="E23" s="77">
        <f ca="1">IFERROR(__xludf.DUMMYFUNCTION("IMPORTRANGE(""https://docs.google.com/spreadsheets/d/1MeEWN-I1oV_STSDYn1IFDPWt_1FKiwhDph83XaGc0o0/edit?usp=sharing"",""งบพรบ!BV23"")"),0)</f>
        <v>0</v>
      </c>
      <c r="F23" s="77">
        <f ca="1">IFERROR(__xludf.DUMMYFUNCTION("IMPORTRANGE(""https://docs.google.com/spreadsheets/d/1MeEWN-I1oV_STSDYn1IFDPWt_1FKiwhDph83XaGc0o0/edit?usp=sharing"",""งบพรบ!BW23"")"),10000)</f>
        <v>10000</v>
      </c>
      <c r="G23" s="77">
        <f ca="1">IFERROR(__xludf.DUMMYFUNCTION("IMPORTRANGE(""https://docs.google.com/spreadsheets/d/1MeEWN-I1oV_STSDYn1IFDPWt_1FKiwhDph83XaGc0o0/edit?usp=sharing"",""งบพรบ!BX23"")"),0)</f>
        <v>0</v>
      </c>
      <c r="H23" s="77">
        <f ca="1">IFERROR(__xludf.DUMMYFUNCTION("IMPORTRANGE(""https://docs.google.com/spreadsheets/d/1MeEWN-I1oV_STSDYn1IFDPWt_1FKiwhDph83XaGc0o0/edit?usp=sharing"",""งบพรบ!BZ23"")"),46200)</f>
        <v>46200</v>
      </c>
      <c r="I23" s="77">
        <f ca="1">IFERROR(__xludf.DUMMYFUNCTION("IMPORTRANGE(""https://docs.google.com/spreadsheets/d/1MeEWN-I1oV_STSDYn1IFDPWt_1FKiwhDph83XaGc0o0/edit?usp=sharing"",""งบพรบ!CA23"")"),0)</f>
        <v>0</v>
      </c>
      <c r="J23" s="77">
        <f t="shared" ca="1" si="3"/>
        <v>38887.5</v>
      </c>
      <c r="K23" s="78">
        <f t="shared" ca="1" si="4"/>
        <v>388.875</v>
      </c>
      <c r="L23" s="77">
        <f ca="1">IFERROR(__xludf.DUMMYFUNCTION("IMPORTRANGE(""https://docs.google.com/spreadsheets/d/1MeEWN-I1oV_STSDYn1IFDPWt_1FKiwhDph83XaGc0o0/edit?usp=sharing"",""งบพรบ!CB23"")"),38887.5)</f>
        <v>38887.5</v>
      </c>
      <c r="M23" s="79">
        <f t="shared" ca="1" si="5"/>
        <v>388.875</v>
      </c>
      <c r="N23" s="79">
        <f t="shared" ca="1" si="6"/>
        <v>84.172077922077918</v>
      </c>
      <c r="O23" s="80">
        <f ca="1">IFERROR(__xludf.DUMMYFUNCTION("IMPORTRANGE(""https://docs.google.com/spreadsheets/d/1MeEWN-I1oV_STSDYn1IFDPWt_1FKiwhDph83XaGc0o0/edit?usp=sharing"",""งบพรบ!CC23"")"),0)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IFERROR(__xludf.DUMMYFUNCTION("IMPORTRANGE(""https://docs.google.com/spreadsheets/d/1GfgTldLG6k77HXaMQzaafODklYuucJZQNs_GAPEfZyY/edit?usp=sharing"",""เพชรบูรณ์!I159"")"),20)</f>
        <v>20</v>
      </c>
      <c r="S23" s="81">
        <f ca="1">IFERROR(__xludf.DUMMYFUNCTION("IMPORTRANGE(""https://docs.google.com/spreadsheets/d/1GfgTldLG6k77HXaMQzaafODklYuucJZQNs_GAPEfZyY/edit?usp=sharing"",""เพชรบูรณ์!J159"")"),20)</f>
        <v>20</v>
      </c>
      <c r="T23" s="82">
        <f t="shared" ca="1" si="16"/>
        <v>100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20"/>
        <v>0</v>
      </c>
      <c r="E24" s="77">
        <f ca="1">IFERROR(__xludf.DUMMYFUNCTION("IMPORTRANGE(""https://docs.google.com/spreadsheets/d/1MeEWN-I1oV_STSDYn1IFDPWt_1FKiwhDph83XaGc0o0/edit?usp=sharing"",""งบพรบ!BV24"")"),0)</f>
        <v>0</v>
      </c>
      <c r="F24" s="77">
        <f ca="1">IFERROR(__xludf.DUMMYFUNCTION("IMPORTRANGE(""https://docs.google.com/spreadsheets/d/1MeEWN-I1oV_STSDYn1IFDPWt_1FKiwhDph83XaGc0o0/edit?usp=sharing"",""งบพรบ!BW24"")"),0)</f>
        <v>0</v>
      </c>
      <c r="G24" s="77">
        <f ca="1">IFERROR(__xludf.DUMMYFUNCTION("IMPORTRANGE(""https://docs.google.com/spreadsheets/d/1MeEWN-I1oV_STSDYn1IFDPWt_1FKiwhDph83XaGc0o0/edit?usp=sharing"",""งบพรบ!BX24"")"),0)</f>
        <v>0</v>
      </c>
      <c r="H24" s="77">
        <f ca="1">IFERROR(__xludf.DUMMYFUNCTION("IMPORTRANGE(""https://docs.google.com/spreadsheets/d/1MeEWN-I1oV_STSDYn1IFDPWt_1FKiwhDph83XaGc0o0/edit?usp=sharing"",""งบพรบ!BZ24"")"),720)</f>
        <v>720</v>
      </c>
      <c r="I24" s="77">
        <f ca="1">IFERROR(__xludf.DUMMYFUNCTION("IMPORTRANGE(""https://docs.google.com/spreadsheets/d/1MeEWN-I1oV_STSDYn1IFDPWt_1FKiwhDph83XaGc0o0/edit?usp=sharing"",""งบพรบ!CA24"")"),0)</f>
        <v>0</v>
      </c>
      <c r="J24" s="77">
        <f t="shared" ca="1" si="3"/>
        <v>720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IFERROR(__xludf.DUMMYFUNCTION("IMPORTRANGE(""https://docs.google.com/spreadsheets/d/1MeEWN-I1oV_STSDYn1IFDPWt_1FKiwhDph83XaGc0o0/edit?usp=sharing"",""งบพรบ!CB24"")"),720)</f>
        <v>720</v>
      </c>
      <c r="M24" s="79">
        <f t="shared" ca="1" si="5"/>
        <v>0</v>
      </c>
      <c r="N24" s="79">
        <f t="shared" ca="1" si="6"/>
        <v>100</v>
      </c>
      <c r="O24" s="80">
        <f ca="1">IFERROR(__xludf.DUMMYFUNCTION("IMPORTRANGE(""https://docs.google.com/spreadsheets/d/1MeEWN-I1oV_STSDYn1IFDPWt_1FKiwhDph83XaGc0o0/edit?usp=sharing"",""งบพรบ!CC24"")"),0)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IFERROR(__xludf.DUMMYFUNCTION("IMPORTRANGE(""https://docs.google.com/spreadsheets/d/1gvTMYAnm7v1yG1BKWFtr0DnaTsq59oW9dwWvFgq6hs0/edit?usp=sharing"",""แพร่!I159"")"),0)</f>
        <v>0</v>
      </c>
      <c r="S24" s="81">
        <f ca="1">IFERROR(__xludf.DUMMYFUNCTION("IMPORTRANGE(""https://docs.google.com/spreadsheets/d/1gvTMYAnm7v1yG1BKWFtr0DnaTsq59oW9dwWvFgq6hs0/edit?usp=sharing"",""แพร่!J159"")"),0)</f>
        <v>0</v>
      </c>
      <c r="T24" s="82">
        <f t="shared" ca="1" si="16"/>
        <v>0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10000</v>
      </c>
      <c r="D25" s="76">
        <f t="shared" ca="1" si="20"/>
        <v>10000</v>
      </c>
      <c r="E25" s="77">
        <f ca="1">IFERROR(__xludf.DUMMYFUNCTION("IMPORTRANGE(""https://docs.google.com/spreadsheets/d/1MeEWN-I1oV_STSDYn1IFDPWt_1FKiwhDph83XaGc0o0/edit?usp=sharing"",""งบพรบ!BV25"")"),0)</f>
        <v>0</v>
      </c>
      <c r="F25" s="77">
        <f ca="1">IFERROR(__xludf.DUMMYFUNCTION("IMPORTRANGE(""https://docs.google.com/spreadsheets/d/1MeEWN-I1oV_STSDYn1IFDPWt_1FKiwhDph83XaGc0o0/edit?usp=sharing"",""งบพรบ!BW25"")"),10000)</f>
        <v>10000</v>
      </c>
      <c r="G25" s="77">
        <f ca="1">IFERROR(__xludf.DUMMYFUNCTION("IMPORTRANGE(""https://docs.google.com/spreadsheets/d/1MeEWN-I1oV_STSDYn1IFDPWt_1FKiwhDph83XaGc0o0/edit?usp=sharing"",""งบพรบ!BX25"")"),0)</f>
        <v>0</v>
      </c>
      <c r="H25" s="77">
        <f ca="1">IFERROR(__xludf.DUMMYFUNCTION("IMPORTRANGE(""https://docs.google.com/spreadsheets/d/1MeEWN-I1oV_STSDYn1IFDPWt_1FKiwhDph83XaGc0o0/edit?usp=sharing"",""งบพรบ!BZ25"")"),14880)</f>
        <v>14880</v>
      </c>
      <c r="I25" s="77">
        <f ca="1">IFERROR(__xludf.DUMMYFUNCTION("IMPORTRANGE(""https://docs.google.com/spreadsheets/d/1MeEWN-I1oV_STSDYn1IFDPWt_1FKiwhDph83XaGc0o0/edit?usp=sharing"",""งบพรบ!CA25"")"),0)</f>
        <v>0</v>
      </c>
      <c r="J25" s="77">
        <f t="shared" ca="1" si="3"/>
        <v>14880</v>
      </c>
      <c r="K25" s="78">
        <f t="shared" ca="1" si="4"/>
        <v>148.80000000000001</v>
      </c>
      <c r="L25" s="77">
        <f ca="1">IFERROR(__xludf.DUMMYFUNCTION("IMPORTRANGE(""https://docs.google.com/spreadsheets/d/1MeEWN-I1oV_STSDYn1IFDPWt_1FKiwhDph83XaGc0o0/edit?usp=sharing"",""งบพรบ!CB25"")"),14880)</f>
        <v>14880</v>
      </c>
      <c r="M25" s="79">
        <f t="shared" ca="1" si="5"/>
        <v>148.80000000000001</v>
      </c>
      <c r="N25" s="79">
        <f t="shared" ca="1" si="6"/>
        <v>100</v>
      </c>
      <c r="O25" s="80">
        <f ca="1">IFERROR(__xludf.DUMMYFUNCTION("IMPORTRANGE(""https://docs.google.com/spreadsheets/d/1MeEWN-I1oV_STSDYn1IFDPWt_1FKiwhDph83XaGc0o0/edit?usp=sharing"",""งบพรบ!CC25"")"),0)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IFERROR(__xludf.DUMMYFUNCTION("IMPORTRANGE(""https://docs.google.com/spreadsheets/d/1Wbcosgy-Xa1xXUArJSOenub6EfZHUSzc_bpJFWwQUf0/edit?usp=sharing"",""แม่ฮ่องสอน!I159"")"),20)</f>
        <v>20</v>
      </c>
      <c r="S25" s="81">
        <f ca="1">IFERROR(__xludf.DUMMYFUNCTION("IMPORTRANGE(""https://docs.google.com/spreadsheets/d/1Wbcosgy-Xa1xXUArJSOenub6EfZHUSzc_bpJFWwQUf0/edit?usp=sharing"",""แม่ฮ่องสอน!J159"")"),20)</f>
        <v>20</v>
      </c>
      <c r="T25" s="82">
        <f t="shared" ca="1" si="16"/>
        <v>100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20"/>
        <v>0</v>
      </c>
      <c r="E26" s="77">
        <f ca="1">IFERROR(__xludf.DUMMYFUNCTION("IMPORTRANGE(""https://docs.google.com/spreadsheets/d/1MeEWN-I1oV_STSDYn1IFDPWt_1FKiwhDph83XaGc0o0/edit?usp=sharing"",""งบพรบ!BV26"")"),0)</f>
        <v>0</v>
      </c>
      <c r="F26" s="77">
        <f ca="1">IFERROR(__xludf.DUMMYFUNCTION("IMPORTRANGE(""https://docs.google.com/spreadsheets/d/1MeEWN-I1oV_STSDYn1IFDPWt_1FKiwhDph83XaGc0o0/edit?usp=sharing"",""งบพรบ!BW26"")"),0)</f>
        <v>0</v>
      </c>
      <c r="G26" s="77">
        <f ca="1">IFERROR(__xludf.DUMMYFUNCTION("IMPORTRANGE(""https://docs.google.com/spreadsheets/d/1MeEWN-I1oV_STSDYn1IFDPWt_1FKiwhDph83XaGc0o0/edit?usp=sharing"",""งบพรบ!BX26"")"),0)</f>
        <v>0</v>
      </c>
      <c r="H26" s="77">
        <f ca="1">IFERROR(__xludf.DUMMYFUNCTION("IMPORTRANGE(""https://docs.google.com/spreadsheets/d/1MeEWN-I1oV_STSDYn1IFDPWt_1FKiwhDph83XaGc0o0/edit?usp=sharing"",""งบพรบ!BZ26"")"),2400)</f>
        <v>2400</v>
      </c>
      <c r="I26" s="77">
        <f ca="1">IFERROR(__xludf.DUMMYFUNCTION("IMPORTRANGE(""https://docs.google.com/spreadsheets/d/1MeEWN-I1oV_STSDYn1IFDPWt_1FKiwhDph83XaGc0o0/edit?usp=sharing"",""งบพรบ!CA26"")"),0)</f>
        <v>0</v>
      </c>
      <c r="J26" s="77">
        <f t="shared" ca="1" si="3"/>
        <v>1888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IFERROR(__xludf.DUMMYFUNCTION("IMPORTRANGE(""https://docs.google.com/spreadsheets/d/1MeEWN-I1oV_STSDYn1IFDPWt_1FKiwhDph83XaGc0o0/edit?usp=sharing"",""งบพรบ!CB26"")"),1888)</f>
        <v>1888</v>
      </c>
      <c r="M26" s="79">
        <f t="shared" ca="1" si="5"/>
        <v>0</v>
      </c>
      <c r="N26" s="79">
        <f t="shared" ca="1" si="6"/>
        <v>78.666666666666671</v>
      </c>
      <c r="O26" s="80">
        <f ca="1">IFERROR(__xludf.DUMMYFUNCTION("IMPORTRANGE(""https://docs.google.com/spreadsheets/d/1MeEWN-I1oV_STSDYn1IFDPWt_1FKiwhDph83XaGc0o0/edit?usp=sharing"",""งบพรบ!CC26"")"),0)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IFERROR(__xludf.DUMMYFUNCTION("IMPORTRANGE(""https://docs.google.com/spreadsheets/d/1p7ERhsr0qZeSn-KSOdeHS9r0heI-lHtkcn2OH7hP0jQ/edit?usp=sharing"",""ลำปาง!I159"")"),0)</f>
        <v>0</v>
      </c>
      <c r="S26" s="81">
        <f ca="1">IFERROR(__xludf.DUMMYFUNCTION("IMPORTRANGE(""https://docs.google.com/spreadsheets/d/1p7ERhsr0qZeSn-KSOdeHS9r0heI-lHtkcn2OH7hP0jQ/edit?usp=sharing"",""ลำปาง!J159"")"),0)</f>
        <v>0</v>
      </c>
      <c r="T26" s="82">
        <f t="shared" ca="1" si="16"/>
        <v>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10000</v>
      </c>
      <c r="D27" s="76">
        <f t="shared" ca="1" si="20"/>
        <v>10000</v>
      </c>
      <c r="E27" s="77">
        <f ca="1">IFERROR(__xludf.DUMMYFUNCTION("IMPORTRANGE(""https://docs.google.com/spreadsheets/d/1MeEWN-I1oV_STSDYn1IFDPWt_1FKiwhDph83XaGc0o0/edit?usp=sharing"",""งบพรบ!BV27"")"),0)</f>
        <v>0</v>
      </c>
      <c r="F27" s="77">
        <f ca="1">IFERROR(__xludf.DUMMYFUNCTION("IMPORTRANGE(""https://docs.google.com/spreadsheets/d/1MeEWN-I1oV_STSDYn1IFDPWt_1FKiwhDph83XaGc0o0/edit?usp=sharing"",""งบพรบ!BW27"")"),10000)</f>
        <v>10000</v>
      </c>
      <c r="G27" s="77">
        <f ca="1">IFERROR(__xludf.DUMMYFUNCTION("IMPORTRANGE(""https://docs.google.com/spreadsheets/d/1MeEWN-I1oV_STSDYn1IFDPWt_1FKiwhDph83XaGc0o0/edit?usp=sharing"",""งบพรบ!BX27"")"),0)</f>
        <v>0</v>
      </c>
      <c r="H27" s="77">
        <f ca="1">IFERROR(__xludf.DUMMYFUNCTION("IMPORTRANGE(""https://docs.google.com/spreadsheets/d/1MeEWN-I1oV_STSDYn1IFDPWt_1FKiwhDph83XaGc0o0/edit?usp=sharing"",""งบพรบ!BZ27"")"),11680)</f>
        <v>11680</v>
      </c>
      <c r="I27" s="77">
        <f ca="1">IFERROR(__xludf.DUMMYFUNCTION("IMPORTRANGE(""https://docs.google.com/spreadsheets/d/1MeEWN-I1oV_STSDYn1IFDPWt_1FKiwhDph83XaGc0o0/edit?usp=sharing"",""งบพรบ!CA27"")"),0)</f>
        <v>0</v>
      </c>
      <c r="J27" s="77">
        <f t="shared" ca="1" si="3"/>
        <v>11680</v>
      </c>
      <c r="K27" s="78">
        <f t="shared" ca="1" si="4"/>
        <v>116.8</v>
      </c>
      <c r="L27" s="77">
        <f ca="1">IFERROR(__xludf.DUMMYFUNCTION("IMPORTRANGE(""https://docs.google.com/spreadsheets/d/1MeEWN-I1oV_STSDYn1IFDPWt_1FKiwhDph83XaGc0o0/edit?usp=sharing"",""งบพรบ!CB27"")"),11680)</f>
        <v>11680</v>
      </c>
      <c r="M27" s="79">
        <f t="shared" ca="1" si="5"/>
        <v>116.8</v>
      </c>
      <c r="N27" s="79">
        <f t="shared" ca="1" si="6"/>
        <v>100</v>
      </c>
      <c r="O27" s="80">
        <f ca="1">IFERROR(__xludf.DUMMYFUNCTION("IMPORTRANGE(""https://docs.google.com/spreadsheets/d/1MeEWN-I1oV_STSDYn1IFDPWt_1FKiwhDph83XaGc0o0/edit?usp=sharing"",""งบพรบ!CC27"")"),0)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IFERROR(__xludf.DUMMYFUNCTION("IMPORTRANGE(""https://docs.google.com/spreadsheets/d/1-uUXvimVhiU2U0bMN-xi2te0tS4X7DI2GLPnMjzl8cA/edit?usp=sharing"",""ลำพูน!I159"")"),20)</f>
        <v>20</v>
      </c>
      <c r="S27" s="81">
        <f ca="1">IFERROR(__xludf.DUMMYFUNCTION("IMPORTRANGE(""https://docs.google.com/spreadsheets/d/1-uUXvimVhiU2U0bMN-xi2te0tS4X7DI2GLPnMjzl8cA/edit?usp=sharing"",""ลำพูน!J159"")"),20)</f>
        <v>20</v>
      </c>
      <c r="T27" s="82">
        <f t="shared" ca="1" si="16"/>
        <v>100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10000</v>
      </c>
      <c r="D28" s="76">
        <f t="shared" ca="1" si="20"/>
        <v>10000</v>
      </c>
      <c r="E28" s="77">
        <f ca="1">IFERROR(__xludf.DUMMYFUNCTION("IMPORTRANGE(""https://docs.google.com/spreadsheets/d/1MeEWN-I1oV_STSDYn1IFDPWt_1FKiwhDph83XaGc0o0/edit?usp=sharing"",""งบพรบ!BV28"")"),0)</f>
        <v>0</v>
      </c>
      <c r="F28" s="77">
        <f ca="1">IFERROR(__xludf.DUMMYFUNCTION("IMPORTRANGE(""https://docs.google.com/spreadsheets/d/1MeEWN-I1oV_STSDYn1IFDPWt_1FKiwhDph83XaGc0o0/edit?usp=sharing"",""งบพรบ!BW28"")"),10000)</f>
        <v>10000</v>
      </c>
      <c r="G28" s="77">
        <f ca="1">IFERROR(__xludf.DUMMYFUNCTION("IMPORTRANGE(""https://docs.google.com/spreadsheets/d/1MeEWN-I1oV_STSDYn1IFDPWt_1FKiwhDph83XaGc0o0/edit?usp=sharing"",""งบพรบ!BX28"")"),0)</f>
        <v>0</v>
      </c>
      <c r="H28" s="77">
        <f ca="1">IFERROR(__xludf.DUMMYFUNCTION("IMPORTRANGE(""https://docs.google.com/spreadsheets/d/1MeEWN-I1oV_STSDYn1IFDPWt_1FKiwhDph83XaGc0o0/edit?usp=sharing"",""งบพรบ!BZ28"")"),206980)</f>
        <v>206980</v>
      </c>
      <c r="I28" s="77">
        <f ca="1">IFERROR(__xludf.DUMMYFUNCTION("IMPORTRANGE(""https://docs.google.com/spreadsheets/d/1MeEWN-I1oV_STSDYn1IFDPWt_1FKiwhDph83XaGc0o0/edit?usp=sharing"",""งบพรบ!CA28"")"),0)</f>
        <v>0</v>
      </c>
      <c r="J28" s="77">
        <f t="shared" ca="1" si="3"/>
        <v>172869.29</v>
      </c>
      <c r="K28" s="78">
        <f t="shared" ca="1" si="4"/>
        <v>1728.6929</v>
      </c>
      <c r="L28" s="77">
        <f ca="1">IFERROR(__xludf.DUMMYFUNCTION("IMPORTRANGE(""https://docs.google.com/spreadsheets/d/1MeEWN-I1oV_STSDYn1IFDPWt_1FKiwhDph83XaGc0o0/edit?usp=sharing"",""งบพรบ!CB28"")"),172869.29)</f>
        <v>172869.29</v>
      </c>
      <c r="M28" s="79">
        <f t="shared" ca="1" si="5"/>
        <v>1728.6929</v>
      </c>
      <c r="N28" s="79">
        <f t="shared" ca="1" si="6"/>
        <v>83.519803845782207</v>
      </c>
      <c r="O28" s="80">
        <f ca="1">IFERROR(__xludf.DUMMYFUNCTION("IMPORTRANGE(""https://docs.google.com/spreadsheets/d/1MeEWN-I1oV_STSDYn1IFDPWt_1FKiwhDph83XaGc0o0/edit?usp=sharing"",""งบพรบ!CC28"")"),0)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IFERROR(__xludf.DUMMYFUNCTION("IMPORTRANGE(""https://docs.google.com/spreadsheets/d/17HrOaa5pBUI1onckFfumXB8xlg35qb2uBAFfF1D-Myo/edit?usp=sharing"",""สุโขทัย!I159"")"),20)</f>
        <v>20</v>
      </c>
      <c r="S28" s="81">
        <f ca="1">IFERROR(__xludf.DUMMYFUNCTION("IMPORTRANGE(""https://docs.google.com/spreadsheets/d/17HrOaa5pBUI1onckFfumXB8xlg35qb2uBAFfF1D-Myo/edit?usp=sharing"",""สุโขทัย!J159"")"),320)</f>
        <v>320</v>
      </c>
      <c r="T28" s="82">
        <f t="shared" ca="1" si="16"/>
        <v>1600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20"/>
        <v>0</v>
      </c>
      <c r="E29" s="77">
        <f ca="1">IFERROR(__xludf.DUMMYFUNCTION("IMPORTRANGE(""https://docs.google.com/spreadsheets/d/1MeEWN-I1oV_STSDYn1IFDPWt_1FKiwhDph83XaGc0o0/edit?usp=sharing"",""งบพรบ!BV29"")"),0)</f>
        <v>0</v>
      </c>
      <c r="F29" s="77">
        <f ca="1">IFERROR(__xludf.DUMMYFUNCTION("IMPORTRANGE(""https://docs.google.com/spreadsheets/d/1MeEWN-I1oV_STSDYn1IFDPWt_1FKiwhDph83XaGc0o0/edit?usp=sharing"",""งบพรบ!BW29"")"),0)</f>
        <v>0</v>
      </c>
      <c r="G29" s="77">
        <f ca="1">IFERROR(__xludf.DUMMYFUNCTION("IMPORTRANGE(""https://docs.google.com/spreadsheets/d/1MeEWN-I1oV_STSDYn1IFDPWt_1FKiwhDph83XaGc0o0/edit?usp=sharing"",""งบพรบ!BX29"")"),0)</f>
        <v>0</v>
      </c>
      <c r="H29" s="77">
        <f ca="1">IFERROR(__xludf.DUMMYFUNCTION("IMPORTRANGE(""https://docs.google.com/spreadsheets/d/1MeEWN-I1oV_STSDYn1IFDPWt_1FKiwhDph83XaGc0o0/edit?usp=sharing"",""งบพรบ!BZ29"")"),0)</f>
        <v>0</v>
      </c>
      <c r="I29" s="77">
        <f ca="1">IFERROR(__xludf.DUMMYFUNCTION("IMPORTRANGE(""https://docs.google.com/spreadsheets/d/1MeEWN-I1oV_STSDYn1IFDPWt_1FKiwhDph83XaGc0o0/edit?usp=sharing"",""งบพรบ!CA29"")"),0)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IFERROR(__xludf.DUMMYFUNCTION("IMPORTRANGE(""https://docs.google.com/spreadsheets/d/1MeEWN-I1oV_STSDYn1IFDPWt_1FKiwhDph83XaGc0o0/edit?usp=sharing"",""งบพรบ!CB29"")"),0)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IFERROR(__xludf.DUMMYFUNCTION("IMPORTRANGE(""https://docs.google.com/spreadsheets/d/1MeEWN-I1oV_STSDYn1IFDPWt_1FKiwhDph83XaGc0o0/edit?usp=sharing"",""งบพรบ!CC29"")"),0)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IFERROR(__xludf.DUMMYFUNCTION("IMPORTRANGE(""https://docs.google.com/spreadsheets/d/1ubs5cl16eYL9gHbdHTJtmtYb9MGzHBs7CAphn8kNCgM/edit?usp=sharing"",""อุตรดิตถ์!I159"")"),0)</f>
        <v>0</v>
      </c>
      <c r="S29" s="81">
        <f ca="1">IFERROR(__xludf.DUMMYFUNCTION("IMPORTRANGE(""https://docs.google.com/spreadsheets/d/1ubs5cl16eYL9gHbdHTJtmtYb9MGzHBs7CAphn8kNCgM/edit?usp=sharing"",""อุตรดิตถ์!J159"")"),0)</f>
        <v>0</v>
      </c>
      <c r="T29" s="82">
        <f t="shared" ca="1" si="16"/>
        <v>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10000</v>
      </c>
      <c r="D30" s="87">
        <f t="shared" ca="1" si="20"/>
        <v>10000</v>
      </c>
      <c r="E30" s="88">
        <f ca="1">IFERROR(__xludf.DUMMYFUNCTION("IMPORTRANGE(""https://docs.google.com/spreadsheets/d/1MeEWN-I1oV_STSDYn1IFDPWt_1FKiwhDph83XaGc0o0/edit?usp=sharing"",""งบพรบ!BV30"")"),0)</f>
        <v>0</v>
      </c>
      <c r="F30" s="88">
        <f ca="1">IFERROR(__xludf.DUMMYFUNCTION("IMPORTRANGE(""https://docs.google.com/spreadsheets/d/1MeEWN-I1oV_STSDYn1IFDPWt_1FKiwhDph83XaGc0o0/edit?usp=sharing"",""งบพรบ!BW30"")"),10000)</f>
        <v>10000</v>
      </c>
      <c r="G30" s="88">
        <f ca="1">IFERROR(__xludf.DUMMYFUNCTION("IMPORTRANGE(""https://docs.google.com/spreadsheets/d/1MeEWN-I1oV_STSDYn1IFDPWt_1FKiwhDph83XaGc0o0/edit?usp=sharing"",""งบพรบ!BX30"")"),0)</f>
        <v>0</v>
      </c>
      <c r="H30" s="88">
        <f ca="1">IFERROR(__xludf.DUMMYFUNCTION("IMPORTRANGE(""https://docs.google.com/spreadsheets/d/1MeEWN-I1oV_STSDYn1IFDPWt_1FKiwhDph83XaGc0o0/edit?usp=sharing"",""งบพรบ!BZ30"")"),10000)</f>
        <v>10000</v>
      </c>
      <c r="I30" s="88">
        <f ca="1">IFERROR(__xludf.DUMMYFUNCTION("IMPORTRANGE(""https://docs.google.com/spreadsheets/d/1MeEWN-I1oV_STSDYn1IFDPWt_1FKiwhDph83XaGc0o0/edit?usp=sharing"",""งบพรบ!CA30"")"),0)</f>
        <v>0</v>
      </c>
      <c r="J30" s="88">
        <f t="shared" ca="1" si="3"/>
        <v>8150</v>
      </c>
      <c r="K30" s="89">
        <f t="shared" ca="1" si="4"/>
        <v>81.5</v>
      </c>
      <c r="L30" s="88">
        <f ca="1">IFERROR(__xludf.DUMMYFUNCTION("IMPORTRANGE(""https://docs.google.com/spreadsheets/d/1MeEWN-I1oV_STSDYn1IFDPWt_1FKiwhDph83XaGc0o0/edit?usp=sharing"",""งบพรบ!CB30"")"),8150)</f>
        <v>8150</v>
      </c>
      <c r="M30" s="90">
        <f t="shared" ca="1" si="5"/>
        <v>81.5</v>
      </c>
      <c r="N30" s="90">
        <f t="shared" ca="1" si="6"/>
        <v>81.5</v>
      </c>
      <c r="O30" s="91">
        <f ca="1">IFERROR(__xludf.DUMMYFUNCTION("IMPORTRANGE(""https://docs.google.com/spreadsheets/d/1MeEWN-I1oV_STSDYn1IFDPWt_1FKiwhDph83XaGc0o0/edit?usp=sharing"",""งบพรบ!CC30"")"),0)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IFERROR(__xludf.DUMMYFUNCTION("IMPORTRANGE(""https://docs.google.com/spreadsheets/d/1kII0BjS6CtVrBvI8IrytgPdxDrlyQDyigzMsohRtDMs/edit?usp=sharing"",""อุทัยธานี!I159"")"),20)</f>
        <v>20</v>
      </c>
      <c r="S30" s="92">
        <f ca="1">IFERROR(__xludf.DUMMYFUNCTION("IMPORTRANGE(""https://docs.google.com/spreadsheets/d/1kII0BjS6CtVrBvI8IrytgPdxDrlyQDyigzMsohRtDMs/edit?usp=sharing"",""อุทัยธานี!J159"")"),20)</f>
        <v>20</v>
      </c>
      <c r="T30" s="93">
        <f t="shared" ca="1" si="16"/>
        <v>100</v>
      </c>
    </row>
    <row r="31" spans="1:20" ht="21" customHeight="1" x14ac:dyDescent="0.2">
      <c r="A31" s="383" t="s">
        <v>53</v>
      </c>
      <c r="B31" s="384"/>
      <c r="C31" s="94">
        <f t="shared" ca="1" si="0"/>
        <v>65000</v>
      </c>
      <c r="D31" s="57">
        <f t="shared" ref="D31:I31" ca="1" si="21">SUM(D32:D51)</f>
        <v>65000</v>
      </c>
      <c r="E31" s="57">
        <f t="shared" ca="1" si="21"/>
        <v>0</v>
      </c>
      <c r="F31" s="57">
        <f t="shared" ca="1" si="21"/>
        <v>65000</v>
      </c>
      <c r="G31" s="57">
        <f t="shared" ca="1" si="21"/>
        <v>0</v>
      </c>
      <c r="H31" s="57">
        <f t="shared" ca="1" si="21"/>
        <v>305230</v>
      </c>
      <c r="I31" s="57">
        <f t="shared" ca="1" si="21"/>
        <v>0</v>
      </c>
      <c r="J31" s="57">
        <f t="shared" ca="1" si="3"/>
        <v>283540.5</v>
      </c>
      <c r="K31" s="95">
        <f t="shared" ca="1" si="4"/>
        <v>436.21615384615387</v>
      </c>
      <c r="L31" s="57">
        <f ca="1">SUM(L32:L51)</f>
        <v>283540.5</v>
      </c>
      <c r="M31" s="96">
        <f t="shared" ca="1" si="5"/>
        <v>436.21615384615387</v>
      </c>
      <c r="N31" s="96">
        <f t="shared" ca="1" si="6"/>
        <v>92.894047112013894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130</v>
      </c>
      <c r="S31" s="57">
        <f t="shared" ca="1" si="22"/>
        <v>130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10000</v>
      </c>
      <c r="D32" s="66">
        <f t="shared" ref="D32:D51" ca="1" si="23">+E32+F32</f>
        <v>10000</v>
      </c>
      <c r="E32" s="67">
        <f ca="1">IFERROR(__xludf.DUMMYFUNCTION("IMPORTRANGE(""https://docs.google.com/spreadsheets/d/1MeEWN-I1oV_STSDYn1IFDPWt_1FKiwhDph83XaGc0o0/edit?usp=sharing"",""งบพรบ!BV32"")"),0)</f>
        <v>0</v>
      </c>
      <c r="F32" s="67">
        <f ca="1">IFERROR(__xludf.DUMMYFUNCTION("IMPORTRANGE(""https://docs.google.com/spreadsheets/d/1MeEWN-I1oV_STSDYn1IFDPWt_1FKiwhDph83XaGc0o0/edit?usp=sharing"",""งบพรบ!BW32"")"),10000)</f>
        <v>10000</v>
      </c>
      <c r="G32" s="68">
        <f ca="1">IFERROR(__xludf.DUMMYFUNCTION("IMPORTRANGE(""https://docs.google.com/spreadsheets/d/1MeEWN-I1oV_STSDYn1IFDPWt_1FKiwhDph83XaGc0o0/edit?usp=sharing"",""งบพรบ!BX32"")"),0)</f>
        <v>0</v>
      </c>
      <c r="H32" s="68">
        <f ca="1">IFERROR(__xludf.DUMMYFUNCTION("IMPORTRANGE(""https://docs.google.com/spreadsheets/d/1MeEWN-I1oV_STSDYn1IFDPWt_1FKiwhDph83XaGc0o0/edit?usp=sharing"",""งบพรบ!BZ32"")"),63420)</f>
        <v>63420</v>
      </c>
      <c r="I32" s="68">
        <f ca="1">IFERROR(__xludf.DUMMYFUNCTION("IMPORTRANGE(""https://docs.google.com/spreadsheets/d/1MeEWN-I1oV_STSDYn1IFDPWt_1FKiwhDph83XaGc0o0/edit?usp=sharing"",""งบพรบ!CA32"")"),0)</f>
        <v>0</v>
      </c>
      <c r="J32" s="68">
        <f t="shared" ca="1" si="3"/>
        <v>62440</v>
      </c>
      <c r="K32" s="69">
        <f t="shared" ca="1" si="4"/>
        <v>624.4</v>
      </c>
      <c r="L32" s="68">
        <f ca="1">IFERROR(__xludf.DUMMYFUNCTION("IMPORTRANGE(""https://docs.google.com/spreadsheets/d/1MeEWN-I1oV_STSDYn1IFDPWt_1FKiwhDph83XaGc0o0/edit?usp=sharing"",""งบพรบ!CB32"")"),62440)</f>
        <v>62440</v>
      </c>
      <c r="M32" s="70">
        <f t="shared" ca="1" si="5"/>
        <v>624.4</v>
      </c>
      <c r="N32" s="70">
        <f t="shared" ca="1" si="6"/>
        <v>98.454746136865339</v>
      </c>
      <c r="O32" s="71">
        <f ca="1">IFERROR(__xludf.DUMMYFUNCTION("IMPORTRANGE(""https://docs.google.com/spreadsheets/d/1MeEWN-I1oV_STSDYn1IFDPWt_1FKiwhDph83XaGc0o0/edit?usp=sharing"",""งบพรบ!CC32"")"),0)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IFERROR(__xludf.DUMMYFUNCTION("IMPORTRANGE(""https://docs.google.com/spreadsheets/d/1fb2B9NLcpJgjIieIJvenUTNPn0TimZDUi0OtYeiSQ_s/edit?usp=sharing"",""กาฬสินธุ์!I159"")"),20)</f>
        <v>20</v>
      </c>
      <c r="S32" s="68">
        <f ca="1">IFERROR(__xludf.DUMMYFUNCTION("IMPORTRANGE(""https://docs.google.com/spreadsheets/d/1fb2B9NLcpJgjIieIJvenUTNPn0TimZDUi0OtYeiSQ_s/edit?usp=sharing"",""กาฬสินธุ์!J159"")"),20)</f>
        <v>20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23"/>
        <v>0</v>
      </c>
      <c r="E33" s="77">
        <f ca="1">IFERROR(__xludf.DUMMYFUNCTION("IMPORTRANGE(""https://docs.google.com/spreadsheets/d/1MeEWN-I1oV_STSDYn1IFDPWt_1FKiwhDph83XaGc0o0/edit?usp=sharing"",""งบพรบ!BV33"")"),0)</f>
        <v>0</v>
      </c>
      <c r="F33" s="77">
        <f ca="1">IFERROR(__xludf.DUMMYFUNCTION("IMPORTRANGE(""https://docs.google.com/spreadsheets/d/1MeEWN-I1oV_STSDYn1IFDPWt_1FKiwhDph83XaGc0o0/edit?usp=sharing"",""งบพรบ!BW33"")"),0)</f>
        <v>0</v>
      </c>
      <c r="G33" s="77">
        <f ca="1">IFERROR(__xludf.DUMMYFUNCTION("IMPORTRANGE(""https://docs.google.com/spreadsheets/d/1MeEWN-I1oV_STSDYn1IFDPWt_1FKiwhDph83XaGc0o0/edit?usp=sharing"",""งบพรบ!BX33"")"),0)</f>
        <v>0</v>
      </c>
      <c r="H33" s="77">
        <f ca="1">IFERROR(__xludf.DUMMYFUNCTION("IMPORTRANGE(""https://docs.google.com/spreadsheets/d/1MeEWN-I1oV_STSDYn1IFDPWt_1FKiwhDph83XaGc0o0/edit?usp=sharing"",""งบพรบ!BZ33"")"),0)</f>
        <v>0</v>
      </c>
      <c r="I33" s="77">
        <f ca="1">IFERROR(__xludf.DUMMYFUNCTION("IMPORTRANGE(""https://docs.google.com/spreadsheets/d/1MeEWN-I1oV_STSDYn1IFDPWt_1FKiwhDph83XaGc0o0/edit?usp=sharing"",""งบพรบ!CA33"")"),0)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IFERROR(__xludf.DUMMYFUNCTION("IMPORTRANGE(""https://docs.google.com/spreadsheets/d/1MeEWN-I1oV_STSDYn1IFDPWt_1FKiwhDph83XaGc0o0/edit?usp=sharing"",""งบพรบ!CB33"")"),0)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IFERROR(__xludf.DUMMYFUNCTION("IMPORTRANGE(""https://docs.google.com/spreadsheets/d/1MeEWN-I1oV_STSDYn1IFDPWt_1FKiwhDph83XaGc0o0/edit?usp=sharing"",""งบพรบ!CC33"")"),0)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IFERROR(__xludf.DUMMYFUNCTION("IMPORTRANGE(""https://docs.google.com/spreadsheets/d/1SaMnqrwRGmFYNR0MhpWmHuL5niYUd5E7vDq8X7whAlI/edit?usp=sharing"",""ขอนแก่น!I159"")"),0)</f>
        <v>0</v>
      </c>
      <c r="S33" s="81">
        <f ca="1">IFERROR(__xludf.DUMMYFUNCTION("IMPORTRANGE(""https://docs.google.com/spreadsheets/d/1SaMnqrwRGmFYNR0MhpWmHuL5niYUd5E7vDq8X7whAlI/edit?usp=sharing"",""ขอนแก่น!J159"")"),0)</f>
        <v>0</v>
      </c>
      <c r="T33" s="82">
        <f t="shared" ca="1" si="16"/>
        <v>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23"/>
        <v>0</v>
      </c>
      <c r="E34" s="77">
        <f ca="1">IFERROR(__xludf.DUMMYFUNCTION("IMPORTRANGE(""https://docs.google.com/spreadsheets/d/1MeEWN-I1oV_STSDYn1IFDPWt_1FKiwhDph83XaGc0o0/edit?usp=sharing"",""งบพรบ!BV34"")"),0)</f>
        <v>0</v>
      </c>
      <c r="F34" s="77">
        <f ca="1">IFERROR(__xludf.DUMMYFUNCTION("IMPORTRANGE(""https://docs.google.com/spreadsheets/d/1MeEWN-I1oV_STSDYn1IFDPWt_1FKiwhDph83XaGc0o0/edit?usp=sharing"",""งบพรบ!BW34"")"),0)</f>
        <v>0</v>
      </c>
      <c r="G34" s="77">
        <f ca="1">IFERROR(__xludf.DUMMYFUNCTION("IMPORTRANGE(""https://docs.google.com/spreadsheets/d/1MeEWN-I1oV_STSDYn1IFDPWt_1FKiwhDph83XaGc0o0/edit?usp=sharing"",""งบพรบ!BX34"")"),0)</f>
        <v>0</v>
      </c>
      <c r="H34" s="77">
        <f ca="1">IFERROR(__xludf.DUMMYFUNCTION("IMPORTRANGE(""https://docs.google.com/spreadsheets/d/1MeEWN-I1oV_STSDYn1IFDPWt_1FKiwhDph83XaGc0o0/edit?usp=sharing"",""งบพรบ!BZ34"")"),6720)</f>
        <v>6720</v>
      </c>
      <c r="I34" s="77">
        <f ca="1">IFERROR(__xludf.DUMMYFUNCTION("IMPORTRANGE(""https://docs.google.com/spreadsheets/d/1MeEWN-I1oV_STSDYn1IFDPWt_1FKiwhDph83XaGc0o0/edit?usp=sharing"",""งบพรบ!CA34"")"),0)</f>
        <v>0</v>
      </c>
      <c r="J34" s="77">
        <f t="shared" ca="1" si="3"/>
        <v>6720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IFERROR(__xludf.DUMMYFUNCTION("IMPORTRANGE(""https://docs.google.com/spreadsheets/d/1MeEWN-I1oV_STSDYn1IFDPWt_1FKiwhDph83XaGc0o0/edit?usp=sharing"",""งบพรบ!CB34"")"),6720)</f>
        <v>6720</v>
      </c>
      <c r="M34" s="79">
        <f t="shared" ca="1" si="5"/>
        <v>0</v>
      </c>
      <c r="N34" s="79">
        <f t="shared" ca="1" si="6"/>
        <v>100</v>
      </c>
      <c r="O34" s="80">
        <f ca="1">IFERROR(__xludf.DUMMYFUNCTION("IMPORTRANGE(""https://docs.google.com/spreadsheets/d/1MeEWN-I1oV_STSDYn1IFDPWt_1FKiwhDph83XaGc0o0/edit?usp=sharing"",""งบพรบ!CC34"")"),0)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IFERROR(__xludf.DUMMYFUNCTION("IMPORTRANGE(""https://docs.google.com/spreadsheets/d/1xQzEtGHhTTgxHh6YUkKY1P4dRyjVhS74dGswLfAASA4/edit?usp=sharing"",""ชัยภูมิ!I159"")"),0)</f>
        <v>0</v>
      </c>
      <c r="S34" s="81">
        <f ca="1">IFERROR(__xludf.DUMMYFUNCTION("IMPORTRANGE(""https://docs.google.com/spreadsheets/d/1xQzEtGHhTTgxHh6YUkKY1P4dRyjVhS74dGswLfAASA4/edit?usp=sharing"",""ชัยภูมิ!J159"")"),0)</f>
        <v>0</v>
      </c>
      <c r="T34" s="82">
        <f t="shared" ca="1" si="16"/>
        <v>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23"/>
        <v>0</v>
      </c>
      <c r="E35" s="77">
        <f ca="1">IFERROR(__xludf.DUMMYFUNCTION("IMPORTRANGE(""https://docs.google.com/spreadsheets/d/1MeEWN-I1oV_STSDYn1IFDPWt_1FKiwhDph83XaGc0o0/edit?usp=sharing"",""งบพรบ!BV35"")"),0)</f>
        <v>0</v>
      </c>
      <c r="F35" s="77">
        <f ca="1">IFERROR(__xludf.DUMMYFUNCTION("IMPORTRANGE(""https://docs.google.com/spreadsheets/d/1MeEWN-I1oV_STSDYn1IFDPWt_1FKiwhDph83XaGc0o0/edit?usp=sharing"",""งบพรบ!BW35"")"),0)</f>
        <v>0</v>
      </c>
      <c r="G35" s="77">
        <f ca="1">IFERROR(__xludf.DUMMYFUNCTION("IMPORTRANGE(""https://docs.google.com/spreadsheets/d/1MeEWN-I1oV_STSDYn1IFDPWt_1FKiwhDph83XaGc0o0/edit?usp=sharing"",""งบพรบ!BX35"")"),0)</f>
        <v>0</v>
      </c>
      <c r="H35" s="77">
        <f ca="1">IFERROR(__xludf.DUMMYFUNCTION("IMPORTRANGE(""https://docs.google.com/spreadsheets/d/1MeEWN-I1oV_STSDYn1IFDPWt_1FKiwhDph83XaGc0o0/edit?usp=sharing"",""งบพรบ!BZ35"")"),0)</f>
        <v>0</v>
      </c>
      <c r="I35" s="77">
        <f ca="1">IFERROR(__xludf.DUMMYFUNCTION("IMPORTRANGE(""https://docs.google.com/spreadsheets/d/1MeEWN-I1oV_STSDYn1IFDPWt_1FKiwhDph83XaGc0o0/edit?usp=sharing"",""งบพรบ!CA35"")"),0)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IFERROR(__xludf.DUMMYFUNCTION("IMPORTRANGE(""https://docs.google.com/spreadsheets/d/1MeEWN-I1oV_STSDYn1IFDPWt_1FKiwhDph83XaGc0o0/edit?usp=sharing"",""งบพรบ!CB35"")"),0)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IFERROR(__xludf.DUMMYFUNCTION("IMPORTRANGE(""https://docs.google.com/spreadsheets/d/1MeEWN-I1oV_STSDYn1IFDPWt_1FKiwhDph83XaGc0o0/edit?usp=sharing"",""งบพรบ!CC35"")"),0)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IFERROR(__xludf.DUMMYFUNCTION("IMPORTRANGE(""https://docs.google.com/spreadsheets/d/1EXMBoBxU3OFbjT2TRpneM33qFjqDzrKmn9ydcflfI0o/edit?usp=sharing"",""นครพนม!I159"")"),0)</f>
        <v>0</v>
      </c>
      <c r="S35" s="81">
        <f ca="1">IFERROR(__xludf.DUMMYFUNCTION("IMPORTRANGE(""https://docs.google.com/spreadsheets/d/1EXMBoBxU3OFbjT2TRpneM33qFjqDzrKmn9ydcflfI0o/edit?usp=sharing"",""นครพนม!J159"")"),0)</f>
        <v>0</v>
      </c>
      <c r="T35" s="82">
        <f t="shared" ca="1" si="16"/>
        <v>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10000</v>
      </c>
      <c r="D36" s="76">
        <f t="shared" ca="1" si="23"/>
        <v>10000</v>
      </c>
      <c r="E36" s="77">
        <f ca="1">IFERROR(__xludf.DUMMYFUNCTION("IMPORTRANGE(""https://docs.google.com/spreadsheets/d/1MeEWN-I1oV_STSDYn1IFDPWt_1FKiwhDph83XaGc0o0/edit?usp=sharing"",""งบพรบ!BV36"")"),0)</f>
        <v>0</v>
      </c>
      <c r="F36" s="77">
        <f ca="1">IFERROR(__xludf.DUMMYFUNCTION("IMPORTRANGE(""https://docs.google.com/spreadsheets/d/1MeEWN-I1oV_STSDYn1IFDPWt_1FKiwhDph83XaGc0o0/edit?usp=sharing"",""งบพรบ!BW36"")"),10000)</f>
        <v>10000</v>
      </c>
      <c r="G36" s="77">
        <f ca="1">IFERROR(__xludf.DUMMYFUNCTION("IMPORTRANGE(""https://docs.google.com/spreadsheets/d/1MeEWN-I1oV_STSDYn1IFDPWt_1FKiwhDph83XaGc0o0/edit?usp=sharing"",""งบพรบ!BX36"")"),0)</f>
        <v>0</v>
      </c>
      <c r="H36" s="77">
        <f ca="1">IFERROR(__xludf.DUMMYFUNCTION("IMPORTRANGE(""https://docs.google.com/spreadsheets/d/1MeEWN-I1oV_STSDYn1IFDPWt_1FKiwhDph83XaGc0o0/edit?usp=sharing"",""งบพรบ!BZ36"")"),10000)</f>
        <v>10000</v>
      </c>
      <c r="I36" s="77">
        <f ca="1">IFERROR(__xludf.DUMMYFUNCTION("IMPORTRANGE(""https://docs.google.com/spreadsheets/d/1MeEWN-I1oV_STSDYn1IFDPWt_1FKiwhDph83XaGc0o0/edit?usp=sharing"",""งบพรบ!CA36"")"),0)</f>
        <v>0</v>
      </c>
      <c r="J36" s="77">
        <f t="shared" ca="1" si="3"/>
        <v>10000</v>
      </c>
      <c r="K36" s="78">
        <f t="shared" ca="1" si="4"/>
        <v>100</v>
      </c>
      <c r="L36" s="77">
        <f ca="1">IFERROR(__xludf.DUMMYFUNCTION("IMPORTRANGE(""https://docs.google.com/spreadsheets/d/1MeEWN-I1oV_STSDYn1IFDPWt_1FKiwhDph83XaGc0o0/edit?usp=sharing"",""งบพรบ!CB36"")"),10000)</f>
        <v>10000</v>
      </c>
      <c r="M36" s="79">
        <f t="shared" ca="1" si="5"/>
        <v>100</v>
      </c>
      <c r="N36" s="79">
        <f t="shared" ca="1" si="6"/>
        <v>100</v>
      </c>
      <c r="O36" s="80">
        <f ca="1">IFERROR(__xludf.DUMMYFUNCTION("IMPORTRANGE(""https://docs.google.com/spreadsheets/d/1MeEWN-I1oV_STSDYn1IFDPWt_1FKiwhDph83XaGc0o0/edit?usp=sharing"",""งบพรบ!CC36"")"),0)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IFERROR(__xludf.DUMMYFUNCTION("IMPORTRANGE(""https://docs.google.com/spreadsheets/d/1bDQrolntRWtHumK8W-x-HXKntwxB9S3sF5aDeRS66Ko/edit?usp=sharing"",""นครราชสีมา!I159"")"),20)</f>
        <v>20</v>
      </c>
      <c r="S36" s="81">
        <f ca="1">IFERROR(__xludf.DUMMYFUNCTION("IMPORTRANGE(""https://docs.google.com/spreadsheets/d/1bDQrolntRWtHumK8W-x-HXKntwxB9S3sF5aDeRS66Ko/edit?usp=sharing"",""นครราชสีมา!J159"")"),20)</f>
        <v>20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10000</v>
      </c>
      <c r="D37" s="76">
        <f t="shared" ca="1" si="23"/>
        <v>10000</v>
      </c>
      <c r="E37" s="77">
        <f ca="1">IFERROR(__xludf.DUMMYFUNCTION("IMPORTRANGE(""https://docs.google.com/spreadsheets/d/1MeEWN-I1oV_STSDYn1IFDPWt_1FKiwhDph83XaGc0o0/edit?usp=sharing"",""งบพรบ!BV37"")"),0)</f>
        <v>0</v>
      </c>
      <c r="F37" s="77">
        <f ca="1">IFERROR(__xludf.DUMMYFUNCTION("IMPORTRANGE(""https://docs.google.com/spreadsheets/d/1MeEWN-I1oV_STSDYn1IFDPWt_1FKiwhDph83XaGc0o0/edit?usp=sharing"",""งบพรบ!BW37"")"),10000)</f>
        <v>10000</v>
      </c>
      <c r="G37" s="77">
        <f ca="1">IFERROR(__xludf.DUMMYFUNCTION("IMPORTRANGE(""https://docs.google.com/spreadsheets/d/1MeEWN-I1oV_STSDYn1IFDPWt_1FKiwhDph83XaGc0o0/edit?usp=sharing"",""งบพรบ!BX37"")"),0)</f>
        <v>0</v>
      </c>
      <c r="H37" s="77">
        <f ca="1">IFERROR(__xludf.DUMMYFUNCTION("IMPORTRANGE(""https://docs.google.com/spreadsheets/d/1MeEWN-I1oV_STSDYn1IFDPWt_1FKiwhDph83XaGc0o0/edit?usp=sharing"",""งบพรบ!BZ37"")"),10000)</f>
        <v>10000</v>
      </c>
      <c r="I37" s="77">
        <f ca="1">IFERROR(__xludf.DUMMYFUNCTION("IMPORTRANGE(""https://docs.google.com/spreadsheets/d/1MeEWN-I1oV_STSDYn1IFDPWt_1FKiwhDph83XaGc0o0/edit?usp=sharing"",""งบพรบ!CA37"")"),0)</f>
        <v>0</v>
      </c>
      <c r="J37" s="77">
        <f t="shared" ca="1" si="3"/>
        <v>9645</v>
      </c>
      <c r="K37" s="78">
        <f t="shared" ca="1" si="4"/>
        <v>96.45</v>
      </c>
      <c r="L37" s="77">
        <f ca="1">IFERROR(__xludf.DUMMYFUNCTION("IMPORTRANGE(""https://docs.google.com/spreadsheets/d/1MeEWN-I1oV_STSDYn1IFDPWt_1FKiwhDph83XaGc0o0/edit?usp=sharing"",""งบพรบ!CB37"")"),9645)</f>
        <v>9645</v>
      </c>
      <c r="M37" s="79">
        <f t="shared" ca="1" si="5"/>
        <v>96.45</v>
      </c>
      <c r="N37" s="79">
        <f t="shared" ca="1" si="6"/>
        <v>96.45</v>
      </c>
      <c r="O37" s="80">
        <f ca="1">IFERROR(__xludf.DUMMYFUNCTION("IMPORTRANGE(""https://docs.google.com/spreadsheets/d/1MeEWN-I1oV_STSDYn1IFDPWt_1FKiwhDph83XaGc0o0/edit?usp=sharing"",""งบพรบ!CC37"")"),0)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IFERROR(__xludf.DUMMYFUNCTION("IMPORTRANGE(""https://docs.google.com/spreadsheets/d/1_MzZ-2gVPiCW-d2VcafoCmFJQTSrZ6SQyFcMqRRQQ2w/edit?usp=sharing"",""บึงกาฬ!I159"")"),20)</f>
        <v>20</v>
      </c>
      <c r="S37" s="81">
        <f ca="1">IFERROR(__xludf.DUMMYFUNCTION("IMPORTRANGE(""https://docs.google.com/spreadsheets/d/1_MzZ-2gVPiCW-d2VcafoCmFJQTSrZ6SQyFcMqRRQQ2w/edit?usp=sharing"",""บึงกาฬ!J159"")"),20)</f>
        <v>20</v>
      </c>
      <c r="T37" s="82">
        <f t="shared" ca="1" si="16"/>
        <v>100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10000</v>
      </c>
      <c r="D38" s="76">
        <f t="shared" ca="1" si="23"/>
        <v>10000</v>
      </c>
      <c r="E38" s="77">
        <f ca="1">IFERROR(__xludf.DUMMYFUNCTION("IMPORTRANGE(""https://docs.google.com/spreadsheets/d/1MeEWN-I1oV_STSDYn1IFDPWt_1FKiwhDph83XaGc0o0/edit?usp=sharing"",""งบพรบ!BV38"")"),0)</f>
        <v>0</v>
      </c>
      <c r="F38" s="77">
        <f ca="1">IFERROR(__xludf.DUMMYFUNCTION("IMPORTRANGE(""https://docs.google.com/spreadsheets/d/1MeEWN-I1oV_STSDYn1IFDPWt_1FKiwhDph83XaGc0o0/edit?usp=sharing"",""งบพรบ!BW38"")"),10000)</f>
        <v>10000</v>
      </c>
      <c r="G38" s="77">
        <f ca="1">IFERROR(__xludf.DUMMYFUNCTION("IMPORTRANGE(""https://docs.google.com/spreadsheets/d/1MeEWN-I1oV_STSDYn1IFDPWt_1FKiwhDph83XaGc0o0/edit?usp=sharing"",""งบพรบ!BX38"")"),0)</f>
        <v>0</v>
      </c>
      <c r="H38" s="77">
        <f ca="1">IFERROR(__xludf.DUMMYFUNCTION("IMPORTRANGE(""https://docs.google.com/spreadsheets/d/1MeEWN-I1oV_STSDYn1IFDPWt_1FKiwhDph83XaGc0o0/edit?usp=sharing"",""งบพรบ!BZ38"")"),34040)</f>
        <v>34040</v>
      </c>
      <c r="I38" s="77">
        <f ca="1">IFERROR(__xludf.DUMMYFUNCTION("IMPORTRANGE(""https://docs.google.com/spreadsheets/d/1MeEWN-I1oV_STSDYn1IFDPWt_1FKiwhDph83XaGc0o0/edit?usp=sharing"",""งบพรบ!CA38"")"),0)</f>
        <v>0</v>
      </c>
      <c r="J38" s="77">
        <f t="shared" ca="1" si="3"/>
        <v>23259</v>
      </c>
      <c r="K38" s="78">
        <f t="shared" ca="1" si="4"/>
        <v>232.59</v>
      </c>
      <c r="L38" s="77">
        <f ca="1">IFERROR(__xludf.DUMMYFUNCTION("IMPORTRANGE(""https://docs.google.com/spreadsheets/d/1MeEWN-I1oV_STSDYn1IFDPWt_1FKiwhDph83XaGc0o0/edit?usp=sharing"",""งบพรบ!CB38"")"),23259)</f>
        <v>23259</v>
      </c>
      <c r="M38" s="79">
        <f t="shared" ca="1" si="5"/>
        <v>232.59</v>
      </c>
      <c r="N38" s="79">
        <f t="shared" ca="1" si="6"/>
        <v>68.328437132784956</v>
      </c>
      <c r="O38" s="80">
        <f ca="1">IFERROR(__xludf.DUMMYFUNCTION("IMPORTRANGE(""https://docs.google.com/spreadsheets/d/1MeEWN-I1oV_STSDYn1IFDPWt_1FKiwhDph83XaGc0o0/edit?usp=sharing"",""งบพรบ!CC38"")"),0)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IFERROR(__xludf.DUMMYFUNCTION("IMPORTRANGE(""https://docs.google.com/spreadsheets/d/1B3lPpzOuaNwVItLwLEZYl_qEblfcx7dRnbRkAw0l-pE/edit?usp=sharing"",""บุรีรัมย์!I159"")"),20)</f>
        <v>20</v>
      </c>
      <c r="S38" s="81">
        <f ca="1">IFERROR(__xludf.DUMMYFUNCTION("IMPORTRANGE(""https://docs.google.com/spreadsheets/d/1B3lPpzOuaNwVItLwLEZYl_qEblfcx7dRnbRkAw0l-pE/edit?usp=sharing"",""บุรีรัมย์!J159"")"),20)</f>
        <v>20</v>
      </c>
      <c r="T38" s="82">
        <f t="shared" ca="1" si="16"/>
        <v>100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23"/>
        <v>0</v>
      </c>
      <c r="E39" s="77">
        <f ca="1">IFERROR(__xludf.DUMMYFUNCTION("IMPORTRANGE(""https://docs.google.com/spreadsheets/d/1MeEWN-I1oV_STSDYn1IFDPWt_1FKiwhDph83XaGc0o0/edit?usp=sharing"",""งบพรบ!BV39"")"),0)</f>
        <v>0</v>
      </c>
      <c r="F39" s="77">
        <f ca="1">IFERROR(__xludf.DUMMYFUNCTION("IMPORTRANGE(""https://docs.google.com/spreadsheets/d/1MeEWN-I1oV_STSDYn1IFDPWt_1FKiwhDph83XaGc0o0/edit?usp=sharing"",""งบพรบ!BW39"")"),0)</f>
        <v>0</v>
      </c>
      <c r="G39" s="77">
        <f ca="1">IFERROR(__xludf.DUMMYFUNCTION("IMPORTRANGE(""https://docs.google.com/spreadsheets/d/1MeEWN-I1oV_STSDYn1IFDPWt_1FKiwhDph83XaGc0o0/edit?usp=sharing"",""งบพรบ!BX39"")"),0)</f>
        <v>0</v>
      </c>
      <c r="H39" s="77">
        <f ca="1">IFERROR(__xludf.DUMMYFUNCTION("IMPORTRANGE(""https://docs.google.com/spreadsheets/d/1MeEWN-I1oV_STSDYn1IFDPWt_1FKiwhDph83XaGc0o0/edit?usp=sharing"",""งบพรบ!BZ39"")"),0)</f>
        <v>0</v>
      </c>
      <c r="I39" s="77">
        <f ca="1">IFERROR(__xludf.DUMMYFUNCTION("IMPORTRANGE(""https://docs.google.com/spreadsheets/d/1MeEWN-I1oV_STSDYn1IFDPWt_1FKiwhDph83XaGc0o0/edit?usp=sharing"",""งบพรบ!CA39"")"),0)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IFERROR(__xludf.DUMMYFUNCTION("IMPORTRANGE(""https://docs.google.com/spreadsheets/d/1MeEWN-I1oV_STSDYn1IFDPWt_1FKiwhDph83XaGc0o0/edit?usp=sharing"",""งบพรบ!CB39"")"),0)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IFERROR(__xludf.DUMMYFUNCTION("IMPORTRANGE(""https://docs.google.com/spreadsheets/d/1MeEWN-I1oV_STSDYn1IFDPWt_1FKiwhDph83XaGc0o0/edit?usp=sharing"",""งบพรบ!CC39"")"),0)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IFERROR(__xludf.DUMMYFUNCTION("IMPORTRANGE(""https://docs.google.com/spreadsheets/d/19GOkiOqnzYbevLYWrMk4qFOXe3rX14BkSA8X-mq-a40/edit?usp=sharing"",""มหาสารคาม!I159"")"),0)</f>
        <v>0</v>
      </c>
      <c r="S39" s="81">
        <f ca="1">IFERROR(__xludf.DUMMYFUNCTION("IMPORTRANGE(""https://docs.google.com/spreadsheets/d/19GOkiOqnzYbevLYWrMk4qFOXe3rX14BkSA8X-mq-a40/edit?usp=sharing"",""มหาสารคาม!J159"")"),0)</f>
        <v>0</v>
      </c>
      <c r="T39" s="82">
        <f t="shared" ca="1" si="16"/>
        <v>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0</v>
      </c>
      <c r="D40" s="76">
        <f t="shared" ca="1" si="23"/>
        <v>0</v>
      </c>
      <c r="E40" s="77">
        <f ca="1">IFERROR(__xludf.DUMMYFUNCTION("IMPORTRANGE(""https://docs.google.com/spreadsheets/d/1MeEWN-I1oV_STSDYn1IFDPWt_1FKiwhDph83XaGc0o0/edit?usp=sharing"",""งบพรบ!BV40"")"),0)</f>
        <v>0</v>
      </c>
      <c r="F40" s="77">
        <f ca="1">IFERROR(__xludf.DUMMYFUNCTION("IMPORTRANGE(""https://docs.google.com/spreadsheets/d/1MeEWN-I1oV_STSDYn1IFDPWt_1FKiwhDph83XaGc0o0/edit?usp=sharing"",""งบพรบ!BW40"")"),0)</f>
        <v>0</v>
      </c>
      <c r="G40" s="77">
        <f ca="1">IFERROR(__xludf.DUMMYFUNCTION("IMPORTRANGE(""https://docs.google.com/spreadsheets/d/1MeEWN-I1oV_STSDYn1IFDPWt_1FKiwhDph83XaGc0o0/edit?usp=sharing"",""งบพรบ!BX40"")"),0)</f>
        <v>0</v>
      </c>
      <c r="H40" s="77">
        <f ca="1">IFERROR(__xludf.DUMMYFUNCTION("IMPORTRANGE(""https://docs.google.com/spreadsheets/d/1MeEWN-I1oV_STSDYn1IFDPWt_1FKiwhDph83XaGc0o0/edit?usp=sharing"",""งบพรบ!BZ40"")"),0)</f>
        <v>0</v>
      </c>
      <c r="I40" s="77">
        <f ca="1">IFERROR(__xludf.DUMMYFUNCTION("IMPORTRANGE(""https://docs.google.com/spreadsheets/d/1MeEWN-I1oV_STSDYn1IFDPWt_1FKiwhDph83XaGc0o0/edit?usp=sharing"",""งบพรบ!CA40"")"),0)</f>
        <v>0</v>
      </c>
      <c r="J40" s="77">
        <f t="shared" ca="1" si="3"/>
        <v>0</v>
      </c>
      <c r="K40" s="78">
        <f t="shared" ca="1" si="4"/>
        <v>0</v>
      </c>
      <c r="L40" s="77">
        <f ca="1">IFERROR(__xludf.DUMMYFUNCTION("IMPORTRANGE(""https://docs.google.com/spreadsheets/d/1MeEWN-I1oV_STSDYn1IFDPWt_1FKiwhDph83XaGc0o0/edit?usp=sharing"",""งบพรบ!CB40"")"),0)</f>
        <v>0</v>
      </c>
      <c r="M40" s="79">
        <f t="shared" ca="1" si="5"/>
        <v>0</v>
      </c>
      <c r="N40" s="79">
        <f t="shared" ca="1" si="6"/>
        <v>0</v>
      </c>
      <c r="O40" s="80">
        <f ca="1">IFERROR(__xludf.DUMMYFUNCTION("IMPORTRANGE(""https://docs.google.com/spreadsheets/d/1MeEWN-I1oV_STSDYn1IFDPWt_1FKiwhDph83XaGc0o0/edit?usp=sharing"",""งบพรบ!CC40"")"),0)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IFERROR(__xludf.DUMMYFUNCTION("IMPORTRANGE(""https://docs.google.com/spreadsheets/d/1uMKqWwuNQ-TCKboGA3Bb1qXb5uj2-faACNUINCz8PN4/edit?usp=sharing"",""มุกดาหาร!I159"")"),0)</f>
        <v>0</v>
      </c>
      <c r="S40" s="81">
        <f ca="1">IFERROR(__xludf.DUMMYFUNCTION("IMPORTRANGE(""https://docs.google.com/spreadsheets/d/1uMKqWwuNQ-TCKboGA3Bb1qXb5uj2-faACNUINCz8PN4/edit?usp=sharing"",""มุกดาหาร!J159"")"),0)</f>
        <v>0</v>
      </c>
      <c r="T40" s="82">
        <f t="shared" ca="1" si="16"/>
        <v>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0</v>
      </c>
      <c r="D41" s="76">
        <f t="shared" ca="1" si="23"/>
        <v>0</v>
      </c>
      <c r="E41" s="77">
        <f ca="1">IFERROR(__xludf.DUMMYFUNCTION("IMPORTRANGE(""https://docs.google.com/spreadsheets/d/1MeEWN-I1oV_STSDYn1IFDPWt_1FKiwhDph83XaGc0o0/edit?usp=sharing"",""งบพรบ!BV41"")"),0)</f>
        <v>0</v>
      </c>
      <c r="F41" s="77">
        <f ca="1">IFERROR(__xludf.DUMMYFUNCTION("IMPORTRANGE(""https://docs.google.com/spreadsheets/d/1MeEWN-I1oV_STSDYn1IFDPWt_1FKiwhDph83XaGc0o0/edit?usp=sharing"",""งบพรบ!BW41"")"),0)</f>
        <v>0</v>
      </c>
      <c r="G41" s="77">
        <f ca="1">IFERROR(__xludf.DUMMYFUNCTION("IMPORTRANGE(""https://docs.google.com/spreadsheets/d/1MeEWN-I1oV_STSDYn1IFDPWt_1FKiwhDph83XaGc0o0/edit?usp=sharing"",""งบพรบ!BX41"")"),0)</f>
        <v>0</v>
      </c>
      <c r="H41" s="77">
        <f ca="1">IFERROR(__xludf.DUMMYFUNCTION("IMPORTRANGE(""https://docs.google.com/spreadsheets/d/1MeEWN-I1oV_STSDYn1IFDPWt_1FKiwhDph83XaGc0o0/edit?usp=sharing"",""งบพรบ!BZ41"")"),7840)</f>
        <v>7840</v>
      </c>
      <c r="I41" s="77">
        <f ca="1">IFERROR(__xludf.DUMMYFUNCTION("IMPORTRANGE(""https://docs.google.com/spreadsheets/d/1MeEWN-I1oV_STSDYn1IFDPWt_1FKiwhDph83XaGc0o0/edit?usp=sharing"",""งบพรบ!CA41"")"),0)</f>
        <v>0</v>
      </c>
      <c r="J41" s="77">
        <f t="shared" ca="1" si="3"/>
        <v>7840</v>
      </c>
      <c r="K41" s="78">
        <f t="shared" ca="1" si="4"/>
        <v>0</v>
      </c>
      <c r="L41" s="77">
        <f ca="1">IFERROR(__xludf.DUMMYFUNCTION("IMPORTRANGE(""https://docs.google.com/spreadsheets/d/1MeEWN-I1oV_STSDYn1IFDPWt_1FKiwhDph83XaGc0o0/edit?usp=sharing"",""งบพรบ!CB41"")"),7840)</f>
        <v>7840</v>
      </c>
      <c r="M41" s="79">
        <f t="shared" ca="1" si="5"/>
        <v>0</v>
      </c>
      <c r="N41" s="79">
        <f t="shared" ca="1" si="6"/>
        <v>100</v>
      </c>
      <c r="O41" s="80">
        <f ca="1">IFERROR(__xludf.DUMMYFUNCTION("IMPORTRANGE(""https://docs.google.com/spreadsheets/d/1MeEWN-I1oV_STSDYn1IFDPWt_1FKiwhDph83XaGc0o0/edit?usp=sharing"",""งบพรบ!CC41"")"),0)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IFERROR(__xludf.DUMMYFUNCTION("IMPORTRANGE(""https://docs.google.com/spreadsheets/d/1oKaccgDdQABndOzGr688Dbfxb_V3YcF67VqEPBtdzsc/edit?usp=sharing"",""ยโสธร!I159"")"),0)</f>
        <v>0</v>
      </c>
      <c r="S41" s="81">
        <f ca="1">IFERROR(__xludf.DUMMYFUNCTION("IMPORTRANGE(""https://docs.google.com/spreadsheets/d/1oKaccgDdQABndOzGr688Dbfxb_V3YcF67VqEPBtdzsc/edit?usp=sharing"",""ยโสธร!J159"")"),0)</f>
        <v>0</v>
      </c>
      <c r="T41" s="82">
        <f t="shared" ca="1" si="16"/>
        <v>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5000</v>
      </c>
      <c r="D42" s="76">
        <f t="shared" ca="1" si="23"/>
        <v>5000</v>
      </c>
      <c r="E42" s="77">
        <f ca="1">IFERROR(__xludf.DUMMYFUNCTION("IMPORTRANGE(""https://docs.google.com/spreadsheets/d/1MeEWN-I1oV_STSDYn1IFDPWt_1FKiwhDph83XaGc0o0/edit?usp=sharing"",""งบพรบ!BV42"")"),0)</f>
        <v>0</v>
      </c>
      <c r="F42" s="77">
        <f ca="1">IFERROR(__xludf.DUMMYFUNCTION("IMPORTRANGE(""https://docs.google.com/spreadsheets/d/1MeEWN-I1oV_STSDYn1IFDPWt_1FKiwhDph83XaGc0o0/edit?usp=sharing"",""งบพรบ!BW42"")"),5000)</f>
        <v>5000</v>
      </c>
      <c r="G42" s="77">
        <f ca="1">IFERROR(__xludf.DUMMYFUNCTION("IMPORTRANGE(""https://docs.google.com/spreadsheets/d/1MeEWN-I1oV_STSDYn1IFDPWt_1FKiwhDph83XaGc0o0/edit?usp=sharing"",""งบพรบ!BX42"")"),0)</f>
        <v>0</v>
      </c>
      <c r="H42" s="77">
        <f ca="1">IFERROR(__xludf.DUMMYFUNCTION("IMPORTRANGE(""https://docs.google.com/spreadsheets/d/1MeEWN-I1oV_STSDYn1IFDPWt_1FKiwhDph83XaGc0o0/edit?usp=sharing"",""งบพรบ!BZ42"")"),83300)</f>
        <v>83300</v>
      </c>
      <c r="I42" s="77">
        <f ca="1">IFERROR(__xludf.DUMMYFUNCTION("IMPORTRANGE(""https://docs.google.com/spreadsheets/d/1MeEWN-I1oV_STSDYn1IFDPWt_1FKiwhDph83XaGc0o0/edit?usp=sharing"",""งบพรบ!CA42"")"),0)</f>
        <v>0</v>
      </c>
      <c r="J42" s="77">
        <f t="shared" ca="1" si="3"/>
        <v>73726.5</v>
      </c>
      <c r="K42" s="78">
        <f t="shared" ca="1" si="4"/>
        <v>1474.53</v>
      </c>
      <c r="L42" s="77">
        <f ca="1">IFERROR(__xludf.DUMMYFUNCTION("IMPORTRANGE(""https://docs.google.com/spreadsheets/d/1MeEWN-I1oV_STSDYn1IFDPWt_1FKiwhDph83XaGc0o0/edit?usp=sharing"",""งบพรบ!CB42"")"),73726.5)</f>
        <v>73726.5</v>
      </c>
      <c r="M42" s="79">
        <f t="shared" ca="1" si="5"/>
        <v>1474.53</v>
      </c>
      <c r="N42" s="79">
        <f t="shared" ca="1" si="6"/>
        <v>88.507202881152466</v>
      </c>
      <c r="O42" s="80">
        <f ca="1">IFERROR(__xludf.DUMMYFUNCTION("IMPORTRANGE(""https://docs.google.com/spreadsheets/d/1MeEWN-I1oV_STSDYn1IFDPWt_1FKiwhDph83XaGc0o0/edit?usp=sharing"",""งบพรบ!CC42"")"),0)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IFERROR(__xludf.DUMMYFUNCTION("IMPORTRANGE(""https://docs.google.com/spreadsheets/d/1BRgc8xKpxZ0PX-gauieMVkV_IOxKSotf0yW8MabGprQ/edit?usp=sharing"",""ร้อยเอ็ด!I159"")"),10)</f>
        <v>10</v>
      </c>
      <c r="S42" s="81">
        <f ca="1">IFERROR(__xludf.DUMMYFUNCTION("IMPORTRANGE(""https://docs.google.com/spreadsheets/d/1BRgc8xKpxZ0PX-gauieMVkV_IOxKSotf0yW8MabGprQ/edit?usp=sharing"",""ร้อยเอ็ด!J159"")"),10)</f>
        <v>10</v>
      </c>
      <c r="T42" s="82">
        <f t="shared" ca="1" si="16"/>
        <v>100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23"/>
        <v>0</v>
      </c>
      <c r="E43" s="77">
        <f ca="1">IFERROR(__xludf.DUMMYFUNCTION("IMPORTRANGE(""https://docs.google.com/spreadsheets/d/1MeEWN-I1oV_STSDYn1IFDPWt_1FKiwhDph83XaGc0o0/edit?usp=sharing"",""งบพรบ!BV43"")"),0)</f>
        <v>0</v>
      </c>
      <c r="F43" s="77">
        <f ca="1">IFERROR(__xludf.DUMMYFUNCTION("IMPORTRANGE(""https://docs.google.com/spreadsheets/d/1MeEWN-I1oV_STSDYn1IFDPWt_1FKiwhDph83XaGc0o0/edit?usp=sharing"",""งบพรบ!BW43"")"),0)</f>
        <v>0</v>
      </c>
      <c r="G43" s="77">
        <f ca="1">IFERROR(__xludf.DUMMYFUNCTION("IMPORTRANGE(""https://docs.google.com/spreadsheets/d/1MeEWN-I1oV_STSDYn1IFDPWt_1FKiwhDph83XaGc0o0/edit?usp=sharing"",""งบพรบ!BX43"")"),0)</f>
        <v>0</v>
      </c>
      <c r="H43" s="77">
        <f ca="1">IFERROR(__xludf.DUMMYFUNCTION("IMPORTRANGE(""https://docs.google.com/spreadsheets/d/1MeEWN-I1oV_STSDYn1IFDPWt_1FKiwhDph83XaGc0o0/edit?usp=sharing"",""งบพรบ!BZ43"")"),7760)</f>
        <v>7760</v>
      </c>
      <c r="I43" s="77">
        <f ca="1">IFERROR(__xludf.DUMMYFUNCTION("IMPORTRANGE(""https://docs.google.com/spreadsheets/d/1MeEWN-I1oV_STSDYn1IFDPWt_1FKiwhDph83XaGc0o0/edit?usp=sharing"",""งบพรบ!CA43"")"),0)</f>
        <v>0</v>
      </c>
      <c r="J43" s="77">
        <f t="shared" ca="1" si="3"/>
        <v>7760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IFERROR(__xludf.DUMMYFUNCTION("IMPORTRANGE(""https://docs.google.com/spreadsheets/d/1MeEWN-I1oV_STSDYn1IFDPWt_1FKiwhDph83XaGc0o0/edit?usp=sharing"",""งบพรบ!CB43"")"),7760)</f>
        <v>7760</v>
      </c>
      <c r="M43" s="79">
        <f t="shared" ca="1" si="5"/>
        <v>0</v>
      </c>
      <c r="N43" s="79">
        <f t="shared" ca="1" si="6"/>
        <v>100</v>
      </c>
      <c r="O43" s="80">
        <f ca="1">IFERROR(__xludf.DUMMYFUNCTION("IMPORTRANGE(""https://docs.google.com/spreadsheets/d/1MeEWN-I1oV_STSDYn1IFDPWt_1FKiwhDph83XaGc0o0/edit?usp=sharing"",""งบพรบ!CC43"")"),0)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IFERROR(__xludf.DUMMYFUNCTION("IMPORTRANGE(""https://docs.google.com/spreadsheets/d/1IdolZc-dfdgMwAm_KZxYJl1sUOcIgnbGQzbWOlddedo/edit?usp=sharing"",""เลย!I159"")"),0)</f>
        <v>0</v>
      </c>
      <c r="S43" s="81">
        <f ca="1">IFERROR(__xludf.DUMMYFUNCTION("IMPORTRANGE(""https://docs.google.com/spreadsheets/d/1IdolZc-dfdgMwAm_KZxYJl1sUOcIgnbGQzbWOlddedo/edit?usp=sharing"",""เลย!J159"")"),0)</f>
        <v>0</v>
      </c>
      <c r="T43" s="82">
        <f t="shared" ca="1" si="16"/>
        <v>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23"/>
        <v>0</v>
      </c>
      <c r="E44" s="77">
        <f ca="1">IFERROR(__xludf.DUMMYFUNCTION("IMPORTRANGE(""https://docs.google.com/spreadsheets/d/1MeEWN-I1oV_STSDYn1IFDPWt_1FKiwhDph83XaGc0o0/edit?usp=sharing"",""งบพรบ!BV44"")"),0)</f>
        <v>0</v>
      </c>
      <c r="F44" s="77">
        <f ca="1">IFERROR(__xludf.DUMMYFUNCTION("IMPORTRANGE(""https://docs.google.com/spreadsheets/d/1MeEWN-I1oV_STSDYn1IFDPWt_1FKiwhDph83XaGc0o0/edit?usp=sharing"",""งบพรบ!BW44"")"),0)</f>
        <v>0</v>
      </c>
      <c r="G44" s="77">
        <f ca="1">IFERROR(__xludf.DUMMYFUNCTION("IMPORTRANGE(""https://docs.google.com/spreadsheets/d/1MeEWN-I1oV_STSDYn1IFDPWt_1FKiwhDph83XaGc0o0/edit?usp=sharing"",""งบพรบ!BX44"")"),0)</f>
        <v>0</v>
      </c>
      <c r="H44" s="77">
        <f ca="1">IFERROR(__xludf.DUMMYFUNCTION("IMPORTRANGE(""https://docs.google.com/spreadsheets/d/1MeEWN-I1oV_STSDYn1IFDPWt_1FKiwhDph83XaGc0o0/edit?usp=sharing"",""งบพรบ!BZ44"")"),27290)</f>
        <v>27290</v>
      </c>
      <c r="I44" s="77">
        <f ca="1">IFERROR(__xludf.DUMMYFUNCTION("IMPORTRANGE(""https://docs.google.com/spreadsheets/d/1MeEWN-I1oV_STSDYn1IFDPWt_1FKiwhDph83XaGc0o0/edit?usp=sharing"",""งบพรบ!CA44"")"),0)</f>
        <v>0</v>
      </c>
      <c r="J44" s="77">
        <f t="shared" ca="1" si="3"/>
        <v>27290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IFERROR(__xludf.DUMMYFUNCTION("IMPORTRANGE(""https://docs.google.com/spreadsheets/d/1MeEWN-I1oV_STSDYn1IFDPWt_1FKiwhDph83XaGc0o0/edit?usp=sharing"",""งบพรบ!CB44"")"),27290)</f>
        <v>27290</v>
      </c>
      <c r="M44" s="79">
        <f t="shared" ca="1" si="5"/>
        <v>0</v>
      </c>
      <c r="N44" s="79">
        <f t="shared" ca="1" si="6"/>
        <v>100</v>
      </c>
      <c r="O44" s="80">
        <f ca="1">IFERROR(__xludf.DUMMYFUNCTION("IMPORTRANGE(""https://docs.google.com/spreadsheets/d/1MeEWN-I1oV_STSDYn1IFDPWt_1FKiwhDph83XaGc0o0/edit?usp=sharing"",""งบพรบ!CC44"")"),0)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IFERROR(__xludf.DUMMYFUNCTION("IMPORTRANGE(""https://docs.google.com/spreadsheets/d/1tZ0nmtGuIRCaGAMXHlQU8EpR9LOAJvyKfc4f7EFmE34/edit?usp=sharing"",""ศรีสะเกษ!I159"")"),0)</f>
        <v>0</v>
      </c>
      <c r="S44" s="81">
        <f ca="1">IFERROR(__xludf.DUMMYFUNCTION("IMPORTRANGE(""https://docs.google.com/spreadsheets/d/1tZ0nmtGuIRCaGAMXHlQU8EpR9LOAJvyKfc4f7EFmE34/edit?usp=sharing"",""ศรีสะเกษ!J159"")"),0)</f>
        <v>0</v>
      </c>
      <c r="T44" s="82">
        <f t="shared" ca="1" si="16"/>
        <v>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10000</v>
      </c>
      <c r="D45" s="76">
        <f t="shared" ca="1" si="23"/>
        <v>10000</v>
      </c>
      <c r="E45" s="77">
        <f ca="1">IFERROR(__xludf.DUMMYFUNCTION("IMPORTRANGE(""https://docs.google.com/spreadsheets/d/1MeEWN-I1oV_STSDYn1IFDPWt_1FKiwhDph83XaGc0o0/edit?usp=sharing"",""งบพรบ!BV45"")"),0)</f>
        <v>0</v>
      </c>
      <c r="F45" s="77">
        <f ca="1">IFERROR(__xludf.DUMMYFUNCTION("IMPORTRANGE(""https://docs.google.com/spreadsheets/d/1MeEWN-I1oV_STSDYn1IFDPWt_1FKiwhDph83XaGc0o0/edit?usp=sharing"",""งบพรบ!BW45"")"),10000)</f>
        <v>10000</v>
      </c>
      <c r="G45" s="77">
        <f ca="1">IFERROR(__xludf.DUMMYFUNCTION("IMPORTRANGE(""https://docs.google.com/spreadsheets/d/1MeEWN-I1oV_STSDYn1IFDPWt_1FKiwhDph83XaGc0o0/edit?usp=sharing"",""งบพรบ!BX45"")"),0)</f>
        <v>0</v>
      </c>
      <c r="H45" s="77">
        <f ca="1">IFERROR(__xludf.DUMMYFUNCTION("IMPORTRANGE(""https://docs.google.com/spreadsheets/d/1MeEWN-I1oV_STSDYn1IFDPWt_1FKiwhDph83XaGc0o0/edit?usp=sharing"",""งบพรบ!BZ45"")"),31400)</f>
        <v>31400</v>
      </c>
      <c r="I45" s="77">
        <f ca="1">IFERROR(__xludf.DUMMYFUNCTION("IMPORTRANGE(""https://docs.google.com/spreadsheets/d/1MeEWN-I1oV_STSDYn1IFDPWt_1FKiwhDph83XaGc0o0/edit?usp=sharing"",""งบพรบ!CA45"")"),0)</f>
        <v>0</v>
      </c>
      <c r="J45" s="77">
        <f t="shared" ca="1" si="3"/>
        <v>31400</v>
      </c>
      <c r="K45" s="78">
        <f t="shared" ca="1" si="4"/>
        <v>314</v>
      </c>
      <c r="L45" s="77">
        <f ca="1">IFERROR(__xludf.DUMMYFUNCTION("IMPORTRANGE(""https://docs.google.com/spreadsheets/d/1MeEWN-I1oV_STSDYn1IFDPWt_1FKiwhDph83XaGc0o0/edit?usp=sharing"",""งบพรบ!CB45"")"),31400)</f>
        <v>31400</v>
      </c>
      <c r="M45" s="79">
        <f t="shared" ca="1" si="5"/>
        <v>314</v>
      </c>
      <c r="N45" s="79">
        <f t="shared" ca="1" si="6"/>
        <v>100</v>
      </c>
      <c r="O45" s="80">
        <f ca="1">IFERROR(__xludf.DUMMYFUNCTION("IMPORTRANGE(""https://docs.google.com/spreadsheets/d/1MeEWN-I1oV_STSDYn1IFDPWt_1FKiwhDph83XaGc0o0/edit?usp=sharing"",""งบพรบ!CC45"")"),0)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IFERROR(__xludf.DUMMYFUNCTION("IMPORTRANGE(""https://docs.google.com/spreadsheets/d/1QC8psz9w0f9IVE9Xuc2FT_btkaOzZbbUSgYObpBuetM/edit?usp=sharing"",""สกลนคร!I159"")"),20)</f>
        <v>20</v>
      </c>
      <c r="S45" s="81">
        <f ca="1">IFERROR(__xludf.DUMMYFUNCTION("IMPORTRANGE(""https://docs.google.com/spreadsheets/d/1QC8psz9w0f9IVE9Xuc2FT_btkaOzZbbUSgYObpBuetM/edit?usp=sharing"",""สกลนคร!J159"")"),20)</f>
        <v>20</v>
      </c>
      <c r="T45" s="82">
        <f t="shared" ca="1" si="16"/>
        <v>100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23"/>
        <v>0</v>
      </c>
      <c r="E46" s="77">
        <f ca="1">IFERROR(__xludf.DUMMYFUNCTION("IMPORTRANGE(""https://docs.google.com/spreadsheets/d/1MeEWN-I1oV_STSDYn1IFDPWt_1FKiwhDph83XaGc0o0/edit?usp=sharing"",""งบพรบ!BV46"")"),0)</f>
        <v>0</v>
      </c>
      <c r="F46" s="77">
        <f ca="1">IFERROR(__xludf.DUMMYFUNCTION("IMPORTRANGE(""https://docs.google.com/spreadsheets/d/1MeEWN-I1oV_STSDYn1IFDPWt_1FKiwhDph83XaGc0o0/edit?usp=sharing"",""งบพรบ!BW46"")"),0)</f>
        <v>0</v>
      </c>
      <c r="G46" s="77">
        <f ca="1">IFERROR(__xludf.DUMMYFUNCTION("IMPORTRANGE(""https://docs.google.com/spreadsheets/d/1MeEWN-I1oV_STSDYn1IFDPWt_1FKiwhDph83XaGc0o0/edit?usp=sharing"",""งบพรบ!BX46"")"),0)</f>
        <v>0</v>
      </c>
      <c r="H46" s="77">
        <f ca="1">IFERROR(__xludf.DUMMYFUNCTION("IMPORTRANGE(""https://docs.google.com/spreadsheets/d/1MeEWN-I1oV_STSDYn1IFDPWt_1FKiwhDph83XaGc0o0/edit?usp=sharing"",""งบพรบ!BZ46"")"),0)</f>
        <v>0</v>
      </c>
      <c r="I46" s="77">
        <f ca="1">IFERROR(__xludf.DUMMYFUNCTION("IMPORTRANGE(""https://docs.google.com/spreadsheets/d/1MeEWN-I1oV_STSDYn1IFDPWt_1FKiwhDph83XaGc0o0/edit?usp=sharing"",""งบพรบ!CA46"")"),0)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IFERROR(__xludf.DUMMYFUNCTION("IMPORTRANGE(""https://docs.google.com/spreadsheets/d/1MeEWN-I1oV_STSDYn1IFDPWt_1FKiwhDph83XaGc0o0/edit?usp=sharing"",""งบพรบ!CB46"")"),0)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IFERROR(__xludf.DUMMYFUNCTION("IMPORTRANGE(""https://docs.google.com/spreadsheets/d/1MeEWN-I1oV_STSDYn1IFDPWt_1FKiwhDph83XaGc0o0/edit?usp=sharing"",""งบพรบ!CC46"")"),0)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IFERROR(__xludf.DUMMYFUNCTION("IMPORTRANGE(""https://docs.google.com/spreadsheets/d/1wPdvRbu02d33MYVlbsCnyTiZpefEBs9NNktAnT1HZvw/edit?usp=sharing"",""สุรินทร์!I159"")"),0)</f>
        <v>0</v>
      </c>
      <c r="S46" s="81">
        <f ca="1">IFERROR(__xludf.DUMMYFUNCTION("IMPORTRANGE(""https://docs.google.com/spreadsheets/d/1wPdvRbu02d33MYVlbsCnyTiZpefEBs9NNktAnT1HZvw/edit?usp=sharing"",""สุรินทร์!J159"")"),0)</f>
        <v>0</v>
      </c>
      <c r="T46" s="82">
        <f t="shared" ca="1" si="16"/>
        <v>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0</v>
      </c>
      <c r="D47" s="76">
        <f t="shared" ca="1" si="23"/>
        <v>0</v>
      </c>
      <c r="E47" s="77">
        <f ca="1">IFERROR(__xludf.DUMMYFUNCTION("IMPORTRANGE(""https://docs.google.com/spreadsheets/d/1MeEWN-I1oV_STSDYn1IFDPWt_1FKiwhDph83XaGc0o0/edit?usp=sharing"",""งบพรบ!BV47"")"),0)</f>
        <v>0</v>
      </c>
      <c r="F47" s="77">
        <f ca="1">IFERROR(__xludf.DUMMYFUNCTION("IMPORTRANGE(""https://docs.google.com/spreadsheets/d/1MeEWN-I1oV_STSDYn1IFDPWt_1FKiwhDph83XaGc0o0/edit?usp=sharing"",""งบพรบ!BW47"")"),0)</f>
        <v>0</v>
      </c>
      <c r="G47" s="77">
        <f ca="1">IFERROR(__xludf.DUMMYFUNCTION("IMPORTRANGE(""https://docs.google.com/spreadsheets/d/1MeEWN-I1oV_STSDYn1IFDPWt_1FKiwhDph83XaGc0o0/edit?usp=sharing"",""งบพรบ!BX47"")"),0)</f>
        <v>0</v>
      </c>
      <c r="H47" s="77">
        <f ca="1">IFERROR(__xludf.DUMMYFUNCTION("IMPORTRANGE(""https://docs.google.com/spreadsheets/d/1MeEWN-I1oV_STSDYn1IFDPWt_1FKiwhDph83XaGc0o0/edit?usp=sharing"",""งบพรบ!BZ47"")"),0)</f>
        <v>0</v>
      </c>
      <c r="I47" s="77">
        <f ca="1">IFERROR(__xludf.DUMMYFUNCTION("IMPORTRANGE(""https://docs.google.com/spreadsheets/d/1MeEWN-I1oV_STSDYn1IFDPWt_1FKiwhDph83XaGc0o0/edit?usp=sharing"",""งบพรบ!CA47"")"),0)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IFERROR(__xludf.DUMMYFUNCTION("IMPORTRANGE(""https://docs.google.com/spreadsheets/d/1MeEWN-I1oV_STSDYn1IFDPWt_1FKiwhDph83XaGc0o0/edit?usp=sharing"",""งบพรบ!CB47"")"),0)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IFERROR(__xludf.DUMMYFUNCTION("IMPORTRANGE(""https://docs.google.com/spreadsheets/d/1MeEWN-I1oV_STSDYn1IFDPWt_1FKiwhDph83XaGc0o0/edit?usp=sharing"",""งบพรบ!CC47"")"),0)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IFERROR(__xludf.DUMMYFUNCTION("IMPORTRANGE(""https://docs.google.com/spreadsheets/d/1GVExpf-Exi_2gmuqTYH28fseTB9MoKPXWcXCbSt_YrM/edit?usp=sharing"",""หนองคาย!I159"")"),0)</f>
        <v>0</v>
      </c>
      <c r="S47" s="81">
        <f ca="1">IFERROR(__xludf.DUMMYFUNCTION("IMPORTRANGE(""https://docs.google.com/spreadsheets/d/1GVExpf-Exi_2gmuqTYH28fseTB9MoKPXWcXCbSt_YrM/edit?usp=sharing"",""หนองคาย!J159"")"),0)</f>
        <v>0</v>
      </c>
      <c r="T47" s="82">
        <f t="shared" ca="1" si="16"/>
        <v>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23"/>
        <v>0</v>
      </c>
      <c r="E48" s="77">
        <f ca="1">IFERROR(__xludf.DUMMYFUNCTION("IMPORTRANGE(""https://docs.google.com/spreadsheets/d/1MeEWN-I1oV_STSDYn1IFDPWt_1FKiwhDph83XaGc0o0/edit?usp=sharing"",""งบพรบ!BV48"")"),0)</f>
        <v>0</v>
      </c>
      <c r="F48" s="77">
        <f ca="1">IFERROR(__xludf.DUMMYFUNCTION("IMPORTRANGE(""https://docs.google.com/spreadsheets/d/1MeEWN-I1oV_STSDYn1IFDPWt_1FKiwhDph83XaGc0o0/edit?usp=sharing"",""งบพรบ!BW48"")"),0)</f>
        <v>0</v>
      </c>
      <c r="G48" s="77">
        <f ca="1">IFERROR(__xludf.DUMMYFUNCTION("IMPORTRANGE(""https://docs.google.com/spreadsheets/d/1MeEWN-I1oV_STSDYn1IFDPWt_1FKiwhDph83XaGc0o0/edit?usp=sharing"",""งบพรบ!BX48"")"),0)</f>
        <v>0</v>
      </c>
      <c r="H48" s="77">
        <f ca="1">IFERROR(__xludf.DUMMYFUNCTION("IMPORTRANGE(""https://docs.google.com/spreadsheets/d/1MeEWN-I1oV_STSDYn1IFDPWt_1FKiwhDph83XaGc0o0/edit?usp=sharing"",""งบพรบ!BZ48"")"),0)</f>
        <v>0</v>
      </c>
      <c r="I48" s="77">
        <f ca="1">IFERROR(__xludf.DUMMYFUNCTION("IMPORTRANGE(""https://docs.google.com/spreadsheets/d/1MeEWN-I1oV_STSDYn1IFDPWt_1FKiwhDph83XaGc0o0/edit?usp=sharing"",""งบพรบ!CA48"")"),0)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IFERROR(__xludf.DUMMYFUNCTION("IMPORTRANGE(""https://docs.google.com/spreadsheets/d/1MeEWN-I1oV_STSDYn1IFDPWt_1FKiwhDph83XaGc0o0/edit?usp=sharing"",""งบพรบ!CB48"")"),0)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IFERROR(__xludf.DUMMYFUNCTION("IMPORTRANGE(""https://docs.google.com/spreadsheets/d/1MeEWN-I1oV_STSDYn1IFDPWt_1FKiwhDph83XaGc0o0/edit?usp=sharing"",""งบพรบ!CC48"")"),0)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IFERROR(__xludf.DUMMYFUNCTION("IMPORTRANGE(""https://docs.google.com/spreadsheets/d/16UeMz0UgOB5BZcoxP75eYGcLFtGYRn9GoesD4OX9m5U/edit?usp=sharing"",""หนองบัวลำภู!I159"")"),0)</f>
        <v>0</v>
      </c>
      <c r="S48" s="81">
        <f ca="1">IFERROR(__xludf.DUMMYFUNCTION("IMPORTRANGE(""https://docs.google.com/spreadsheets/d/16UeMz0UgOB5BZcoxP75eYGcLFtGYRn9GoesD4OX9m5U/edit?usp=sharing"",""หนองบัวลำภู!J159"")"),0)</f>
        <v>0</v>
      </c>
      <c r="T48" s="82">
        <f t="shared" ca="1" si="16"/>
        <v>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23"/>
        <v>0</v>
      </c>
      <c r="E49" s="77">
        <f ca="1">IFERROR(__xludf.DUMMYFUNCTION("IMPORTRANGE(""https://docs.google.com/spreadsheets/d/1MeEWN-I1oV_STSDYn1IFDPWt_1FKiwhDph83XaGc0o0/edit?usp=sharing"",""งบพรบ!BV49"")"),0)</f>
        <v>0</v>
      </c>
      <c r="F49" s="77">
        <f ca="1">IFERROR(__xludf.DUMMYFUNCTION("IMPORTRANGE(""https://docs.google.com/spreadsheets/d/1MeEWN-I1oV_STSDYn1IFDPWt_1FKiwhDph83XaGc0o0/edit?usp=sharing"",""งบพรบ!BW49"")"),0)</f>
        <v>0</v>
      </c>
      <c r="G49" s="77">
        <f ca="1">IFERROR(__xludf.DUMMYFUNCTION("IMPORTRANGE(""https://docs.google.com/spreadsheets/d/1MeEWN-I1oV_STSDYn1IFDPWt_1FKiwhDph83XaGc0o0/edit?usp=sharing"",""งบพรบ!BX49"")"),0)</f>
        <v>0</v>
      </c>
      <c r="H49" s="77">
        <f ca="1">IFERROR(__xludf.DUMMYFUNCTION("IMPORTRANGE(""https://docs.google.com/spreadsheets/d/1MeEWN-I1oV_STSDYn1IFDPWt_1FKiwhDph83XaGc0o0/edit?usp=sharing"",""งบพรบ!BZ49"")"),0)</f>
        <v>0</v>
      </c>
      <c r="I49" s="77">
        <f ca="1">IFERROR(__xludf.DUMMYFUNCTION("IMPORTRANGE(""https://docs.google.com/spreadsheets/d/1MeEWN-I1oV_STSDYn1IFDPWt_1FKiwhDph83XaGc0o0/edit?usp=sharing"",""งบพรบ!CA49"")"),0)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IFERROR(__xludf.DUMMYFUNCTION("IMPORTRANGE(""https://docs.google.com/spreadsheets/d/1MeEWN-I1oV_STSDYn1IFDPWt_1FKiwhDph83XaGc0o0/edit?usp=sharing"",""งบพรบ!CB49"")"),0)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IFERROR(__xludf.DUMMYFUNCTION("IMPORTRANGE(""https://docs.google.com/spreadsheets/d/1MeEWN-I1oV_STSDYn1IFDPWt_1FKiwhDph83XaGc0o0/edit?usp=sharing"",""งบพรบ!CC49"")"),0)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IFERROR(__xludf.DUMMYFUNCTION("IMPORTRANGE(""https://docs.google.com/spreadsheets/d/1uUP8Zo1-qaJLuIkRU0qlwLSE3DHkbdrrj2JGJiWBQZE/edit?usp=sharing"",""อำนาจเจริญ!I159"")"),0)</f>
        <v>0</v>
      </c>
      <c r="S49" s="81">
        <f ca="1">IFERROR(__xludf.DUMMYFUNCTION("IMPORTRANGE(""https://docs.google.com/spreadsheets/d/1uUP8Zo1-qaJLuIkRU0qlwLSE3DHkbdrrj2JGJiWBQZE/edit?usp=sharing"",""อำนาจเจริญ!J159"")"),0)</f>
        <v>0</v>
      </c>
      <c r="T49" s="82">
        <f t="shared" ca="1" si="16"/>
        <v>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10000</v>
      </c>
      <c r="D50" s="76">
        <f t="shared" ca="1" si="23"/>
        <v>10000</v>
      </c>
      <c r="E50" s="77">
        <f ca="1">IFERROR(__xludf.DUMMYFUNCTION("IMPORTRANGE(""https://docs.google.com/spreadsheets/d/1MeEWN-I1oV_STSDYn1IFDPWt_1FKiwhDph83XaGc0o0/edit?usp=sharing"",""งบพรบ!BV50"")"),0)</f>
        <v>0</v>
      </c>
      <c r="F50" s="77">
        <f ca="1">IFERROR(__xludf.DUMMYFUNCTION("IMPORTRANGE(""https://docs.google.com/spreadsheets/d/1MeEWN-I1oV_STSDYn1IFDPWt_1FKiwhDph83XaGc0o0/edit?usp=sharing"",""งบพรบ!BW50"")"),10000)</f>
        <v>10000</v>
      </c>
      <c r="G50" s="77">
        <f ca="1">IFERROR(__xludf.DUMMYFUNCTION("IMPORTRANGE(""https://docs.google.com/spreadsheets/d/1MeEWN-I1oV_STSDYn1IFDPWt_1FKiwhDph83XaGc0o0/edit?usp=sharing"",""งบพรบ!BX50"")"),0)</f>
        <v>0</v>
      </c>
      <c r="H50" s="77">
        <f ca="1">IFERROR(__xludf.DUMMYFUNCTION("IMPORTRANGE(""https://docs.google.com/spreadsheets/d/1MeEWN-I1oV_STSDYn1IFDPWt_1FKiwhDph83XaGc0o0/edit?usp=sharing"",""งบพรบ!BZ50"")"),23460)</f>
        <v>23460</v>
      </c>
      <c r="I50" s="77">
        <f ca="1">IFERROR(__xludf.DUMMYFUNCTION("IMPORTRANGE(""https://docs.google.com/spreadsheets/d/1MeEWN-I1oV_STSDYn1IFDPWt_1FKiwhDph83XaGc0o0/edit?usp=sharing"",""งบพรบ!CA50"")"),0)</f>
        <v>0</v>
      </c>
      <c r="J50" s="77">
        <f t="shared" ca="1" si="3"/>
        <v>23460</v>
      </c>
      <c r="K50" s="78">
        <f t="shared" ca="1" si="4"/>
        <v>234.6</v>
      </c>
      <c r="L50" s="77">
        <f ca="1">IFERROR(__xludf.DUMMYFUNCTION("IMPORTRANGE(""https://docs.google.com/spreadsheets/d/1MeEWN-I1oV_STSDYn1IFDPWt_1FKiwhDph83XaGc0o0/edit?usp=sharing"",""งบพรบ!CB50"")"),23460)</f>
        <v>23460</v>
      </c>
      <c r="M50" s="79">
        <f t="shared" ca="1" si="5"/>
        <v>234.6</v>
      </c>
      <c r="N50" s="79">
        <f t="shared" ca="1" si="6"/>
        <v>100</v>
      </c>
      <c r="O50" s="80">
        <f ca="1">IFERROR(__xludf.DUMMYFUNCTION("IMPORTRANGE(""https://docs.google.com/spreadsheets/d/1MeEWN-I1oV_STSDYn1IFDPWt_1FKiwhDph83XaGc0o0/edit?usp=sharing"",""งบพรบ!CC50"")"),0)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IFERROR(__xludf.DUMMYFUNCTION("IMPORTRANGE(""https://docs.google.com/spreadsheets/d/1hb_taSOHanzRjqfzWPiFo8yiT83VV1L7vvUCLhOiHKc/edit?usp=sharing"",""อุดรธานี!I159"")"),20)</f>
        <v>20</v>
      </c>
      <c r="S50" s="81">
        <f ca="1">IFERROR(__xludf.DUMMYFUNCTION("IMPORTRANGE(""https://docs.google.com/spreadsheets/d/1hb_taSOHanzRjqfzWPiFo8yiT83VV1L7vvUCLhOiHKc/edit?usp=sharing"",""อุดรธานี!J159"")"),20)</f>
        <v>20</v>
      </c>
      <c r="T50" s="82">
        <f t="shared" ca="1" si="16"/>
        <v>100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23"/>
        <v>0</v>
      </c>
      <c r="E51" s="88">
        <f ca="1">IFERROR(__xludf.DUMMYFUNCTION("IMPORTRANGE(""https://docs.google.com/spreadsheets/d/1MeEWN-I1oV_STSDYn1IFDPWt_1FKiwhDph83XaGc0o0/edit?usp=sharing"",""งบพรบ!BV51"")"),0)</f>
        <v>0</v>
      </c>
      <c r="F51" s="88">
        <f ca="1">IFERROR(__xludf.DUMMYFUNCTION("IMPORTRANGE(""https://docs.google.com/spreadsheets/d/1MeEWN-I1oV_STSDYn1IFDPWt_1FKiwhDph83XaGc0o0/edit?usp=sharing"",""งบพรบ!BW51"")"),0)</f>
        <v>0</v>
      </c>
      <c r="G51" s="88">
        <f ca="1">IFERROR(__xludf.DUMMYFUNCTION("IMPORTRANGE(""https://docs.google.com/spreadsheets/d/1MeEWN-I1oV_STSDYn1IFDPWt_1FKiwhDph83XaGc0o0/edit?usp=sharing"",""งบพรบ!BX51"")"),0)</f>
        <v>0</v>
      </c>
      <c r="H51" s="88">
        <f ca="1">IFERROR(__xludf.DUMMYFUNCTION("IMPORTRANGE(""https://docs.google.com/spreadsheets/d/1MeEWN-I1oV_STSDYn1IFDPWt_1FKiwhDph83XaGc0o0/edit?usp=sharing"",""งบพรบ!BZ51"")"),0)</f>
        <v>0</v>
      </c>
      <c r="I51" s="88">
        <f ca="1">IFERROR(__xludf.DUMMYFUNCTION("IMPORTRANGE(""https://docs.google.com/spreadsheets/d/1MeEWN-I1oV_STSDYn1IFDPWt_1FKiwhDph83XaGc0o0/edit?usp=sharing"",""งบพรบ!CA51"")"),0)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IFERROR(__xludf.DUMMYFUNCTION("IMPORTRANGE(""https://docs.google.com/spreadsheets/d/1MeEWN-I1oV_STSDYn1IFDPWt_1FKiwhDph83XaGc0o0/edit?usp=sharing"",""งบพรบ!CB51"")"),0)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IFERROR(__xludf.DUMMYFUNCTION("IMPORTRANGE(""https://docs.google.com/spreadsheets/d/1MeEWN-I1oV_STSDYn1IFDPWt_1FKiwhDph83XaGc0o0/edit?usp=sharing"",""งบพรบ!CC51"")"),0)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IFERROR(__xludf.DUMMYFUNCTION("IMPORTRANGE(""https://docs.google.com/spreadsheets/d/17IOkEwkUd63EGNfyNDnM5de9YlZ7rwzTiW6-dokVjKI/edit?usp=sharing"",""อุบลราชธานี!I159"")"),0)</f>
        <v>0</v>
      </c>
      <c r="S51" s="92">
        <f ca="1">IFERROR(__xludf.DUMMYFUNCTION("IMPORTRANGE(""https://docs.google.com/spreadsheets/d/17IOkEwkUd63EGNfyNDnM5de9YlZ7rwzTiW6-dokVjKI/edit?usp=sharing"",""อุบลราชธานี!J159"")"),0)</f>
        <v>0</v>
      </c>
      <c r="T51" s="93">
        <f t="shared" ca="1" si="16"/>
        <v>0</v>
      </c>
    </row>
    <row r="52" spans="1:20" ht="21" customHeight="1" x14ac:dyDescent="0.2">
      <c r="A52" s="385" t="s">
        <v>74</v>
      </c>
      <c r="B52" s="384"/>
      <c r="C52" s="94">
        <f t="shared" ca="1" si="0"/>
        <v>75000</v>
      </c>
      <c r="D52" s="57">
        <f t="shared" ref="D52:I52" ca="1" si="24">SUM(D53:D73)</f>
        <v>75000</v>
      </c>
      <c r="E52" s="57">
        <f t="shared" ca="1" si="24"/>
        <v>0</v>
      </c>
      <c r="F52" s="57">
        <f t="shared" ca="1" si="24"/>
        <v>75000</v>
      </c>
      <c r="G52" s="57">
        <f t="shared" ca="1" si="24"/>
        <v>0</v>
      </c>
      <c r="H52" s="57">
        <f t="shared" ca="1" si="24"/>
        <v>134770</v>
      </c>
      <c r="I52" s="57">
        <f t="shared" ca="1" si="24"/>
        <v>0</v>
      </c>
      <c r="J52" s="57">
        <f t="shared" ca="1" si="3"/>
        <v>103000</v>
      </c>
      <c r="K52" s="95">
        <f t="shared" ca="1" si="4"/>
        <v>137.33333333333334</v>
      </c>
      <c r="L52" s="57">
        <f ca="1">SUM(L53:L73)</f>
        <v>103000</v>
      </c>
      <c r="M52" s="96">
        <f t="shared" ca="1" si="5"/>
        <v>137.33333333333334</v>
      </c>
      <c r="N52" s="96">
        <f t="shared" ca="1" si="6"/>
        <v>76.426504414929141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150</v>
      </c>
      <c r="S52" s="57">
        <f t="shared" ca="1" si="25"/>
        <v>154</v>
      </c>
      <c r="T52" s="96">
        <f t="shared" ca="1" si="16"/>
        <v>102.66666666666667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10000</v>
      </c>
      <c r="D53" s="66">
        <f t="shared" ref="D53:D73" ca="1" si="26">+E53+F53</f>
        <v>10000</v>
      </c>
      <c r="E53" s="67">
        <f ca="1">IFERROR(__xludf.DUMMYFUNCTION("IMPORTRANGE(""https://docs.google.com/spreadsheets/d/1MeEWN-I1oV_STSDYn1IFDPWt_1FKiwhDph83XaGc0o0/edit?usp=sharing"",""งบพรบ!BV53"")"),0)</f>
        <v>0</v>
      </c>
      <c r="F53" s="67">
        <f ca="1">IFERROR(__xludf.DUMMYFUNCTION("IMPORTRANGE(""https://docs.google.com/spreadsheets/d/1MeEWN-I1oV_STSDYn1IFDPWt_1FKiwhDph83XaGc0o0/edit?usp=sharing"",""งบพรบ!BW53"")"),10000)</f>
        <v>10000</v>
      </c>
      <c r="G53" s="68">
        <f ca="1">IFERROR(__xludf.DUMMYFUNCTION("IMPORTRANGE(""https://docs.google.com/spreadsheets/d/1MeEWN-I1oV_STSDYn1IFDPWt_1FKiwhDph83XaGc0o0/edit?usp=sharing"",""งบพรบ!BX53"")"),0)</f>
        <v>0</v>
      </c>
      <c r="H53" s="68">
        <f ca="1">IFERROR(__xludf.DUMMYFUNCTION("IMPORTRANGE(""https://docs.google.com/spreadsheets/d/1MeEWN-I1oV_STSDYn1IFDPWt_1FKiwhDph83XaGc0o0/edit?usp=sharing"",""งบพรบ!BZ53"")"),25180)</f>
        <v>25180</v>
      </c>
      <c r="I53" s="68">
        <f ca="1">IFERROR(__xludf.DUMMYFUNCTION("IMPORTRANGE(""https://docs.google.com/spreadsheets/d/1MeEWN-I1oV_STSDYn1IFDPWt_1FKiwhDph83XaGc0o0/edit?usp=sharing"",""งบพรบ!CA53"")"),0)</f>
        <v>0</v>
      </c>
      <c r="J53" s="68">
        <f t="shared" ca="1" si="3"/>
        <v>25180</v>
      </c>
      <c r="K53" s="69">
        <f t="shared" ca="1" si="4"/>
        <v>251.8</v>
      </c>
      <c r="L53" s="68">
        <f ca="1">IFERROR(__xludf.DUMMYFUNCTION("IMPORTRANGE(""https://docs.google.com/spreadsheets/d/1MeEWN-I1oV_STSDYn1IFDPWt_1FKiwhDph83XaGc0o0/edit?usp=sharing"",""งบพรบ!CB53"")"),25180)</f>
        <v>25180</v>
      </c>
      <c r="M53" s="70">
        <f t="shared" ca="1" si="5"/>
        <v>251.8</v>
      </c>
      <c r="N53" s="70">
        <f t="shared" ca="1" si="6"/>
        <v>100</v>
      </c>
      <c r="O53" s="71">
        <f ca="1">IFERROR(__xludf.DUMMYFUNCTION("IMPORTRANGE(""https://docs.google.com/spreadsheets/d/1MeEWN-I1oV_STSDYn1IFDPWt_1FKiwhDph83XaGc0o0/edit?usp=sharing"",""งบพรบ!CC53"")"),0)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IFERROR(__xludf.DUMMYFUNCTION("IMPORTRANGE(""https://docs.google.com/spreadsheets/d/1hKO5uv94SSRZWOvrh72HRcpyoEQF9TsE_Cvxl77XNU4/edit?usp=sharing"",""กาญจนบุรี!I159"")"),20)</f>
        <v>20</v>
      </c>
      <c r="S53" s="68">
        <f ca="1">IFERROR(__xludf.DUMMYFUNCTION("IMPORTRANGE(""https://docs.google.com/spreadsheets/d/1hKO5uv94SSRZWOvrh72HRcpyoEQF9TsE_Cvxl77XNU4/edit?usp=sharing"",""กาญจนบุรี!J159"")"),20)</f>
        <v>20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26"/>
        <v>0</v>
      </c>
      <c r="E54" s="77">
        <f ca="1">IFERROR(__xludf.DUMMYFUNCTION("IMPORTRANGE(""https://docs.google.com/spreadsheets/d/1MeEWN-I1oV_STSDYn1IFDPWt_1FKiwhDph83XaGc0o0/edit?usp=sharing"",""งบพรบ!BV54"")"),0)</f>
        <v>0</v>
      </c>
      <c r="F54" s="77">
        <f ca="1">IFERROR(__xludf.DUMMYFUNCTION("IMPORTRANGE(""https://docs.google.com/spreadsheets/d/1MeEWN-I1oV_STSDYn1IFDPWt_1FKiwhDph83XaGc0o0/edit?usp=sharing"",""งบพรบ!BW54"")"),0)</f>
        <v>0</v>
      </c>
      <c r="G54" s="77">
        <f ca="1">IFERROR(__xludf.DUMMYFUNCTION("IMPORTRANGE(""https://docs.google.com/spreadsheets/d/1MeEWN-I1oV_STSDYn1IFDPWt_1FKiwhDph83XaGc0o0/edit?usp=sharing"",""งบพรบ!BX54"")"),0)</f>
        <v>0</v>
      </c>
      <c r="H54" s="77">
        <f ca="1">IFERROR(__xludf.DUMMYFUNCTION("IMPORTRANGE(""https://docs.google.com/spreadsheets/d/1MeEWN-I1oV_STSDYn1IFDPWt_1FKiwhDph83XaGc0o0/edit?usp=sharing"",""งบพรบ!BZ54"")"),2240)</f>
        <v>2240</v>
      </c>
      <c r="I54" s="77">
        <f ca="1">IFERROR(__xludf.DUMMYFUNCTION("IMPORTRANGE(""https://docs.google.com/spreadsheets/d/1MeEWN-I1oV_STSDYn1IFDPWt_1FKiwhDph83XaGc0o0/edit?usp=sharing"",""งบพรบ!CA54"")"),0)</f>
        <v>0</v>
      </c>
      <c r="J54" s="77">
        <f t="shared" ca="1" si="3"/>
        <v>2240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IFERROR(__xludf.DUMMYFUNCTION("IMPORTRANGE(""https://docs.google.com/spreadsheets/d/1MeEWN-I1oV_STSDYn1IFDPWt_1FKiwhDph83XaGc0o0/edit?usp=sharing"",""งบพรบ!CB54"")"),2240)</f>
        <v>2240</v>
      </c>
      <c r="M54" s="79">
        <f t="shared" ca="1" si="5"/>
        <v>0</v>
      </c>
      <c r="N54" s="79">
        <f t="shared" ca="1" si="6"/>
        <v>100</v>
      </c>
      <c r="O54" s="80">
        <f ca="1">IFERROR(__xludf.DUMMYFUNCTION("IMPORTRANGE(""https://docs.google.com/spreadsheets/d/1MeEWN-I1oV_STSDYn1IFDPWt_1FKiwhDph83XaGc0o0/edit?usp=sharing"",""งบพรบ!CC54"")"),0)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IFERROR(__xludf.DUMMYFUNCTION("IMPORTRANGE(""https://docs.google.com/spreadsheets/d/1njBaP_xXd-Uotvo2D9zb01TTCFkLJLDK97Tk1l9Qux0/edit?usp=sharing"",""จันทบุรี!I159"")"),0)</f>
        <v>0</v>
      </c>
      <c r="S54" s="81">
        <f ca="1">IFERROR(__xludf.DUMMYFUNCTION("IMPORTRANGE(""https://docs.google.com/spreadsheets/d/1njBaP_xXd-Uotvo2D9zb01TTCFkLJLDK97Tk1l9Qux0/edit?usp=sharing"",""จันทบุรี!J159"")"),0)</f>
        <v>0</v>
      </c>
      <c r="T54" s="82">
        <f t="shared" ca="1" si="16"/>
        <v>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10000</v>
      </c>
      <c r="D55" s="76">
        <f t="shared" ca="1" si="26"/>
        <v>10000</v>
      </c>
      <c r="E55" s="77">
        <f ca="1">IFERROR(__xludf.DUMMYFUNCTION("IMPORTRANGE(""https://docs.google.com/spreadsheets/d/1MeEWN-I1oV_STSDYn1IFDPWt_1FKiwhDph83XaGc0o0/edit?usp=sharing"",""งบพรบ!BV55"")"),0)</f>
        <v>0</v>
      </c>
      <c r="F55" s="77">
        <f ca="1">IFERROR(__xludf.DUMMYFUNCTION("IMPORTRANGE(""https://docs.google.com/spreadsheets/d/1MeEWN-I1oV_STSDYn1IFDPWt_1FKiwhDph83XaGc0o0/edit?usp=sharing"",""งบพรบ!BW55"")"),10000)</f>
        <v>10000</v>
      </c>
      <c r="G55" s="77">
        <f ca="1">IFERROR(__xludf.DUMMYFUNCTION("IMPORTRANGE(""https://docs.google.com/spreadsheets/d/1MeEWN-I1oV_STSDYn1IFDPWt_1FKiwhDph83XaGc0o0/edit?usp=sharing"",""งบพรบ!BX55"")"),0)</f>
        <v>0</v>
      </c>
      <c r="H55" s="77">
        <f ca="1">IFERROR(__xludf.DUMMYFUNCTION("IMPORTRANGE(""https://docs.google.com/spreadsheets/d/1MeEWN-I1oV_STSDYn1IFDPWt_1FKiwhDph83XaGc0o0/edit?usp=sharing"",""งบพรบ!BZ55"")"),11040)</f>
        <v>11040</v>
      </c>
      <c r="I55" s="77">
        <f ca="1">IFERROR(__xludf.DUMMYFUNCTION("IMPORTRANGE(""https://docs.google.com/spreadsheets/d/1MeEWN-I1oV_STSDYn1IFDPWt_1FKiwhDph83XaGc0o0/edit?usp=sharing"",""งบพรบ!CA55"")"),0)</f>
        <v>0</v>
      </c>
      <c r="J55" s="77">
        <f t="shared" ca="1" si="3"/>
        <v>11040</v>
      </c>
      <c r="K55" s="78">
        <f t="shared" ca="1" si="4"/>
        <v>110.4</v>
      </c>
      <c r="L55" s="77">
        <f ca="1">IFERROR(__xludf.DUMMYFUNCTION("IMPORTRANGE(""https://docs.google.com/spreadsheets/d/1MeEWN-I1oV_STSDYn1IFDPWt_1FKiwhDph83XaGc0o0/edit?usp=sharing"",""งบพรบ!CB55"")"),11040)</f>
        <v>11040</v>
      </c>
      <c r="M55" s="79">
        <f t="shared" ca="1" si="5"/>
        <v>110.4</v>
      </c>
      <c r="N55" s="79">
        <f t="shared" ca="1" si="6"/>
        <v>100</v>
      </c>
      <c r="O55" s="80">
        <f ca="1">IFERROR(__xludf.DUMMYFUNCTION("IMPORTRANGE(""https://docs.google.com/spreadsheets/d/1MeEWN-I1oV_STSDYn1IFDPWt_1FKiwhDph83XaGc0o0/edit?usp=sharing"",""งบพรบ!CC55"")"),0)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IFERROR(__xludf.DUMMYFUNCTION("IMPORTRANGE(""https://docs.google.com/spreadsheets/d/14xp6qUzrGFnUk_qnc1eEmfiaNRd4_grkhpfQH_46fa8/edit?usp=sharing"",""ฉะเชิงเทรา!I159"")"),20)</f>
        <v>20</v>
      </c>
      <c r="S55" s="81">
        <f ca="1">IFERROR(__xludf.DUMMYFUNCTION("IMPORTRANGE(""https://docs.google.com/spreadsheets/d/14xp6qUzrGFnUk_qnc1eEmfiaNRd4_grkhpfQH_46fa8/edit?usp=sharing"",""ฉะเชิงเทรา!J159"")"),22)</f>
        <v>22</v>
      </c>
      <c r="T55" s="82">
        <f t="shared" ca="1" si="16"/>
        <v>110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26"/>
        <v>0</v>
      </c>
      <c r="E56" s="77">
        <f ca="1">IFERROR(__xludf.DUMMYFUNCTION("IMPORTRANGE(""https://docs.google.com/spreadsheets/d/1MeEWN-I1oV_STSDYn1IFDPWt_1FKiwhDph83XaGc0o0/edit?usp=sharing"",""งบพรบ!BV56"")"),0)</f>
        <v>0</v>
      </c>
      <c r="F56" s="77">
        <f ca="1">IFERROR(__xludf.DUMMYFUNCTION("IMPORTRANGE(""https://docs.google.com/spreadsheets/d/1MeEWN-I1oV_STSDYn1IFDPWt_1FKiwhDph83XaGc0o0/edit?usp=sharing"",""งบพรบ!BW56"")"),0)</f>
        <v>0</v>
      </c>
      <c r="G56" s="77">
        <f ca="1">IFERROR(__xludf.DUMMYFUNCTION("IMPORTRANGE(""https://docs.google.com/spreadsheets/d/1MeEWN-I1oV_STSDYn1IFDPWt_1FKiwhDph83XaGc0o0/edit?usp=sharing"",""งบพรบ!BX56"")"),0)</f>
        <v>0</v>
      </c>
      <c r="H56" s="77">
        <f ca="1">IFERROR(__xludf.DUMMYFUNCTION("IMPORTRANGE(""https://docs.google.com/spreadsheets/d/1MeEWN-I1oV_STSDYn1IFDPWt_1FKiwhDph83XaGc0o0/edit?usp=sharing"",""งบพรบ!BZ56"")"),0)</f>
        <v>0</v>
      </c>
      <c r="I56" s="77">
        <f ca="1">IFERROR(__xludf.DUMMYFUNCTION("IMPORTRANGE(""https://docs.google.com/spreadsheets/d/1MeEWN-I1oV_STSDYn1IFDPWt_1FKiwhDph83XaGc0o0/edit?usp=sharing"",""งบพรบ!CA56"")"),0)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IFERROR(__xludf.DUMMYFUNCTION("IMPORTRANGE(""https://docs.google.com/spreadsheets/d/1MeEWN-I1oV_STSDYn1IFDPWt_1FKiwhDph83XaGc0o0/edit?usp=sharing"",""งบพรบ!CB56"")"),0)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IFERROR(__xludf.DUMMYFUNCTION("IMPORTRANGE(""https://docs.google.com/spreadsheets/d/1MeEWN-I1oV_STSDYn1IFDPWt_1FKiwhDph83XaGc0o0/edit?usp=sharing"",""งบพรบ!CC56"")"),0)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IFERROR(__xludf.DUMMYFUNCTION("IMPORTRANGE(""https://docs.google.com/spreadsheets/d/1_Zwps30dlVa-pZFsorjVf1Pil6WXwzCsJU0U2whO3NI/edit?usp=sharing"",""ชลบุรี!I159"")"),0)</f>
        <v>0</v>
      </c>
      <c r="S56" s="81">
        <f ca="1">IFERROR(__xludf.DUMMYFUNCTION("IMPORTRANGE(""https://docs.google.com/spreadsheets/d/1_Zwps30dlVa-pZFsorjVf1Pil6WXwzCsJU0U2whO3NI/edit?usp=sharing"",""ชลบุรี!J159"")"),0)</f>
        <v>0</v>
      </c>
      <c r="T56" s="82">
        <f t="shared" ca="1" si="16"/>
        <v>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5000</v>
      </c>
      <c r="D57" s="76">
        <f t="shared" ca="1" si="26"/>
        <v>5000</v>
      </c>
      <c r="E57" s="77">
        <f ca="1">IFERROR(__xludf.DUMMYFUNCTION("IMPORTRANGE(""https://docs.google.com/spreadsheets/d/1MeEWN-I1oV_STSDYn1IFDPWt_1FKiwhDph83XaGc0o0/edit?usp=sharing"",""งบพรบ!BV57"")"),0)</f>
        <v>0</v>
      </c>
      <c r="F57" s="77">
        <f ca="1">IFERROR(__xludf.DUMMYFUNCTION("IMPORTRANGE(""https://docs.google.com/spreadsheets/d/1MeEWN-I1oV_STSDYn1IFDPWt_1FKiwhDph83XaGc0o0/edit?usp=sharing"",""งบพรบ!BW57"")"),5000)</f>
        <v>5000</v>
      </c>
      <c r="G57" s="77">
        <f ca="1">IFERROR(__xludf.DUMMYFUNCTION("IMPORTRANGE(""https://docs.google.com/spreadsheets/d/1MeEWN-I1oV_STSDYn1IFDPWt_1FKiwhDph83XaGc0o0/edit?usp=sharing"",""งบพรบ!BX57"")"),0)</f>
        <v>0</v>
      </c>
      <c r="H57" s="77">
        <f ca="1">IFERROR(__xludf.DUMMYFUNCTION("IMPORTRANGE(""https://docs.google.com/spreadsheets/d/1MeEWN-I1oV_STSDYn1IFDPWt_1FKiwhDph83XaGc0o0/edit?usp=sharing"",""งบพรบ!BZ57"")"),5000)</f>
        <v>5000</v>
      </c>
      <c r="I57" s="77">
        <f ca="1">IFERROR(__xludf.DUMMYFUNCTION("IMPORTRANGE(""https://docs.google.com/spreadsheets/d/1MeEWN-I1oV_STSDYn1IFDPWt_1FKiwhDph83XaGc0o0/edit?usp=sharing"",""งบพรบ!CA57"")"),0)</f>
        <v>0</v>
      </c>
      <c r="J57" s="77">
        <f t="shared" ca="1" si="3"/>
        <v>5000</v>
      </c>
      <c r="K57" s="78">
        <f t="shared" ca="1" si="4"/>
        <v>100</v>
      </c>
      <c r="L57" s="77">
        <f ca="1">IFERROR(__xludf.DUMMYFUNCTION("IMPORTRANGE(""https://docs.google.com/spreadsheets/d/1MeEWN-I1oV_STSDYn1IFDPWt_1FKiwhDph83XaGc0o0/edit?usp=sharing"",""งบพรบ!CB57"")"),5000)</f>
        <v>5000</v>
      </c>
      <c r="M57" s="79">
        <f t="shared" ca="1" si="5"/>
        <v>100</v>
      </c>
      <c r="N57" s="79">
        <f t="shared" ca="1" si="6"/>
        <v>100</v>
      </c>
      <c r="O57" s="80">
        <f ca="1">IFERROR(__xludf.DUMMYFUNCTION("IMPORTRANGE(""https://docs.google.com/spreadsheets/d/1MeEWN-I1oV_STSDYn1IFDPWt_1FKiwhDph83XaGc0o0/edit?usp=sharing"",""งบพรบ!CC57"")"),0)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IFERROR(__xludf.DUMMYFUNCTION("IMPORTRANGE(""https://docs.google.com/spreadsheets/d/1xAsT4sUbBlom7l0acStESh_15nvjZcXjZM7fK5uZSq8/edit?usp=sharing"",""ชัยนาท!I159"")"),10)</f>
        <v>10</v>
      </c>
      <c r="S57" s="81">
        <f ca="1">IFERROR(__xludf.DUMMYFUNCTION("IMPORTRANGE(""https://docs.google.com/spreadsheets/d/1xAsT4sUbBlom7l0acStESh_15nvjZcXjZM7fK5uZSq8/edit?usp=sharing"",""ชัยนาท!J159"")"),10)</f>
        <v>10</v>
      </c>
      <c r="T57" s="82">
        <f t="shared" ca="1" si="16"/>
        <v>100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26"/>
        <v>0</v>
      </c>
      <c r="E58" s="77">
        <f ca="1">IFERROR(__xludf.DUMMYFUNCTION("IMPORTRANGE(""https://docs.google.com/spreadsheets/d/1MeEWN-I1oV_STSDYn1IFDPWt_1FKiwhDph83XaGc0o0/edit?usp=sharing"",""งบพรบ!BV58"")"),0)</f>
        <v>0</v>
      </c>
      <c r="F58" s="77">
        <f ca="1">IFERROR(__xludf.DUMMYFUNCTION("IMPORTRANGE(""https://docs.google.com/spreadsheets/d/1MeEWN-I1oV_STSDYn1IFDPWt_1FKiwhDph83XaGc0o0/edit?usp=sharing"",""งบพรบ!BW58"")"),0)</f>
        <v>0</v>
      </c>
      <c r="G58" s="77">
        <f ca="1">IFERROR(__xludf.DUMMYFUNCTION("IMPORTRANGE(""https://docs.google.com/spreadsheets/d/1MeEWN-I1oV_STSDYn1IFDPWt_1FKiwhDph83XaGc0o0/edit?usp=sharing"",""งบพรบ!BX58"")"),0)</f>
        <v>0</v>
      </c>
      <c r="H58" s="77">
        <f ca="1">IFERROR(__xludf.DUMMYFUNCTION("IMPORTRANGE(""https://docs.google.com/spreadsheets/d/1MeEWN-I1oV_STSDYn1IFDPWt_1FKiwhDph83XaGc0o0/edit?usp=sharing"",""งบพรบ!BZ58"")"),0)</f>
        <v>0</v>
      </c>
      <c r="I58" s="77">
        <f ca="1">IFERROR(__xludf.DUMMYFUNCTION("IMPORTRANGE(""https://docs.google.com/spreadsheets/d/1MeEWN-I1oV_STSDYn1IFDPWt_1FKiwhDph83XaGc0o0/edit?usp=sharing"",""งบพรบ!CA58"")"),0)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IFERROR(__xludf.DUMMYFUNCTION("IMPORTRANGE(""https://docs.google.com/spreadsheets/d/1MeEWN-I1oV_STSDYn1IFDPWt_1FKiwhDph83XaGc0o0/edit?usp=sharing"",""งบพรบ!CB58"")"),0)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IFERROR(__xludf.DUMMYFUNCTION("IMPORTRANGE(""https://docs.google.com/spreadsheets/d/1MeEWN-I1oV_STSDYn1IFDPWt_1FKiwhDph83XaGc0o0/edit?usp=sharing"",""งบพรบ!CC58"")"),0)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IFERROR(__xludf.DUMMYFUNCTION("IMPORTRANGE(""https://docs.google.com/spreadsheets/d/1vWPVBOAaZ6mHSI8yf95DNqHwTJ1cpeFsvqt6cxV34QA/edit?usp=sharing"",""ตราด!I159"")"),0)</f>
        <v>0</v>
      </c>
      <c r="S58" s="81">
        <f ca="1">IFERROR(__xludf.DUMMYFUNCTION("IMPORTRANGE(""https://docs.google.com/spreadsheets/d/1vWPVBOAaZ6mHSI8yf95DNqHwTJ1cpeFsvqt6cxV34QA/edit?usp=sharing"",""ตราด!J159"")"),0)</f>
        <v>0</v>
      </c>
      <c r="T58" s="82">
        <f t="shared" ca="1" si="16"/>
        <v>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26"/>
        <v>0</v>
      </c>
      <c r="E59" s="77">
        <f ca="1">IFERROR(__xludf.DUMMYFUNCTION("IMPORTRANGE(""https://docs.google.com/spreadsheets/d/1MeEWN-I1oV_STSDYn1IFDPWt_1FKiwhDph83XaGc0o0/edit?usp=sharing"",""งบพรบ!BV59"")"),0)</f>
        <v>0</v>
      </c>
      <c r="F59" s="77">
        <f ca="1">IFERROR(__xludf.DUMMYFUNCTION("IMPORTRANGE(""https://docs.google.com/spreadsheets/d/1MeEWN-I1oV_STSDYn1IFDPWt_1FKiwhDph83XaGc0o0/edit?usp=sharing"",""งบพรบ!BW59"")"),0)</f>
        <v>0</v>
      </c>
      <c r="G59" s="77">
        <f ca="1">IFERROR(__xludf.DUMMYFUNCTION("IMPORTRANGE(""https://docs.google.com/spreadsheets/d/1MeEWN-I1oV_STSDYn1IFDPWt_1FKiwhDph83XaGc0o0/edit?usp=sharing"",""งบพรบ!BX59"")"),0)</f>
        <v>0</v>
      </c>
      <c r="H59" s="77">
        <f ca="1">IFERROR(__xludf.DUMMYFUNCTION("IMPORTRANGE(""https://docs.google.com/spreadsheets/d/1MeEWN-I1oV_STSDYn1IFDPWt_1FKiwhDph83XaGc0o0/edit?usp=sharing"",""งบพรบ!BZ59"")"),0)</f>
        <v>0</v>
      </c>
      <c r="I59" s="77">
        <f ca="1">IFERROR(__xludf.DUMMYFUNCTION("IMPORTRANGE(""https://docs.google.com/spreadsheets/d/1MeEWN-I1oV_STSDYn1IFDPWt_1FKiwhDph83XaGc0o0/edit?usp=sharing"",""งบพรบ!CA59"")"),0)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IFERROR(__xludf.DUMMYFUNCTION("IMPORTRANGE(""https://docs.google.com/spreadsheets/d/1MeEWN-I1oV_STSDYn1IFDPWt_1FKiwhDph83XaGc0o0/edit?usp=sharing"",""งบพรบ!CB59"")"),0)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IFERROR(__xludf.DUMMYFUNCTION("IMPORTRANGE(""https://docs.google.com/spreadsheets/d/1MeEWN-I1oV_STSDYn1IFDPWt_1FKiwhDph83XaGc0o0/edit?usp=sharing"",""งบพรบ!CC59"")"),0)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IFERROR(__xludf.DUMMYFUNCTION("IMPORTRANGE(""https://docs.google.com/spreadsheets/d/1phaeSb9lTGgzDpbvVqI9hfmOQQzUom07-HEvpbARzEg/edit?usp=sharing"",""นครนายก!I159"")"),0)</f>
        <v>0</v>
      </c>
      <c r="S59" s="81">
        <f ca="1">IFERROR(__xludf.DUMMYFUNCTION("IMPORTRANGE(""https://docs.google.com/spreadsheets/d/1phaeSb9lTGgzDpbvVqI9hfmOQQzUom07-HEvpbARzEg/edit?usp=sharing"",""นครนายก!J159"")"),0)</f>
        <v>0</v>
      </c>
      <c r="T59" s="82">
        <f t="shared" ca="1" si="16"/>
        <v>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26"/>
        <v>0</v>
      </c>
      <c r="E60" s="77">
        <f ca="1">IFERROR(__xludf.DUMMYFUNCTION("IMPORTRANGE(""https://docs.google.com/spreadsheets/d/1MeEWN-I1oV_STSDYn1IFDPWt_1FKiwhDph83XaGc0o0/edit?usp=sharing"",""งบพรบ!BV60"")"),0)</f>
        <v>0</v>
      </c>
      <c r="F60" s="77">
        <f ca="1">IFERROR(__xludf.DUMMYFUNCTION("IMPORTRANGE(""https://docs.google.com/spreadsheets/d/1MeEWN-I1oV_STSDYn1IFDPWt_1FKiwhDph83XaGc0o0/edit?usp=sharing"",""งบพรบ!BW60"")"),0)</f>
        <v>0</v>
      </c>
      <c r="G60" s="77">
        <f ca="1">IFERROR(__xludf.DUMMYFUNCTION("IMPORTRANGE(""https://docs.google.com/spreadsheets/d/1MeEWN-I1oV_STSDYn1IFDPWt_1FKiwhDph83XaGc0o0/edit?usp=sharing"",""งบพรบ!BX60"")"),0)</f>
        <v>0</v>
      </c>
      <c r="H60" s="77">
        <f ca="1">IFERROR(__xludf.DUMMYFUNCTION("IMPORTRANGE(""https://docs.google.com/spreadsheets/d/1MeEWN-I1oV_STSDYn1IFDPWt_1FKiwhDph83XaGc0o0/edit?usp=sharing"",""งบพรบ!BZ60"")"),0)</f>
        <v>0</v>
      </c>
      <c r="I60" s="77">
        <f ca="1">IFERROR(__xludf.DUMMYFUNCTION("IMPORTRANGE(""https://docs.google.com/spreadsheets/d/1MeEWN-I1oV_STSDYn1IFDPWt_1FKiwhDph83XaGc0o0/edit?usp=sharing"",""งบพรบ!CA60"")"),0)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IFERROR(__xludf.DUMMYFUNCTION("IMPORTRANGE(""https://docs.google.com/spreadsheets/d/1MeEWN-I1oV_STSDYn1IFDPWt_1FKiwhDph83XaGc0o0/edit?usp=sharing"",""งบพรบ!CB60"")"),0)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IFERROR(__xludf.DUMMYFUNCTION("IMPORTRANGE(""https://docs.google.com/spreadsheets/d/1MeEWN-I1oV_STSDYn1IFDPWt_1FKiwhDph83XaGc0o0/edit?usp=sharing"",""งบพรบ!CC60"")"),0)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IFERROR(__xludf.DUMMYFUNCTION("IMPORTRANGE(""https://docs.google.com/spreadsheets/d/1tpwhWwkqkBeiSWCcfB5f2fbwPRbM9hHOEDSDHpl2MIc/edit?usp=sharing"",""นครปฐม!I159"")"),0)</f>
        <v>0</v>
      </c>
      <c r="S60" s="81">
        <f ca="1">IFERROR(__xludf.DUMMYFUNCTION("IMPORTRANGE(""https://docs.google.com/spreadsheets/d/1tpwhWwkqkBeiSWCcfB5f2fbwPRbM9hHOEDSDHpl2MIc/edit?usp=sharing"",""นครปฐม!J159"")"),0)</f>
        <v>0</v>
      </c>
      <c r="T60" s="82">
        <f t="shared" ca="1" si="16"/>
        <v>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26"/>
        <v>0</v>
      </c>
      <c r="E61" s="77">
        <f ca="1">IFERROR(__xludf.DUMMYFUNCTION("IMPORTRANGE(""https://docs.google.com/spreadsheets/d/1MeEWN-I1oV_STSDYn1IFDPWt_1FKiwhDph83XaGc0o0/edit?usp=sharing"",""งบพรบ!BV61"")"),0)</f>
        <v>0</v>
      </c>
      <c r="F61" s="77">
        <f ca="1">IFERROR(__xludf.DUMMYFUNCTION("IMPORTRANGE(""https://docs.google.com/spreadsheets/d/1MeEWN-I1oV_STSDYn1IFDPWt_1FKiwhDph83XaGc0o0/edit?usp=sharing"",""งบพรบ!BW61"")"),0)</f>
        <v>0</v>
      </c>
      <c r="G61" s="77">
        <f ca="1">IFERROR(__xludf.DUMMYFUNCTION("IMPORTRANGE(""https://docs.google.com/spreadsheets/d/1MeEWN-I1oV_STSDYn1IFDPWt_1FKiwhDph83XaGc0o0/edit?usp=sharing"",""งบพรบ!BX61"")"),0)</f>
        <v>0</v>
      </c>
      <c r="H61" s="77">
        <f ca="1">IFERROR(__xludf.DUMMYFUNCTION("IMPORTRANGE(""https://docs.google.com/spreadsheets/d/1MeEWN-I1oV_STSDYn1IFDPWt_1FKiwhDph83XaGc0o0/edit?usp=sharing"",""งบพรบ!BZ61"")"),0)</f>
        <v>0</v>
      </c>
      <c r="I61" s="77">
        <f ca="1">IFERROR(__xludf.DUMMYFUNCTION("IMPORTRANGE(""https://docs.google.com/spreadsheets/d/1MeEWN-I1oV_STSDYn1IFDPWt_1FKiwhDph83XaGc0o0/edit?usp=sharing"",""งบพรบ!CA61"")"),0)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IFERROR(__xludf.DUMMYFUNCTION("IMPORTRANGE(""https://docs.google.com/spreadsheets/d/1MeEWN-I1oV_STSDYn1IFDPWt_1FKiwhDph83XaGc0o0/edit?usp=sharing"",""งบพรบ!CB61"")"),0)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IFERROR(__xludf.DUMMYFUNCTION("IMPORTRANGE(""https://docs.google.com/spreadsheets/d/1MeEWN-I1oV_STSDYn1IFDPWt_1FKiwhDph83XaGc0o0/edit?usp=sharing"",""งบพรบ!CC61"")"),0)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IFERROR(__xludf.DUMMYFUNCTION("IMPORTRANGE(""https://docs.google.com/spreadsheets/d/1fJJCVBkBnhriyv0Cp5ZFMr0I_yrfdEITNpb4zILJgUQ/edit?usp=sharing"",""ปทุมธานี!I159"")"),0)</f>
        <v>0</v>
      </c>
      <c r="S61" s="81">
        <f ca="1">IFERROR(__xludf.DUMMYFUNCTION("IMPORTRANGE(""https://docs.google.com/spreadsheets/d/1fJJCVBkBnhriyv0Cp5ZFMr0I_yrfdEITNpb4zILJgUQ/edit?usp=sharing"",""ปทุมธานี!J159"")"),0)</f>
        <v>0</v>
      </c>
      <c r="T61" s="82">
        <f t="shared" ca="1" si="16"/>
        <v>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10000</v>
      </c>
      <c r="D62" s="76">
        <f t="shared" ca="1" si="26"/>
        <v>10000</v>
      </c>
      <c r="E62" s="77">
        <f ca="1">IFERROR(__xludf.DUMMYFUNCTION("IMPORTRANGE(""https://docs.google.com/spreadsheets/d/1MeEWN-I1oV_STSDYn1IFDPWt_1FKiwhDph83XaGc0o0/edit?usp=sharing"",""งบพรบ!BV62"")"),0)</f>
        <v>0</v>
      </c>
      <c r="F62" s="77">
        <f ca="1">IFERROR(__xludf.DUMMYFUNCTION("IMPORTRANGE(""https://docs.google.com/spreadsheets/d/1MeEWN-I1oV_STSDYn1IFDPWt_1FKiwhDph83XaGc0o0/edit?usp=sharing"",""งบพรบ!BW62"")"),10000)</f>
        <v>10000</v>
      </c>
      <c r="G62" s="77">
        <f ca="1">IFERROR(__xludf.DUMMYFUNCTION("IMPORTRANGE(""https://docs.google.com/spreadsheets/d/1MeEWN-I1oV_STSDYn1IFDPWt_1FKiwhDph83XaGc0o0/edit?usp=sharing"",""งบพรบ!BX62"")"),0)</f>
        <v>0</v>
      </c>
      <c r="H62" s="77">
        <f ca="1">IFERROR(__xludf.DUMMYFUNCTION("IMPORTRANGE(""https://docs.google.com/spreadsheets/d/1MeEWN-I1oV_STSDYn1IFDPWt_1FKiwhDph83XaGc0o0/edit?usp=sharing"",""งบพรบ!BZ62"")"),10000)</f>
        <v>10000</v>
      </c>
      <c r="I62" s="77">
        <f ca="1">IFERROR(__xludf.DUMMYFUNCTION("IMPORTRANGE(""https://docs.google.com/spreadsheets/d/1MeEWN-I1oV_STSDYn1IFDPWt_1FKiwhDph83XaGc0o0/edit?usp=sharing"",""งบพรบ!CA62"")"),0)</f>
        <v>0</v>
      </c>
      <c r="J62" s="77">
        <f t="shared" ca="1" si="3"/>
        <v>10000</v>
      </c>
      <c r="K62" s="78">
        <f t="shared" ca="1" si="4"/>
        <v>100</v>
      </c>
      <c r="L62" s="77">
        <f ca="1">IFERROR(__xludf.DUMMYFUNCTION("IMPORTRANGE(""https://docs.google.com/spreadsheets/d/1MeEWN-I1oV_STSDYn1IFDPWt_1FKiwhDph83XaGc0o0/edit?usp=sharing"",""งบพรบ!CB62"")"),10000)</f>
        <v>10000</v>
      </c>
      <c r="M62" s="79">
        <f t="shared" ca="1" si="5"/>
        <v>100</v>
      </c>
      <c r="N62" s="79">
        <f t="shared" ca="1" si="6"/>
        <v>100</v>
      </c>
      <c r="O62" s="80">
        <f ca="1">IFERROR(__xludf.DUMMYFUNCTION("IMPORTRANGE(""https://docs.google.com/spreadsheets/d/1MeEWN-I1oV_STSDYn1IFDPWt_1FKiwhDph83XaGc0o0/edit?usp=sharing"",""งบพรบ!CC62"")"),0)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81">
        <f ca="1">IFERROR(__xludf.DUMMYFUNCTION("IMPORTRANGE(""https://docs.google.com/spreadsheets/d/1W5Jj_S0gYw6wSO7QcMI02YgyOBDKYgmm0NSUk-AQEac/edit?usp=sharing"",""ประจวบคีรีขันธ์!J159"")"),21)</f>
        <v>21</v>
      </c>
      <c r="T62" s="82">
        <f t="shared" ca="1" si="16"/>
        <v>105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26"/>
        <v>0</v>
      </c>
      <c r="E63" s="77">
        <f ca="1">IFERROR(__xludf.DUMMYFUNCTION("IMPORTRANGE(""https://docs.google.com/spreadsheets/d/1MeEWN-I1oV_STSDYn1IFDPWt_1FKiwhDph83XaGc0o0/edit?usp=sharing"",""งบพรบ!BV63"")"),0)</f>
        <v>0</v>
      </c>
      <c r="F63" s="77">
        <f ca="1">IFERROR(__xludf.DUMMYFUNCTION("IMPORTRANGE(""https://docs.google.com/spreadsheets/d/1MeEWN-I1oV_STSDYn1IFDPWt_1FKiwhDph83XaGc0o0/edit?usp=sharing"",""งบพรบ!BW63"")"),0)</f>
        <v>0</v>
      </c>
      <c r="G63" s="77">
        <f ca="1">IFERROR(__xludf.DUMMYFUNCTION("IMPORTRANGE(""https://docs.google.com/spreadsheets/d/1MeEWN-I1oV_STSDYn1IFDPWt_1FKiwhDph83XaGc0o0/edit?usp=sharing"",""งบพรบ!BX63"")"),0)</f>
        <v>0</v>
      </c>
      <c r="H63" s="77">
        <f ca="1">IFERROR(__xludf.DUMMYFUNCTION("IMPORTRANGE(""https://docs.google.com/spreadsheets/d/1MeEWN-I1oV_STSDYn1IFDPWt_1FKiwhDph83XaGc0o0/edit?usp=sharing"",""งบพรบ!BZ63"")"),1680)</f>
        <v>1680</v>
      </c>
      <c r="I63" s="77">
        <f ca="1">IFERROR(__xludf.DUMMYFUNCTION("IMPORTRANGE(""https://docs.google.com/spreadsheets/d/1MeEWN-I1oV_STSDYn1IFDPWt_1FKiwhDph83XaGc0o0/edit?usp=sharing"",""งบพรบ!CA63"")"),0)</f>
        <v>0</v>
      </c>
      <c r="J63" s="77">
        <f t="shared" ca="1" si="3"/>
        <v>1680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IFERROR(__xludf.DUMMYFUNCTION("IMPORTRANGE(""https://docs.google.com/spreadsheets/d/1MeEWN-I1oV_STSDYn1IFDPWt_1FKiwhDph83XaGc0o0/edit?usp=sharing"",""งบพรบ!CB63"")"),1680)</f>
        <v>1680</v>
      </c>
      <c r="M63" s="79">
        <f t="shared" ca="1" si="5"/>
        <v>0</v>
      </c>
      <c r="N63" s="79">
        <f t="shared" ca="1" si="6"/>
        <v>100</v>
      </c>
      <c r="O63" s="80">
        <f ca="1">IFERROR(__xludf.DUMMYFUNCTION("IMPORTRANGE(""https://docs.google.com/spreadsheets/d/1MeEWN-I1oV_STSDYn1IFDPWt_1FKiwhDph83XaGc0o0/edit?usp=sharing"",""งบพรบ!CC63"")"),0)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IFERROR(__xludf.DUMMYFUNCTION("IMPORTRANGE(""https://docs.google.com/spreadsheets/d/1nYxRXgnCfTXtqUY1otYuTlnrzE0Tn-Y0YRsW5pkRVqo/edit?usp=sharing"",""ปราจีนบุรี!I159"")"),0)</f>
        <v>0</v>
      </c>
      <c r="S63" s="81">
        <f ca="1">IFERROR(__xludf.DUMMYFUNCTION("IMPORTRANGE(""https://docs.google.com/spreadsheets/d/1nYxRXgnCfTXtqUY1otYuTlnrzE0Tn-Y0YRsW5pkRVqo/edit?usp=sharing"",""ปราจีนบุรี!J159"")"),0)</f>
        <v>0</v>
      </c>
      <c r="T63" s="82">
        <f t="shared" ca="1" si="16"/>
        <v>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5000</v>
      </c>
      <c r="D64" s="76">
        <f t="shared" ca="1" si="26"/>
        <v>5000</v>
      </c>
      <c r="E64" s="77">
        <f ca="1">IFERROR(__xludf.DUMMYFUNCTION("IMPORTRANGE(""https://docs.google.com/spreadsheets/d/1MeEWN-I1oV_STSDYn1IFDPWt_1FKiwhDph83XaGc0o0/edit?usp=sharing"",""งบพรบ!BV64"")"),0)</f>
        <v>0</v>
      </c>
      <c r="F64" s="77">
        <f ca="1">IFERROR(__xludf.DUMMYFUNCTION("IMPORTRANGE(""https://docs.google.com/spreadsheets/d/1MeEWN-I1oV_STSDYn1IFDPWt_1FKiwhDph83XaGc0o0/edit?usp=sharing"",""งบพรบ!BW64"")"),5000)</f>
        <v>5000</v>
      </c>
      <c r="G64" s="77">
        <f ca="1">IFERROR(__xludf.DUMMYFUNCTION("IMPORTRANGE(""https://docs.google.com/spreadsheets/d/1MeEWN-I1oV_STSDYn1IFDPWt_1FKiwhDph83XaGc0o0/edit?usp=sharing"",""งบพรบ!BX64"")"),0)</f>
        <v>0</v>
      </c>
      <c r="H64" s="77">
        <f ca="1">IFERROR(__xludf.DUMMYFUNCTION("IMPORTRANGE(""https://docs.google.com/spreadsheets/d/1MeEWN-I1oV_STSDYn1IFDPWt_1FKiwhDph83XaGc0o0/edit?usp=sharing"",""งบพรบ!BZ64"")"),14910)</f>
        <v>14910</v>
      </c>
      <c r="I64" s="77">
        <f ca="1">IFERROR(__xludf.DUMMYFUNCTION("IMPORTRANGE(""https://docs.google.com/spreadsheets/d/1MeEWN-I1oV_STSDYn1IFDPWt_1FKiwhDph83XaGc0o0/edit?usp=sharing"",""งบพรบ!CA64"")"),0)</f>
        <v>0</v>
      </c>
      <c r="J64" s="77">
        <f t="shared" ca="1" si="3"/>
        <v>14910</v>
      </c>
      <c r="K64" s="78">
        <f t="shared" ca="1" si="4"/>
        <v>298.2</v>
      </c>
      <c r="L64" s="77">
        <f ca="1">IFERROR(__xludf.DUMMYFUNCTION("IMPORTRANGE(""https://docs.google.com/spreadsheets/d/1MeEWN-I1oV_STSDYn1IFDPWt_1FKiwhDph83XaGc0o0/edit?usp=sharing"",""งบพรบ!CB64"")"),14910)</f>
        <v>14910</v>
      </c>
      <c r="M64" s="79">
        <f t="shared" ca="1" si="5"/>
        <v>298.2</v>
      </c>
      <c r="N64" s="79">
        <f t="shared" ca="1" si="6"/>
        <v>100</v>
      </c>
      <c r="O64" s="80">
        <f ca="1">IFERROR(__xludf.DUMMYFUNCTION("IMPORTRANGE(""https://docs.google.com/spreadsheets/d/1MeEWN-I1oV_STSDYn1IFDPWt_1FKiwhDph83XaGc0o0/edit?usp=sharing"",""งบพรบ!CC64"")"),0)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81">
        <f ca="1">IFERROR(__xludf.DUMMYFUNCTION("IMPORTRANGE(""https://docs.google.com/spreadsheets/d/1nNHCLO8ZAXOMfQvxux7cf_hrzPAh8FAvaHq_ClKbZNo/edit?usp=sharing"",""พระนครศรีอยุธยา!J159"")"),11)</f>
        <v>11</v>
      </c>
      <c r="T64" s="82">
        <f t="shared" ca="1" si="16"/>
        <v>110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7500</v>
      </c>
      <c r="D65" s="76">
        <f t="shared" ca="1" si="26"/>
        <v>7500</v>
      </c>
      <c r="E65" s="77">
        <f ca="1">IFERROR(__xludf.DUMMYFUNCTION("IMPORTRANGE(""https://docs.google.com/spreadsheets/d/1MeEWN-I1oV_STSDYn1IFDPWt_1FKiwhDph83XaGc0o0/edit?usp=sharing"",""งบพรบ!BV65"")"),0)</f>
        <v>0</v>
      </c>
      <c r="F65" s="77">
        <f ca="1">IFERROR(__xludf.DUMMYFUNCTION("IMPORTRANGE(""https://docs.google.com/spreadsheets/d/1MeEWN-I1oV_STSDYn1IFDPWt_1FKiwhDph83XaGc0o0/edit?usp=sharing"",""งบพรบ!BW65"")"),7500)</f>
        <v>7500</v>
      </c>
      <c r="G65" s="77">
        <f ca="1">IFERROR(__xludf.DUMMYFUNCTION("IMPORTRANGE(""https://docs.google.com/spreadsheets/d/1MeEWN-I1oV_STSDYn1IFDPWt_1FKiwhDph83XaGc0o0/edit?usp=sharing"",""งบพรบ!BX65"")"),0)</f>
        <v>0</v>
      </c>
      <c r="H65" s="77">
        <f ca="1">IFERROR(__xludf.DUMMYFUNCTION("IMPORTRANGE(""https://docs.google.com/spreadsheets/d/1MeEWN-I1oV_STSDYn1IFDPWt_1FKiwhDph83XaGc0o0/edit?usp=sharing"",""งบพรบ!BZ65"")"),7500)</f>
        <v>7500</v>
      </c>
      <c r="I65" s="77">
        <f ca="1">IFERROR(__xludf.DUMMYFUNCTION("IMPORTRANGE(""https://docs.google.com/spreadsheets/d/1MeEWN-I1oV_STSDYn1IFDPWt_1FKiwhDph83XaGc0o0/edit?usp=sharing"",""งบพรบ!CA65"")"),0)</f>
        <v>0</v>
      </c>
      <c r="J65" s="77">
        <f t="shared" ca="1" si="3"/>
        <v>6150</v>
      </c>
      <c r="K65" s="78">
        <f t="shared" ca="1" si="4"/>
        <v>82</v>
      </c>
      <c r="L65" s="77">
        <f ca="1">IFERROR(__xludf.DUMMYFUNCTION("IMPORTRANGE(""https://docs.google.com/spreadsheets/d/1MeEWN-I1oV_STSDYn1IFDPWt_1FKiwhDph83XaGc0o0/edit?usp=sharing"",""งบพรบ!CB65"")"),6150)</f>
        <v>6150</v>
      </c>
      <c r="M65" s="79">
        <f t="shared" ca="1" si="5"/>
        <v>82</v>
      </c>
      <c r="N65" s="79">
        <f t="shared" ca="1" si="6"/>
        <v>82</v>
      </c>
      <c r="O65" s="80">
        <f ca="1">IFERROR(__xludf.DUMMYFUNCTION("IMPORTRANGE(""https://docs.google.com/spreadsheets/d/1MeEWN-I1oV_STSDYn1IFDPWt_1FKiwhDph83XaGc0o0/edit?usp=sharing"",""งบพรบ!CC65"")"),0)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IFERROR(__xludf.DUMMYFUNCTION("IMPORTRANGE(""https://docs.google.com/spreadsheets/d/1CdNicvf3i6yt4tJlCePe3V1Va76wYqW0QzMzTsaGRrA/edit?usp=sharing"",""เพชรบุรี!I159"")"),15)</f>
        <v>15</v>
      </c>
      <c r="S65" s="81">
        <f ca="1">IFERROR(__xludf.DUMMYFUNCTION("IMPORTRANGE(""https://docs.google.com/spreadsheets/d/1CdNicvf3i6yt4tJlCePe3V1Va76wYqW0QzMzTsaGRrA/edit?usp=sharing"",""เพชรบุรี!J159"")"),15)</f>
        <v>15</v>
      </c>
      <c r="T65" s="82">
        <f t="shared" ca="1" si="16"/>
        <v>100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26"/>
        <v>0</v>
      </c>
      <c r="E66" s="77">
        <f ca="1">IFERROR(__xludf.DUMMYFUNCTION("IMPORTRANGE(""https://docs.google.com/spreadsheets/d/1MeEWN-I1oV_STSDYn1IFDPWt_1FKiwhDph83XaGc0o0/edit?usp=sharing"",""งบพรบ!BV66"")"),0)</f>
        <v>0</v>
      </c>
      <c r="F66" s="77">
        <f ca="1">IFERROR(__xludf.DUMMYFUNCTION("IMPORTRANGE(""https://docs.google.com/spreadsheets/d/1MeEWN-I1oV_STSDYn1IFDPWt_1FKiwhDph83XaGc0o0/edit?usp=sharing"",""งบพรบ!BW66"")"),0)</f>
        <v>0</v>
      </c>
      <c r="G66" s="77">
        <f ca="1">IFERROR(__xludf.DUMMYFUNCTION("IMPORTRANGE(""https://docs.google.com/spreadsheets/d/1MeEWN-I1oV_STSDYn1IFDPWt_1FKiwhDph83XaGc0o0/edit?usp=sharing"",""งบพรบ!BX66"")"),0)</f>
        <v>0</v>
      </c>
      <c r="H66" s="77">
        <f ca="1">IFERROR(__xludf.DUMMYFUNCTION("IMPORTRANGE(""https://docs.google.com/spreadsheets/d/1MeEWN-I1oV_STSDYn1IFDPWt_1FKiwhDph83XaGc0o0/edit?usp=sharing"",""งบพรบ!BZ66"")"),0)</f>
        <v>0</v>
      </c>
      <c r="I66" s="77">
        <f ca="1">IFERROR(__xludf.DUMMYFUNCTION("IMPORTRANGE(""https://docs.google.com/spreadsheets/d/1MeEWN-I1oV_STSDYn1IFDPWt_1FKiwhDph83XaGc0o0/edit?usp=sharing"",""งบพรบ!CA66"")"),0)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IFERROR(__xludf.DUMMYFUNCTION("IMPORTRANGE(""https://docs.google.com/spreadsheets/d/1MeEWN-I1oV_STSDYn1IFDPWt_1FKiwhDph83XaGc0o0/edit?usp=sharing"",""งบพรบ!CB66"")"),0)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IFERROR(__xludf.DUMMYFUNCTION("IMPORTRANGE(""https://docs.google.com/spreadsheets/d/1MeEWN-I1oV_STSDYn1IFDPWt_1FKiwhDph83XaGc0o0/edit?usp=sharing"",""งบพรบ!CC66"")"),0)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IFERROR(__xludf.DUMMYFUNCTION("IMPORTRANGE(""https://docs.google.com/spreadsheets/d/1XiF77UIVHV0Kjc6xbXuOuJ10WgJYxd4p_22ngKVV5oM/edit?usp=sharing"",""ระยอง!I159"")"),0)</f>
        <v>0</v>
      </c>
      <c r="S66" s="81">
        <f ca="1">IFERROR(__xludf.DUMMYFUNCTION("IMPORTRANGE(""https://docs.google.com/spreadsheets/d/1XiF77UIVHV0Kjc6xbXuOuJ10WgJYxd4p_22ngKVV5oM/edit?usp=sharing"",""ระยอง!J159"")"),0)</f>
        <v>0</v>
      </c>
      <c r="T66" s="82">
        <f t="shared" ca="1" si="16"/>
        <v>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7500</v>
      </c>
      <c r="D67" s="76">
        <f t="shared" ca="1" si="26"/>
        <v>7500</v>
      </c>
      <c r="E67" s="77">
        <f ca="1">IFERROR(__xludf.DUMMYFUNCTION("IMPORTRANGE(""https://docs.google.com/spreadsheets/d/1MeEWN-I1oV_STSDYn1IFDPWt_1FKiwhDph83XaGc0o0/edit?usp=sharing"",""งบพรบ!BV67"")"),0)</f>
        <v>0</v>
      </c>
      <c r="F67" s="77">
        <f ca="1">IFERROR(__xludf.DUMMYFUNCTION("IMPORTRANGE(""https://docs.google.com/spreadsheets/d/1MeEWN-I1oV_STSDYn1IFDPWt_1FKiwhDph83XaGc0o0/edit?usp=sharing"",""งบพรบ!BW67"")"),7500)</f>
        <v>7500</v>
      </c>
      <c r="G67" s="77">
        <f ca="1">IFERROR(__xludf.DUMMYFUNCTION("IMPORTRANGE(""https://docs.google.com/spreadsheets/d/1MeEWN-I1oV_STSDYn1IFDPWt_1FKiwhDph83XaGc0o0/edit?usp=sharing"",""งบพรบ!BX67"")"),0)</f>
        <v>0</v>
      </c>
      <c r="H67" s="77">
        <f ca="1">IFERROR(__xludf.DUMMYFUNCTION("IMPORTRANGE(""https://docs.google.com/spreadsheets/d/1MeEWN-I1oV_STSDYn1IFDPWt_1FKiwhDph83XaGc0o0/edit?usp=sharing"",""งบพรบ!BZ67"")"),7500)</f>
        <v>7500</v>
      </c>
      <c r="I67" s="77">
        <f ca="1">IFERROR(__xludf.DUMMYFUNCTION("IMPORTRANGE(""https://docs.google.com/spreadsheets/d/1MeEWN-I1oV_STSDYn1IFDPWt_1FKiwhDph83XaGc0o0/edit?usp=sharing"",""งบพรบ!CA67"")"),0)</f>
        <v>0</v>
      </c>
      <c r="J67" s="77">
        <f t="shared" ca="1" si="3"/>
        <v>5100</v>
      </c>
      <c r="K67" s="78">
        <f t="shared" ca="1" si="4"/>
        <v>68</v>
      </c>
      <c r="L67" s="77">
        <f ca="1">IFERROR(__xludf.DUMMYFUNCTION("IMPORTRANGE(""https://docs.google.com/spreadsheets/d/1MeEWN-I1oV_STSDYn1IFDPWt_1FKiwhDph83XaGc0o0/edit?usp=sharing"",""งบพรบ!CB67"")"),5100)</f>
        <v>5100</v>
      </c>
      <c r="M67" s="79">
        <f t="shared" ca="1" si="5"/>
        <v>68</v>
      </c>
      <c r="N67" s="79">
        <f t="shared" ca="1" si="6"/>
        <v>68</v>
      </c>
      <c r="O67" s="80">
        <f ca="1">IFERROR(__xludf.DUMMYFUNCTION("IMPORTRANGE(""https://docs.google.com/spreadsheets/d/1MeEWN-I1oV_STSDYn1IFDPWt_1FKiwhDph83XaGc0o0/edit?usp=sharing"",""งบพรบ!CC67"")"),0)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IFERROR(__xludf.DUMMYFUNCTION("IMPORTRANGE(""https://docs.google.com/spreadsheets/d/1qU-W_9MCQD1pgIVXGEOjCFo9QqlmJywuebyGgaN92r8/edit?usp=sharing"",""ราชบุรี!I159"")"),15)</f>
        <v>15</v>
      </c>
      <c r="S67" s="81">
        <f ca="1">IFERROR(__xludf.DUMMYFUNCTION("IMPORTRANGE(""https://docs.google.com/spreadsheets/d/1qU-W_9MCQD1pgIVXGEOjCFo9QqlmJywuebyGgaN92r8/edit?usp=sharing"",""ราชบุรี!J159"")"),15)</f>
        <v>15</v>
      </c>
      <c r="T67" s="82">
        <f t="shared" ca="1" si="16"/>
        <v>100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5000</v>
      </c>
      <c r="D68" s="76">
        <f t="shared" ca="1" si="26"/>
        <v>5000</v>
      </c>
      <c r="E68" s="77">
        <f ca="1">IFERROR(__xludf.DUMMYFUNCTION("IMPORTRANGE(""https://docs.google.com/spreadsheets/d/1MeEWN-I1oV_STSDYn1IFDPWt_1FKiwhDph83XaGc0o0/edit?usp=sharing"",""งบพรบ!BV68"")"),0)</f>
        <v>0</v>
      </c>
      <c r="F68" s="77">
        <f ca="1">IFERROR(__xludf.DUMMYFUNCTION("IMPORTRANGE(""https://docs.google.com/spreadsheets/d/1MeEWN-I1oV_STSDYn1IFDPWt_1FKiwhDph83XaGc0o0/edit?usp=sharing"",""งบพรบ!BW68"")"),5000)</f>
        <v>5000</v>
      </c>
      <c r="G68" s="77">
        <f ca="1">IFERROR(__xludf.DUMMYFUNCTION("IMPORTRANGE(""https://docs.google.com/spreadsheets/d/1MeEWN-I1oV_STSDYn1IFDPWt_1FKiwhDph83XaGc0o0/edit?usp=sharing"",""งบพรบ!BX68"")"),0)</f>
        <v>0</v>
      </c>
      <c r="H68" s="77">
        <f ca="1">IFERROR(__xludf.DUMMYFUNCTION("IMPORTRANGE(""https://docs.google.com/spreadsheets/d/1MeEWN-I1oV_STSDYn1IFDPWt_1FKiwhDph83XaGc0o0/edit?usp=sharing"",""งบพรบ!BZ68"")"),19680)</f>
        <v>19680</v>
      </c>
      <c r="I68" s="77">
        <f ca="1">IFERROR(__xludf.DUMMYFUNCTION("IMPORTRANGE(""https://docs.google.com/spreadsheets/d/1MeEWN-I1oV_STSDYn1IFDPWt_1FKiwhDph83XaGc0o0/edit?usp=sharing"",""งบพรบ!CA68"")"),0)</f>
        <v>0</v>
      </c>
      <c r="J68" s="77">
        <f t="shared" ca="1" si="3"/>
        <v>5000</v>
      </c>
      <c r="K68" s="78">
        <f t="shared" ca="1" si="4"/>
        <v>100</v>
      </c>
      <c r="L68" s="77">
        <f ca="1">IFERROR(__xludf.DUMMYFUNCTION("IMPORTRANGE(""https://docs.google.com/spreadsheets/d/1MeEWN-I1oV_STSDYn1IFDPWt_1FKiwhDph83XaGc0o0/edit?usp=sharing"",""งบพรบ!CB68"")"),5000)</f>
        <v>5000</v>
      </c>
      <c r="M68" s="79">
        <f t="shared" ca="1" si="5"/>
        <v>100</v>
      </c>
      <c r="N68" s="79">
        <f t="shared" ca="1" si="6"/>
        <v>25.40650406504065</v>
      </c>
      <c r="O68" s="80">
        <f ca="1">IFERROR(__xludf.DUMMYFUNCTION("IMPORTRANGE(""https://docs.google.com/spreadsheets/d/1MeEWN-I1oV_STSDYn1IFDPWt_1FKiwhDph83XaGc0o0/edit?usp=sharing"",""งบพรบ!CC68"")"),0)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IFERROR(__xludf.DUMMYFUNCTION("IMPORTRANGE(""https://docs.google.com/spreadsheets/d/1xYFIxIM_CspAP5Q-5Zx_V0T_Ut3cjryrjd2hss28vGk/edit?usp=sharing"",""ลพบุรี!I159"")"),10)</f>
        <v>10</v>
      </c>
      <c r="S68" s="81">
        <f ca="1">IFERROR(__xludf.DUMMYFUNCTION("IMPORTRANGE(""https://docs.google.com/spreadsheets/d/1xYFIxIM_CspAP5Q-5Zx_V0T_Ut3cjryrjd2hss28vGk/edit?usp=sharing"",""ลพบุรี!J159"")"),10)</f>
        <v>10</v>
      </c>
      <c r="T68" s="82">
        <f t="shared" ca="1" si="16"/>
        <v>100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0</v>
      </c>
      <c r="D69" s="76">
        <f t="shared" ca="1" si="26"/>
        <v>0</v>
      </c>
      <c r="E69" s="77">
        <f ca="1">IFERROR(__xludf.DUMMYFUNCTION("IMPORTRANGE(""https://docs.google.com/spreadsheets/d/1MeEWN-I1oV_STSDYn1IFDPWt_1FKiwhDph83XaGc0o0/edit?usp=sharing"",""งบพรบ!BV69"")"),0)</f>
        <v>0</v>
      </c>
      <c r="F69" s="77">
        <f ca="1">IFERROR(__xludf.DUMMYFUNCTION("IMPORTRANGE(""https://docs.google.com/spreadsheets/d/1MeEWN-I1oV_STSDYn1IFDPWt_1FKiwhDph83XaGc0o0/edit?usp=sharing"",""งบพรบ!BW69"")"),0)</f>
        <v>0</v>
      </c>
      <c r="G69" s="77">
        <f ca="1">IFERROR(__xludf.DUMMYFUNCTION("IMPORTRANGE(""https://docs.google.com/spreadsheets/d/1MeEWN-I1oV_STSDYn1IFDPWt_1FKiwhDph83XaGc0o0/edit?usp=sharing"",""งบพรบ!BX69"")"),0)</f>
        <v>0</v>
      </c>
      <c r="H69" s="77">
        <f ca="1">IFERROR(__xludf.DUMMYFUNCTION("IMPORTRANGE(""https://docs.google.com/spreadsheets/d/1MeEWN-I1oV_STSDYn1IFDPWt_1FKiwhDph83XaGc0o0/edit?usp=sharing"",""งบพรบ!BZ69"")"),0)</f>
        <v>0</v>
      </c>
      <c r="I69" s="77">
        <f ca="1">IFERROR(__xludf.DUMMYFUNCTION("IMPORTRANGE(""https://docs.google.com/spreadsheets/d/1MeEWN-I1oV_STSDYn1IFDPWt_1FKiwhDph83XaGc0o0/edit?usp=sharing"",""งบพรบ!CA69"")"),0)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IFERROR(__xludf.DUMMYFUNCTION("IMPORTRANGE(""https://docs.google.com/spreadsheets/d/1MeEWN-I1oV_STSDYn1IFDPWt_1FKiwhDph83XaGc0o0/edit?usp=sharing"",""งบพรบ!CB69"")"),0)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IFERROR(__xludf.DUMMYFUNCTION("IMPORTRANGE(""https://docs.google.com/spreadsheets/d/1MeEWN-I1oV_STSDYn1IFDPWt_1FKiwhDph83XaGc0o0/edit?usp=sharing"",""งบพรบ!CC69"")"),0)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IFERROR(__xludf.DUMMYFUNCTION("IMPORTRANGE(""https://docs.google.com/spreadsheets/d/11s9m3tKsCBdPWq6syhZm27eBGbKneDLZc75co106bio/edit?usp=sharing"",""สระแก้ว!I159"")"),0)</f>
        <v>0</v>
      </c>
      <c r="S69" s="81">
        <f ca="1">IFERROR(__xludf.DUMMYFUNCTION("IMPORTRANGE(""https://docs.google.com/spreadsheets/d/11s9m3tKsCBdPWq6syhZm27eBGbKneDLZc75co106bio/edit?usp=sharing"",""สระแก้ว!J159"")"),0)</f>
        <v>0</v>
      </c>
      <c r="T69" s="82">
        <f t="shared" ca="1" si="16"/>
        <v>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7500</v>
      </c>
      <c r="D70" s="76">
        <f t="shared" ca="1" si="26"/>
        <v>7500</v>
      </c>
      <c r="E70" s="77">
        <f ca="1">IFERROR(__xludf.DUMMYFUNCTION("IMPORTRANGE(""https://docs.google.com/spreadsheets/d/1MeEWN-I1oV_STSDYn1IFDPWt_1FKiwhDph83XaGc0o0/edit?usp=sharing"",""งบพรบ!BV70"")"),0)</f>
        <v>0</v>
      </c>
      <c r="F70" s="77">
        <f ca="1">IFERROR(__xludf.DUMMYFUNCTION("IMPORTRANGE(""https://docs.google.com/spreadsheets/d/1MeEWN-I1oV_STSDYn1IFDPWt_1FKiwhDph83XaGc0o0/edit?usp=sharing"",""งบพรบ!BW70"")"),7500)</f>
        <v>7500</v>
      </c>
      <c r="G70" s="77">
        <f ca="1">IFERROR(__xludf.DUMMYFUNCTION("IMPORTRANGE(""https://docs.google.com/spreadsheets/d/1MeEWN-I1oV_STSDYn1IFDPWt_1FKiwhDph83XaGc0o0/edit?usp=sharing"",""งบพรบ!BX70"")"),0)</f>
        <v>0</v>
      </c>
      <c r="H70" s="77">
        <f ca="1">IFERROR(__xludf.DUMMYFUNCTION("IMPORTRANGE(""https://docs.google.com/spreadsheets/d/1MeEWN-I1oV_STSDYn1IFDPWt_1FKiwhDph83XaGc0o0/edit?usp=sharing"",""งบพรบ!BZ70"")"),22540)</f>
        <v>22540</v>
      </c>
      <c r="I70" s="77">
        <f ca="1">IFERROR(__xludf.DUMMYFUNCTION("IMPORTRANGE(""https://docs.google.com/spreadsheets/d/1MeEWN-I1oV_STSDYn1IFDPWt_1FKiwhDph83XaGc0o0/edit?usp=sharing"",""งบพรบ!CA70"")"),0)</f>
        <v>0</v>
      </c>
      <c r="J70" s="77">
        <f t="shared" ca="1" si="3"/>
        <v>9200</v>
      </c>
      <c r="K70" s="78">
        <f t="shared" ca="1" si="4"/>
        <v>122.66666666666667</v>
      </c>
      <c r="L70" s="77">
        <f ca="1">IFERROR(__xludf.DUMMYFUNCTION("IMPORTRANGE(""https://docs.google.com/spreadsheets/d/1MeEWN-I1oV_STSDYn1IFDPWt_1FKiwhDph83XaGc0o0/edit?usp=sharing"",""งบพรบ!CB70"")"),9200)</f>
        <v>9200</v>
      </c>
      <c r="M70" s="79">
        <f t="shared" ca="1" si="5"/>
        <v>122.66666666666667</v>
      </c>
      <c r="N70" s="79">
        <f t="shared" ca="1" si="6"/>
        <v>40.816326530612244</v>
      </c>
      <c r="O70" s="80">
        <f ca="1">IFERROR(__xludf.DUMMYFUNCTION("IMPORTRANGE(""https://docs.google.com/spreadsheets/d/1MeEWN-I1oV_STSDYn1IFDPWt_1FKiwhDph83XaGc0o0/edit?usp=sharing"",""งบพรบ!CC70"")"),0)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IFERROR(__xludf.DUMMYFUNCTION("IMPORTRANGE(""https://docs.google.com/spreadsheets/d/1Nn1EvsFPtXldgpgVb3Rcng2K2cls68LFQsBh2FyW0Bg/edit?usp=sharing"",""สระบุรี!I159"")"),15)</f>
        <v>15</v>
      </c>
      <c r="S70" s="81">
        <f ca="1">IFERROR(__xludf.DUMMYFUNCTION("IMPORTRANGE(""https://docs.google.com/spreadsheets/d/1Nn1EvsFPtXldgpgVb3Rcng2K2cls68LFQsBh2FyW0Bg/edit?usp=sharing"",""สระบุรี!J159"")"),15)</f>
        <v>15</v>
      </c>
      <c r="T70" s="82">
        <f t="shared" ca="1" si="16"/>
        <v>100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26"/>
        <v>0</v>
      </c>
      <c r="E71" s="77">
        <f ca="1">IFERROR(__xludf.DUMMYFUNCTION("IMPORTRANGE(""https://docs.google.com/spreadsheets/d/1MeEWN-I1oV_STSDYn1IFDPWt_1FKiwhDph83XaGc0o0/edit?usp=sharing"",""งบพรบ!BV71"")"),0)</f>
        <v>0</v>
      </c>
      <c r="F71" s="77">
        <f ca="1">IFERROR(__xludf.DUMMYFUNCTION("IMPORTRANGE(""https://docs.google.com/spreadsheets/d/1MeEWN-I1oV_STSDYn1IFDPWt_1FKiwhDph83XaGc0o0/edit?usp=sharing"",""งบพรบ!BW71"")"),0)</f>
        <v>0</v>
      </c>
      <c r="G71" s="77">
        <f ca="1">IFERROR(__xludf.DUMMYFUNCTION("IMPORTRANGE(""https://docs.google.com/spreadsheets/d/1MeEWN-I1oV_STSDYn1IFDPWt_1FKiwhDph83XaGc0o0/edit?usp=sharing"",""งบพรบ!BX71"")"),0)</f>
        <v>0</v>
      </c>
      <c r="H71" s="77">
        <f ca="1">IFERROR(__xludf.DUMMYFUNCTION("IMPORTRANGE(""https://docs.google.com/spreadsheets/d/1MeEWN-I1oV_STSDYn1IFDPWt_1FKiwhDph83XaGc0o0/edit?usp=sharing"",""งบพรบ!BZ71"")"),0)</f>
        <v>0</v>
      </c>
      <c r="I71" s="77">
        <f ca="1">IFERROR(__xludf.DUMMYFUNCTION("IMPORTRANGE(""https://docs.google.com/spreadsheets/d/1MeEWN-I1oV_STSDYn1IFDPWt_1FKiwhDph83XaGc0o0/edit?usp=sharing"",""งบพรบ!CA71"")"),0)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IFERROR(__xludf.DUMMYFUNCTION("IMPORTRANGE(""https://docs.google.com/spreadsheets/d/1MeEWN-I1oV_STSDYn1IFDPWt_1FKiwhDph83XaGc0o0/edit?usp=sharing"",""งบพรบ!CB71"")"),0)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IFERROR(__xludf.DUMMYFUNCTION("IMPORTRANGE(""https://docs.google.com/spreadsheets/d/1MeEWN-I1oV_STSDYn1IFDPWt_1FKiwhDph83XaGc0o0/edit?usp=sharing"",""งบพรบ!CC71"")"),0)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IFERROR(__xludf.DUMMYFUNCTION("IMPORTRANGE(""https://docs.google.com/spreadsheets/d/149xufxukrnEciK3WPbNpHwUK8BKEJxp3UcBG3Al6dA4/edit?usp=sharing"",""สิงห์บุรี!I159"")"),0)</f>
        <v>0</v>
      </c>
      <c r="S71" s="81">
        <f ca="1">IFERROR(__xludf.DUMMYFUNCTION("IMPORTRANGE(""https://docs.google.com/spreadsheets/d/149xufxukrnEciK3WPbNpHwUK8BKEJxp3UcBG3Al6dA4/edit?usp=sharing"",""สิงห์บุรี!J159"")"),0)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7500</v>
      </c>
      <c r="D72" s="76">
        <f t="shared" ca="1" si="26"/>
        <v>7500</v>
      </c>
      <c r="E72" s="77">
        <f ca="1">IFERROR(__xludf.DUMMYFUNCTION("IMPORTRANGE(""https://docs.google.com/spreadsheets/d/1MeEWN-I1oV_STSDYn1IFDPWt_1FKiwhDph83XaGc0o0/edit?usp=sharing"",""งบพรบ!BV72"")"),0)</f>
        <v>0</v>
      </c>
      <c r="F72" s="77">
        <f ca="1">IFERROR(__xludf.DUMMYFUNCTION("IMPORTRANGE(""https://docs.google.com/spreadsheets/d/1MeEWN-I1oV_STSDYn1IFDPWt_1FKiwhDph83XaGc0o0/edit?usp=sharing"",""งบพรบ!BW72"")"),7500)</f>
        <v>7500</v>
      </c>
      <c r="G72" s="77">
        <f ca="1">IFERROR(__xludf.DUMMYFUNCTION("IMPORTRANGE(""https://docs.google.com/spreadsheets/d/1MeEWN-I1oV_STSDYn1IFDPWt_1FKiwhDph83XaGc0o0/edit?usp=sharing"",""งบพรบ!BX72"")"),0)</f>
        <v>0</v>
      </c>
      <c r="H72" s="77">
        <f ca="1">IFERROR(__xludf.DUMMYFUNCTION("IMPORTRANGE(""https://docs.google.com/spreadsheets/d/1MeEWN-I1oV_STSDYn1IFDPWt_1FKiwhDph83XaGc0o0/edit?usp=sharing"",""งบพรบ!BZ72"")"),7500)</f>
        <v>7500</v>
      </c>
      <c r="I72" s="77">
        <f ca="1">IFERROR(__xludf.DUMMYFUNCTION("IMPORTRANGE(""https://docs.google.com/spreadsheets/d/1MeEWN-I1oV_STSDYn1IFDPWt_1FKiwhDph83XaGc0o0/edit?usp=sharing"",""งบพรบ!CA72"")"),0)</f>
        <v>0</v>
      </c>
      <c r="J72" s="77">
        <f t="shared" ca="1" si="3"/>
        <v>7500</v>
      </c>
      <c r="K72" s="78">
        <f t="shared" ca="1" si="4"/>
        <v>100</v>
      </c>
      <c r="L72" s="77">
        <f ca="1">IFERROR(__xludf.DUMMYFUNCTION("IMPORTRANGE(""https://docs.google.com/spreadsheets/d/1MeEWN-I1oV_STSDYn1IFDPWt_1FKiwhDph83XaGc0o0/edit?usp=sharing"",""งบพรบ!CB72"")"),7500)</f>
        <v>7500</v>
      </c>
      <c r="M72" s="79">
        <f t="shared" ca="1" si="5"/>
        <v>100</v>
      </c>
      <c r="N72" s="79">
        <f t="shared" ca="1" si="6"/>
        <v>100</v>
      </c>
      <c r="O72" s="80">
        <f ca="1">IFERROR(__xludf.DUMMYFUNCTION("IMPORTRANGE(""https://docs.google.com/spreadsheets/d/1MeEWN-I1oV_STSDYn1IFDPWt_1FKiwhDph83XaGc0o0/edit?usp=sharing"",""งบพรบ!CC72"")"),0)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IFERROR(__xludf.DUMMYFUNCTION("IMPORTRANGE(""https://docs.google.com/spreadsheets/d/132g-zJpz2uMKimp17uOIx8A7o3w1Z25zwJyXnwsB56c/edit?usp=sharing"",""สุพรรณบุรี!I159"")"),15)</f>
        <v>15</v>
      </c>
      <c r="S72" s="81">
        <f ca="1">IFERROR(__xludf.DUMMYFUNCTION("IMPORTRANGE(""https://docs.google.com/spreadsheets/d/132g-zJpz2uMKimp17uOIx8A7o3w1Z25zwJyXnwsB56c/edit?usp=sharing"",""สุพรรณบุรี!J159"")"),15)</f>
        <v>15</v>
      </c>
      <c r="T72" s="82">
        <f t="shared" ca="1" si="16"/>
        <v>100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26"/>
        <v>0</v>
      </c>
      <c r="E73" s="88">
        <f ca="1">IFERROR(__xludf.DUMMYFUNCTION("IMPORTRANGE(""https://docs.google.com/spreadsheets/d/1MeEWN-I1oV_STSDYn1IFDPWt_1FKiwhDph83XaGc0o0/edit?usp=sharing"",""งบพรบ!BV73"")"),0)</f>
        <v>0</v>
      </c>
      <c r="F73" s="88">
        <f ca="1">IFERROR(__xludf.DUMMYFUNCTION("IMPORTRANGE(""https://docs.google.com/spreadsheets/d/1MeEWN-I1oV_STSDYn1IFDPWt_1FKiwhDph83XaGc0o0/edit?usp=sharing"",""งบพรบ!BW73"")"),0)</f>
        <v>0</v>
      </c>
      <c r="G73" s="88">
        <f ca="1">IFERROR(__xludf.DUMMYFUNCTION("IMPORTRANGE(""https://docs.google.com/spreadsheets/d/1MeEWN-I1oV_STSDYn1IFDPWt_1FKiwhDph83XaGc0o0/edit?usp=sharing"",""งบพรบ!BX73"")"),0)</f>
        <v>0</v>
      </c>
      <c r="H73" s="88">
        <f ca="1">IFERROR(__xludf.DUMMYFUNCTION("IMPORTRANGE(""https://docs.google.com/spreadsheets/d/1MeEWN-I1oV_STSDYn1IFDPWt_1FKiwhDph83XaGc0o0/edit?usp=sharing"",""งบพรบ!BZ73"")"),0)</f>
        <v>0</v>
      </c>
      <c r="I73" s="88">
        <f ca="1">IFERROR(__xludf.DUMMYFUNCTION("IMPORTRANGE(""https://docs.google.com/spreadsheets/d/1MeEWN-I1oV_STSDYn1IFDPWt_1FKiwhDph83XaGc0o0/edit?usp=sharing"",""งบพรบ!CA73"")"),0)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IFERROR(__xludf.DUMMYFUNCTION("IMPORTRANGE(""https://docs.google.com/spreadsheets/d/1MeEWN-I1oV_STSDYn1IFDPWt_1FKiwhDph83XaGc0o0/edit?usp=sharing"",""งบพรบ!CB73"")"),0)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IFERROR(__xludf.DUMMYFUNCTION("IMPORTRANGE(""https://docs.google.com/spreadsheets/d/1MeEWN-I1oV_STSDYn1IFDPWt_1FKiwhDph83XaGc0o0/edit?usp=sharing"",""งบพรบ!CC73"")"),0)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IFERROR(__xludf.DUMMYFUNCTION("IMPORTRANGE(""https://docs.google.com/spreadsheets/d/12Q_U0nVnFdxDFwa0pej9xvx8ZvLC9Dpi_vRro_aiG5g/edit?usp=sharing"",""อ่างทอง!I159"")"),0)</f>
        <v>0</v>
      </c>
      <c r="S73" s="92">
        <f ca="1">IFERROR(__xludf.DUMMYFUNCTION("IMPORTRANGE(""https://docs.google.com/spreadsheets/d/12Q_U0nVnFdxDFwa0pej9xvx8ZvLC9Dpi_vRro_aiG5g/edit?usp=sharing"",""อ่างทอง!J159"")"),0)</f>
        <v>0</v>
      </c>
      <c r="T73" s="93">
        <f t="shared" ca="1" si="16"/>
        <v>0</v>
      </c>
    </row>
    <row r="74" spans="1:20" ht="21" customHeight="1" x14ac:dyDescent="0.2">
      <c r="A74" s="381" t="s">
        <v>96</v>
      </c>
      <c r="B74" s="370"/>
      <c r="C74" s="99">
        <f t="shared" ca="1" si="0"/>
        <v>20000</v>
      </c>
      <c r="D74" s="57">
        <f t="shared" ref="D74:I74" ca="1" si="27">SUM(D75:D88)</f>
        <v>20000</v>
      </c>
      <c r="E74" s="57">
        <f t="shared" ca="1" si="27"/>
        <v>0</v>
      </c>
      <c r="F74" s="57">
        <f t="shared" ca="1" si="27"/>
        <v>20000</v>
      </c>
      <c r="G74" s="57">
        <f t="shared" ca="1" si="27"/>
        <v>0</v>
      </c>
      <c r="H74" s="57">
        <f t="shared" ca="1" si="27"/>
        <v>87040</v>
      </c>
      <c r="I74" s="57">
        <f t="shared" ca="1" si="27"/>
        <v>0</v>
      </c>
      <c r="J74" s="57">
        <f t="shared" ca="1" si="3"/>
        <v>85160</v>
      </c>
      <c r="K74" s="95">
        <f t="shared" ca="1" si="4"/>
        <v>425.8</v>
      </c>
      <c r="L74" s="57">
        <f ca="1">SUM(L75:L88)</f>
        <v>85160</v>
      </c>
      <c r="M74" s="96">
        <f t="shared" ca="1" si="5"/>
        <v>425.8</v>
      </c>
      <c r="N74" s="96">
        <f t="shared" ca="1" si="6"/>
        <v>97.840073529411768</v>
      </c>
      <c r="O74" s="97">
        <f ca="1">SUM(O75:O88)</f>
        <v>0</v>
      </c>
      <c r="P74" s="97">
        <f t="shared" ca="1" si="18"/>
        <v>0</v>
      </c>
      <c r="Q74" s="96">
        <f t="shared" ca="1" si="8"/>
        <v>0</v>
      </c>
      <c r="R74" s="57">
        <f t="shared" ref="R74:S74" ca="1" si="28">SUM(R75:R88)</f>
        <v>40</v>
      </c>
      <c r="S74" s="57">
        <f t="shared" ca="1" si="28"/>
        <v>40</v>
      </c>
      <c r="T74" s="96">
        <f t="shared" ca="1" si="16"/>
        <v>100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0</v>
      </c>
      <c r="D75" s="66">
        <f t="shared" ref="D75:D88" ca="1" si="29">+E75+F75</f>
        <v>0</v>
      </c>
      <c r="E75" s="67">
        <f ca="1">IFERROR(__xludf.DUMMYFUNCTION("IMPORTRANGE(""https://docs.google.com/spreadsheets/d/1MeEWN-I1oV_STSDYn1IFDPWt_1FKiwhDph83XaGc0o0/edit?usp=sharing"",""งบพรบ!BV75"")"),0)</f>
        <v>0</v>
      </c>
      <c r="F75" s="67">
        <f ca="1">IFERROR(__xludf.DUMMYFUNCTION("IMPORTRANGE(""https://docs.google.com/spreadsheets/d/1MeEWN-I1oV_STSDYn1IFDPWt_1FKiwhDph83XaGc0o0/edit?usp=sharing"",""งบพรบ!BW75"")"),0)</f>
        <v>0</v>
      </c>
      <c r="G75" s="100">
        <f ca="1">IFERROR(__xludf.DUMMYFUNCTION("IMPORTRANGE(""https://docs.google.com/spreadsheets/d/1MeEWN-I1oV_STSDYn1IFDPWt_1FKiwhDph83XaGc0o0/edit?usp=sharing"",""งบพรบ!BX75"")"),0)</f>
        <v>0</v>
      </c>
      <c r="H75" s="100">
        <f ca="1">IFERROR(__xludf.DUMMYFUNCTION("IMPORTRANGE(""https://docs.google.com/spreadsheets/d/1MeEWN-I1oV_STSDYn1IFDPWt_1FKiwhDph83XaGc0o0/edit?usp=sharing"",""งบพรบ!BZ75"")"),16980)</f>
        <v>16980</v>
      </c>
      <c r="I75" s="100">
        <f ca="1">IFERROR(__xludf.DUMMYFUNCTION("IMPORTRANGE(""https://docs.google.com/spreadsheets/d/1MeEWN-I1oV_STSDYn1IFDPWt_1FKiwhDph83XaGc0o0/edit?usp=sharing"",""งบพรบ!CA75"")"),0)</f>
        <v>0</v>
      </c>
      <c r="J75" s="100">
        <f t="shared" ca="1" si="3"/>
        <v>16980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IFERROR(__xludf.DUMMYFUNCTION("IMPORTRANGE(""https://docs.google.com/spreadsheets/d/1MeEWN-I1oV_STSDYn1IFDPWt_1FKiwhDph83XaGc0o0/edit?usp=sharing"",""งบพรบ!CB75"")"),16980)</f>
        <v>16980</v>
      </c>
      <c r="M75" s="70">
        <f t="shared" ca="1" si="5"/>
        <v>0</v>
      </c>
      <c r="N75" s="70">
        <f t="shared" ca="1" si="6"/>
        <v>100</v>
      </c>
      <c r="O75" s="71">
        <f ca="1">IFERROR(__xludf.DUMMYFUNCTION("IMPORTRANGE(""https://docs.google.com/spreadsheets/d/1MeEWN-I1oV_STSDYn1IFDPWt_1FKiwhDph83XaGc0o0/edit?usp=sharing"",""งบพรบ!CC75"")"),0)</f>
        <v>0</v>
      </c>
      <c r="P75" s="71">
        <f t="shared" ca="1" si="1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IFERROR(__xludf.DUMMYFUNCTION("IMPORTRANGE(""https://docs.google.com/spreadsheets/d/1kC41EOXpGBFOW658Fs3oD8beYlym0-zO54WY-2Qnp9I/edit?usp=sharing"",""กระบี่!I159"")"),0)</f>
        <v>0</v>
      </c>
      <c r="S75" s="68">
        <f ca="1">IFERROR(__xludf.DUMMYFUNCTION("IMPORTRANGE(""https://docs.google.com/spreadsheets/d/1kC41EOXpGBFOW658Fs3oD8beYlym0-zO54WY-2Qnp9I/edit?usp=sharing"",""กระบี่!J159"")"),0)</f>
        <v>0</v>
      </c>
      <c r="T75" s="72">
        <f t="shared" ca="1" si="16"/>
        <v>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10000</v>
      </c>
      <c r="D76" s="76">
        <f t="shared" ca="1" si="29"/>
        <v>10000</v>
      </c>
      <c r="E76" s="77">
        <f ca="1">IFERROR(__xludf.DUMMYFUNCTION("IMPORTRANGE(""https://docs.google.com/spreadsheets/d/1MeEWN-I1oV_STSDYn1IFDPWt_1FKiwhDph83XaGc0o0/edit?usp=sharing"",""งบพรบ!BV76"")"),0)</f>
        <v>0</v>
      </c>
      <c r="F76" s="77">
        <f ca="1">IFERROR(__xludf.DUMMYFUNCTION("IMPORTRANGE(""https://docs.google.com/spreadsheets/d/1MeEWN-I1oV_STSDYn1IFDPWt_1FKiwhDph83XaGc0o0/edit?usp=sharing"",""งบพรบ!BW76"")"),10000)</f>
        <v>10000</v>
      </c>
      <c r="G76" s="77">
        <f ca="1">IFERROR(__xludf.DUMMYFUNCTION("IMPORTRANGE(""https://docs.google.com/spreadsheets/d/1MeEWN-I1oV_STSDYn1IFDPWt_1FKiwhDph83XaGc0o0/edit?usp=sharing"",""งบพรบ!BX76"")"),0)</f>
        <v>0</v>
      </c>
      <c r="H76" s="77">
        <f ca="1">IFERROR(__xludf.DUMMYFUNCTION("IMPORTRANGE(""https://docs.google.com/spreadsheets/d/1MeEWN-I1oV_STSDYn1IFDPWt_1FKiwhDph83XaGc0o0/edit?usp=sharing"",""งบพรบ!BZ76"")"),27920)</f>
        <v>27920</v>
      </c>
      <c r="I76" s="77">
        <f ca="1">IFERROR(__xludf.DUMMYFUNCTION("IMPORTRANGE(""https://docs.google.com/spreadsheets/d/1MeEWN-I1oV_STSDYn1IFDPWt_1FKiwhDph83XaGc0o0/edit?usp=sharing"",""งบพรบ!CA76"")"),0)</f>
        <v>0</v>
      </c>
      <c r="J76" s="77">
        <f t="shared" ca="1" si="3"/>
        <v>26040</v>
      </c>
      <c r="K76" s="78">
        <f t="shared" ca="1" si="4"/>
        <v>260.39999999999998</v>
      </c>
      <c r="L76" s="77">
        <f ca="1">IFERROR(__xludf.DUMMYFUNCTION("IMPORTRANGE(""https://docs.google.com/spreadsheets/d/1MeEWN-I1oV_STSDYn1IFDPWt_1FKiwhDph83XaGc0o0/edit?usp=sharing"",""งบพรบ!CB76"")"),26040)</f>
        <v>26040</v>
      </c>
      <c r="M76" s="79">
        <f t="shared" ca="1" si="5"/>
        <v>260.39999999999998</v>
      </c>
      <c r="N76" s="79">
        <f t="shared" ca="1" si="6"/>
        <v>93.266475644699142</v>
      </c>
      <c r="O76" s="80">
        <f ca="1">IFERROR(__xludf.DUMMYFUNCTION("IMPORTRANGE(""https://docs.google.com/spreadsheets/d/1MeEWN-I1oV_STSDYn1IFDPWt_1FKiwhDph83XaGc0o0/edit?usp=sharing"",""งบพรบ!CC76"")"),0)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IFERROR(__xludf.DUMMYFUNCTION("IMPORTRANGE(""https://docs.google.com/spreadsheets/d/1FbzMZY_f3MDiEuK7RpCQKrilJ_kpX0Wm7QBZ1L7EjIU/edit?usp=sharing"",""ชุมพร!I159"")"),20)</f>
        <v>20</v>
      </c>
      <c r="S76" s="81">
        <f ca="1">IFERROR(__xludf.DUMMYFUNCTION("IMPORTRANGE(""https://docs.google.com/spreadsheets/d/1FbzMZY_f3MDiEuK7RpCQKrilJ_kpX0Wm7QBZ1L7EjIU/edit?usp=sharing"",""ชุมพร!J159"")"),20)</f>
        <v>20</v>
      </c>
      <c r="T76" s="82">
        <f t="shared" ca="1" si="16"/>
        <v>100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29"/>
        <v>0</v>
      </c>
      <c r="E77" s="77">
        <f ca="1">IFERROR(__xludf.DUMMYFUNCTION("IMPORTRANGE(""https://docs.google.com/spreadsheets/d/1MeEWN-I1oV_STSDYn1IFDPWt_1FKiwhDph83XaGc0o0/edit?usp=sharing"",""งบพรบ!BV77"")"),0)</f>
        <v>0</v>
      </c>
      <c r="F77" s="77">
        <f ca="1">IFERROR(__xludf.DUMMYFUNCTION("IMPORTRANGE(""https://docs.google.com/spreadsheets/d/1MeEWN-I1oV_STSDYn1IFDPWt_1FKiwhDph83XaGc0o0/edit?usp=sharing"",""งบพรบ!BW77"")"),0)</f>
        <v>0</v>
      </c>
      <c r="G77" s="77">
        <f ca="1">IFERROR(__xludf.DUMMYFUNCTION("IMPORTRANGE(""https://docs.google.com/spreadsheets/d/1MeEWN-I1oV_STSDYn1IFDPWt_1FKiwhDph83XaGc0o0/edit?usp=sharing"",""งบพรบ!BX77"")"),0)</f>
        <v>0</v>
      </c>
      <c r="H77" s="77">
        <f ca="1">IFERROR(__xludf.DUMMYFUNCTION("IMPORTRANGE(""https://docs.google.com/spreadsheets/d/1MeEWN-I1oV_STSDYn1IFDPWt_1FKiwhDph83XaGc0o0/edit?usp=sharing"",""งบพรบ!BZ77"")"),0)</f>
        <v>0</v>
      </c>
      <c r="I77" s="77">
        <f ca="1">IFERROR(__xludf.DUMMYFUNCTION("IMPORTRANGE(""https://docs.google.com/spreadsheets/d/1MeEWN-I1oV_STSDYn1IFDPWt_1FKiwhDph83XaGc0o0/edit?usp=sharing"",""งบพรบ!CA77"")"),0)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IFERROR(__xludf.DUMMYFUNCTION("IMPORTRANGE(""https://docs.google.com/spreadsheets/d/1MeEWN-I1oV_STSDYn1IFDPWt_1FKiwhDph83XaGc0o0/edit?usp=sharing"",""งบพรบ!CB77"")"),0)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IFERROR(__xludf.DUMMYFUNCTION("IMPORTRANGE(""https://docs.google.com/spreadsheets/d/1MeEWN-I1oV_STSDYn1IFDPWt_1FKiwhDph83XaGc0o0/edit?usp=sharing"",""งบพรบ!CC77"")"),0)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IFERROR(__xludf.DUMMYFUNCTION("IMPORTRANGE(""https://docs.google.com/spreadsheets/d/1v5sN-00LrXuhBxw4dkh2GrG_z4l5oAqOdJRBCsUyMaM/edit?usp=sharing"",""ตรัง!I159"")"),0)</f>
        <v>0</v>
      </c>
      <c r="S77" s="81">
        <f ca="1">IFERROR(__xludf.DUMMYFUNCTION("IMPORTRANGE(""https://docs.google.com/spreadsheets/d/1v5sN-00LrXuhBxw4dkh2GrG_z4l5oAqOdJRBCsUyMaM/edit?usp=sharing"",""ตรัง!J159"")"),0)</f>
        <v>0</v>
      </c>
      <c r="T77" s="82">
        <f t="shared" ca="1" si="16"/>
        <v>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29"/>
        <v>0</v>
      </c>
      <c r="E78" s="77">
        <f ca="1">IFERROR(__xludf.DUMMYFUNCTION("IMPORTRANGE(""https://docs.google.com/spreadsheets/d/1MeEWN-I1oV_STSDYn1IFDPWt_1FKiwhDph83XaGc0o0/edit?usp=sharing"",""งบพรบ!BV78"")"),0)</f>
        <v>0</v>
      </c>
      <c r="F78" s="77">
        <f ca="1">IFERROR(__xludf.DUMMYFUNCTION("IMPORTRANGE(""https://docs.google.com/spreadsheets/d/1MeEWN-I1oV_STSDYn1IFDPWt_1FKiwhDph83XaGc0o0/edit?usp=sharing"",""งบพรบ!BW78"")"),0)</f>
        <v>0</v>
      </c>
      <c r="G78" s="77">
        <f ca="1">IFERROR(__xludf.DUMMYFUNCTION("IMPORTRANGE(""https://docs.google.com/spreadsheets/d/1MeEWN-I1oV_STSDYn1IFDPWt_1FKiwhDph83XaGc0o0/edit?usp=sharing"",""งบพรบ!BX78"")"),0)</f>
        <v>0</v>
      </c>
      <c r="H78" s="77">
        <f ca="1">IFERROR(__xludf.DUMMYFUNCTION("IMPORTRANGE(""https://docs.google.com/spreadsheets/d/1MeEWN-I1oV_STSDYn1IFDPWt_1FKiwhDph83XaGc0o0/edit?usp=sharing"",""งบพรบ!BZ78"")"),0)</f>
        <v>0</v>
      </c>
      <c r="I78" s="77">
        <f ca="1">IFERROR(__xludf.DUMMYFUNCTION("IMPORTRANGE(""https://docs.google.com/spreadsheets/d/1MeEWN-I1oV_STSDYn1IFDPWt_1FKiwhDph83XaGc0o0/edit?usp=sharing"",""งบพรบ!CA78"")"),0)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IFERROR(__xludf.DUMMYFUNCTION("IMPORTRANGE(""https://docs.google.com/spreadsheets/d/1MeEWN-I1oV_STSDYn1IFDPWt_1FKiwhDph83XaGc0o0/edit?usp=sharing"",""งบพรบ!CB78"")"),0)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IFERROR(__xludf.DUMMYFUNCTION("IMPORTRANGE(""https://docs.google.com/spreadsheets/d/1MeEWN-I1oV_STSDYn1IFDPWt_1FKiwhDph83XaGc0o0/edit?usp=sharing"",""งบพรบ!CC78"")"),0)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IFERROR(__xludf.DUMMYFUNCTION("IMPORTRANGE(""https://docs.google.com/spreadsheets/d/1T5rRTzFc79aSIvqnzkZNvwPstq829QYz_xALlO1Z0s8/edit?usp=sharing"",""นครศรีธรรมราช!I159"")"),0)</f>
        <v>0</v>
      </c>
      <c r="S78" s="81">
        <f ca="1">IFERROR(__xludf.DUMMYFUNCTION("IMPORTRANGE(""https://docs.google.com/spreadsheets/d/1T5rRTzFc79aSIvqnzkZNvwPstq829QYz_xALlO1Z0s8/edit?usp=sharing"",""นครศรีธรรมราช!J159"")"),0)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29"/>
        <v>0</v>
      </c>
      <c r="E79" s="77">
        <f ca="1">IFERROR(__xludf.DUMMYFUNCTION("IMPORTRANGE(""https://docs.google.com/spreadsheets/d/1MeEWN-I1oV_STSDYn1IFDPWt_1FKiwhDph83XaGc0o0/edit?usp=sharing"",""งบพรบ!BV79"")"),0)</f>
        <v>0</v>
      </c>
      <c r="F79" s="77">
        <f ca="1">IFERROR(__xludf.DUMMYFUNCTION("IMPORTRANGE(""https://docs.google.com/spreadsheets/d/1MeEWN-I1oV_STSDYn1IFDPWt_1FKiwhDph83XaGc0o0/edit?usp=sharing"",""งบพรบ!BW79"")"),0)</f>
        <v>0</v>
      </c>
      <c r="G79" s="77">
        <f ca="1">IFERROR(__xludf.DUMMYFUNCTION("IMPORTRANGE(""https://docs.google.com/spreadsheets/d/1MeEWN-I1oV_STSDYn1IFDPWt_1FKiwhDph83XaGc0o0/edit?usp=sharing"",""งบพรบ!BX79"")"),0)</f>
        <v>0</v>
      </c>
      <c r="H79" s="77">
        <f ca="1">IFERROR(__xludf.DUMMYFUNCTION("IMPORTRANGE(""https://docs.google.com/spreadsheets/d/1MeEWN-I1oV_STSDYn1IFDPWt_1FKiwhDph83XaGc0o0/edit?usp=sharing"",""งบพรบ!BZ79"")"),0)</f>
        <v>0</v>
      </c>
      <c r="I79" s="77">
        <f ca="1">IFERROR(__xludf.DUMMYFUNCTION("IMPORTRANGE(""https://docs.google.com/spreadsheets/d/1MeEWN-I1oV_STSDYn1IFDPWt_1FKiwhDph83XaGc0o0/edit?usp=sharing"",""งบพรบ!CA79"")"),0)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IFERROR(__xludf.DUMMYFUNCTION("IMPORTRANGE(""https://docs.google.com/spreadsheets/d/1MeEWN-I1oV_STSDYn1IFDPWt_1FKiwhDph83XaGc0o0/edit?usp=sharing"",""งบพรบ!CB79"")"),0)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IFERROR(__xludf.DUMMYFUNCTION("IMPORTRANGE(""https://docs.google.com/spreadsheets/d/1MeEWN-I1oV_STSDYn1IFDPWt_1FKiwhDph83XaGc0o0/edit?usp=sharing"",""งบพรบ!CC79"")"),0)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IFERROR(__xludf.DUMMYFUNCTION("IMPORTRANGE(""https://docs.google.com/spreadsheets/d/1BeghqumK0IvCmRd2QOy6_afsZq7ZtAGrSnVJy2u7WmY/edit?usp=sharing"",""นราธิวาส!I159"")"),0)</f>
        <v>0</v>
      </c>
      <c r="S79" s="81">
        <f ca="1">IFERROR(__xludf.DUMMYFUNCTION("IMPORTRANGE(""https://docs.google.com/spreadsheets/d/1BeghqumK0IvCmRd2QOy6_afsZq7ZtAGrSnVJy2u7WmY/edit?usp=sharing"",""นราธิวาส!J159"")"),0)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29"/>
        <v>0</v>
      </c>
      <c r="E80" s="77">
        <f ca="1">IFERROR(__xludf.DUMMYFUNCTION("IMPORTRANGE(""https://docs.google.com/spreadsheets/d/1MeEWN-I1oV_STSDYn1IFDPWt_1FKiwhDph83XaGc0o0/edit?usp=sharing"",""งบพรบ!BV80"")"),0)</f>
        <v>0</v>
      </c>
      <c r="F80" s="77">
        <f ca="1">IFERROR(__xludf.DUMMYFUNCTION("IMPORTRANGE(""https://docs.google.com/spreadsheets/d/1MeEWN-I1oV_STSDYn1IFDPWt_1FKiwhDph83XaGc0o0/edit?usp=sharing"",""งบพรบ!BW80"")"),0)</f>
        <v>0</v>
      </c>
      <c r="G80" s="77">
        <f ca="1">IFERROR(__xludf.DUMMYFUNCTION("IMPORTRANGE(""https://docs.google.com/spreadsheets/d/1MeEWN-I1oV_STSDYn1IFDPWt_1FKiwhDph83XaGc0o0/edit?usp=sharing"",""งบพรบ!BX80"")"),0)</f>
        <v>0</v>
      </c>
      <c r="H80" s="77">
        <f ca="1">IFERROR(__xludf.DUMMYFUNCTION("IMPORTRANGE(""https://docs.google.com/spreadsheets/d/1MeEWN-I1oV_STSDYn1IFDPWt_1FKiwhDph83XaGc0o0/edit?usp=sharing"",""งบพรบ!BZ80"")"),0)</f>
        <v>0</v>
      </c>
      <c r="I80" s="77">
        <f ca="1">IFERROR(__xludf.DUMMYFUNCTION("IMPORTRANGE(""https://docs.google.com/spreadsheets/d/1MeEWN-I1oV_STSDYn1IFDPWt_1FKiwhDph83XaGc0o0/edit?usp=sharing"",""งบพรบ!CA80"")"),0)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IFERROR(__xludf.DUMMYFUNCTION("IMPORTRANGE(""https://docs.google.com/spreadsheets/d/1MeEWN-I1oV_STSDYn1IFDPWt_1FKiwhDph83XaGc0o0/edit?usp=sharing"",""งบพรบ!CB80"")"),0)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IFERROR(__xludf.DUMMYFUNCTION("IMPORTRANGE(""https://docs.google.com/spreadsheets/d/1MeEWN-I1oV_STSDYn1IFDPWt_1FKiwhDph83XaGc0o0/edit?usp=sharing"",""งบพรบ!CC80"")"),0)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IFERROR(__xludf.DUMMYFUNCTION("IMPORTRANGE(""https://docs.google.com/spreadsheets/d/1IwnW3-jjRf74MCLW-6PiFwMUffRQXZwZA7YM609NmRc/edit?usp=sharing"",""ปัตตานี!I159"")"),0)</f>
        <v>0</v>
      </c>
      <c r="S80" s="81">
        <f ca="1">IFERROR(__xludf.DUMMYFUNCTION("IMPORTRANGE(""https://docs.google.com/spreadsheets/d/1IwnW3-jjRf74MCLW-6PiFwMUffRQXZwZA7YM609NmRc/edit?usp=sharing"",""ปัตตานี!J159"")"),0)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29"/>
        <v>0</v>
      </c>
      <c r="E81" s="77">
        <f ca="1">IFERROR(__xludf.DUMMYFUNCTION("IMPORTRANGE(""https://docs.google.com/spreadsheets/d/1MeEWN-I1oV_STSDYn1IFDPWt_1FKiwhDph83XaGc0o0/edit?usp=sharing"",""งบพรบ!BV81"")"),0)</f>
        <v>0</v>
      </c>
      <c r="F81" s="77">
        <f ca="1">IFERROR(__xludf.DUMMYFUNCTION("IMPORTRANGE(""https://docs.google.com/spreadsheets/d/1MeEWN-I1oV_STSDYn1IFDPWt_1FKiwhDph83XaGc0o0/edit?usp=sharing"",""งบพรบ!BW81"")"),0)</f>
        <v>0</v>
      </c>
      <c r="G81" s="77">
        <f ca="1">IFERROR(__xludf.DUMMYFUNCTION("IMPORTRANGE(""https://docs.google.com/spreadsheets/d/1MeEWN-I1oV_STSDYn1IFDPWt_1FKiwhDph83XaGc0o0/edit?usp=sharing"",""งบพรบ!BX81"")"),0)</f>
        <v>0</v>
      </c>
      <c r="H81" s="77">
        <f ca="1">IFERROR(__xludf.DUMMYFUNCTION("IMPORTRANGE(""https://docs.google.com/spreadsheets/d/1MeEWN-I1oV_STSDYn1IFDPWt_1FKiwhDph83XaGc0o0/edit?usp=sharing"",""งบพรบ!BZ81"")"),0)</f>
        <v>0</v>
      </c>
      <c r="I81" s="77">
        <f ca="1">IFERROR(__xludf.DUMMYFUNCTION("IMPORTRANGE(""https://docs.google.com/spreadsheets/d/1MeEWN-I1oV_STSDYn1IFDPWt_1FKiwhDph83XaGc0o0/edit?usp=sharing"",""งบพรบ!CA81"")"),0)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IFERROR(__xludf.DUMMYFUNCTION("IMPORTRANGE(""https://docs.google.com/spreadsheets/d/1MeEWN-I1oV_STSDYn1IFDPWt_1FKiwhDph83XaGc0o0/edit?usp=sharing"",""งบพรบ!CB81"")"),0)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IFERROR(__xludf.DUMMYFUNCTION("IMPORTRANGE(""https://docs.google.com/spreadsheets/d/1MeEWN-I1oV_STSDYn1IFDPWt_1FKiwhDph83XaGc0o0/edit?usp=sharing"",""งบพรบ!CC81"")"),0)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IFERROR(__xludf.DUMMYFUNCTION("IMPORTRANGE(""https://docs.google.com/spreadsheets/d/1vl4QWbWdFruual5o_wdo6ZSqXZ_it806oja4CctTLKs/edit?usp=sharing"",""พังงา!I159"")"),0)</f>
        <v>0</v>
      </c>
      <c r="S81" s="81">
        <f ca="1">IFERROR(__xludf.DUMMYFUNCTION("IMPORTRANGE(""https://docs.google.com/spreadsheets/d/1vl4QWbWdFruual5o_wdo6ZSqXZ_it806oja4CctTLKs/edit?usp=sharing"",""พังงา!J159"")"),0)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29"/>
        <v>0</v>
      </c>
      <c r="E82" s="77">
        <f ca="1">IFERROR(__xludf.DUMMYFUNCTION("IMPORTRANGE(""https://docs.google.com/spreadsheets/d/1MeEWN-I1oV_STSDYn1IFDPWt_1FKiwhDph83XaGc0o0/edit?usp=sharing"",""งบพรบ!BV82"")"),0)</f>
        <v>0</v>
      </c>
      <c r="F82" s="77">
        <f ca="1">IFERROR(__xludf.DUMMYFUNCTION("IMPORTRANGE(""https://docs.google.com/spreadsheets/d/1MeEWN-I1oV_STSDYn1IFDPWt_1FKiwhDph83XaGc0o0/edit?usp=sharing"",""งบพรบ!BW82"")"),0)</f>
        <v>0</v>
      </c>
      <c r="G82" s="77">
        <f ca="1">IFERROR(__xludf.DUMMYFUNCTION("IMPORTRANGE(""https://docs.google.com/spreadsheets/d/1MeEWN-I1oV_STSDYn1IFDPWt_1FKiwhDph83XaGc0o0/edit?usp=sharing"",""งบพรบ!BX82"")"),0)</f>
        <v>0</v>
      </c>
      <c r="H82" s="77">
        <f ca="1">IFERROR(__xludf.DUMMYFUNCTION("IMPORTRANGE(""https://docs.google.com/spreadsheets/d/1MeEWN-I1oV_STSDYn1IFDPWt_1FKiwhDph83XaGc0o0/edit?usp=sharing"",""งบพรบ!BZ82"")"),0)</f>
        <v>0</v>
      </c>
      <c r="I82" s="77">
        <f ca="1">IFERROR(__xludf.DUMMYFUNCTION("IMPORTRANGE(""https://docs.google.com/spreadsheets/d/1MeEWN-I1oV_STSDYn1IFDPWt_1FKiwhDph83XaGc0o0/edit?usp=sharing"",""งบพรบ!CA82"")"),0)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IFERROR(__xludf.DUMMYFUNCTION("IMPORTRANGE(""https://docs.google.com/spreadsheets/d/1MeEWN-I1oV_STSDYn1IFDPWt_1FKiwhDph83XaGc0o0/edit?usp=sharing"",""งบพรบ!CB82"")"),0)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IFERROR(__xludf.DUMMYFUNCTION("IMPORTRANGE(""https://docs.google.com/spreadsheets/d/1MeEWN-I1oV_STSDYn1IFDPWt_1FKiwhDph83XaGc0o0/edit?usp=sharing"",""งบพรบ!CC82"")"),0)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IFERROR(__xludf.DUMMYFUNCTION("IMPORTRANGE(""https://docs.google.com/spreadsheets/d/1b6QssHQp2FoAPSMKHOy273KNzAomaIKhtdlvuZ_zDNE/edit?usp=sharing"",""พัทลุง!I159"")"),0)</f>
        <v>0</v>
      </c>
      <c r="S82" s="81">
        <f ca="1">IFERROR(__xludf.DUMMYFUNCTION("IMPORTRANGE(""https://docs.google.com/spreadsheets/d/1b6QssHQp2FoAPSMKHOy273KNzAomaIKhtdlvuZ_zDNE/edit?usp=sharing"",""พัทลุง!J159"")"),0)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29"/>
        <v>0</v>
      </c>
      <c r="E83" s="77">
        <f ca="1">IFERROR(__xludf.DUMMYFUNCTION("IMPORTRANGE(""https://docs.google.com/spreadsheets/d/1MeEWN-I1oV_STSDYn1IFDPWt_1FKiwhDph83XaGc0o0/edit?usp=sharing"",""งบพรบ!BV83"")"),0)</f>
        <v>0</v>
      </c>
      <c r="F83" s="77">
        <f ca="1">IFERROR(__xludf.DUMMYFUNCTION("IMPORTRANGE(""https://docs.google.com/spreadsheets/d/1MeEWN-I1oV_STSDYn1IFDPWt_1FKiwhDph83XaGc0o0/edit?usp=sharing"",""งบพรบ!BW83"")"),0)</f>
        <v>0</v>
      </c>
      <c r="G83" s="77">
        <f ca="1">IFERROR(__xludf.DUMMYFUNCTION("IMPORTRANGE(""https://docs.google.com/spreadsheets/d/1MeEWN-I1oV_STSDYn1IFDPWt_1FKiwhDph83XaGc0o0/edit?usp=sharing"",""งบพรบ!BX83"")"),0)</f>
        <v>0</v>
      </c>
      <c r="H83" s="77">
        <f ca="1">IFERROR(__xludf.DUMMYFUNCTION("IMPORTRANGE(""https://docs.google.com/spreadsheets/d/1MeEWN-I1oV_STSDYn1IFDPWt_1FKiwhDph83XaGc0o0/edit?usp=sharing"",""งบพรบ!BZ83"")"),0)</f>
        <v>0</v>
      </c>
      <c r="I83" s="77">
        <f ca="1">IFERROR(__xludf.DUMMYFUNCTION("IMPORTRANGE(""https://docs.google.com/spreadsheets/d/1MeEWN-I1oV_STSDYn1IFDPWt_1FKiwhDph83XaGc0o0/edit?usp=sharing"",""งบพรบ!CA83"")"),0)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IFERROR(__xludf.DUMMYFUNCTION("IMPORTRANGE(""https://docs.google.com/spreadsheets/d/1MeEWN-I1oV_STSDYn1IFDPWt_1FKiwhDph83XaGc0o0/edit?usp=sharing"",""งบพรบ!CB83"")"),0)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IFERROR(__xludf.DUMMYFUNCTION("IMPORTRANGE(""https://docs.google.com/spreadsheets/d/1MeEWN-I1oV_STSDYn1IFDPWt_1FKiwhDph83XaGc0o0/edit?usp=sharing"",""งบพรบ!CC83"")"),0)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IFERROR(__xludf.DUMMYFUNCTION("IMPORTRANGE(""https://docs.google.com/spreadsheets/d/1o7UZe4_OqlqtLDHrj01Z2YFRSZDf1DMy1n3XViHaxRc/edit?usp=sharing"",""ภูเก็ต!I159"")"),0)</f>
        <v>0</v>
      </c>
      <c r="S83" s="81">
        <f ca="1">IFERROR(__xludf.DUMMYFUNCTION("IMPORTRANGE(""https://docs.google.com/spreadsheets/d/1o7UZe4_OqlqtLDHrj01Z2YFRSZDf1DMy1n3XViHaxRc/edit?usp=sharing"",""ภูเก็ต!J159"")"),0)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29"/>
        <v>0</v>
      </c>
      <c r="E84" s="77">
        <f ca="1">IFERROR(__xludf.DUMMYFUNCTION("IMPORTRANGE(""https://docs.google.com/spreadsheets/d/1MeEWN-I1oV_STSDYn1IFDPWt_1FKiwhDph83XaGc0o0/edit?usp=sharing"",""งบพรบ!BV84"")"),0)</f>
        <v>0</v>
      </c>
      <c r="F84" s="77">
        <f ca="1">IFERROR(__xludf.DUMMYFUNCTION("IMPORTRANGE(""https://docs.google.com/spreadsheets/d/1MeEWN-I1oV_STSDYn1IFDPWt_1FKiwhDph83XaGc0o0/edit?usp=sharing"",""งบพรบ!BW84"")"),0)</f>
        <v>0</v>
      </c>
      <c r="G84" s="77">
        <f ca="1">IFERROR(__xludf.DUMMYFUNCTION("IMPORTRANGE(""https://docs.google.com/spreadsheets/d/1MeEWN-I1oV_STSDYn1IFDPWt_1FKiwhDph83XaGc0o0/edit?usp=sharing"",""งบพรบ!BX84"")"),0)</f>
        <v>0</v>
      </c>
      <c r="H84" s="77">
        <f ca="1">IFERROR(__xludf.DUMMYFUNCTION("IMPORTRANGE(""https://docs.google.com/spreadsheets/d/1MeEWN-I1oV_STSDYn1IFDPWt_1FKiwhDph83XaGc0o0/edit?usp=sharing"",""งบพรบ!BZ84"")"),0)</f>
        <v>0</v>
      </c>
      <c r="I84" s="77">
        <f ca="1">IFERROR(__xludf.DUMMYFUNCTION("IMPORTRANGE(""https://docs.google.com/spreadsheets/d/1MeEWN-I1oV_STSDYn1IFDPWt_1FKiwhDph83XaGc0o0/edit?usp=sharing"",""งบพรบ!CA84"")"),0)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IFERROR(__xludf.DUMMYFUNCTION("IMPORTRANGE(""https://docs.google.com/spreadsheets/d/1MeEWN-I1oV_STSDYn1IFDPWt_1FKiwhDph83XaGc0o0/edit?usp=sharing"",""งบพรบ!CB84"")"),0)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IFERROR(__xludf.DUMMYFUNCTION("IMPORTRANGE(""https://docs.google.com/spreadsheets/d/1MeEWN-I1oV_STSDYn1IFDPWt_1FKiwhDph83XaGc0o0/edit?usp=sharing"",""งบพรบ!CC84"")"),0)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IFERROR(__xludf.DUMMYFUNCTION("IMPORTRANGE(""https://docs.google.com/spreadsheets/d/1ctPm1vUzcUCPuOj9-eoHUD85PqINFqUB0TjdSWmR5-c/edit?usp=sharing"",""ยะลา!I159"")"),0)</f>
        <v>0</v>
      </c>
      <c r="S84" s="81">
        <f ca="1">IFERROR(__xludf.DUMMYFUNCTION("IMPORTRANGE(""https://docs.google.com/spreadsheets/d/1ctPm1vUzcUCPuOj9-eoHUD85PqINFqUB0TjdSWmR5-c/edit?usp=sharing"",""ยะลา!J159"")"),0)</f>
        <v>0</v>
      </c>
      <c r="T84" s="82">
        <f t="shared" ca="1" si="16"/>
        <v>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29"/>
        <v>0</v>
      </c>
      <c r="E85" s="77">
        <f ca="1">IFERROR(__xludf.DUMMYFUNCTION("IMPORTRANGE(""https://docs.google.com/spreadsheets/d/1MeEWN-I1oV_STSDYn1IFDPWt_1FKiwhDph83XaGc0o0/edit?usp=sharing"",""งบพรบ!BV85"")"),0)</f>
        <v>0</v>
      </c>
      <c r="F85" s="77">
        <f ca="1">IFERROR(__xludf.DUMMYFUNCTION("IMPORTRANGE(""https://docs.google.com/spreadsheets/d/1MeEWN-I1oV_STSDYn1IFDPWt_1FKiwhDph83XaGc0o0/edit?usp=sharing"",""งบพรบ!BW85"")"),0)</f>
        <v>0</v>
      </c>
      <c r="G85" s="77">
        <f ca="1">IFERROR(__xludf.DUMMYFUNCTION("IMPORTRANGE(""https://docs.google.com/spreadsheets/d/1MeEWN-I1oV_STSDYn1IFDPWt_1FKiwhDph83XaGc0o0/edit?usp=sharing"",""งบพรบ!BX85"")"),0)</f>
        <v>0</v>
      </c>
      <c r="H85" s="77">
        <f ca="1">IFERROR(__xludf.DUMMYFUNCTION("IMPORTRANGE(""https://docs.google.com/spreadsheets/d/1MeEWN-I1oV_STSDYn1IFDPWt_1FKiwhDph83XaGc0o0/edit?usp=sharing"",""งบพรบ!BZ85"")"),0)</f>
        <v>0</v>
      </c>
      <c r="I85" s="77">
        <f ca="1">IFERROR(__xludf.DUMMYFUNCTION("IMPORTRANGE(""https://docs.google.com/spreadsheets/d/1MeEWN-I1oV_STSDYn1IFDPWt_1FKiwhDph83XaGc0o0/edit?usp=sharing"",""งบพรบ!CA85"")"),0)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IFERROR(__xludf.DUMMYFUNCTION("IMPORTRANGE(""https://docs.google.com/spreadsheets/d/1MeEWN-I1oV_STSDYn1IFDPWt_1FKiwhDph83XaGc0o0/edit?usp=sharing"",""งบพรบ!CB85"")"),0)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IFERROR(__xludf.DUMMYFUNCTION("IMPORTRANGE(""https://docs.google.com/spreadsheets/d/1MeEWN-I1oV_STSDYn1IFDPWt_1FKiwhDph83XaGc0o0/edit?usp=sharing"",""งบพรบ!CC85"")"),0)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IFERROR(__xludf.DUMMYFUNCTION("IMPORTRANGE(""https://docs.google.com/spreadsheets/d/1YiDIE7Klmt8osgdapRqYWNr7iPGFSsiJqq46S7PYRE0/edit?usp=sharing"",""ระนอง!I159"")"),0)</f>
        <v>0</v>
      </c>
      <c r="S85" s="81">
        <f ca="1">IFERROR(__xludf.DUMMYFUNCTION("IMPORTRANGE(""https://docs.google.com/spreadsheets/d/1YiDIE7Klmt8osgdapRqYWNr7iPGFSsiJqq46S7PYRE0/edit?usp=sharing"",""ระนอง!J159"")"),0)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29"/>
        <v>0</v>
      </c>
      <c r="E86" s="77">
        <f ca="1">IFERROR(__xludf.DUMMYFUNCTION("IMPORTRANGE(""https://docs.google.com/spreadsheets/d/1MeEWN-I1oV_STSDYn1IFDPWt_1FKiwhDph83XaGc0o0/edit?usp=sharing"",""งบพรบ!BV86"")"),0)</f>
        <v>0</v>
      </c>
      <c r="F86" s="77">
        <f ca="1">IFERROR(__xludf.DUMMYFUNCTION("IMPORTRANGE(""https://docs.google.com/spreadsheets/d/1MeEWN-I1oV_STSDYn1IFDPWt_1FKiwhDph83XaGc0o0/edit?usp=sharing"",""งบพรบ!BW86"")"),0)</f>
        <v>0</v>
      </c>
      <c r="G86" s="77">
        <f ca="1">IFERROR(__xludf.DUMMYFUNCTION("IMPORTRANGE(""https://docs.google.com/spreadsheets/d/1MeEWN-I1oV_STSDYn1IFDPWt_1FKiwhDph83XaGc0o0/edit?usp=sharing"",""งบพรบ!BX86"")"),0)</f>
        <v>0</v>
      </c>
      <c r="H86" s="77">
        <f ca="1">IFERROR(__xludf.DUMMYFUNCTION("IMPORTRANGE(""https://docs.google.com/spreadsheets/d/1MeEWN-I1oV_STSDYn1IFDPWt_1FKiwhDph83XaGc0o0/edit?usp=sharing"",""งบพรบ!BZ86"")"),0)</f>
        <v>0</v>
      </c>
      <c r="I86" s="77">
        <f ca="1">IFERROR(__xludf.DUMMYFUNCTION("IMPORTRANGE(""https://docs.google.com/spreadsheets/d/1MeEWN-I1oV_STSDYn1IFDPWt_1FKiwhDph83XaGc0o0/edit?usp=sharing"",""งบพรบ!CA86"")"),0)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IFERROR(__xludf.DUMMYFUNCTION("IMPORTRANGE(""https://docs.google.com/spreadsheets/d/1MeEWN-I1oV_STSDYn1IFDPWt_1FKiwhDph83XaGc0o0/edit?usp=sharing"",""งบพรบ!CB86"")"),0)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IFERROR(__xludf.DUMMYFUNCTION("IMPORTRANGE(""https://docs.google.com/spreadsheets/d/1MeEWN-I1oV_STSDYn1IFDPWt_1FKiwhDph83XaGc0o0/edit?usp=sharing"",""งบพรบ!CC86"")"),0)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IFERROR(__xludf.DUMMYFUNCTION("IMPORTRANGE(""https://docs.google.com/spreadsheets/d/16o_4B-V7AWw_6E93bSpXj_XxVv1oVQctk-B6z1dNEWU/edit?usp=sharing"",""สงขลา!I159"")"),0)</f>
        <v>0</v>
      </c>
      <c r="S86" s="81">
        <f ca="1">IFERROR(__xludf.DUMMYFUNCTION("IMPORTRANGE(""https://docs.google.com/spreadsheets/d/16o_4B-V7AWw_6E93bSpXj_XxVv1oVQctk-B6z1dNEWU/edit?usp=sharing"",""สงขลา!J159"")"),0)</f>
        <v>0</v>
      </c>
      <c r="T86" s="82">
        <f t="shared" ca="1" si="16"/>
        <v>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29"/>
        <v>0</v>
      </c>
      <c r="E87" s="77">
        <f ca="1">IFERROR(__xludf.DUMMYFUNCTION("IMPORTRANGE(""https://docs.google.com/spreadsheets/d/1MeEWN-I1oV_STSDYn1IFDPWt_1FKiwhDph83XaGc0o0/edit?usp=sharing"",""งบพรบ!BV87"")"),0)</f>
        <v>0</v>
      </c>
      <c r="F87" s="77">
        <f ca="1">IFERROR(__xludf.DUMMYFUNCTION("IMPORTRANGE(""https://docs.google.com/spreadsheets/d/1MeEWN-I1oV_STSDYn1IFDPWt_1FKiwhDph83XaGc0o0/edit?usp=sharing"",""งบพรบ!BW87"")"),0)</f>
        <v>0</v>
      </c>
      <c r="G87" s="77">
        <f ca="1">IFERROR(__xludf.DUMMYFUNCTION("IMPORTRANGE(""https://docs.google.com/spreadsheets/d/1MeEWN-I1oV_STSDYn1IFDPWt_1FKiwhDph83XaGc0o0/edit?usp=sharing"",""งบพรบ!BX87"")"),0)</f>
        <v>0</v>
      </c>
      <c r="H87" s="77">
        <f ca="1">IFERROR(__xludf.DUMMYFUNCTION("IMPORTRANGE(""https://docs.google.com/spreadsheets/d/1MeEWN-I1oV_STSDYn1IFDPWt_1FKiwhDph83XaGc0o0/edit?usp=sharing"",""งบพรบ!BZ87"")"),11460)</f>
        <v>11460</v>
      </c>
      <c r="I87" s="77">
        <f ca="1">IFERROR(__xludf.DUMMYFUNCTION("IMPORTRANGE(""https://docs.google.com/spreadsheets/d/1MeEWN-I1oV_STSDYn1IFDPWt_1FKiwhDph83XaGc0o0/edit?usp=sharing"",""งบพรบ!CA87"")"),0)</f>
        <v>0</v>
      </c>
      <c r="J87" s="77">
        <f t="shared" ca="1" si="3"/>
        <v>11460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IFERROR(__xludf.DUMMYFUNCTION("IMPORTRANGE(""https://docs.google.com/spreadsheets/d/1MeEWN-I1oV_STSDYn1IFDPWt_1FKiwhDph83XaGc0o0/edit?usp=sharing"",""งบพรบ!CB87"")"),11460)</f>
        <v>11460</v>
      </c>
      <c r="M87" s="79">
        <f t="shared" ca="1" si="5"/>
        <v>0</v>
      </c>
      <c r="N87" s="79">
        <f t="shared" ca="1" si="6"/>
        <v>100</v>
      </c>
      <c r="O87" s="80">
        <f ca="1">IFERROR(__xludf.DUMMYFUNCTION("IMPORTRANGE(""https://docs.google.com/spreadsheets/d/1MeEWN-I1oV_STSDYn1IFDPWt_1FKiwhDph83XaGc0o0/edit?usp=sharing"",""งบพรบ!CC87"")"),0)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IFERROR(__xludf.DUMMYFUNCTION("IMPORTRANGE(""https://docs.google.com/spreadsheets/d/16cywr71Fj4fA5OGRHsZh30ZG2gwJhMAQv69oVBzYHv0/edit?usp=sharing"",""สตูล!I159"")"),0)</f>
        <v>0</v>
      </c>
      <c r="S87" s="81">
        <f ca="1">IFERROR(__xludf.DUMMYFUNCTION("IMPORTRANGE(""https://docs.google.com/spreadsheets/d/16cywr71Fj4fA5OGRHsZh30ZG2gwJhMAQv69oVBzYHv0/edit?usp=sharing"",""สตูล!J159"")"),0)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10000</v>
      </c>
      <c r="D88" s="87">
        <f t="shared" ca="1" si="29"/>
        <v>10000</v>
      </c>
      <c r="E88" s="88">
        <f ca="1">IFERROR(__xludf.DUMMYFUNCTION("IMPORTRANGE(""https://docs.google.com/spreadsheets/d/1MeEWN-I1oV_STSDYn1IFDPWt_1FKiwhDph83XaGc0o0/edit?usp=sharing"",""งบพรบ!BV88"")"),0)</f>
        <v>0</v>
      </c>
      <c r="F88" s="88">
        <f ca="1">IFERROR(__xludf.DUMMYFUNCTION("IMPORTRANGE(""https://docs.google.com/spreadsheets/d/1MeEWN-I1oV_STSDYn1IFDPWt_1FKiwhDph83XaGc0o0/edit?usp=sharing"",""งบพรบ!BW88"")"),10000)</f>
        <v>10000</v>
      </c>
      <c r="G88" s="88">
        <f ca="1">IFERROR(__xludf.DUMMYFUNCTION("IMPORTRANGE(""https://docs.google.com/spreadsheets/d/1MeEWN-I1oV_STSDYn1IFDPWt_1FKiwhDph83XaGc0o0/edit?usp=sharing"",""งบพรบ!BX88"")"),0)</f>
        <v>0</v>
      </c>
      <c r="H88" s="88">
        <f ca="1">IFERROR(__xludf.DUMMYFUNCTION("IMPORTRANGE(""https://docs.google.com/spreadsheets/d/1MeEWN-I1oV_STSDYn1IFDPWt_1FKiwhDph83XaGc0o0/edit?usp=sharing"",""งบพรบ!BZ88"")"),30680)</f>
        <v>30680</v>
      </c>
      <c r="I88" s="88">
        <f ca="1">IFERROR(__xludf.DUMMYFUNCTION("IMPORTRANGE(""https://docs.google.com/spreadsheets/d/1MeEWN-I1oV_STSDYn1IFDPWt_1FKiwhDph83XaGc0o0/edit?usp=sharing"",""งบพรบ!CA88"")"),0)</f>
        <v>0</v>
      </c>
      <c r="J88" s="88">
        <f t="shared" ca="1" si="3"/>
        <v>30680</v>
      </c>
      <c r="K88" s="89">
        <f t="shared" ca="1" si="4"/>
        <v>306.8</v>
      </c>
      <c r="L88" s="88">
        <f ca="1">IFERROR(__xludf.DUMMYFUNCTION("IMPORTRANGE(""https://docs.google.com/spreadsheets/d/1MeEWN-I1oV_STSDYn1IFDPWt_1FKiwhDph83XaGc0o0/edit?usp=sharing"",""งบพรบ!CB88"")"),30680)</f>
        <v>30680</v>
      </c>
      <c r="M88" s="90">
        <f t="shared" ca="1" si="5"/>
        <v>306.8</v>
      </c>
      <c r="N88" s="90">
        <f t="shared" ca="1" si="6"/>
        <v>100</v>
      </c>
      <c r="O88" s="91">
        <f ca="1">IFERROR(__xludf.DUMMYFUNCTION("IMPORTRANGE(""https://docs.google.com/spreadsheets/d/1MeEWN-I1oV_STSDYn1IFDPWt_1FKiwhDph83XaGc0o0/edit?usp=sharing"",""งบพรบ!CC88"")"),0)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IFERROR(__xludf.DUMMYFUNCTION("IMPORTRANGE(""https://docs.google.com/spreadsheets/d/1vO9Sws6kMtrVtyvrAJptINXjK8TFBoX9xLYOVK_C8bQ/edit?usp=sharing"",""สุราษฎร์ธานี!I159"")"),20)</f>
        <v>20</v>
      </c>
      <c r="S88" s="92">
        <f ca="1">IFERROR(__xludf.DUMMYFUNCTION("IMPORTRANGE(""https://docs.google.com/spreadsheets/d/1vO9Sws6kMtrVtyvrAJptINXjK8TFBoX9xLYOVK_C8bQ/edit?usp=sharing"",""สุราษฎร์ธานี!J159"")"),20)</f>
        <v>20</v>
      </c>
      <c r="T88" s="93">
        <f t="shared" ca="1" si="16"/>
        <v>100</v>
      </c>
    </row>
    <row r="89" spans="1:20" ht="21" hidden="1" customHeight="1" x14ac:dyDescent="0.2">
      <c r="A89" s="369" t="s">
        <v>111</v>
      </c>
      <c r="B89" s="370"/>
      <c r="C89" s="102">
        <f t="shared" ca="1" si="0"/>
        <v>3058200</v>
      </c>
      <c r="D89" s="41">
        <f t="shared" ref="D89:I89" ca="1" si="30">+D90+D91+D92+D93+D94+D95+D96+D97+D98+D99+D100+D101+D102+D103</f>
        <v>3058200</v>
      </c>
      <c r="E89" s="41">
        <f t="shared" ca="1" si="30"/>
        <v>496100</v>
      </c>
      <c r="F89" s="41">
        <f t="shared" ca="1" si="30"/>
        <v>2562100</v>
      </c>
      <c r="G89" s="41">
        <f t="shared" ca="1" si="30"/>
        <v>0</v>
      </c>
      <c r="H89" s="41">
        <f t="shared" ca="1" si="30"/>
        <v>3002130</v>
      </c>
      <c r="I89" s="41">
        <f t="shared" ca="1" si="30"/>
        <v>0</v>
      </c>
      <c r="J89" s="41">
        <f t="shared" ca="1" si="3"/>
        <v>2683805.4700000002</v>
      </c>
      <c r="K89" s="43">
        <f t="shared" ca="1" si="4"/>
        <v>87.757683277745087</v>
      </c>
      <c r="L89" s="41">
        <f ca="1">+L90+L91+L92+L93+L94+L95+L96+L97+L98+L99+L100+L101+L102+L103</f>
        <v>2683805.4700000002</v>
      </c>
      <c r="M89" s="44">
        <f t="shared" ca="1" si="5"/>
        <v>87.757683277745087</v>
      </c>
      <c r="N89" s="44">
        <f t="shared" ca="1" si="6"/>
        <v>89.39671066875853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IFERROR(__xludf.DUMMYFUNCTION("IMPORTRANGE(""https://docs.google.com/spreadsheets/d/1MeEWN-I1oV_STSDYn1IFDPWt_1FKiwhDph83XaGc0o0/edit?usp=sharing"",""งบพรบ!BV90"")"),0)</f>
        <v>0</v>
      </c>
      <c r="F90" s="67">
        <f ca="1">IFERROR(__xludf.DUMMYFUNCTION("IMPORTRANGE(""https://docs.google.com/spreadsheets/d/1MeEWN-I1oV_STSDYn1IFDPWt_1FKiwhDph83XaGc0o0/edit?usp=sharing"",""งบพรบ!BW90"")"),0)</f>
        <v>0</v>
      </c>
      <c r="G90" s="67">
        <f ca="1">IFERROR(__xludf.DUMMYFUNCTION("IMPORTRANGE(""https://docs.google.com/spreadsheets/d/1MeEWN-I1oV_STSDYn1IFDPWt_1FKiwhDph83XaGc0o0/edit?usp=sharing"",""งบพรบ!BX90"")"),0)</f>
        <v>0</v>
      </c>
      <c r="H90" s="67">
        <f ca="1">IFERROR(__xludf.DUMMYFUNCTION("IMPORTRANGE(""https://docs.google.com/spreadsheets/d/1MeEWN-I1oV_STSDYn1IFDPWt_1FKiwhDph83XaGc0o0/edit?usp=sharing"",""งบพรบ!BZ90"")"),0)</f>
        <v>0</v>
      </c>
      <c r="I90" s="67">
        <f ca="1">IFERROR(__xludf.DUMMYFUNCTION("IMPORTRANGE(""https://docs.google.com/spreadsheets/d/1MeEWN-I1oV_STSDYn1IFDPWt_1FKiwhDph83XaGc0o0/edit?usp=sharing"",""งบพรบ!CA90"")"),0)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IFERROR(__xludf.DUMMYFUNCTION("IMPORTRANGE(""https://docs.google.com/spreadsheets/d/1MeEWN-I1oV_STSDYn1IFDPWt_1FKiwhDph83XaGc0o0/edit?usp=sharing"",""งบพรบ!CB90"")"),0)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IFERROR(__xludf.DUMMYFUNCTION("IMPORTRANGE(""https://docs.google.com/spreadsheets/d/1MeEWN-I1oV_STSDYn1IFDPWt_1FKiwhDph83XaGc0o0/edit?usp=sharing"",""งบพรบ!CC90"")"),0)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IFERROR(__xludf.DUMMYFUNCTION("IMPORTRANGE(""https://docs.google.com/spreadsheets/d/1MeEWN-I1oV_STSDYn1IFDPWt_1FKiwhDph83XaGc0o0/edit?usp=sharing"",""งบพรบ!BV91"")"),0)</f>
        <v>0</v>
      </c>
      <c r="F91" s="77">
        <f ca="1">IFERROR(__xludf.DUMMYFUNCTION("IMPORTRANGE(""https://docs.google.com/spreadsheets/d/1MeEWN-I1oV_STSDYn1IFDPWt_1FKiwhDph83XaGc0o0/edit?usp=sharing"",""งบพรบ!BW91"")"),0)</f>
        <v>0</v>
      </c>
      <c r="G91" s="77">
        <f ca="1">IFERROR(__xludf.DUMMYFUNCTION("IMPORTRANGE(""https://docs.google.com/spreadsheets/d/1MeEWN-I1oV_STSDYn1IFDPWt_1FKiwhDph83XaGc0o0/edit?usp=sharing"",""งบพรบ!BX91"")"),0)</f>
        <v>0</v>
      </c>
      <c r="H91" s="77">
        <f ca="1">IFERROR(__xludf.DUMMYFUNCTION("IMPORTRANGE(""https://docs.google.com/spreadsheets/d/1MeEWN-I1oV_STSDYn1IFDPWt_1FKiwhDph83XaGc0o0/edit?usp=sharing"",""งบพรบ!BZ91"")"),0)</f>
        <v>0</v>
      </c>
      <c r="I91" s="77">
        <f ca="1">IFERROR(__xludf.DUMMYFUNCTION("IMPORTRANGE(""https://docs.google.com/spreadsheets/d/1MeEWN-I1oV_STSDYn1IFDPWt_1FKiwhDph83XaGc0o0/edit?usp=sharing"",""งบพรบ!CA91"")"),0)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IFERROR(__xludf.DUMMYFUNCTION("IMPORTRANGE(""https://docs.google.com/spreadsheets/d/1MeEWN-I1oV_STSDYn1IFDPWt_1FKiwhDph83XaGc0o0/edit?usp=sharing"",""งบพรบ!CB91"")"),0)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IFERROR(__xludf.DUMMYFUNCTION("IMPORTRANGE(""https://docs.google.com/spreadsheets/d/1MeEWN-I1oV_STSDYn1IFDPWt_1FKiwhDph83XaGc0o0/edit?usp=sharing"",""งบพรบ!CC91"")"),0)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31"/>
        <v>0</v>
      </c>
      <c r="E92" s="77">
        <f ca="1">IFERROR(__xludf.DUMMYFUNCTION("IMPORTRANGE(""https://docs.google.com/spreadsheets/d/1MeEWN-I1oV_STSDYn1IFDPWt_1FKiwhDph83XaGc0o0/edit?usp=sharing"",""งบพรบ!BV92"")"),0)</f>
        <v>0</v>
      </c>
      <c r="F92" s="77">
        <f ca="1">IFERROR(__xludf.DUMMYFUNCTION("IMPORTRANGE(""https://docs.google.com/spreadsheets/d/1MeEWN-I1oV_STSDYn1IFDPWt_1FKiwhDph83XaGc0o0/edit?usp=sharing"",""งบพรบ!BW92"")"),0)</f>
        <v>0</v>
      </c>
      <c r="G92" s="77">
        <f ca="1">IFERROR(__xludf.DUMMYFUNCTION("IMPORTRANGE(""https://docs.google.com/spreadsheets/d/1MeEWN-I1oV_STSDYn1IFDPWt_1FKiwhDph83XaGc0o0/edit?usp=sharing"",""งบพรบ!BX92"")"),0)</f>
        <v>0</v>
      </c>
      <c r="H92" s="77">
        <f ca="1">IFERROR(__xludf.DUMMYFUNCTION("IMPORTRANGE(""https://docs.google.com/spreadsheets/d/1MeEWN-I1oV_STSDYn1IFDPWt_1FKiwhDph83XaGc0o0/edit?usp=sharing"",""งบพรบ!BZ92"")"),342350)</f>
        <v>342350</v>
      </c>
      <c r="I92" s="77">
        <f ca="1">IFERROR(__xludf.DUMMYFUNCTION("IMPORTRANGE(""https://docs.google.com/spreadsheets/d/1MeEWN-I1oV_STSDYn1IFDPWt_1FKiwhDph83XaGc0o0/edit?usp=sharing"",""งบพรบ!CA92"")"),0)</f>
        <v>0</v>
      </c>
      <c r="J92" s="77">
        <f t="shared" ca="1" si="3"/>
        <v>272605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IFERROR(__xludf.DUMMYFUNCTION("IMPORTRANGE(""https://docs.google.com/spreadsheets/d/1MeEWN-I1oV_STSDYn1IFDPWt_1FKiwhDph83XaGc0o0/edit?usp=sharing"",""งบพรบ!CB92"")"),272605)</f>
        <v>272605</v>
      </c>
      <c r="M92" s="79">
        <f t="shared" ca="1" si="5"/>
        <v>0</v>
      </c>
      <c r="N92" s="79">
        <f t="shared" ca="1" si="6"/>
        <v>79.627574120052572</v>
      </c>
      <c r="O92" s="80">
        <f ca="1">IFERROR(__xludf.DUMMYFUNCTION("IMPORTRANGE(""https://docs.google.com/spreadsheets/d/1MeEWN-I1oV_STSDYn1IFDPWt_1FKiwhDph83XaGc0o0/edit?usp=sharing"",""งบพรบ!CC92"")"),0)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IFERROR(__xludf.DUMMYFUNCTION("IMPORTRANGE(""https://docs.google.com/spreadsheets/d/1MeEWN-I1oV_STSDYn1IFDPWt_1FKiwhDph83XaGc0o0/edit?usp=sharing"",""งบพรบ!BV93"")"),0)</f>
        <v>0</v>
      </c>
      <c r="F93" s="77">
        <f ca="1">IFERROR(__xludf.DUMMYFUNCTION("IMPORTRANGE(""https://docs.google.com/spreadsheets/d/1MeEWN-I1oV_STSDYn1IFDPWt_1FKiwhDph83XaGc0o0/edit?usp=sharing"",""งบพรบ!BW93"")"),0)</f>
        <v>0</v>
      </c>
      <c r="G93" s="77">
        <f ca="1">IFERROR(__xludf.DUMMYFUNCTION("IMPORTRANGE(""https://docs.google.com/spreadsheets/d/1MeEWN-I1oV_STSDYn1IFDPWt_1FKiwhDph83XaGc0o0/edit?usp=sharing"",""งบพรบ!BX93"")"),0)</f>
        <v>0</v>
      </c>
      <c r="H93" s="77">
        <f ca="1">IFERROR(__xludf.DUMMYFUNCTION("IMPORTRANGE(""https://docs.google.com/spreadsheets/d/1MeEWN-I1oV_STSDYn1IFDPWt_1FKiwhDph83XaGc0o0/edit?usp=sharing"",""งบพรบ!BZ93"")"),0)</f>
        <v>0</v>
      </c>
      <c r="I93" s="77">
        <f ca="1">IFERROR(__xludf.DUMMYFUNCTION("IMPORTRANGE(""https://docs.google.com/spreadsheets/d/1MeEWN-I1oV_STSDYn1IFDPWt_1FKiwhDph83XaGc0o0/edit?usp=sharing"",""งบพรบ!CA93"")"),0)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IFERROR(__xludf.DUMMYFUNCTION("IMPORTRANGE(""https://docs.google.com/spreadsheets/d/1MeEWN-I1oV_STSDYn1IFDPWt_1FKiwhDph83XaGc0o0/edit?usp=sharing"",""งบพรบ!CB93"")"),0)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IFERROR(__xludf.DUMMYFUNCTION("IMPORTRANGE(""https://docs.google.com/spreadsheets/d/1MeEWN-I1oV_STSDYn1IFDPWt_1FKiwhDph83XaGc0o0/edit?usp=sharing"",""งบพรบ!CC93"")"),0)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IFERROR(__xludf.DUMMYFUNCTION("IMPORTRANGE(""https://docs.google.com/spreadsheets/d/1MeEWN-I1oV_STSDYn1IFDPWt_1FKiwhDph83XaGc0o0/edit?usp=sharing"",""งบพรบ!BV94"")"),0)</f>
        <v>0</v>
      </c>
      <c r="F94" s="77">
        <f ca="1">IFERROR(__xludf.DUMMYFUNCTION("IMPORTRANGE(""https://docs.google.com/spreadsheets/d/1MeEWN-I1oV_STSDYn1IFDPWt_1FKiwhDph83XaGc0o0/edit?usp=sharing"",""งบพรบ!BW94"")"),0)</f>
        <v>0</v>
      </c>
      <c r="G94" s="77">
        <f ca="1">IFERROR(__xludf.DUMMYFUNCTION("IMPORTRANGE(""https://docs.google.com/spreadsheets/d/1MeEWN-I1oV_STSDYn1IFDPWt_1FKiwhDph83XaGc0o0/edit?usp=sharing"",""งบพรบ!BX94"")"),0)</f>
        <v>0</v>
      </c>
      <c r="H94" s="77">
        <f ca="1">IFERROR(__xludf.DUMMYFUNCTION("IMPORTRANGE(""https://docs.google.com/spreadsheets/d/1MeEWN-I1oV_STSDYn1IFDPWt_1FKiwhDph83XaGc0o0/edit?usp=sharing"",""งบพรบ!BZ94"")"),0)</f>
        <v>0</v>
      </c>
      <c r="I94" s="77">
        <f ca="1">IFERROR(__xludf.DUMMYFUNCTION("IMPORTRANGE(""https://docs.google.com/spreadsheets/d/1MeEWN-I1oV_STSDYn1IFDPWt_1FKiwhDph83XaGc0o0/edit?usp=sharing"",""งบพรบ!CA94"")"),0)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IFERROR(__xludf.DUMMYFUNCTION("IMPORTRANGE(""https://docs.google.com/spreadsheets/d/1MeEWN-I1oV_STSDYn1IFDPWt_1FKiwhDph83XaGc0o0/edit?usp=sharing"",""งบพรบ!CB94"")"),0)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IFERROR(__xludf.DUMMYFUNCTION("IMPORTRANGE(""https://docs.google.com/spreadsheets/d/1MeEWN-I1oV_STSDYn1IFDPWt_1FKiwhDph83XaGc0o0/edit?usp=sharing"",""งบพรบ!CC94"")"),0)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0</v>
      </c>
      <c r="D95" s="76">
        <f t="shared" ca="1" si="31"/>
        <v>0</v>
      </c>
      <c r="E95" s="77">
        <f ca="1">IFERROR(__xludf.DUMMYFUNCTION("IMPORTRANGE(""https://docs.google.com/spreadsheets/d/1MeEWN-I1oV_STSDYn1IFDPWt_1FKiwhDph83XaGc0o0/edit?usp=sharing"",""งบพรบ!BV95"")"),0)</f>
        <v>0</v>
      </c>
      <c r="F95" s="77">
        <f ca="1">IFERROR(__xludf.DUMMYFUNCTION("IMPORTRANGE(""https://docs.google.com/spreadsheets/d/1MeEWN-I1oV_STSDYn1IFDPWt_1FKiwhDph83XaGc0o0/edit?usp=sharing"",""งบพรบ!BW95"")"),0)</f>
        <v>0</v>
      </c>
      <c r="G95" s="77">
        <f ca="1">IFERROR(__xludf.DUMMYFUNCTION("IMPORTRANGE(""https://docs.google.com/spreadsheets/d/1MeEWN-I1oV_STSDYn1IFDPWt_1FKiwhDph83XaGc0o0/edit?usp=sharing"",""งบพรบ!BX95"")"),0)</f>
        <v>0</v>
      </c>
      <c r="H95" s="77">
        <f ca="1">IFERROR(__xludf.DUMMYFUNCTION("IMPORTRANGE(""https://docs.google.com/spreadsheets/d/1MeEWN-I1oV_STSDYn1IFDPWt_1FKiwhDph83XaGc0o0/edit?usp=sharing"",""งบพรบ!BZ95"")"),0)</f>
        <v>0</v>
      </c>
      <c r="I95" s="77">
        <f ca="1">IFERROR(__xludf.DUMMYFUNCTION("IMPORTRANGE(""https://docs.google.com/spreadsheets/d/1MeEWN-I1oV_STSDYn1IFDPWt_1FKiwhDph83XaGc0o0/edit?usp=sharing"",""งบพรบ!CA95"")"),0)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IFERROR(__xludf.DUMMYFUNCTION("IMPORTRANGE(""https://docs.google.com/spreadsheets/d/1MeEWN-I1oV_STSDYn1IFDPWt_1FKiwhDph83XaGc0o0/edit?usp=sharing"",""งบพรบ!CB95"")"),0)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IFERROR(__xludf.DUMMYFUNCTION("IMPORTRANGE(""https://docs.google.com/spreadsheets/d/1MeEWN-I1oV_STSDYn1IFDPWt_1FKiwhDph83XaGc0o0/edit?usp=sharing"",""งบพรบ!CC95"")"),0)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3058200</v>
      </c>
      <c r="D96" s="76">
        <f t="shared" ca="1" si="31"/>
        <v>3058200</v>
      </c>
      <c r="E96" s="77">
        <f ca="1">IFERROR(__xludf.DUMMYFUNCTION("IMPORTRANGE(""https://docs.google.com/spreadsheets/d/1MeEWN-I1oV_STSDYn1IFDPWt_1FKiwhDph83XaGc0o0/edit?usp=sharing"",""งบพรบ!BV96"")"),496100)</f>
        <v>496100</v>
      </c>
      <c r="F96" s="77">
        <f ca="1">IFERROR(__xludf.DUMMYFUNCTION("IMPORTRANGE(""https://docs.google.com/spreadsheets/d/1MeEWN-I1oV_STSDYn1IFDPWt_1FKiwhDph83XaGc0o0/edit?usp=sharing"",""งบพรบ!BW96"")"),2562100)</f>
        <v>2562100</v>
      </c>
      <c r="G96" s="77">
        <f ca="1">IFERROR(__xludf.DUMMYFUNCTION("IMPORTRANGE(""https://docs.google.com/spreadsheets/d/1MeEWN-I1oV_STSDYn1IFDPWt_1FKiwhDph83XaGc0o0/edit?usp=sharing"",""งบพรบ!BX96"")"),0)</f>
        <v>0</v>
      </c>
      <c r="H96" s="77">
        <f ca="1">IFERROR(__xludf.DUMMYFUNCTION("IMPORTRANGE(""https://docs.google.com/spreadsheets/d/1MeEWN-I1oV_STSDYn1IFDPWt_1FKiwhDph83XaGc0o0/edit?usp=sharing"",""งบพรบ!BZ96"")"),2515180)</f>
        <v>2515180</v>
      </c>
      <c r="I96" s="77">
        <f ca="1">IFERROR(__xludf.DUMMYFUNCTION("IMPORTRANGE(""https://docs.google.com/spreadsheets/d/1MeEWN-I1oV_STSDYn1IFDPWt_1FKiwhDph83XaGc0o0/edit?usp=sharing"",""งบพรบ!CA96"")"),0)</f>
        <v>0</v>
      </c>
      <c r="J96" s="77">
        <f t="shared" ca="1" si="3"/>
        <v>2313200.4700000002</v>
      </c>
      <c r="K96" s="78">
        <f t="shared" ca="1" si="4"/>
        <v>75.639280295598724</v>
      </c>
      <c r="L96" s="77">
        <f ca="1">IFERROR(__xludf.DUMMYFUNCTION("IMPORTRANGE(""https://docs.google.com/spreadsheets/d/1MeEWN-I1oV_STSDYn1IFDPWt_1FKiwhDph83XaGc0o0/edit?usp=sharing"",""งบพรบ!CB96"")"),2313200.47)</f>
        <v>2313200.4700000002</v>
      </c>
      <c r="M96" s="79">
        <f t="shared" ca="1" si="5"/>
        <v>75.639280295598724</v>
      </c>
      <c r="N96" s="79">
        <f t="shared" ca="1" si="6"/>
        <v>91.969579513195882</v>
      </c>
      <c r="O96" s="80">
        <f ca="1">IFERROR(__xludf.DUMMYFUNCTION("IMPORTRANGE(""https://docs.google.com/spreadsheets/d/1MeEWN-I1oV_STSDYn1IFDPWt_1FKiwhDph83XaGc0o0/edit?usp=sharing"",""งบพรบ!CC96"")"),0)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0</v>
      </c>
      <c r="D97" s="76">
        <f t="shared" ca="1" si="31"/>
        <v>0</v>
      </c>
      <c r="E97" s="77">
        <f ca="1">IFERROR(__xludf.DUMMYFUNCTION("IMPORTRANGE(""https://docs.google.com/spreadsheets/d/1MeEWN-I1oV_STSDYn1IFDPWt_1FKiwhDph83XaGc0o0/edit?usp=sharing"",""งบพรบ!BV97"")"),0)</f>
        <v>0</v>
      </c>
      <c r="F97" s="77">
        <f ca="1">IFERROR(__xludf.DUMMYFUNCTION("IMPORTRANGE(""https://docs.google.com/spreadsheets/d/1MeEWN-I1oV_STSDYn1IFDPWt_1FKiwhDph83XaGc0o0/edit?usp=sharing"",""งบพรบ!BW97"")"),0)</f>
        <v>0</v>
      </c>
      <c r="G97" s="77">
        <f ca="1">IFERROR(__xludf.DUMMYFUNCTION("IMPORTRANGE(""https://docs.google.com/spreadsheets/d/1MeEWN-I1oV_STSDYn1IFDPWt_1FKiwhDph83XaGc0o0/edit?usp=sharing"",""งบพรบ!BX97"")"),0)</f>
        <v>0</v>
      </c>
      <c r="H97" s="77">
        <f ca="1">IFERROR(__xludf.DUMMYFUNCTION("IMPORTRANGE(""https://docs.google.com/spreadsheets/d/1MeEWN-I1oV_STSDYn1IFDPWt_1FKiwhDph83XaGc0o0/edit?usp=sharing"",""งบพรบ!BZ97"")"),144600)</f>
        <v>144600</v>
      </c>
      <c r="I97" s="77">
        <f ca="1">IFERROR(__xludf.DUMMYFUNCTION("IMPORTRANGE(""https://docs.google.com/spreadsheets/d/1MeEWN-I1oV_STSDYn1IFDPWt_1FKiwhDph83XaGc0o0/edit?usp=sharing"",""งบพรบ!CA97"")"),0)</f>
        <v>0</v>
      </c>
      <c r="J97" s="77">
        <f t="shared" ca="1" si="3"/>
        <v>98000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IFERROR(__xludf.DUMMYFUNCTION("IMPORTRANGE(""https://docs.google.com/spreadsheets/d/1MeEWN-I1oV_STSDYn1IFDPWt_1FKiwhDph83XaGc0o0/edit?usp=sharing"",""งบพรบ!CB97"")"),98000)</f>
        <v>98000</v>
      </c>
      <c r="M97" s="79">
        <f t="shared" ca="1" si="5"/>
        <v>0</v>
      </c>
      <c r="N97" s="79">
        <f t="shared" ca="1" si="6"/>
        <v>67.7731673582296</v>
      </c>
      <c r="O97" s="80">
        <f ca="1">IFERROR(__xludf.DUMMYFUNCTION("IMPORTRANGE(""https://docs.google.com/spreadsheets/d/1MeEWN-I1oV_STSDYn1IFDPWt_1FKiwhDph83XaGc0o0/edit?usp=sharing"",""งบพรบ!CC97"")"),0)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IFERROR(__xludf.DUMMYFUNCTION("IMPORTRANGE(""https://docs.google.com/spreadsheets/d/1MeEWN-I1oV_STSDYn1IFDPWt_1FKiwhDph83XaGc0o0/edit?usp=sharing"",""งบพรบ!BV98"")"),0)</f>
        <v>0</v>
      </c>
      <c r="F98" s="77">
        <f ca="1">IFERROR(__xludf.DUMMYFUNCTION("IMPORTRANGE(""https://docs.google.com/spreadsheets/d/1MeEWN-I1oV_STSDYn1IFDPWt_1FKiwhDph83XaGc0o0/edit?usp=sharing"",""งบพรบ!BW98"")"),0)</f>
        <v>0</v>
      </c>
      <c r="G98" s="77">
        <f ca="1">IFERROR(__xludf.DUMMYFUNCTION("IMPORTRANGE(""https://docs.google.com/spreadsheets/d/1MeEWN-I1oV_STSDYn1IFDPWt_1FKiwhDph83XaGc0o0/edit?usp=sharing"",""งบพรบ!BX98"")"),0)</f>
        <v>0</v>
      </c>
      <c r="H98" s="77">
        <f ca="1">IFERROR(__xludf.DUMMYFUNCTION("IMPORTRANGE(""https://docs.google.com/spreadsheets/d/1MeEWN-I1oV_STSDYn1IFDPWt_1FKiwhDph83XaGc0o0/edit?usp=sharing"",""งบพรบ!BZ98"")"),0)</f>
        <v>0</v>
      </c>
      <c r="I98" s="77">
        <f ca="1">IFERROR(__xludf.DUMMYFUNCTION("IMPORTRANGE(""https://docs.google.com/spreadsheets/d/1MeEWN-I1oV_STSDYn1IFDPWt_1FKiwhDph83XaGc0o0/edit?usp=sharing"",""งบพรบ!CA98"")"),0)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IFERROR(__xludf.DUMMYFUNCTION("IMPORTRANGE(""https://docs.google.com/spreadsheets/d/1MeEWN-I1oV_STSDYn1IFDPWt_1FKiwhDph83XaGc0o0/edit?usp=sharing"",""งบพรบ!CB98"")"),0)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IFERROR(__xludf.DUMMYFUNCTION("IMPORTRANGE(""https://docs.google.com/spreadsheets/d/1MeEWN-I1oV_STSDYn1IFDPWt_1FKiwhDph83XaGc0o0/edit?usp=sharing"",""งบพรบ!CC98"")"),0)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IFERROR(__xludf.DUMMYFUNCTION("IMPORTRANGE(""https://docs.google.com/spreadsheets/d/1MeEWN-I1oV_STSDYn1IFDPWt_1FKiwhDph83XaGc0o0/edit?usp=sharing"",""งบพรบ!BV99"")"),0)</f>
        <v>0</v>
      </c>
      <c r="F99" s="77">
        <f ca="1">IFERROR(__xludf.DUMMYFUNCTION("IMPORTRANGE(""https://docs.google.com/spreadsheets/d/1MeEWN-I1oV_STSDYn1IFDPWt_1FKiwhDph83XaGc0o0/edit?usp=sharing"",""งบพรบ!BW99"")"),0)</f>
        <v>0</v>
      </c>
      <c r="G99" s="77">
        <f ca="1">IFERROR(__xludf.DUMMYFUNCTION("IMPORTRANGE(""https://docs.google.com/spreadsheets/d/1MeEWN-I1oV_STSDYn1IFDPWt_1FKiwhDph83XaGc0o0/edit?usp=sharing"",""งบพรบ!BX99"")"),0)</f>
        <v>0</v>
      </c>
      <c r="H99" s="77">
        <f ca="1">IFERROR(__xludf.DUMMYFUNCTION("IMPORTRANGE(""https://docs.google.com/spreadsheets/d/1MeEWN-I1oV_STSDYn1IFDPWt_1FKiwhDph83XaGc0o0/edit?usp=sharing"",""งบพรบ!BZ99"")"),0)</f>
        <v>0</v>
      </c>
      <c r="I99" s="77">
        <f ca="1">IFERROR(__xludf.DUMMYFUNCTION("IMPORTRANGE(""https://docs.google.com/spreadsheets/d/1MeEWN-I1oV_STSDYn1IFDPWt_1FKiwhDph83XaGc0o0/edit?usp=sharing"",""งบพรบ!CA99"")"),0)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IFERROR(__xludf.DUMMYFUNCTION("IMPORTRANGE(""https://docs.google.com/spreadsheets/d/1MeEWN-I1oV_STSDYn1IFDPWt_1FKiwhDph83XaGc0o0/edit?usp=sharing"",""งบพรบ!CB99"")"),0)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IFERROR(__xludf.DUMMYFUNCTION("IMPORTRANGE(""https://docs.google.com/spreadsheets/d/1MeEWN-I1oV_STSDYn1IFDPWt_1FKiwhDph83XaGc0o0/edit?usp=sharing"",""งบพรบ!CC99"")"),0)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IFERROR(__xludf.DUMMYFUNCTION("IMPORTRANGE(""https://docs.google.com/spreadsheets/d/1MeEWN-I1oV_STSDYn1IFDPWt_1FKiwhDph83XaGc0o0/edit?usp=sharing"",""งบพรบ!BV100"")"),0)</f>
        <v>0</v>
      </c>
      <c r="F100" s="77">
        <f ca="1">IFERROR(__xludf.DUMMYFUNCTION("IMPORTRANGE(""https://docs.google.com/spreadsheets/d/1MeEWN-I1oV_STSDYn1IFDPWt_1FKiwhDph83XaGc0o0/edit?usp=sharing"",""งบพรบ!BW100"")"),0)</f>
        <v>0</v>
      </c>
      <c r="G100" s="77">
        <f ca="1">IFERROR(__xludf.DUMMYFUNCTION("IMPORTRANGE(""https://docs.google.com/spreadsheets/d/1MeEWN-I1oV_STSDYn1IFDPWt_1FKiwhDph83XaGc0o0/edit?usp=sharing"",""งบพรบ!BX100"")"),0)</f>
        <v>0</v>
      </c>
      <c r="H100" s="77">
        <f ca="1">IFERROR(__xludf.DUMMYFUNCTION("IMPORTRANGE(""https://docs.google.com/spreadsheets/d/1MeEWN-I1oV_STSDYn1IFDPWt_1FKiwhDph83XaGc0o0/edit?usp=sharing"",""งบพรบ!BZ100"")"),0)</f>
        <v>0</v>
      </c>
      <c r="I100" s="77">
        <f ca="1">IFERROR(__xludf.DUMMYFUNCTION("IMPORTRANGE(""https://docs.google.com/spreadsheets/d/1MeEWN-I1oV_STSDYn1IFDPWt_1FKiwhDph83XaGc0o0/edit?usp=sharing"",""งบพรบ!CA100"")"),0)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IFERROR(__xludf.DUMMYFUNCTION("IMPORTRANGE(""https://docs.google.com/spreadsheets/d/1MeEWN-I1oV_STSDYn1IFDPWt_1FKiwhDph83XaGc0o0/edit?usp=sharing"",""งบพรบ!CB100"")"),0)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IFERROR(__xludf.DUMMYFUNCTION("IMPORTRANGE(""https://docs.google.com/spreadsheets/d/1MeEWN-I1oV_STSDYn1IFDPWt_1FKiwhDph83XaGc0o0/edit?usp=sharing"",""งบพรบ!CC100"")"),0)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IFERROR(__xludf.DUMMYFUNCTION("IMPORTRANGE(""https://docs.google.com/spreadsheets/d/1MeEWN-I1oV_STSDYn1IFDPWt_1FKiwhDph83XaGc0o0/edit?usp=sharing"",""งบพรบ!BV101"")"),0)</f>
        <v>0</v>
      </c>
      <c r="F101" s="77">
        <f ca="1">IFERROR(__xludf.DUMMYFUNCTION("IMPORTRANGE(""https://docs.google.com/spreadsheets/d/1MeEWN-I1oV_STSDYn1IFDPWt_1FKiwhDph83XaGc0o0/edit?usp=sharing"",""งบพรบ!BW101"")"),0)</f>
        <v>0</v>
      </c>
      <c r="G101" s="77">
        <f ca="1">IFERROR(__xludf.DUMMYFUNCTION("IMPORTRANGE(""https://docs.google.com/spreadsheets/d/1MeEWN-I1oV_STSDYn1IFDPWt_1FKiwhDph83XaGc0o0/edit?usp=sharing"",""งบพรบ!BX101"")"),0)</f>
        <v>0</v>
      </c>
      <c r="H101" s="77">
        <f ca="1">IFERROR(__xludf.DUMMYFUNCTION("IMPORTRANGE(""https://docs.google.com/spreadsheets/d/1MeEWN-I1oV_STSDYn1IFDPWt_1FKiwhDph83XaGc0o0/edit?usp=sharing"",""งบพรบ!BZ101"")"),0)</f>
        <v>0</v>
      </c>
      <c r="I101" s="77">
        <f ca="1">IFERROR(__xludf.DUMMYFUNCTION("IMPORTRANGE(""https://docs.google.com/spreadsheets/d/1MeEWN-I1oV_STSDYn1IFDPWt_1FKiwhDph83XaGc0o0/edit?usp=sharing"",""งบพรบ!CA101"")"),0)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IFERROR(__xludf.DUMMYFUNCTION("IMPORTRANGE(""https://docs.google.com/spreadsheets/d/1MeEWN-I1oV_STSDYn1IFDPWt_1FKiwhDph83XaGc0o0/edit?usp=sharing"",""งบพรบ!CB101"")"),0)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IFERROR(__xludf.DUMMYFUNCTION("IMPORTRANGE(""https://docs.google.com/spreadsheets/d/1MeEWN-I1oV_STSDYn1IFDPWt_1FKiwhDph83XaGc0o0/edit?usp=sharing"",""งบพรบ!CC101"")"),0)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IFERROR(__xludf.DUMMYFUNCTION("IMPORTRANGE(""https://docs.google.com/spreadsheets/d/1MeEWN-I1oV_STSDYn1IFDPWt_1FKiwhDph83XaGc0o0/edit?usp=sharing"",""งบพรบ!BV102"")"),0)</f>
        <v>0</v>
      </c>
      <c r="F102" s="77">
        <f ca="1">IFERROR(__xludf.DUMMYFUNCTION("IMPORTRANGE(""https://docs.google.com/spreadsheets/d/1MeEWN-I1oV_STSDYn1IFDPWt_1FKiwhDph83XaGc0o0/edit?usp=sharing"",""งบพรบ!BW102"")"),0)</f>
        <v>0</v>
      </c>
      <c r="G102" s="77">
        <f ca="1">IFERROR(__xludf.DUMMYFUNCTION("IMPORTRANGE(""https://docs.google.com/spreadsheets/d/1MeEWN-I1oV_STSDYn1IFDPWt_1FKiwhDph83XaGc0o0/edit?usp=sharing"",""งบพรบ!BX102"")"),0)</f>
        <v>0</v>
      </c>
      <c r="H102" s="77">
        <f ca="1">IFERROR(__xludf.DUMMYFUNCTION("IMPORTRANGE(""https://docs.google.com/spreadsheets/d/1MeEWN-I1oV_STSDYn1IFDPWt_1FKiwhDph83XaGc0o0/edit?usp=sharing"",""งบพรบ!BZ102"")"),0)</f>
        <v>0</v>
      </c>
      <c r="I102" s="77">
        <f ca="1">IFERROR(__xludf.DUMMYFUNCTION("IMPORTRANGE(""https://docs.google.com/spreadsheets/d/1MeEWN-I1oV_STSDYn1IFDPWt_1FKiwhDph83XaGc0o0/edit?usp=sharing"",""งบพรบ!CA102"")"),0)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IFERROR(__xludf.DUMMYFUNCTION("IMPORTRANGE(""https://docs.google.com/spreadsheets/d/1MeEWN-I1oV_STSDYn1IFDPWt_1FKiwhDph83XaGc0o0/edit?usp=sharing"",""งบพรบ!CB102"")"),0)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IFERROR(__xludf.DUMMYFUNCTION("IMPORTRANGE(""https://docs.google.com/spreadsheets/d/1MeEWN-I1oV_STSDYn1IFDPWt_1FKiwhDph83XaGc0o0/edit?usp=sharing"",""งบพรบ!CC102"")"),0)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IFERROR(__xludf.DUMMYFUNCTION("IMPORTRANGE(""https://docs.google.com/spreadsheets/d/1MeEWN-I1oV_STSDYn1IFDPWt_1FKiwhDph83XaGc0o0/edit?usp=sharing"",""งบพรบ!BV103"")"),0)</f>
        <v>0</v>
      </c>
      <c r="F103" s="88">
        <f ca="1">IFERROR(__xludf.DUMMYFUNCTION("IMPORTRANGE(""https://docs.google.com/spreadsheets/d/1MeEWN-I1oV_STSDYn1IFDPWt_1FKiwhDph83XaGc0o0/edit?usp=sharing"",""งบพรบ!BW103"")"),0)</f>
        <v>0</v>
      </c>
      <c r="G103" s="88">
        <f ca="1">IFERROR(__xludf.DUMMYFUNCTION("IMPORTRANGE(""https://docs.google.com/spreadsheets/d/1MeEWN-I1oV_STSDYn1IFDPWt_1FKiwhDph83XaGc0o0/edit?usp=sharing"",""งบพรบ!BX103"")"),0)</f>
        <v>0</v>
      </c>
      <c r="H103" s="88">
        <f ca="1">IFERROR(__xludf.DUMMYFUNCTION("IMPORTRANGE(""https://docs.google.com/spreadsheets/d/1MeEWN-I1oV_STSDYn1IFDPWt_1FKiwhDph83XaGc0o0/edit?usp=sharing"",""งบพรบ!BZ103"")"),0)</f>
        <v>0</v>
      </c>
      <c r="I103" s="88">
        <f ca="1">IFERROR(__xludf.DUMMYFUNCTION("IMPORTRANGE(""https://docs.google.com/spreadsheets/d/1MeEWN-I1oV_STSDYn1IFDPWt_1FKiwhDph83XaGc0o0/edit?usp=sharing"",""งบพรบ!CA103"")"),0)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IFERROR(__xludf.DUMMYFUNCTION("IMPORTRANGE(""https://docs.google.com/spreadsheets/d/1MeEWN-I1oV_STSDYn1IFDPWt_1FKiwhDph83XaGc0o0/edit?usp=sharing"",""งบพรบ!CB103"")"),0)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IFERROR(__xludf.DUMMYFUNCTION("IMPORTRANGE(""https://docs.google.com/spreadsheets/d/1MeEWN-I1oV_STSDYn1IFDPWt_1FKiwhDph83XaGc0o0/edit?usp=sharing"",""งบพรบ!CC103"")"),0)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69" t="s">
        <v>126</v>
      </c>
      <c r="B104" s="370"/>
      <c r="C104" s="102">
        <f t="shared" ca="1" si="0"/>
        <v>1804800</v>
      </c>
      <c r="D104" s="41">
        <f ca="1">SUM(D105:D116)</f>
        <v>1804800</v>
      </c>
      <c r="E104" s="41">
        <f ca="1">IFERROR(__xludf.DUMMYFUNCTION("IMPORTRANGE(""https://docs.google.com/spreadsheets/d/1MeEWN-I1oV_STSDYn1IFDPWt_1FKiwhDph83XaGc0o0/edit?usp=sharing"",""งบพรบ!BV104"")"),1804800)</f>
        <v>1804800</v>
      </c>
      <c r="F104" s="41">
        <f ca="1">IFERROR(__xludf.DUMMYFUNCTION("IMPORTRANGE(""https://docs.google.com/spreadsheets/d/1MeEWN-I1oV_STSDYn1IFDPWt_1FKiwhDph83XaGc0o0/edit?usp=sharing"",""งบพรบ!BW104"")"),0)</f>
        <v>0</v>
      </c>
      <c r="G104" s="41">
        <f ca="1">IFERROR(__xludf.DUMMYFUNCTION("IMPORTRANGE(""https://docs.google.com/spreadsheets/d/1MeEWN-I1oV_STSDYn1IFDPWt_1FKiwhDph83XaGc0o0/edit?usp=sharing"",""งบพรบ!BX104"")"),0)</f>
        <v>0</v>
      </c>
      <c r="H104" s="41">
        <f ca="1">IFERROR(__xludf.DUMMYFUNCTION("IMPORTRANGE(""https://docs.google.com/spreadsheets/d/1MeEWN-I1oV_STSDYn1IFDPWt_1FKiwhDph83XaGc0o0/edit?usp=sharing"",""งบพรบ!BZ104"")"),1190250)</f>
        <v>1190250</v>
      </c>
      <c r="I104" s="41">
        <f ca="1">IFERROR(__xludf.DUMMYFUNCTION("IMPORTRANGE(""https://docs.google.com/spreadsheets/d/1MeEWN-I1oV_STSDYn1IFDPWt_1FKiwhDph83XaGc0o0/edit?usp=sharing"",""งบพรบ!CA104"")"),0)</f>
        <v>0</v>
      </c>
      <c r="J104" s="41">
        <f t="shared" ca="1" si="3"/>
        <v>1190250</v>
      </c>
      <c r="K104" s="43">
        <f t="shared" ca="1" si="4"/>
        <v>65.949135638297875</v>
      </c>
      <c r="L104" s="41">
        <f ca="1">IFERROR(__xludf.DUMMYFUNCTION("IMPORTRANGE(""https://docs.google.com/spreadsheets/d/1MeEWN-I1oV_STSDYn1IFDPWt_1FKiwhDph83XaGc0o0/edit?usp=sharing"",""งบพรบ!CB104"")"),1190250)</f>
        <v>1190250</v>
      </c>
      <c r="M104" s="43">
        <f t="shared" ca="1" si="5"/>
        <v>65.949135638297875</v>
      </c>
      <c r="N104" s="43">
        <f t="shared" ca="1" si="6"/>
        <v>100</v>
      </c>
      <c r="O104" s="41">
        <f ca="1">IFERROR(__xludf.DUMMYFUNCTION("IMPORTRANGE(""https://docs.google.com/spreadsheets/d/1MeEWN-I1oV_STSDYn1IFDPWt_1FKiwhDph83XaGc0o0/edit?usp=sharing"",""งบพรบ!CC104"")"),0)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460200</v>
      </c>
      <c r="D105" s="66">
        <f t="shared" ref="D105:D116" ca="1" si="33">+E105+F105</f>
        <v>460200</v>
      </c>
      <c r="E105" s="67">
        <f ca="1">IFERROR(__xludf.DUMMYFUNCTION("IMPORTRANGE(""https://docs.google.com/spreadsheets/d/1MeEWN-I1oV_STSDYn1IFDPWt_1FKiwhDph83XaGc0o0/edit?usp=sharing"",""งบพรบ!BV105"")"),460200)</f>
        <v>460200</v>
      </c>
      <c r="F105" s="67">
        <f ca="1">IFERROR(__xludf.DUMMYFUNCTION("IMPORTRANGE(""https://docs.google.com/spreadsheets/d/1MeEWN-I1oV_STSDYn1IFDPWt_1FKiwhDph83XaGc0o0/edit?usp=sharing"",""งบพรบ!BW105"")"),0)</f>
        <v>0</v>
      </c>
      <c r="G105" s="67">
        <f ca="1">IFERROR(__xludf.DUMMYFUNCTION("IMPORTRANGE(""https://docs.google.com/spreadsheets/d/1MeEWN-I1oV_STSDYn1IFDPWt_1FKiwhDph83XaGc0o0/edit?usp=sharing"",""งบพรบ!BX105"")"),0)</f>
        <v>0</v>
      </c>
      <c r="H105" s="67">
        <f ca="1">IFERROR(__xludf.DUMMYFUNCTION("IMPORTRANGE(""https://docs.google.com/spreadsheets/d/1MeEWN-I1oV_STSDYn1IFDPWt_1FKiwhDph83XaGc0o0/edit?usp=sharing"",""งบพรบ!BZ105"")"),0)</f>
        <v>0</v>
      </c>
      <c r="I105" s="67">
        <f ca="1">IFERROR(__xludf.DUMMYFUNCTION("IMPORTRANGE(""https://docs.google.com/spreadsheets/d/1MeEWN-I1oV_STSDYn1IFDPWt_1FKiwhDph83XaGc0o0/edit?usp=sharing"",""งบพรบ!CA105"")"),0)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IFERROR(__xludf.DUMMYFUNCTION("IMPORTRANGE(""https://docs.google.com/spreadsheets/d/1MeEWN-I1oV_STSDYn1IFDPWt_1FKiwhDph83XaGc0o0/edit?usp=sharing"",""งบพรบ!CB105"")"),0)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IFERROR(__xludf.DUMMYFUNCTION("IMPORTRANGE(""https://docs.google.com/spreadsheets/d/1MeEWN-I1oV_STSDYn1IFDPWt_1FKiwhDph83XaGc0o0/edit?usp=sharing"",""งบพรบ!CC105"")"),0)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1344600</v>
      </c>
      <c r="D106" s="76">
        <f t="shared" ca="1" si="33"/>
        <v>1344600</v>
      </c>
      <c r="E106" s="77">
        <f ca="1">IFERROR(__xludf.DUMMYFUNCTION("IMPORTRANGE(""https://docs.google.com/spreadsheets/d/1MeEWN-I1oV_STSDYn1IFDPWt_1FKiwhDph83XaGc0o0/edit?usp=sharing"",""งบพรบ!BV106"")"),1344600)</f>
        <v>1344600</v>
      </c>
      <c r="F106" s="77">
        <f ca="1">IFERROR(__xludf.DUMMYFUNCTION("IMPORTRANGE(""https://docs.google.com/spreadsheets/d/1MeEWN-I1oV_STSDYn1IFDPWt_1FKiwhDph83XaGc0o0/edit?usp=sharing"",""งบพรบ!BW106"")"),0)</f>
        <v>0</v>
      </c>
      <c r="G106" s="77">
        <f ca="1">IFERROR(__xludf.DUMMYFUNCTION("IMPORTRANGE(""https://docs.google.com/spreadsheets/d/1MeEWN-I1oV_STSDYn1IFDPWt_1FKiwhDph83XaGc0o0/edit?usp=sharing"",""งบพรบ!BX106"")"),0)</f>
        <v>0</v>
      </c>
      <c r="H106" s="77">
        <f ca="1">IFERROR(__xludf.DUMMYFUNCTION("IMPORTRANGE(""https://docs.google.com/spreadsheets/d/1MeEWN-I1oV_STSDYn1IFDPWt_1FKiwhDph83XaGc0o0/edit?usp=sharing"",""งบพรบ!BZ106"")"),1172250)</f>
        <v>1172250</v>
      </c>
      <c r="I106" s="77">
        <f ca="1">IFERROR(__xludf.DUMMYFUNCTION("IMPORTRANGE(""https://docs.google.com/spreadsheets/d/1MeEWN-I1oV_STSDYn1IFDPWt_1FKiwhDph83XaGc0o0/edit?usp=sharing"",""งบพรบ!CA106"")"),0)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IFERROR(__xludf.DUMMYFUNCTION("IMPORTRANGE(""https://docs.google.com/spreadsheets/d/1MeEWN-I1oV_STSDYn1IFDPWt_1FKiwhDph83XaGc0o0/edit?usp=sharing"",""งบพรบ!CB106"")"),0)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IFERROR(__xludf.DUMMYFUNCTION("IMPORTRANGE(""https://docs.google.com/spreadsheets/d/1MeEWN-I1oV_STSDYn1IFDPWt_1FKiwhDph83XaGc0o0/edit?usp=sharing"",""งบพรบ!CC106"")"),0)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IFERROR(__xludf.DUMMYFUNCTION("IMPORTRANGE(""https://docs.google.com/spreadsheets/d/1MeEWN-I1oV_STSDYn1IFDPWt_1FKiwhDph83XaGc0o0/edit?usp=sharing"",""งบพรบ!BV107"")"),0)</f>
        <v>0</v>
      </c>
      <c r="F107" s="77">
        <f ca="1">IFERROR(__xludf.DUMMYFUNCTION("IMPORTRANGE(""https://docs.google.com/spreadsheets/d/1MeEWN-I1oV_STSDYn1IFDPWt_1FKiwhDph83XaGc0o0/edit?usp=sharing"",""งบพรบ!BW107"")"),0)</f>
        <v>0</v>
      </c>
      <c r="G107" s="77">
        <f ca="1">IFERROR(__xludf.DUMMYFUNCTION("IMPORTRANGE(""https://docs.google.com/spreadsheets/d/1MeEWN-I1oV_STSDYn1IFDPWt_1FKiwhDph83XaGc0o0/edit?usp=sharing"",""งบพรบ!BX107"")"),0)</f>
        <v>0</v>
      </c>
      <c r="H107" s="77">
        <f ca="1">IFERROR(__xludf.DUMMYFUNCTION("IMPORTRANGE(""https://docs.google.com/spreadsheets/d/1MeEWN-I1oV_STSDYn1IFDPWt_1FKiwhDph83XaGc0o0/edit?usp=sharing"",""งบพรบ!BZ107"")"),0)</f>
        <v>0</v>
      </c>
      <c r="I107" s="77">
        <f ca="1">IFERROR(__xludf.DUMMYFUNCTION("IMPORTRANGE(""https://docs.google.com/spreadsheets/d/1MeEWN-I1oV_STSDYn1IFDPWt_1FKiwhDph83XaGc0o0/edit?usp=sharing"",""งบพรบ!CA107"")"),0)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IFERROR(__xludf.DUMMYFUNCTION("IMPORTRANGE(""https://docs.google.com/spreadsheets/d/1MeEWN-I1oV_STSDYn1IFDPWt_1FKiwhDph83XaGc0o0/edit?usp=sharing"",""งบพรบ!CB107"")"),0)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IFERROR(__xludf.DUMMYFUNCTION("IMPORTRANGE(""https://docs.google.com/spreadsheets/d/1MeEWN-I1oV_STSDYn1IFDPWt_1FKiwhDph83XaGc0o0/edit?usp=sharing"",""งบพรบ!CC107"")"),0)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IFERROR(__xludf.DUMMYFUNCTION("IMPORTRANGE(""https://docs.google.com/spreadsheets/d/1MeEWN-I1oV_STSDYn1IFDPWt_1FKiwhDph83XaGc0o0/edit?usp=sharing"",""งบพรบ!BV108"")"),0)</f>
        <v>0</v>
      </c>
      <c r="F108" s="77">
        <f ca="1">IFERROR(__xludf.DUMMYFUNCTION("IMPORTRANGE(""https://docs.google.com/spreadsheets/d/1MeEWN-I1oV_STSDYn1IFDPWt_1FKiwhDph83XaGc0o0/edit?usp=sharing"",""งบพรบ!BW108"")"),0)</f>
        <v>0</v>
      </c>
      <c r="G108" s="77">
        <f ca="1">IFERROR(__xludf.DUMMYFUNCTION("IMPORTRANGE(""https://docs.google.com/spreadsheets/d/1MeEWN-I1oV_STSDYn1IFDPWt_1FKiwhDph83XaGc0o0/edit?usp=sharing"",""งบพรบ!BX108"")"),0)</f>
        <v>0</v>
      </c>
      <c r="H108" s="77">
        <f ca="1">IFERROR(__xludf.DUMMYFUNCTION("IMPORTRANGE(""https://docs.google.com/spreadsheets/d/1MeEWN-I1oV_STSDYn1IFDPWt_1FKiwhDph83XaGc0o0/edit?usp=sharing"",""งบพรบ!BZ108"")"),0)</f>
        <v>0</v>
      </c>
      <c r="I108" s="77">
        <f ca="1">IFERROR(__xludf.DUMMYFUNCTION("IMPORTRANGE(""https://docs.google.com/spreadsheets/d/1MeEWN-I1oV_STSDYn1IFDPWt_1FKiwhDph83XaGc0o0/edit?usp=sharing"",""งบพรบ!CA108"")"),0)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IFERROR(__xludf.DUMMYFUNCTION("IMPORTRANGE(""https://docs.google.com/spreadsheets/d/1MeEWN-I1oV_STSDYn1IFDPWt_1FKiwhDph83XaGc0o0/edit?usp=sharing"",""งบพรบ!CB108"")"),0)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IFERROR(__xludf.DUMMYFUNCTION("IMPORTRANGE(""https://docs.google.com/spreadsheets/d/1MeEWN-I1oV_STSDYn1IFDPWt_1FKiwhDph83XaGc0o0/edit?usp=sharing"",""งบพรบ!CC108"")"),0)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IFERROR(__xludf.DUMMYFUNCTION("IMPORTRANGE(""https://docs.google.com/spreadsheets/d/1MeEWN-I1oV_STSDYn1IFDPWt_1FKiwhDph83XaGc0o0/edit?usp=sharing"",""งบพรบ!BV109"")"),0)</f>
        <v>0</v>
      </c>
      <c r="F109" s="77">
        <f ca="1">IFERROR(__xludf.DUMMYFUNCTION("IMPORTRANGE(""https://docs.google.com/spreadsheets/d/1MeEWN-I1oV_STSDYn1IFDPWt_1FKiwhDph83XaGc0o0/edit?usp=sharing"",""งบพรบ!BW109"")"),0)</f>
        <v>0</v>
      </c>
      <c r="G109" s="77">
        <f ca="1">IFERROR(__xludf.DUMMYFUNCTION("IMPORTRANGE(""https://docs.google.com/spreadsheets/d/1MeEWN-I1oV_STSDYn1IFDPWt_1FKiwhDph83XaGc0o0/edit?usp=sharing"",""งบพรบ!BX109"")"),0)</f>
        <v>0</v>
      </c>
      <c r="H109" s="77">
        <f ca="1">IFERROR(__xludf.DUMMYFUNCTION("IMPORTRANGE(""https://docs.google.com/spreadsheets/d/1MeEWN-I1oV_STSDYn1IFDPWt_1FKiwhDph83XaGc0o0/edit?usp=sharing"",""งบพรบ!BZ109"")"),0)</f>
        <v>0</v>
      </c>
      <c r="I109" s="77">
        <f ca="1">IFERROR(__xludf.DUMMYFUNCTION("IMPORTRANGE(""https://docs.google.com/spreadsheets/d/1MeEWN-I1oV_STSDYn1IFDPWt_1FKiwhDph83XaGc0o0/edit?usp=sharing"",""งบพรบ!CA109"")"),0)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IFERROR(__xludf.DUMMYFUNCTION("IMPORTRANGE(""https://docs.google.com/spreadsheets/d/1MeEWN-I1oV_STSDYn1IFDPWt_1FKiwhDph83XaGc0o0/edit?usp=sharing"",""งบพรบ!CB109"")"),0)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IFERROR(__xludf.DUMMYFUNCTION("IMPORTRANGE(""https://docs.google.com/spreadsheets/d/1MeEWN-I1oV_STSDYn1IFDPWt_1FKiwhDph83XaGc0o0/edit?usp=sharing"",""งบพรบ!CC109"")"),0)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IFERROR(__xludf.DUMMYFUNCTION("IMPORTRANGE(""https://docs.google.com/spreadsheets/d/1MeEWN-I1oV_STSDYn1IFDPWt_1FKiwhDph83XaGc0o0/edit?usp=sharing"",""งบพรบ!BV110"")"),0)</f>
        <v>0</v>
      </c>
      <c r="F110" s="77">
        <f ca="1">IFERROR(__xludf.DUMMYFUNCTION("IMPORTRANGE(""https://docs.google.com/spreadsheets/d/1MeEWN-I1oV_STSDYn1IFDPWt_1FKiwhDph83XaGc0o0/edit?usp=sharing"",""งบพรบ!BW110"")"),0)</f>
        <v>0</v>
      </c>
      <c r="G110" s="77">
        <f ca="1">IFERROR(__xludf.DUMMYFUNCTION("IMPORTRANGE(""https://docs.google.com/spreadsheets/d/1MeEWN-I1oV_STSDYn1IFDPWt_1FKiwhDph83XaGc0o0/edit?usp=sharing"",""งบพรบ!BX110"")"),0)</f>
        <v>0</v>
      </c>
      <c r="H110" s="77">
        <f ca="1">IFERROR(__xludf.DUMMYFUNCTION("IMPORTRANGE(""https://docs.google.com/spreadsheets/d/1MeEWN-I1oV_STSDYn1IFDPWt_1FKiwhDph83XaGc0o0/edit?usp=sharing"",""งบพรบ!BZ110"")"),0)</f>
        <v>0</v>
      </c>
      <c r="I110" s="77">
        <f ca="1">IFERROR(__xludf.DUMMYFUNCTION("IMPORTRANGE(""https://docs.google.com/spreadsheets/d/1MeEWN-I1oV_STSDYn1IFDPWt_1FKiwhDph83XaGc0o0/edit?usp=sharing"",""งบพรบ!CA110"")"),0)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IFERROR(__xludf.DUMMYFUNCTION("IMPORTRANGE(""https://docs.google.com/spreadsheets/d/1MeEWN-I1oV_STSDYn1IFDPWt_1FKiwhDph83XaGc0o0/edit?usp=sharing"",""งบพรบ!CB110"")"),0)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IFERROR(__xludf.DUMMYFUNCTION("IMPORTRANGE(""https://docs.google.com/spreadsheets/d/1MeEWN-I1oV_STSDYn1IFDPWt_1FKiwhDph83XaGc0o0/edit?usp=sharing"",""งบพรบ!CC110"")"),0)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IFERROR(__xludf.DUMMYFUNCTION("IMPORTRANGE(""https://docs.google.com/spreadsheets/d/1MeEWN-I1oV_STSDYn1IFDPWt_1FKiwhDph83XaGc0o0/edit?usp=sharing"",""งบพรบ!BV111"")"),0)</f>
        <v>0</v>
      </c>
      <c r="F111" s="77">
        <f ca="1">IFERROR(__xludf.DUMMYFUNCTION("IMPORTRANGE(""https://docs.google.com/spreadsheets/d/1MeEWN-I1oV_STSDYn1IFDPWt_1FKiwhDph83XaGc0o0/edit?usp=sharing"",""งบพรบ!BW111"")"),0)</f>
        <v>0</v>
      </c>
      <c r="G111" s="77">
        <f ca="1">IFERROR(__xludf.DUMMYFUNCTION("IMPORTRANGE(""https://docs.google.com/spreadsheets/d/1MeEWN-I1oV_STSDYn1IFDPWt_1FKiwhDph83XaGc0o0/edit?usp=sharing"",""งบพรบ!BX111"")"),0)</f>
        <v>0</v>
      </c>
      <c r="H111" s="77">
        <f ca="1">IFERROR(__xludf.DUMMYFUNCTION("IMPORTRANGE(""https://docs.google.com/spreadsheets/d/1MeEWN-I1oV_STSDYn1IFDPWt_1FKiwhDph83XaGc0o0/edit?usp=sharing"",""งบพรบ!BZ111"")"),18000)</f>
        <v>18000</v>
      </c>
      <c r="I111" s="77">
        <f ca="1">IFERROR(__xludf.DUMMYFUNCTION("IMPORTRANGE(""https://docs.google.com/spreadsheets/d/1MeEWN-I1oV_STSDYn1IFDPWt_1FKiwhDph83XaGc0o0/edit?usp=sharing"",""งบพรบ!CA111"")"),0)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IFERROR(__xludf.DUMMYFUNCTION("IMPORTRANGE(""https://docs.google.com/spreadsheets/d/1MeEWN-I1oV_STSDYn1IFDPWt_1FKiwhDph83XaGc0o0/edit?usp=sharing"",""งบพรบ!CB111"")"),0)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IFERROR(__xludf.DUMMYFUNCTION("IMPORTRANGE(""https://docs.google.com/spreadsheets/d/1MeEWN-I1oV_STSDYn1IFDPWt_1FKiwhDph83XaGc0o0/edit?usp=sharing"",""งบพรบ!CC111"")"),0)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IFERROR(__xludf.DUMMYFUNCTION("IMPORTRANGE(""https://docs.google.com/spreadsheets/d/1MeEWN-I1oV_STSDYn1IFDPWt_1FKiwhDph83XaGc0o0/edit?usp=sharing"",""งบพรบ!BV112"")"),0)</f>
        <v>0</v>
      </c>
      <c r="F112" s="77">
        <f ca="1">IFERROR(__xludf.DUMMYFUNCTION("IMPORTRANGE(""https://docs.google.com/spreadsheets/d/1MeEWN-I1oV_STSDYn1IFDPWt_1FKiwhDph83XaGc0o0/edit?usp=sharing"",""งบพรบ!BW112"")"),0)</f>
        <v>0</v>
      </c>
      <c r="G112" s="77">
        <f ca="1">IFERROR(__xludf.DUMMYFUNCTION("IMPORTRANGE(""https://docs.google.com/spreadsheets/d/1MeEWN-I1oV_STSDYn1IFDPWt_1FKiwhDph83XaGc0o0/edit?usp=sharing"",""งบพรบ!BX112"")"),0)</f>
        <v>0</v>
      </c>
      <c r="H112" s="77">
        <f ca="1">IFERROR(__xludf.DUMMYFUNCTION("IMPORTRANGE(""https://docs.google.com/spreadsheets/d/1MeEWN-I1oV_STSDYn1IFDPWt_1FKiwhDph83XaGc0o0/edit?usp=sharing"",""งบพรบ!BZ112"")"),0)</f>
        <v>0</v>
      </c>
      <c r="I112" s="77">
        <f ca="1">IFERROR(__xludf.DUMMYFUNCTION("IMPORTRANGE(""https://docs.google.com/spreadsheets/d/1MeEWN-I1oV_STSDYn1IFDPWt_1FKiwhDph83XaGc0o0/edit?usp=sharing"",""งบพรบ!CA112"")"),0)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IFERROR(__xludf.DUMMYFUNCTION("IMPORTRANGE(""https://docs.google.com/spreadsheets/d/1MeEWN-I1oV_STSDYn1IFDPWt_1FKiwhDph83XaGc0o0/edit?usp=sharing"",""งบพรบ!CB112"")"),0)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IFERROR(__xludf.DUMMYFUNCTION("IMPORTRANGE(""https://docs.google.com/spreadsheets/d/1MeEWN-I1oV_STSDYn1IFDPWt_1FKiwhDph83XaGc0o0/edit?usp=sharing"",""งบพรบ!CC112"")"),0)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IFERROR(__xludf.DUMMYFUNCTION("IMPORTRANGE(""https://docs.google.com/spreadsheets/d/1MeEWN-I1oV_STSDYn1IFDPWt_1FKiwhDph83XaGc0o0/edit?usp=sharing"",""งบพรบ!BV113"")"),0)</f>
        <v>0</v>
      </c>
      <c r="F113" s="77">
        <f ca="1">IFERROR(__xludf.DUMMYFUNCTION("IMPORTRANGE(""https://docs.google.com/spreadsheets/d/1MeEWN-I1oV_STSDYn1IFDPWt_1FKiwhDph83XaGc0o0/edit?usp=sharing"",""งบพรบ!BW113"")"),0)</f>
        <v>0</v>
      </c>
      <c r="G113" s="77">
        <f ca="1">IFERROR(__xludf.DUMMYFUNCTION("IMPORTRANGE(""https://docs.google.com/spreadsheets/d/1MeEWN-I1oV_STSDYn1IFDPWt_1FKiwhDph83XaGc0o0/edit?usp=sharing"",""งบพรบ!BX113"")"),0)</f>
        <v>0</v>
      </c>
      <c r="H113" s="77">
        <f ca="1">IFERROR(__xludf.DUMMYFUNCTION("IMPORTRANGE(""https://docs.google.com/spreadsheets/d/1MeEWN-I1oV_STSDYn1IFDPWt_1FKiwhDph83XaGc0o0/edit?usp=sharing"",""งบพรบ!BZ113"")"),0)</f>
        <v>0</v>
      </c>
      <c r="I113" s="77">
        <f ca="1">IFERROR(__xludf.DUMMYFUNCTION("IMPORTRANGE(""https://docs.google.com/spreadsheets/d/1MeEWN-I1oV_STSDYn1IFDPWt_1FKiwhDph83XaGc0o0/edit?usp=sharing"",""งบพรบ!CA113"")"),0)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IFERROR(__xludf.DUMMYFUNCTION("IMPORTRANGE(""https://docs.google.com/spreadsheets/d/1MeEWN-I1oV_STSDYn1IFDPWt_1FKiwhDph83XaGc0o0/edit?usp=sharing"",""งบพรบ!CB113"")"),0)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IFERROR(__xludf.DUMMYFUNCTION("IMPORTRANGE(""https://docs.google.com/spreadsheets/d/1MeEWN-I1oV_STSDYn1IFDPWt_1FKiwhDph83XaGc0o0/edit?usp=sharing"",""งบพรบ!CC113"")"),0)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IFERROR(__xludf.DUMMYFUNCTION("IMPORTRANGE(""https://docs.google.com/spreadsheets/d/1MeEWN-I1oV_STSDYn1IFDPWt_1FKiwhDph83XaGc0o0/edit?usp=sharing"",""งบพรบ!BV114"")"),0)</f>
        <v>0</v>
      </c>
      <c r="F114" s="77">
        <f ca="1">IFERROR(__xludf.DUMMYFUNCTION("IMPORTRANGE(""https://docs.google.com/spreadsheets/d/1MeEWN-I1oV_STSDYn1IFDPWt_1FKiwhDph83XaGc0o0/edit?usp=sharing"",""งบพรบ!BW114"")"),0)</f>
        <v>0</v>
      </c>
      <c r="G114" s="77">
        <f ca="1">IFERROR(__xludf.DUMMYFUNCTION("IMPORTRANGE(""https://docs.google.com/spreadsheets/d/1MeEWN-I1oV_STSDYn1IFDPWt_1FKiwhDph83XaGc0o0/edit?usp=sharing"",""งบพรบ!BX114"")"),0)</f>
        <v>0</v>
      </c>
      <c r="H114" s="77">
        <f ca="1">IFERROR(__xludf.DUMMYFUNCTION("IMPORTRANGE(""https://docs.google.com/spreadsheets/d/1MeEWN-I1oV_STSDYn1IFDPWt_1FKiwhDph83XaGc0o0/edit?usp=sharing"",""งบพรบ!BZ114"")"),0)</f>
        <v>0</v>
      </c>
      <c r="I114" s="77">
        <f ca="1">IFERROR(__xludf.DUMMYFUNCTION("IMPORTRANGE(""https://docs.google.com/spreadsheets/d/1MeEWN-I1oV_STSDYn1IFDPWt_1FKiwhDph83XaGc0o0/edit?usp=sharing"",""งบพรบ!CA114"")"),0)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IFERROR(__xludf.DUMMYFUNCTION("IMPORTRANGE(""https://docs.google.com/spreadsheets/d/1MeEWN-I1oV_STSDYn1IFDPWt_1FKiwhDph83XaGc0o0/edit?usp=sharing"",""งบพรบ!CB114"")"),0)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IFERROR(__xludf.DUMMYFUNCTION("IMPORTRANGE(""https://docs.google.com/spreadsheets/d/1MeEWN-I1oV_STSDYn1IFDPWt_1FKiwhDph83XaGc0o0/edit?usp=sharing"",""งบพรบ!CC114"")"),0)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IFERROR(__xludf.DUMMYFUNCTION("IMPORTRANGE(""https://docs.google.com/spreadsheets/d/1MeEWN-I1oV_STSDYn1IFDPWt_1FKiwhDph83XaGc0o0/edit?usp=sharing"",""งบพรบ!BV115"")"),0)</f>
        <v>0</v>
      </c>
      <c r="F115" s="77">
        <f ca="1">IFERROR(__xludf.DUMMYFUNCTION("IMPORTRANGE(""https://docs.google.com/spreadsheets/d/1MeEWN-I1oV_STSDYn1IFDPWt_1FKiwhDph83XaGc0o0/edit?usp=sharing"",""งบพรบ!BW115"")"),0)</f>
        <v>0</v>
      </c>
      <c r="G115" s="77">
        <f ca="1">IFERROR(__xludf.DUMMYFUNCTION("IMPORTRANGE(""https://docs.google.com/spreadsheets/d/1MeEWN-I1oV_STSDYn1IFDPWt_1FKiwhDph83XaGc0o0/edit?usp=sharing"",""งบพรบ!BX115"")"),0)</f>
        <v>0</v>
      </c>
      <c r="H115" s="77">
        <f ca="1">IFERROR(__xludf.DUMMYFUNCTION("IMPORTRANGE(""https://docs.google.com/spreadsheets/d/1MeEWN-I1oV_STSDYn1IFDPWt_1FKiwhDph83XaGc0o0/edit?usp=sharing"",""งบพรบ!BZ115"")"),0)</f>
        <v>0</v>
      </c>
      <c r="I115" s="77">
        <f ca="1">IFERROR(__xludf.DUMMYFUNCTION("IMPORTRANGE(""https://docs.google.com/spreadsheets/d/1MeEWN-I1oV_STSDYn1IFDPWt_1FKiwhDph83XaGc0o0/edit?usp=sharing"",""งบพรบ!CA115"")"),0)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IFERROR(__xludf.DUMMYFUNCTION("IMPORTRANGE(""https://docs.google.com/spreadsheets/d/1MeEWN-I1oV_STSDYn1IFDPWt_1FKiwhDph83XaGc0o0/edit?usp=sharing"",""งบพรบ!CB115"")"),0)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IFERROR(__xludf.DUMMYFUNCTION("IMPORTRANGE(""https://docs.google.com/spreadsheets/d/1MeEWN-I1oV_STSDYn1IFDPWt_1FKiwhDph83XaGc0o0/edit?usp=sharing"",""งบพรบ!CC115"")"),0)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IFERROR(__xludf.DUMMYFUNCTION("IMPORTRANGE(""https://docs.google.com/spreadsheets/d/1MeEWN-I1oV_STSDYn1IFDPWt_1FKiwhDph83XaGc0o0/edit?usp=sharing"",""งบพรบ!BV116"")"),0)</f>
        <v>0</v>
      </c>
      <c r="F116" s="77">
        <f ca="1">IFERROR(__xludf.DUMMYFUNCTION("IMPORTRANGE(""https://docs.google.com/spreadsheets/d/1MeEWN-I1oV_STSDYn1IFDPWt_1FKiwhDph83XaGc0o0/edit?usp=sharing"",""งบพรบ!BW116"")"),0)</f>
        <v>0</v>
      </c>
      <c r="G116" s="77">
        <f ca="1">IFERROR(__xludf.DUMMYFUNCTION("IMPORTRANGE(""https://docs.google.com/spreadsheets/d/1MeEWN-I1oV_STSDYn1IFDPWt_1FKiwhDph83XaGc0o0/edit?usp=sharing"",""งบพรบ!BX116"")"),0)</f>
        <v>0</v>
      </c>
      <c r="H116" s="77">
        <f ca="1">IFERROR(__xludf.DUMMYFUNCTION("IMPORTRANGE(""https://docs.google.com/spreadsheets/d/1MeEWN-I1oV_STSDYn1IFDPWt_1FKiwhDph83XaGc0o0/edit?usp=sharing"",""งบพรบ!BZ116"")"),0)</f>
        <v>0</v>
      </c>
      <c r="I116" s="77">
        <f ca="1">IFERROR(__xludf.DUMMYFUNCTION("IMPORTRANGE(""https://docs.google.com/spreadsheets/d/1MeEWN-I1oV_STSDYn1IFDPWt_1FKiwhDph83XaGc0o0/edit?usp=sharing"",""งบพรบ!CA116"")"),0)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IFERROR(__xludf.DUMMYFUNCTION("IMPORTRANGE(""https://docs.google.com/spreadsheets/d/1MeEWN-I1oV_STSDYn1IFDPWt_1FKiwhDph83XaGc0o0/edit?usp=sharing"",""งบพรบ!CB116"")"),0)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IFERROR(__xludf.DUMMYFUNCTION("IMPORTRANGE(""https://docs.google.com/spreadsheets/d/1MeEWN-I1oV_STSDYn1IFDPWt_1FKiwhDph83XaGc0o0/edit?usp=sharing"",""งบพรบ!CC116"")"),0)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8.7109375" bestFit="1" customWidth="1"/>
    <col min="6" max="6" width="16.85546875" bestFit="1" customWidth="1"/>
    <col min="7" max="7" width="13.85546875" customWidth="1"/>
    <col min="8" max="8" width="19.85546875" bestFit="1" customWidth="1"/>
    <col min="9" max="9" width="13.85546875" customWidth="1"/>
    <col min="10" max="10" width="18.7109375" bestFit="1" customWidth="1"/>
    <col min="11" max="11" width="12.5703125" customWidth="1"/>
    <col min="12" max="12" width="18.7109375" bestFit="1" customWidth="1"/>
    <col min="13" max="13" width="13.85546875" customWidth="1"/>
    <col min="14" max="14" width="15.140625" customWidth="1"/>
    <col min="15" max="15" width="13.42578125" customWidth="1"/>
    <col min="16" max="17" width="15.140625" customWidth="1"/>
    <col min="18" max="18" width="11.42578125" customWidth="1"/>
    <col min="19" max="19" width="8.42578125" bestFit="1" customWidth="1"/>
    <col min="20" max="20" width="12.5703125" bestFit="1" customWidth="1"/>
    <col min="21" max="21" width="11.42578125" customWidth="1"/>
    <col min="22" max="22" width="7.5703125" customWidth="1"/>
    <col min="23" max="23" width="12.5703125" bestFit="1" customWidth="1"/>
  </cols>
  <sheetData>
    <row r="1" spans="1:26" ht="24" customHeight="1" x14ac:dyDescent="0.3">
      <c r="A1" s="1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118"/>
      <c r="S1" s="118"/>
      <c r="T1" s="201"/>
      <c r="U1" s="118"/>
      <c r="V1" s="118"/>
      <c r="W1" s="201"/>
      <c r="X1" s="199"/>
      <c r="Y1" s="199"/>
      <c r="Z1" s="199"/>
    </row>
    <row r="2" spans="1:26" ht="24" customHeight="1" x14ac:dyDescent="0.2">
      <c r="A2" s="454" t="s">
        <v>1</v>
      </c>
      <c r="B2" s="374"/>
      <c r="C2" s="418" t="s">
        <v>167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6"/>
      <c r="X2" s="199"/>
      <c r="Y2" s="199"/>
      <c r="Z2" s="199"/>
    </row>
    <row r="3" spans="1:26" ht="30" customHeight="1" x14ac:dyDescent="0.2">
      <c r="A3" s="373"/>
      <c r="B3" s="374"/>
      <c r="C3" s="419" t="s">
        <v>3</v>
      </c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420" t="s">
        <v>168</v>
      </c>
      <c r="S3" s="421"/>
      <c r="T3" s="393"/>
      <c r="U3" s="420" t="s">
        <v>169</v>
      </c>
      <c r="V3" s="421"/>
      <c r="W3" s="393"/>
      <c r="X3" s="199"/>
      <c r="Y3" s="199"/>
      <c r="Z3" s="199"/>
    </row>
    <row r="4" spans="1:26" ht="60" customHeight="1" x14ac:dyDescent="0.3">
      <c r="A4" s="373"/>
      <c r="B4" s="374"/>
      <c r="C4" s="424" t="s">
        <v>6</v>
      </c>
      <c r="D4" s="395"/>
      <c r="E4" s="395"/>
      <c r="F4" s="395"/>
      <c r="G4" s="396"/>
      <c r="H4" s="439" t="s">
        <v>7</v>
      </c>
      <c r="I4" s="396"/>
      <c r="J4" s="440" t="s">
        <v>8</v>
      </c>
      <c r="K4" s="395"/>
      <c r="L4" s="395"/>
      <c r="M4" s="395"/>
      <c r="N4" s="395"/>
      <c r="O4" s="395"/>
      <c r="P4" s="395"/>
      <c r="Q4" s="396"/>
      <c r="R4" s="395"/>
      <c r="S4" s="395"/>
      <c r="T4" s="396"/>
      <c r="U4" s="395"/>
      <c r="V4" s="395"/>
      <c r="W4" s="396"/>
      <c r="X4" s="199"/>
      <c r="Y4" s="199"/>
      <c r="Z4" s="199"/>
    </row>
    <row r="5" spans="1:26" ht="24" customHeight="1" x14ac:dyDescent="0.3">
      <c r="A5" s="373"/>
      <c r="B5" s="374"/>
      <c r="C5" s="433" t="s">
        <v>13</v>
      </c>
      <c r="D5" s="435" t="s">
        <v>14</v>
      </c>
      <c r="E5" s="436" t="s">
        <v>15</v>
      </c>
      <c r="F5" s="437" t="s">
        <v>16</v>
      </c>
      <c r="G5" s="438" t="s">
        <v>17</v>
      </c>
      <c r="H5" s="203" t="s">
        <v>18</v>
      </c>
      <c r="I5" s="203" t="s">
        <v>19</v>
      </c>
      <c r="J5" s="427" t="s">
        <v>20</v>
      </c>
      <c r="K5" s="396"/>
      <c r="L5" s="427" t="s">
        <v>18</v>
      </c>
      <c r="M5" s="395"/>
      <c r="N5" s="396"/>
      <c r="O5" s="428" t="s">
        <v>19</v>
      </c>
      <c r="P5" s="395"/>
      <c r="Q5" s="396"/>
      <c r="R5" s="204" t="s">
        <v>21</v>
      </c>
      <c r="S5" s="412" t="s">
        <v>22</v>
      </c>
      <c r="T5" s="396"/>
      <c r="U5" s="204" t="s">
        <v>21</v>
      </c>
      <c r="V5" s="412" t="s">
        <v>22</v>
      </c>
      <c r="W5" s="396"/>
      <c r="X5" s="199"/>
      <c r="Y5" s="199"/>
      <c r="Z5" s="199"/>
    </row>
    <row r="6" spans="1:26" ht="41.25" customHeight="1" x14ac:dyDescent="0.3">
      <c r="A6" s="375"/>
      <c r="B6" s="376"/>
      <c r="C6" s="434"/>
      <c r="D6" s="434"/>
      <c r="E6" s="434"/>
      <c r="F6" s="434"/>
      <c r="G6" s="434"/>
      <c r="H6" s="205"/>
      <c r="I6" s="205"/>
      <c r="J6" s="351" t="s">
        <v>23</v>
      </c>
      <c r="K6" s="352" t="s">
        <v>24</v>
      </c>
      <c r="L6" s="351" t="s">
        <v>23</v>
      </c>
      <c r="M6" s="353" t="s">
        <v>25</v>
      </c>
      <c r="N6" s="353" t="s">
        <v>26</v>
      </c>
      <c r="O6" s="354" t="s">
        <v>23</v>
      </c>
      <c r="P6" s="353" t="s">
        <v>25</v>
      </c>
      <c r="Q6" s="353" t="s">
        <v>26</v>
      </c>
      <c r="R6" s="206" t="s">
        <v>28</v>
      </c>
      <c r="S6" s="207" t="s">
        <v>28</v>
      </c>
      <c r="T6" s="208" t="s">
        <v>24</v>
      </c>
      <c r="U6" s="206" t="s">
        <v>28</v>
      </c>
      <c r="V6" s="207" t="s">
        <v>28</v>
      </c>
      <c r="W6" s="208" t="s">
        <v>24</v>
      </c>
      <c r="X6" s="199"/>
      <c r="Y6" s="199"/>
      <c r="Z6" s="199"/>
    </row>
    <row r="7" spans="1:26" ht="24" customHeight="1" x14ac:dyDescent="0.3">
      <c r="A7" s="425" t="s">
        <v>239</v>
      </c>
      <c r="B7" s="426"/>
      <c r="C7" s="209">
        <f t="shared" ref="C7:C116" ca="1" si="0">D7+G7</f>
        <v>22523100</v>
      </c>
      <c r="D7" s="210">
        <f t="shared" ref="D7:E7" ca="1" si="1">D8+D9+D12</f>
        <v>22523100</v>
      </c>
      <c r="E7" s="211">
        <f t="shared" ca="1" si="1"/>
        <v>21063450</v>
      </c>
      <c r="F7" s="212">
        <f ca="1">F8+F9</f>
        <v>1459650</v>
      </c>
      <c r="G7" s="213">
        <f t="shared" ref="G7:I7" ca="1" si="2">G8+G9+G12</f>
        <v>0</v>
      </c>
      <c r="H7" s="285">
        <f t="shared" ca="1" si="2"/>
        <v>22461000</v>
      </c>
      <c r="I7" s="285">
        <f t="shared" ca="1" si="2"/>
        <v>0</v>
      </c>
      <c r="J7" s="215">
        <f t="shared" ref="J7:J116" ca="1" si="3">L7+O7</f>
        <v>20233082.079999998</v>
      </c>
      <c r="K7" s="216">
        <f t="shared" ref="K7:K116" ca="1" si="4">IF(C7&gt;0,J7*100/C7,0)</f>
        <v>89.832581127819878</v>
      </c>
      <c r="L7" s="215">
        <f ca="1">L8+L9+L12</f>
        <v>20233082.079999998</v>
      </c>
      <c r="M7" s="217">
        <f t="shared" ref="M7:M116" ca="1" si="5">IF(D7&gt;0,L7*100/D7,0)</f>
        <v>89.832581127819878</v>
      </c>
      <c r="N7" s="217">
        <f t="shared" ref="N7:N116" ca="1" si="6">IF(H7&gt;0,L7*100/H7,0)</f>
        <v>90.080949557009916</v>
      </c>
      <c r="O7" s="218">
        <f ca="1">O8+O9+O12</f>
        <v>0</v>
      </c>
      <c r="P7" s="218">
        <f t="shared" ref="P7:P11" ca="1" si="7">IF(G7&gt;0,O7*100/G7,0)</f>
        <v>0</v>
      </c>
      <c r="Q7" s="217">
        <f t="shared" ref="Q7:Q116" ca="1" si="8">IF(I7&gt;0,O7*100/I7,0)</f>
        <v>0</v>
      </c>
      <c r="R7" s="219">
        <f t="shared" ref="R7:S7" ca="1" si="9">R8</f>
        <v>730</v>
      </c>
      <c r="S7" s="220">
        <f t="shared" ca="1" si="9"/>
        <v>730</v>
      </c>
      <c r="T7" s="221">
        <f t="shared" ref="T7:T8" ca="1" si="10">IF(R7&gt;0,S7*100/R7,0)</f>
        <v>100</v>
      </c>
      <c r="U7" s="219">
        <f t="shared" ref="U7:V7" si="11">U8+U9</f>
        <v>70</v>
      </c>
      <c r="V7" s="220">
        <f t="shared" ca="1" si="11"/>
        <v>72</v>
      </c>
      <c r="W7" s="221">
        <f t="shared" ref="W7:W9" ca="1" si="12">IF(U7&gt;0,V7*100/U7,0)</f>
        <v>102.85714285714286</v>
      </c>
      <c r="X7" s="199"/>
      <c r="Y7" s="199"/>
      <c r="Z7" s="199"/>
    </row>
    <row r="8" spans="1:26" ht="28.5" customHeight="1" x14ac:dyDescent="0.3">
      <c r="A8" s="222" t="s">
        <v>31</v>
      </c>
      <c r="B8" s="223"/>
      <c r="C8" s="224">
        <f t="shared" ca="1" si="0"/>
        <v>1459650</v>
      </c>
      <c r="D8" s="224">
        <f t="shared" ref="D8:I8" ca="1" si="13">+D13+D31+D52+D74</f>
        <v>1459650</v>
      </c>
      <c r="E8" s="224">
        <f t="shared" ca="1" si="13"/>
        <v>0</v>
      </c>
      <c r="F8" s="224">
        <f t="shared" ca="1" si="13"/>
        <v>1459650</v>
      </c>
      <c r="G8" s="224">
        <f t="shared" ca="1" si="13"/>
        <v>0</v>
      </c>
      <c r="H8" s="224">
        <f t="shared" ca="1" si="13"/>
        <v>3422190</v>
      </c>
      <c r="I8" s="224">
        <f t="shared" ca="1" si="13"/>
        <v>0</v>
      </c>
      <c r="J8" s="224">
        <f t="shared" ca="1" si="3"/>
        <v>3162006</v>
      </c>
      <c r="K8" s="225">
        <f t="shared" ca="1" si="4"/>
        <v>216.62768471893946</v>
      </c>
      <c r="L8" s="224">
        <f ca="1">+L13+L31+L52+L74</f>
        <v>3162006</v>
      </c>
      <c r="M8" s="226">
        <f t="shared" ca="1" si="5"/>
        <v>216.62768471893946</v>
      </c>
      <c r="N8" s="226">
        <f t="shared" ca="1" si="6"/>
        <v>92.39714919393721</v>
      </c>
      <c r="O8" s="227">
        <f ca="1">+O13+O31+O52+O74</f>
        <v>0</v>
      </c>
      <c r="P8" s="227">
        <f t="shared" ca="1" si="7"/>
        <v>0</v>
      </c>
      <c r="Q8" s="226">
        <f t="shared" ca="1" si="8"/>
        <v>0</v>
      </c>
      <c r="R8" s="224">
        <f t="shared" ref="R8:S8" ca="1" si="14">+R13+R31+R52+R74</f>
        <v>730</v>
      </c>
      <c r="S8" s="224">
        <f t="shared" ca="1" si="14"/>
        <v>730</v>
      </c>
      <c r="T8" s="226">
        <f t="shared" ca="1" si="10"/>
        <v>100</v>
      </c>
      <c r="U8" s="224">
        <f t="shared" ref="U8:V8" si="15">+U13+U31+U52+U74</f>
        <v>0</v>
      </c>
      <c r="V8" s="224">
        <f t="shared" si="15"/>
        <v>0</v>
      </c>
      <c r="W8" s="226">
        <f t="shared" si="12"/>
        <v>0</v>
      </c>
      <c r="X8" s="199"/>
      <c r="Y8" s="199"/>
      <c r="Z8" s="199"/>
    </row>
    <row r="9" spans="1:26" ht="28.5" customHeight="1" x14ac:dyDescent="0.3">
      <c r="A9" s="228" t="s">
        <v>240</v>
      </c>
      <c r="B9" s="229"/>
      <c r="C9" s="230">
        <f t="shared" ca="1" si="0"/>
        <v>21063450</v>
      </c>
      <c r="D9" s="230">
        <f t="shared" ref="D9:I9" ca="1" si="16">+D10+D11</f>
        <v>21063450</v>
      </c>
      <c r="E9" s="230">
        <f t="shared" ca="1" si="16"/>
        <v>21063450</v>
      </c>
      <c r="F9" s="230">
        <f t="shared" ca="1" si="16"/>
        <v>0</v>
      </c>
      <c r="G9" s="230">
        <f t="shared" ca="1" si="16"/>
        <v>0</v>
      </c>
      <c r="H9" s="230">
        <f t="shared" ca="1" si="16"/>
        <v>19038810</v>
      </c>
      <c r="I9" s="230">
        <f t="shared" ca="1" si="16"/>
        <v>0</v>
      </c>
      <c r="J9" s="230">
        <f t="shared" ca="1" si="3"/>
        <v>17071076.079999998</v>
      </c>
      <c r="K9" s="231">
        <f t="shared" ca="1" si="4"/>
        <v>81.045963885308424</v>
      </c>
      <c r="L9" s="230">
        <f ca="1">+L10+L11</f>
        <v>17071076.079999998</v>
      </c>
      <c r="M9" s="232">
        <f t="shared" ca="1" si="5"/>
        <v>81.045963885308424</v>
      </c>
      <c r="N9" s="232">
        <f t="shared" ca="1" si="6"/>
        <v>89.664617063776561</v>
      </c>
      <c r="O9" s="233">
        <f ca="1">+O10+O11</f>
        <v>0</v>
      </c>
      <c r="P9" s="233">
        <f t="shared" ca="1" si="7"/>
        <v>0</v>
      </c>
      <c r="Q9" s="232">
        <f t="shared" ca="1" si="8"/>
        <v>0</v>
      </c>
      <c r="R9" s="234"/>
      <c r="S9" s="234"/>
      <c r="T9" s="232"/>
      <c r="U9" s="230">
        <v>70</v>
      </c>
      <c r="V9" s="230">
        <f ca="1">IFERROR(__xludf.DUMMYFUNCTION("IMPORTRANGE(""https://docs.google.com/spreadsheets/d/1vlyYR5_sXdhqA0JyobsBDu7xVmIqJT30I2qHLqWgZQ4/edit?usp=sharing"",""ทั้งประเทศ!J177"")"),72)</f>
        <v>72</v>
      </c>
      <c r="W9" s="232">
        <f t="shared" ca="1" si="12"/>
        <v>102.85714285714286</v>
      </c>
      <c r="X9" s="199"/>
      <c r="Y9" s="199"/>
      <c r="Z9" s="199"/>
    </row>
    <row r="10" spans="1:26" ht="28.5" hidden="1" customHeight="1" x14ac:dyDescent="0.3">
      <c r="A10" s="228" t="s">
        <v>32</v>
      </c>
      <c r="B10" s="229"/>
      <c r="C10" s="230">
        <f t="shared" ca="1" si="0"/>
        <v>14928050</v>
      </c>
      <c r="D10" s="230">
        <f t="shared" ref="D10:I10" ca="1" si="17">+D89</f>
        <v>14928050</v>
      </c>
      <c r="E10" s="230">
        <f t="shared" ca="1" si="17"/>
        <v>14928050</v>
      </c>
      <c r="F10" s="230">
        <f t="shared" ca="1" si="17"/>
        <v>0</v>
      </c>
      <c r="G10" s="230">
        <f t="shared" ca="1" si="17"/>
        <v>0</v>
      </c>
      <c r="H10" s="230">
        <f t="shared" ca="1" si="17"/>
        <v>15978750</v>
      </c>
      <c r="I10" s="230">
        <f t="shared" ca="1" si="17"/>
        <v>0</v>
      </c>
      <c r="J10" s="230">
        <f t="shared" ca="1" si="3"/>
        <v>14233616.08</v>
      </c>
      <c r="K10" s="231">
        <f t="shared" ca="1" si="4"/>
        <v>95.348127049413691</v>
      </c>
      <c r="L10" s="230">
        <f ca="1">+L89</f>
        <v>14233616.08</v>
      </c>
      <c r="M10" s="232">
        <f t="shared" ca="1" si="5"/>
        <v>95.348127049413691</v>
      </c>
      <c r="N10" s="232">
        <f t="shared" ca="1" si="6"/>
        <v>89.078407760306661</v>
      </c>
      <c r="O10" s="233">
        <f ca="1">+O89</f>
        <v>0</v>
      </c>
      <c r="P10" s="233">
        <f t="shared" ca="1" si="7"/>
        <v>0</v>
      </c>
      <c r="Q10" s="232">
        <f t="shared" ca="1" si="8"/>
        <v>0</v>
      </c>
      <c r="R10" s="234"/>
      <c r="S10" s="234"/>
      <c r="T10" s="232"/>
      <c r="U10" s="234"/>
      <c r="V10" s="234"/>
      <c r="W10" s="232"/>
      <c r="X10" s="199"/>
      <c r="Y10" s="199"/>
      <c r="Z10" s="199"/>
    </row>
    <row r="11" spans="1:26" ht="28.5" hidden="1" customHeight="1" x14ac:dyDescent="0.3">
      <c r="A11" s="236" t="s">
        <v>33</v>
      </c>
      <c r="B11" s="229"/>
      <c r="C11" s="230">
        <f t="shared" ca="1" si="0"/>
        <v>6135400</v>
      </c>
      <c r="D11" s="230">
        <f t="shared" ref="D11:I11" ca="1" si="18">+D104</f>
        <v>6135400</v>
      </c>
      <c r="E11" s="230">
        <f t="shared" ca="1" si="18"/>
        <v>6135400</v>
      </c>
      <c r="F11" s="230">
        <f t="shared" ca="1" si="18"/>
        <v>0</v>
      </c>
      <c r="G11" s="230">
        <f t="shared" ca="1" si="18"/>
        <v>0</v>
      </c>
      <c r="H11" s="230">
        <f t="shared" ca="1" si="18"/>
        <v>3060060</v>
      </c>
      <c r="I11" s="230">
        <f t="shared" ca="1" si="18"/>
        <v>0</v>
      </c>
      <c r="J11" s="230">
        <f t="shared" ca="1" si="3"/>
        <v>2837460</v>
      </c>
      <c r="K11" s="231">
        <f t="shared" ca="1" si="4"/>
        <v>46.247351435929197</v>
      </c>
      <c r="L11" s="230">
        <f ca="1">+L104</f>
        <v>2837460</v>
      </c>
      <c r="M11" s="232">
        <f t="shared" ca="1" si="5"/>
        <v>46.247351435929197</v>
      </c>
      <c r="N11" s="232">
        <f t="shared" ca="1" si="6"/>
        <v>92.725632830728813</v>
      </c>
      <c r="O11" s="233">
        <f ca="1">+O104</f>
        <v>0</v>
      </c>
      <c r="P11" s="233">
        <f t="shared" ca="1" si="7"/>
        <v>0</v>
      </c>
      <c r="Q11" s="232">
        <f t="shared" ca="1" si="8"/>
        <v>0</v>
      </c>
      <c r="R11" s="234"/>
      <c r="S11" s="234"/>
      <c r="T11" s="232"/>
      <c r="U11" s="234"/>
      <c r="V11" s="234"/>
      <c r="W11" s="232"/>
      <c r="X11" s="199"/>
      <c r="Y11" s="199"/>
      <c r="Z11" s="199"/>
    </row>
    <row r="12" spans="1:26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2"/>
      <c r="Q12" s="241">
        <f t="shared" si="8"/>
        <v>0</v>
      </c>
      <c r="R12" s="239">
        <v>0</v>
      </c>
      <c r="S12" s="239">
        <v>0</v>
      </c>
      <c r="T12" s="241">
        <f t="shared" ref="T12:T88" si="19">IF(R12&gt;0,S12*100/R12,0)</f>
        <v>0</v>
      </c>
      <c r="U12" s="239">
        <v>0</v>
      </c>
      <c r="V12" s="239">
        <v>0</v>
      </c>
      <c r="W12" s="241">
        <f t="shared" ref="W12:W13" si="20">IF(U12&gt;0,V12*100/U12,0)</f>
        <v>0</v>
      </c>
      <c r="X12" s="199"/>
      <c r="Y12" s="199"/>
      <c r="Z12" s="199"/>
    </row>
    <row r="13" spans="1:26" ht="28.5" customHeight="1" x14ac:dyDescent="0.3">
      <c r="A13" s="442" t="s">
        <v>35</v>
      </c>
      <c r="B13" s="414"/>
      <c r="C13" s="224">
        <f t="shared" ca="1" si="0"/>
        <v>372925</v>
      </c>
      <c r="D13" s="224">
        <f t="shared" ref="D13:I13" ca="1" si="21">SUM(D14:D30)</f>
        <v>372925</v>
      </c>
      <c r="E13" s="224">
        <f t="shared" ca="1" si="21"/>
        <v>0</v>
      </c>
      <c r="F13" s="224">
        <f t="shared" ca="1" si="21"/>
        <v>372925</v>
      </c>
      <c r="G13" s="224">
        <f t="shared" ca="1" si="21"/>
        <v>0</v>
      </c>
      <c r="H13" s="224">
        <f t="shared" ca="1" si="21"/>
        <v>822895</v>
      </c>
      <c r="I13" s="224">
        <f t="shared" ca="1" si="21"/>
        <v>0</v>
      </c>
      <c r="J13" s="224">
        <f t="shared" ca="1" si="3"/>
        <v>743890</v>
      </c>
      <c r="K13" s="225">
        <f t="shared" ca="1" si="4"/>
        <v>199.47442515251055</v>
      </c>
      <c r="L13" s="224">
        <f ca="1">SUM(L14:L30)</f>
        <v>743890</v>
      </c>
      <c r="M13" s="226">
        <f t="shared" ca="1" si="5"/>
        <v>199.47442515251055</v>
      </c>
      <c r="N13" s="226">
        <f t="shared" ca="1" si="6"/>
        <v>90.39913962291665</v>
      </c>
      <c r="O13" s="227">
        <f ca="1">SUM(O14:O30)</f>
        <v>0</v>
      </c>
      <c r="P13" s="227">
        <f t="shared" ref="P13:P116" ca="1" si="22">IF(G13&gt;0,O13*100/G13,0)</f>
        <v>0</v>
      </c>
      <c r="Q13" s="226">
        <f t="shared" ca="1" si="8"/>
        <v>0</v>
      </c>
      <c r="R13" s="224">
        <f t="shared" ref="R13:S13" ca="1" si="23">SUM(R14:R30)</f>
        <v>185</v>
      </c>
      <c r="S13" s="224">
        <f t="shared" ca="1" si="23"/>
        <v>185</v>
      </c>
      <c r="T13" s="226">
        <f t="shared" ca="1" si="19"/>
        <v>100</v>
      </c>
      <c r="U13" s="224">
        <f t="shared" ref="U13:V13" si="24">SUM(U14:U30)</f>
        <v>0</v>
      </c>
      <c r="V13" s="224">
        <f t="shared" si="24"/>
        <v>0</v>
      </c>
      <c r="W13" s="226">
        <f t="shared" si="20"/>
        <v>0</v>
      </c>
      <c r="X13" s="199"/>
      <c r="Y13" s="199"/>
      <c r="Z13" s="199"/>
    </row>
    <row r="14" spans="1:26" ht="24" customHeight="1" x14ac:dyDescent="0.3">
      <c r="A14" s="243">
        <v>1</v>
      </c>
      <c r="B14" s="244" t="s">
        <v>36</v>
      </c>
      <c r="C14" s="245">
        <f t="shared" ca="1" si="0"/>
        <v>23060</v>
      </c>
      <c r="D14" s="246">
        <f t="shared" ref="D14:D30" ca="1" si="25">+E14+F14</f>
        <v>23060</v>
      </c>
      <c r="E14" s="247">
        <f ca="1">IFERROR(__xludf.DUMMYFUNCTION("IMPORTRANGE(""https://docs.google.com/spreadsheets/d/1MeEWN-I1oV_STSDYn1IFDPWt_1FKiwhDph83XaGc0o0/edit?usp=sharing"",""งบพรบ!CF14"")"),0)</f>
        <v>0</v>
      </c>
      <c r="F14" s="247">
        <f ca="1">IFERROR(__xludf.DUMMYFUNCTION("IMPORTRANGE(""https://docs.google.com/spreadsheets/d/1MeEWN-I1oV_STSDYn1IFDPWt_1FKiwhDph83XaGc0o0/edit?usp=sharing"",""งบพรบ!CG14"")"),23060)</f>
        <v>23060</v>
      </c>
      <c r="G14" s="248">
        <f ca="1">IFERROR(__xludf.DUMMYFUNCTION("IMPORTRANGE(""https://docs.google.com/spreadsheets/d/1MeEWN-I1oV_STSDYn1IFDPWt_1FKiwhDph83XaGc0o0/edit?usp=sharing"",""งบพรบ!CH14"")"),0)</f>
        <v>0</v>
      </c>
      <c r="H14" s="248">
        <f ca="1">IFERROR(__xludf.DUMMYFUNCTION("IMPORTRANGE(""https://docs.google.com/spreadsheets/d/1MeEWN-I1oV_STSDYn1IFDPWt_1FKiwhDph83XaGc0o0/edit?usp=sharing"",""งบพรบ!CJ14"")"),38230)</f>
        <v>38230</v>
      </c>
      <c r="I14" s="248">
        <f ca="1">IFERROR(__xludf.DUMMYFUNCTION("IMPORTRANGE(""https://docs.google.com/spreadsheets/d/1MeEWN-I1oV_STSDYn1IFDPWt_1FKiwhDph83XaGc0o0/edit?usp=sharing"",""งบพรบ!CK14"")"),0)</f>
        <v>0</v>
      </c>
      <c r="J14" s="248">
        <f t="shared" ca="1" si="3"/>
        <v>34730</v>
      </c>
      <c r="K14" s="249">
        <f t="shared" ca="1" si="4"/>
        <v>150.60711188204684</v>
      </c>
      <c r="L14" s="248">
        <f ca="1">IFERROR(__xludf.DUMMYFUNCTION("IMPORTRANGE(""https://docs.google.com/spreadsheets/d/1MeEWN-I1oV_STSDYn1IFDPWt_1FKiwhDph83XaGc0o0/edit?usp=sharing"",""งบพรบ!CL14"")"),34730)</f>
        <v>34730</v>
      </c>
      <c r="M14" s="250">
        <f t="shared" ca="1" si="5"/>
        <v>150.60711188204684</v>
      </c>
      <c r="N14" s="250">
        <f t="shared" ca="1" si="6"/>
        <v>90.844886215014384</v>
      </c>
      <c r="O14" s="251">
        <f ca="1">IFERROR(__xludf.DUMMYFUNCTION("IMPORTRANGE(""https://docs.google.com/spreadsheets/d/1MeEWN-I1oV_STSDYn1IFDPWt_1FKiwhDph83XaGc0o0/edit?usp=sharing"",""งบพรบ!CC14"")"),0)</f>
        <v>0</v>
      </c>
      <c r="P14" s="251">
        <f t="shared" ca="1" si="22"/>
        <v>0</v>
      </c>
      <c r="Q14" s="250">
        <f t="shared" ca="1" si="8"/>
        <v>0</v>
      </c>
      <c r="R14" s="248">
        <f ca="1">IFERROR(__xludf.DUMMYFUNCTION("IMPORTRANGE(""https://docs.google.com/spreadsheets/d/1KxicF4apzSqm0-jIpmueT4kyZtE-Cwn5zskl7GD4loQ/edit?usp=sharing"",""กำแพงเพชร!I176"")"),12)</f>
        <v>12</v>
      </c>
      <c r="S14" s="248">
        <f ca="1">IFERROR(__xludf.DUMMYFUNCTION("IMPORTRANGE(""https://docs.google.com/spreadsheets/d/1KxicF4apzSqm0-jIpmueT4kyZtE-Cwn5zskl7GD4loQ/edit?usp=sharing"",""กำแพงเพชร!J176"")"),12)</f>
        <v>12</v>
      </c>
      <c r="T14" s="252">
        <f t="shared" ca="1" si="19"/>
        <v>100</v>
      </c>
      <c r="U14" s="286"/>
      <c r="V14" s="286"/>
      <c r="W14" s="252"/>
      <c r="X14" s="199"/>
      <c r="Y14" s="199"/>
      <c r="Z14" s="199"/>
    </row>
    <row r="15" spans="1:26" ht="24" customHeight="1" x14ac:dyDescent="0.3">
      <c r="A15" s="243">
        <v>2</v>
      </c>
      <c r="B15" s="244" t="s">
        <v>37</v>
      </c>
      <c r="C15" s="245">
        <f t="shared" ca="1" si="0"/>
        <v>21050</v>
      </c>
      <c r="D15" s="246">
        <f t="shared" ca="1" si="25"/>
        <v>21050</v>
      </c>
      <c r="E15" s="247">
        <f ca="1">IFERROR(__xludf.DUMMYFUNCTION("IMPORTRANGE(""https://docs.google.com/spreadsheets/d/1MeEWN-I1oV_STSDYn1IFDPWt_1FKiwhDph83XaGc0o0/edit?usp=sharing"",""งบพรบ!CF15"")"),0)</f>
        <v>0</v>
      </c>
      <c r="F15" s="247">
        <f ca="1">IFERROR(__xludf.DUMMYFUNCTION("IMPORTRANGE(""https://docs.google.com/spreadsheets/d/1MeEWN-I1oV_STSDYn1IFDPWt_1FKiwhDph83XaGc0o0/edit?usp=sharing"",""งบพรบ!CG15"")"),21050)</f>
        <v>21050</v>
      </c>
      <c r="G15" s="247">
        <f ca="1">IFERROR(__xludf.DUMMYFUNCTION("IMPORTRANGE(""https://docs.google.com/spreadsheets/d/1MeEWN-I1oV_STSDYn1IFDPWt_1FKiwhDph83XaGc0o0/edit?usp=sharing"",""งบพรบ!CH15"")"),0)</f>
        <v>0</v>
      </c>
      <c r="H15" s="247">
        <f ca="1">IFERROR(__xludf.DUMMYFUNCTION("IMPORTRANGE(""https://docs.google.com/spreadsheets/d/1MeEWN-I1oV_STSDYn1IFDPWt_1FKiwhDph83XaGc0o0/edit?usp=sharing"",""งบพรบ!CJ15"")"),55620)</f>
        <v>55620</v>
      </c>
      <c r="I15" s="247">
        <f ca="1">IFERROR(__xludf.DUMMYFUNCTION("IMPORTRANGE(""https://docs.google.com/spreadsheets/d/1MeEWN-I1oV_STSDYn1IFDPWt_1FKiwhDph83XaGc0o0/edit?usp=sharing"",""งบพรบ!CK15"")"),0)</f>
        <v>0</v>
      </c>
      <c r="J15" s="247">
        <f t="shared" ca="1" si="3"/>
        <v>31170</v>
      </c>
      <c r="K15" s="253">
        <f t="shared" ca="1" si="4"/>
        <v>148.07600950118766</v>
      </c>
      <c r="L15" s="247">
        <f ca="1">IFERROR(__xludf.DUMMYFUNCTION("IMPORTRANGE(""https://docs.google.com/spreadsheets/d/1MeEWN-I1oV_STSDYn1IFDPWt_1FKiwhDph83XaGc0o0/edit?usp=sharing"",""งบพรบ!CL15"")"),31170)</f>
        <v>31170</v>
      </c>
      <c r="M15" s="250">
        <f t="shared" ca="1" si="5"/>
        <v>148.07600950118766</v>
      </c>
      <c r="N15" s="250">
        <f t="shared" ca="1" si="6"/>
        <v>56.04099244875944</v>
      </c>
      <c r="O15" s="251">
        <f ca="1">IFERROR(__xludf.DUMMYFUNCTION("IMPORTRANGE(""https://docs.google.com/spreadsheets/d/1MeEWN-I1oV_STSDYn1IFDPWt_1FKiwhDph83XaGc0o0/edit?usp=sharing"",""งบพรบ!CC15"")"),0)</f>
        <v>0</v>
      </c>
      <c r="P15" s="251">
        <f t="shared" ca="1" si="22"/>
        <v>0</v>
      </c>
      <c r="Q15" s="250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IFERROR(__xludf.DUMMYFUNCTION("IMPORTRANGE(""https://docs.google.com/spreadsheets/d/1ZNYWeiFoFA1K1U4xKWqRX29MBvEyRHXORjo734Gnq_c/edit?usp=sharing"",""เชียงราย!I176"")"),10)</f>
        <v>10</v>
      </c>
      <c r="S15" s="248">
        <f ca="1">IFERROR(__xludf.DUMMYFUNCTION("IMPORTRANGE(""https://docs.google.com/spreadsheets/d/1ZNYWeiFoFA1K1U4xKWqRX29MBvEyRHXORjo734Gnq_c/edit?usp=sharing"",""เชียงราย!J176"")"),10)</f>
        <v>10</v>
      </c>
      <c r="T15" s="252">
        <f t="shared" ca="1" si="19"/>
        <v>100</v>
      </c>
      <c r="U15" s="286"/>
      <c r="V15" s="286"/>
      <c r="W15" s="252"/>
      <c r="X15" s="199"/>
      <c r="Y15" s="199"/>
      <c r="Z15" s="199"/>
    </row>
    <row r="16" spans="1:26" ht="24" customHeight="1" x14ac:dyDescent="0.3">
      <c r="A16" s="243">
        <v>3</v>
      </c>
      <c r="B16" s="244" t="s">
        <v>38</v>
      </c>
      <c r="C16" s="245">
        <f t="shared" ca="1" si="0"/>
        <v>22055</v>
      </c>
      <c r="D16" s="246">
        <f t="shared" ca="1" si="25"/>
        <v>22055</v>
      </c>
      <c r="E16" s="247">
        <f ca="1">IFERROR(__xludf.DUMMYFUNCTION("IMPORTRANGE(""https://docs.google.com/spreadsheets/d/1MeEWN-I1oV_STSDYn1IFDPWt_1FKiwhDph83XaGc0o0/edit?usp=sharing"",""งบพรบ!CF16"")"),0)</f>
        <v>0</v>
      </c>
      <c r="F16" s="247">
        <f ca="1">IFERROR(__xludf.DUMMYFUNCTION("IMPORTRANGE(""https://docs.google.com/spreadsheets/d/1MeEWN-I1oV_STSDYn1IFDPWt_1FKiwhDph83XaGc0o0/edit?usp=sharing"",""งบพรบ!CG16"")"),22055)</f>
        <v>22055</v>
      </c>
      <c r="G16" s="247">
        <f ca="1">IFERROR(__xludf.DUMMYFUNCTION("IMPORTRANGE(""https://docs.google.com/spreadsheets/d/1MeEWN-I1oV_STSDYn1IFDPWt_1FKiwhDph83XaGc0o0/edit?usp=sharing"",""งบพรบ!CH16"")"),0)</f>
        <v>0</v>
      </c>
      <c r="H16" s="247">
        <f ca="1">IFERROR(__xludf.DUMMYFUNCTION("IMPORTRANGE(""https://docs.google.com/spreadsheets/d/1MeEWN-I1oV_STSDYn1IFDPWt_1FKiwhDph83XaGc0o0/edit?usp=sharing"",""งบพรบ!CJ16"")"),51545)</f>
        <v>51545</v>
      </c>
      <c r="I16" s="247">
        <f ca="1">IFERROR(__xludf.DUMMYFUNCTION("IMPORTRANGE(""https://docs.google.com/spreadsheets/d/1MeEWN-I1oV_STSDYn1IFDPWt_1FKiwhDph83XaGc0o0/edit?usp=sharing"",""งบพรบ!CK16"")"),0)</f>
        <v>0</v>
      </c>
      <c r="J16" s="247">
        <f t="shared" ca="1" si="3"/>
        <v>47695</v>
      </c>
      <c r="K16" s="253">
        <f t="shared" ca="1" si="4"/>
        <v>216.2548175017003</v>
      </c>
      <c r="L16" s="247">
        <f ca="1">IFERROR(__xludf.DUMMYFUNCTION("IMPORTRANGE(""https://docs.google.com/spreadsheets/d/1MeEWN-I1oV_STSDYn1IFDPWt_1FKiwhDph83XaGc0o0/edit?usp=sharing"",""งบพรบ!CL16"")"),47695)</f>
        <v>47695</v>
      </c>
      <c r="M16" s="250">
        <f t="shared" ca="1" si="5"/>
        <v>216.2548175017003</v>
      </c>
      <c r="N16" s="250">
        <f t="shared" ca="1" si="6"/>
        <v>92.530798331554948</v>
      </c>
      <c r="O16" s="251">
        <f ca="1">IFERROR(__xludf.DUMMYFUNCTION("IMPORTRANGE(""https://docs.google.com/spreadsheets/d/1MeEWN-I1oV_STSDYn1IFDPWt_1FKiwhDph83XaGc0o0/edit?usp=sharing"",""งบพรบ!CC16"")"),0)</f>
        <v>0</v>
      </c>
      <c r="P16" s="251">
        <f t="shared" ca="1" si="22"/>
        <v>0</v>
      </c>
      <c r="Q16" s="250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IFERROR(__xludf.DUMMYFUNCTION("IMPORTRANGE(""https://docs.google.com/spreadsheets/d/1Jgv0Y7YlHDtsiDawwp-uvifEJ8HVaSn0k2aGHG8-hwM/edit?usp=sharing"",""เชียงใหม่!I176"")"),11)</f>
        <v>11</v>
      </c>
      <c r="S16" s="248">
        <f ca="1">IFERROR(__xludf.DUMMYFUNCTION("IMPORTRANGE(""https://docs.google.com/spreadsheets/d/1Jgv0Y7YlHDtsiDawwp-uvifEJ8HVaSn0k2aGHG8-hwM/edit?usp=sharing"",""เชียงใหม่!J176"")"),11)</f>
        <v>11</v>
      </c>
      <c r="T16" s="252">
        <f t="shared" ca="1" si="19"/>
        <v>100</v>
      </c>
      <c r="U16" s="286"/>
      <c r="V16" s="286"/>
      <c r="W16" s="252"/>
      <c r="X16" s="199"/>
      <c r="Y16" s="199"/>
      <c r="Z16" s="199"/>
    </row>
    <row r="17" spans="1:26" ht="24" customHeight="1" x14ac:dyDescent="0.3">
      <c r="A17" s="243">
        <v>4</v>
      </c>
      <c r="B17" s="244" t="s">
        <v>39</v>
      </c>
      <c r="C17" s="245">
        <f t="shared" ca="1" si="0"/>
        <v>22055</v>
      </c>
      <c r="D17" s="246">
        <f t="shared" ca="1" si="25"/>
        <v>22055</v>
      </c>
      <c r="E17" s="247">
        <f ca="1">IFERROR(__xludf.DUMMYFUNCTION("IMPORTRANGE(""https://docs.google.com/spreadsheets/d/1MeEWN-I1oV_STSDYn1IFDPWt_1FKiwhDph83XaGc0o0/edit?usp=sharing"",""งบพรบ!CF17"")"),0)</f>
        <v>0</v>
      </c>
      <c r="F17" s="247">
        <f ca="1">IFERROR(__xludf.DUMMYFUNCTION("IMPORTRANGE(""https://docs.google.com/spreadsheets/d/1MeEWN-I1oV_STSDYn1IFDPWt_1FKiwhDph83XaGc0o0/edit?usp=sharing"",""งบพรบ!CG17"")"),22055)</f>
        <v>22055</v>
      </c>
      <c r="G17" s="247">
        <f ca="1">IFERROR(__xludf.DUMMYFUNCTION("IMPORTRANGE(""https://docs.google.com/spreadsheets/d/1MeEWN-I1oV_STSDYn1IFDPWt_1FKiwhDph83XaGc0o0/edit?usp=sharing"",""งบพรบ!CH17"")"),0)</f>
        <v>0</v>
      </c>
      <c r="H17" s="247">
        <f ca="1">IFERROR(__xludf.DUMMYFUNCTION("IMPORTRANGE(""https://docs.google.com/spreadsheets/d/1MeEWN-I1oV_STSDYn1IFDPWt_1FKiwhDph83XaGc0o0/edit?usp=sharing"",""งบพรบ!CJ17"")"),48485)</f>
        <v>48485</v>
      </c>
      <c r="I17" s="247">
        <f ca="1">IFERROR(__xludf.DUMMYFUNCTION("IMPORTRANGE(""https://docs.google.com/spreadsheets/d/1MeEWN-I1oV_STSDYn1IFDPWt_1FKiwhDph83XaGc0o0/edit?usp=sharing"",""งบพรบ!CK17"")"),0)</f>
        <v>0</v>
      </c>
      <c r="J17" s="247">
        <f t="shared" ca="1" si="3"/>
        <v>45455</v>
      </c>
      <c r="K17" s="253">
        <f t="shared" ca="1" si="4"/>
        <v>206.09839038766719</v>
      </c>
      <c r="L17" s="247">
        <f ca="1">IFERROR(__xludf.DUMMYFUNCTION("IMPORTRANGE(""https://docs.google.com/spreadsheets/d/1MeEWN-I1oV_STSDYn1IFDPWt_1FKiwhDph83XaGc0o0/edit?usp=sharing"",""งบพรบ!CL17"")"),45455)</f>
        <v>45455</v>
      </c>
      <c r="M17" s="250">
        <f t="shared" ca="1" si="5"/>
        <v>206.09839038766719</v>
      </c>
      <c r="N17" s="250">
        <f t="shared" ca="1" si="6"/>
        <v>93.750644529235842</v>
      </c>
      <c r="O17" s="251">
        <f ca="1">IFERROR(__xludf.DUMMYFUNCTION("IMPORTRANGE(""https://docs.google.com/spreadsheets/d/1MeEWN-I1oV_STSDYn1IFDPWt_1FKiwhDph83XaGc0o0/edit?usp=sharing"",""งบพรบ!CC17"")"),0)</f>
        <v>0</v>
      </c>
      <c r="P17" s="251">
        <f t="shared" ca="1" si="22"/>
        <v>0</v>
      </c>
      <c r="Q17" s="250">
        <f t="shared" ca="1" si="8"/>
        <v>0</v>
      </c>
      <c r="R17" s="248">
        <f ca="1">IFERROR(__xludf.DUMMYFUNCTION("IMPORTRANGE(""https://docs.google.com/spreadsheets/d/1JWG2rZePOz9pe-f-ObA-yDr0VoOX2kSb0qIix2mTUo8/edit?usp=sharing"",""ตาก!I176"")"),11)</f>
        <v>11</v>
      </c>
      <c r="S17" s="248">
        <f ca="1">IFERROR(__xludf.DUMMYFUNCTION("IMPORTRANGE(""https://docs.google.com/spreadsheets/d/1JWG2rZePOz9pe-f-ObA-yDr0VoOX2kSb0qIix2mTUo8/edit?usp=sharing"",""ตาก!J176"")"),11)</f>
        <v>11</v>
      </c>
      <c r="T17" s="252">
        <f t="shared" ca="1" si="19"/>
        <v>100</v>
      </c>
      <c r="U17" s="286"/>
      <c r="V17" s="286"/>
      <c r="W17" s="252"/>
      <c r="X17" s="199"/>
      <c r="Y17" s="199"/>
      <c r="Z17" s="199"/>
    </row>
    <row r="18" spans="1:26" ht="24" customHeight="1" x14ac:dyDescent="0.3">
      <c r="A18" s="243">
        <v>5</v>
      </c>
      <c r="B18" s="244" t="s">
        <v>40</v>
      </c>
      <c r="C18" s="245">
        <f t="shared" ca="1" si="0"/>
        <v>22055</v>
      </c>
      <c r="D18" s="246">
        <f t="shared" ca="1" si="25"/>
        <v>22055</v>
      </c>
      <c r="E18" s="247">
        <f ca="1">IFERROR(__xludf.DUMMYFUNCTION("IMPORTRANGE(""https://docs.google.com/spreadsheets/d/1MeEWN-I1oV_STSDYn1IFDPWt_1FKiwhDph83XaGc0o0/edit?usp=sharing"",""งบพรบ!CF18"")"),0)</f>
        <v>0</v>
      </c>
      <c r="F18" s="247">
        <f ca="1">IFERROR(__xludf.DUMMYFUNCTION("IMPORTRANGE(""https://docs.google.com/spreadsheets/d/1MeEWN-I1oV_STSDYn1IFDPWt_1FKiwhDph83XaGc0o0/edit?usp=sharing"",""งบพรบ!CG18"")"),22055)</f>
        <v>22055</v>
      </c>
      <c r="G18" s="247">
        <f ca="1">IFERROR(__xludf.DUMMYFUNCTION("IMPORTRANGE(""https://docs.google.com/spreadsheets/d/1MeEWN-I1oV_STSDYn1IFDPWt_1FKiwhDph83XaGc0o0/edit?usp=sharing"",""งบพรบ!CH18"")"),0)</f>
        <v>0</v>
      </c>
      <c r="H18" s="247">
        <f ca="1">IFERROR(__xludf.DUMMYFUNCTION("IMPORTRANGE(""https://docs.google.com/spreadsheets/d/1MeEWN-I1oV_STSDYn1IFDPWt_1FKiwhDph83XaGc0o0/edit?usp=sharing"",""งบพรบ!CJ18"")"),47775)</f>
        <v>47775</v>
      </c>
      <c r="I18" s="247">
        <f ca="1">IFERROR(__xludf.DUMMYFUNCTION("IMPORTRANGE(""https://docs.google.com/spreadsheets/d/1MeEWN-I1oV_STSDYn1IFDPWt_1FKiwhDph83XaGc0o0/edit?usp=sharing"",""งบพรบ!CK18"")"),0)</f>
        <v>0</v>
      </c>
      <c r="J18" s="247">
        <f t="shared" ca="1" si="3"/>
        <v>44375</v>
      </c>
      <c r="K18" s="253">
        <f t="shared" ca="1" si="4"/>
        <v>201.20154160054409</v>
      </c>
      <c r="L18" s="247">
        <f ca="1">IFERROR(__xludf.DUMMYFUNCTION("IMPORTRANGE(""https://docs.google.com/spreadsheets/d/1MeEWN-I1oV_STSDYn1IFDPWt_1FKiwhDph83XaGc0o0/edit?usp=sharing"",""งบพรบ!CL18"")"),44375)</f>
        <v>44375</v>
      </c>
      <c r="M18" s="250">
        <f t="shared" ca="1" si="5"/>
        <v>201.20154160054409</v>
      </c>
      <c r="N18" s="250">
        <f t="shared" ca="1" si="6"/>
        <v>92.88330716902145</v>
      </c>
      <c r="O18" s="251">
        <f ca="1">IFERROR(__xludf.DUMMYFUNCTION("IMPORTRANGE(""https://docs.google.com/spreadsheets/d/1MeEWN-I1oV_STSDYn1IFDPWt_1FKiwhDph83XaGc0o0/edit?usp=sharing"",""งบพรบ!CC18"")"),0)</f>
        <v>0</v>
      </c>
      <c r="P18" s="251">
        <f t="shared" ca="1" si="22"/>
        <v>0</v>
      </c>
      <c r="Q18" s="250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IFERROR(__xludf.DUMMYFUNCTION("IMPORTRANGE(""https://docs.google.com/spreadsheets/d/10nSRjK08hx8Y6HgSOQKNw81lyY46Zc7U_Cj72hBMp9U/edit?usp=sharing"",""นครสวรรค์!I176"")"),11)</f>
        <v>11</v>
      </c>
      <c r="S18" s="248">
        <f ca="1">IFERROR(__xludf.DUMMYFUNCTION("IMPORTRANGE(""https://docs.google.com/spreadsheets/d/10nSRjK08hx8Y6HgSOQKNw81lyY46Zc7U_Cj72hBMp9U/edit?usp=sharing"",""นครสวรรค์!J176"")"),11)</f>
        <v>11</v>
      </c>
      <c r="T18" s="252">
        <f t="shared" ca="1" si="19"/>
        <v>100</v>
      </c>
      <c r="U18" s="286"/>
      <c r="V18" s="286"/>
      <c r="W18" s="252"/>
      <c r="X18" s="199"/>
      <c r="Y18" s="199"/>
      <c r="Z18" s="199"/>
    </row>
    <row r="19" spans="1:26" ht="24" customHeight="1" x14ac:dyDescent="0.3">
      <c r="A19" s="243">
        <v>6</v>
      </c>
      <c r="B19" s="244" t="s">
        <v>41</v>
      </c>
      <c r="C19" s="245">
        <f t="shared" ca="1" si="0"/>
        <v>21050</v>
      </c>
      <c r="D19" s="246">
        <f t="shared" ca="1" si="25"/>
        <v>21050</v>
      </c>
      <c r="E19" s="247">
        <f ca="1">IFERROR(__xludf.DUMMYFUNCTION("IMPORTRANGE(""https://docs.google.com/spreadsheets/d/1MeEWN-I1oV_STSDYn1IFDPWt_1FKiwhDph83XaGc0o0/edit?usp=sharing"",""งบพรบ!CF19"")"),0)</f>
        <v>0</v>
      </c>
      <c r="F19" s="247">
        <f ca="1">IFERROR(__xludf.DUMMYFUNCTION("IMPORTRANGE(""https://docs.google.com/spreadsheets/d/1MeEWN-I1oV_STSDYn1IFDPWt_1FKiwhDph83XaGc0o0/edit?usp=sharing"",""งบพรบ!CG19"")"),21050)</f>
        <v>21050</v>
      </c>
      <c r="G19" s="247">
        <f ca="1">IFERROR(__xludf.DUMMYFUNCTION("IMPORTRANGE(""https://docs.google.com/spreadsheets/d/1MeEWN-I1oV_STSDYn1IFDPWt_1FKiwhDph83XaGc0o0/edit?usp=sharing"",""งบพรบ!CH19"")"),0)</f>
        <v>0</v>
      </c>
      <c r="H19" s="247">
        <f ca="1">IFERROR(__xludf.DUMMYFUNCTION("IMPORTRANGE(""https://docs.google.com/spreadsheets/d/1MeEWN-I1oV_STSDYn1IFDPWt_1FKiwhDph83XaGc0o0/edit?usp=sharing"",""งบพรบ!CJ19"")"),53960)</f>
        <v>53960</v>
      </c>
      <c r="I19" s="247">
        <f ca="1">IFERROR(__xludf.DUMMYFUNCTION("IMPORTRANGE(""https://docs.google.com/spreadsheets/d/1MeEWN-I1oV_STSDYn1IFDPWt_1FKiwhDph83XaGc0o0/edit?usp=sharing"",""งบพรบ!CK19"")"),0)</f>
        <v>0</v>
      </c>
      <c r="J19" s="247">
        <f t="shared" ca="1" si="3"/>
        <v>46170</v>
      </c>
      <c r="K19" s="253">
        <f t="shared" ca="1" si="4"/>
        <v>219.33491686460809</v>
      </c>
      <c r="L19" s="247">
        <f ca="1">IFERROR(__xludf.DUMMYFUNCTION("IMPORTRANGE(""https://docs.google.com/spreadsheets/d/1MeEWN-I1oV_STSDYn1IFDPWt_1FKiwhDph83XaGc0o0/edit?usp=sharing"",""งบพรบ!CL19"")"),46170)</f>
        <v>46170</v>
      </c>
      <c r="M19" s="250">
        <f t="shared" ca="1" si="5"/>
        <v>219.33491686460809</v>
      </c>
      <c r="N19" s="250">
        <f t="shared" ca="1" si="6"/>
        <v>85.563380281690144</v>
      </c>
      <c r="O19" s="251">
        <f ca="1">IFERROR(__xludf.DUMMYFUNCTION("IMPORTRANGE(""https://docs.google.com/spreadsheets/d/1MeEWN-I1oV_STSDYn1IFDPWt_1FKiwhDph83XaGc0o0/edit?usp=sharing"",""งบพรบ!CC19"")"),0)</f>
        <v>0</v>
      </c>
      <c r="P19" s="251">
        <f t="shared" ca="1" si="22"/>
        <v>0</v>
      </c>
      <c r="Q19" s="250">
        <f t="shared" ca="1" si="8"/>
        <v>0</v>
      </c>
      <c r="R19" s="248">
        <f ca="1">IFERROR(__xludf.DUMMYFUNCTION("IMPORTRANGE(""https://docs.google.com/spreadsheets/d/1gFVb7qd7amutrIxAAoM7lcy35hllxznovot8lyOfvDo/edit?usp=sharing"",""น่าน!I176"")"),10)</f>
        <v>10</v>
      </c>
      <c r="S19" s="248">
        <f ca="1">IFERROR(__xludf.DUMMYFUNCTION("IMPORTRANGE(""https://docs.google.com/spreadsheets/d/1gFVb7qd7amutrIxAAoM7lcy35hllxznovot8lyOfvDo/edit?usp=sharing"",""น่าน!J176"")"),10)</f>
        <v>10</v>
      </c>
      <c r="T19" s="252">
        <f t="shared" ca="1" si="19"/>
        <v>100</v>
      </c>
      <c r="U19" s="286"/>
      <c r="V19" s="286"/>
      <c r="W19" s="252"/>
      <c r="X19" s="199"/>
      <c r="Y19" s="199"/>
      <c r="Z19" s="199"/>
    </row>
    <row r="20" spans="1:26" ht="24" customHeight="1" x14ac:dyDescent="0.3">
      <c r="A20" s="243">
        <v>7</v>
      </c>
      <c r="B20" s="244" t="s">
        <v>42</v>
      </c>
      <c r="C20" s="245">
        <f t="shared" ca="1" si="0"/>
        <v>23060</v>
      </c>
      <c r="D20" s="246">
        <f t="shared" ca="1" si="25"/>
        <v>23060</v>
      </c>
      <c r="E20" s="247">
        <f ca="1">IFERROR(__xludf.DUMMYFUNCTION("IMPORTRANGE(""https://docs.google.com/spreadsheets/d/1MeEWN-I1oV_STSDYn1IFDPWt_1FKiwhDph83XaGc0o0/edit?usp=sharing"",""งบพรบ!CF20"")"),0)</f>
        <v>0</v>
      </c>
      <c r="F20" s="247">
        <f ca="1">IFERROR(__xludf.DUMMYFUNCTION("IMPORTRANGE(""https://docs.google.com/spreadsheets/d/1MeEWN-I1oV_STSDYn1IFDPWt_1FKiwhDph83XaGc0o0/edit?usp=sharing"",""งบพรบ!CG20"")"),23060)</f>
        <v>23060</v>
      </c>
      <c r="G20" s="247">
        <f ca="1">IFERROR(__xludf.DUMMYFUNCTION("IMPORTRANGE(""https://docs.google.com/spreadsheets/d/1MeEWN-I1oV_STSDYn1IFDPWt_1FKiwhDph83XaGc0o0/edit?usp=sharing"",""งบพรบ!CH20"")"),0)</f>
        <v>0</v>
      </c>
      <c r="H20" s="247">
        <f ca="1">IFERROR(__xludf.DUMMYFUNCTION("IMPORTRANGE(""https://docs.google.com/spreadsheets/d/1MeEWN-I1oV_STSDYn1IFDPWt_1FKiwhDph83XaGc0o0/edit?usp=sharing"",""งบพรบ!CJ20"")"),56420)</f>
        <v>56420</v>
      </c>
      <c r="I20" s="247">
        <f ca="1">IFERROR(__xludf.DUMMYFUNCTION("IMPORTRANGE(""https://docs.google.com/spreadsheets/d/1MeEWN-I1oV_STSDYn1IFDPWt_1FKiwhDph83XaGc0o0/edit?usp=sharing"",""งบพรบ!CK20"")"),0)</f>
        <v>0</v>
      </c>
      <c r="J20" s="247">
        <f t="shared" ca="1" si="3"/>
        <v>56420</v>
      </c>
      <c r="K20" s="253">
        <f t="shared" ca="1" si="4"/>
        <v>244.66608846487424</v>
      </c>
      <c r="L20" s="247">
        <f ca="1">IFERROR(__xludf.DUMMYFUNCTION("IMPORTRANGE(""https://docs.google.com/spreadsheets/d/1MeEWN-I1oV_STSDYn1IFDPWt_1FKiwhDph83XaGc0o0/edit?usp=sharing"",""งบพรบ!CL20"")"),56420)</f>
        <v>56420</v>
      </c>
      <c r="M20" s="250">
        <f t="shared" ca="1" si="5"/>
        <v>244.66608846487424</v>
      </c>
      <c r="N20" s="250">
        <f t="shared" ca="1" si="6"/>
        <v>100</v>
      </c>
      <c r="O20" s="251">
        <f ca="1">IFERROR(__xludf.DUMMYFUNCTION("IMPORTRANGE(""https://docs.google.com/spreadsheets/d/1MeEWN-I1oV_STSDYn1IFDPWt_1FKiwhDph83XaGc0o0/edit?usp=sharing"",""งบพรบ!CC20"")"),0)</f>
        <v>0</v>
      </c>
      <c r="P20" s="251">
        <f t="shared" ca="1" si="22"/>
        <v>0</v>
      </c>
      <c r="Q20" s="250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IFERROR(__xludf.DUMMYFUNCTION("IMPORTRANGE(""https://docs.google.com/spreadsheets/d/1K0Aa9s-6EuHE5M0FG1F9aHLXRCOV917xvycTdLdct0w/edit?usp=sharing"",""พะเยา!I176"")"),12)</f>
        <v>12</v>
      </c>
      <c r="S20" s="248">
        <f ca="1">IFERROR(__xludf.DUMMYFUNCTION("IMPORTRANGE(""https://docs.google.com/spreadsheets/d/1K0Aa9s-6EuHE5M0FG1F9aHLXRCOV917xvycTdLdct0w/edit?usp=sharing"",""พะเยา!J176"")"),12)</f>
        <v>12</v>
      </c>
      <c r="T20" s="252">
        <f t="shared" ca="1" si="19"/>
        <v>100</v>
      </c>
      <c r="U20" s="286"/>
      <c r="V20" s="286"/>
      <c r="W20" s="252"/>
      <c r="X20" s="199"/>
      <c r="Y20" s="199"/>
      <c r="Z20" s="199"/>
    </row>
    <row r="21" spans="1:26" ht="24" customHeight="1" x14ac:dyDescent="0.3">
      <c r="A21" s="243">
        <v>8</v>
      </c>
      <c r="B21" s="244" t="s">
        <v>43</v>
      </c>
      <c r="C21" s="245">
        <f t="shared" ca="1" si="0"/>
        <v>22055</v>
      </c>
      <c r="D21" s="246">
        <f t="shared" ca="1" si="25"/>
        <v>22055</v>
      </c>
      <c r="E21" s="247">
        <f ca="1">IFERROR(__xludf.DUMMYFUNCTION("IMPORTRANGE(""https://docs.google.com/spreadsheets/d/1MeEWN-I1oV_STSDYn1IFDPWt_1FKiwhDph83XaGc0o0/edit?usp=sharing"",""งบพรบ!CF21"")"),0)</f>
        <v>0</v>
      </c>
      <c r="F21" s="247">
        <f ca="1">IFERROR(__xludf.DUMMYFUNCTION("IMPORTRANGE(""https://docs.google.com/spreadsheets/d/1MeEWN-I1oV_STSDYn1IFDPWt_1FKiwhDph83XaGc0o0/edit?usp=sharing"",""งบพรบ!CG21"")"),22055)</f>
        <v>22055</v>
      </c>
      <c r="G21" s="247">
        <f ca="1">IFERROR(__xludf.DUMMYFUNCTION("IMPORTRANGE(""https://docs.google.com/spreadsheets/d/1MeEWN-I1oV_STSDYn1IFDPWt_1FKiwhDph83XaGc0o0/edit?usp=sharing"",""งบพรบ!CH21"")"),0)</f>
        <v>0</v>
      </c>
      <c r="H21" s="247">
        <f ca="1">IFERROR(__xludf.DUMMYFUNCTION("IMPORTRANGE(""https://docs.google.com/spreadsheets/d/1MeEWN-I1oV_STSDYn1IFDPWt_1FKiwhDph83XaGc0o0/edit?usp=sharing"",""งบพรบ!CJ21"")"),37035)</f>
        <v>37035</v>
      </c>
      <c r="I21" s="247">
        <f ca="1">IFERROR(__xludf.DUMMYFUNCTION("IMPORTRANGE(""https://docs.google.com/spreadsheets/d/1MeEWN-I1oV_STSDYn1IFDPWt_1FKiwhDph83XaGc0o0/edit?usp=sharing"",""งบพรบ!CK21"")"),0)</f>
        <v>0</v>
      </c>
      <c r="J21" s="247">
        <f t="shared" ca="1" si="3"/>
        <v>33635</v>
      </c>
      <c r="K21" s="253">
        <f t="shared" ca="1" si="4"/>
        <v>152.50510088415325</v>
      </c>
      <c r="L21" s="247">
        <f ca="1">IFERROR(__xludf.DUMMYFUNCTION("IMPORTRANGE(""https://docs.google.com/spreadsheets/d/1MeEWN-I1oV_STSDYn1IFDPWt_1FKiwhDph83XaGc0o0/edit?usp=sharing"",""งบพรบ!CL21"")"),33635)</f>
        <v>33635</v>
      </c>
      <c r="M21" s="250">
        <f t="shared" ca="1" si="5"/>
        <v>152.50510088415325</v>
      </c>
      <c r="N21" s="250">
        <f t="shared" ca="1" si="6"/>
        <v>90.819495072228975</v>
      </c>
      <c r="O21" s="251">
        <f ca="1">IFERROR(__xludf.DUMMYFUNCTION("IMPORTRANGE(""https://docs.google.com/spreadsheets/d/1MeEWN-I1oV_STSDYn1IFDPWt_1FKiwhDph83XaGc0o0/edit?usp=sharing"",""งบพรบ!CC21"")"),0)</f>
        <v>0</v>
      </c>
      <c r="P21" s="251">
        <f t="shared" ca="1" si="22"/>
        <v>0</v>
      </c>
      <c r="Q21" s="250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IFERROR(__xludf.DUMMYFUNCTION("IMPORTRANGE(""https://docs.google.com/spreadsheets/d/1Y9LPKx95PyL5OKy09d-KbKJSuuEZCFdkhYjwC0XQjBA/edit?usp=sharing"",""พิจิตร!I176"")"),11)</f>
        <v>11</v>
      </c>
      <c r="S21" s="248">
        <f ca="1">IFERROR(__xludf.DUMMYFUNCTION("IMPORTRANGE(""https://docs.google.com/spreadsheets/d/1Y9LPKx95PyL5OKy09d-KbKJSuuEZCFdkhYjwC0XQjBA/edit?usp=sharing"",""พิจิตร!J176"")"),11)</f>
        <v>11</v>
      </c>
      <c r="T21" s="252">
        <f t="shared" ca="1" si="19"/>
        <v>100</v>
      </c>
      <c r="U21" s="286"/>
      <c r="V21" s="286"/>
      <c r="W21" s="252"/>
      <c r="X21" s="199"/>
      <c r="Y21" s="199"/>
      <c r="Z21" s="199"/>
    </row>
    <row r="22" spans="1:26" ht="24" customHeight="1" x14ac:dyDescent="0.3">
      <c r="A22" s="243">
        <v>9</v>
      </c>
      <c r="B22" s="244" t="s">
        <v>44</v>
      </c>
      <c r="C22" s="245">
        <f t="shared" ca="1" si="0"/>
        <v>22055</v>
      </c>
      <c r="D22" s="246">
        <f t="shared" ca="1" si="25"/>
        <v>22055</v>
      </c>
      <c r="E22" s="247">
        <f ca="1">IFERROR(__xludf.DUMMYFUNCTION("IMPORTRANGE(""https://docs.google.com/spreadsheets/d/1MeEWN-I1oV_STSDYn1IFDPWt_1FKiwhDph83XaGc0o0/edit?usp=sharing"",""งบพรบ!CF22"")"),0)</f>
        <v>0</v>
      </c>
      <c r="F22" s="247">
        <f ca="1">IFERROR(__xludf.DUMMYFUNCTION("IMPORTRANGE(""https://docs.google.com/spreadsheets/d/1MeEWN-I1oV_STSDYn1IFDPWt_1FKiwhDph83XaGc0o0/edit?usp=sharing"",""งบพรบ!CG22"")"),22055)</f>
        <v>22055</v>
      </c>
      <c r="G22" s="247">
        <f ca="1">IFERROR(__xludf.DUMMYFUNCTION("IMPORTRANGE(""https://docs.google.com/spreadsheets/d/1MeEWN-I1oV_STSDYn1IFDPWt_1FKiwhDph83XaGc0o0/edit?usp=sharing"",""งบพรบ!CH22"")"),0)</f>
        <v>0</v>
      </c>
      <c r="H22" s="247">
        <f ca="1">IFERROR(__xludf.DUMMYFUNCTION("IMPORTRANGE(""https://docs.google.com/spreadsheets/d/1MeEWN-I1oV_STSDYn1IFDPWt_1FKiwhDph83XaGc0o0/edit?usp=sharing"",""งบพรบ!CJ22"")"),33855)</f>
        <v>33855</v>
      </c>
      <c r="I22" s="247">
        <f ca="1">IFERROR(__xludf.DUMMYFUNCTION("IMPORTRANGE(""https://docs.google.com/spreadsheets/d/1MeEWN-I1oV_STSDYn1IFDPWt_1FKiwhDph83XaGc0o0/edit?usp=sharing"",""งบพรบ!CK22"")"),0)</f>
        <v>0</v>
      </c>
      <c r="J22" s="247">
        <f t="shared" ca="1" si="3"/>
        <v>32670</v>
      </c>
      <c r="K22" s="253">
        <f t="shared" ca="1" si="4"/>
        <v>148.12967581047383</v>
      </c>
      <c r="L22" s="247">
        <f ca="1">IFERROR(__xludf.DUMMYFUNCTION("IMPORTRANGE(""https://docs.google.com/spreadsheets/d/1MeEWN-I1oV_STSDYn1IFDPWt_1FKiwhDph83XaGc0o0/edit?usp=sharing"",""งบพรบ!CL22"")"),32670)</f>
        <v>32670</v>
      </c>
      <c r="M22" s="250">
        <f t="shared" ca="1" si="5"/>
        <v>148.12967581047383</v>
      </c>
      <c r="N22" s="250">
        <f t="shared" ca="1" si="6"/>
        <v>96.499778466991586</v>
      </c>
      <c r="O22" s="251">
        <f ca="1">IFERROR(__xludf.DUMMYFUNCTION("IMPORTRANGE(""https://docs.google.com/spreadsheets/d/1MeEWN-I1oV_STSDYn1IFDPWt_1FKiwhDph83XaGc0o0/edit?usp=sharing"",""งบพรบ!CC22"")"),0)</f>
        <v>0</v>
      </c>
      <c r="P22" s="251">
        <f t="shared" ca="1" si="22"/>
        <v>0</v>
      </c>
      <c r="Q22" s="250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IFERROR(__xludf.DUMMYFUNCTION("IMPORTRANGE(""https://docs.google.com/spreadsheets/d/16OMuOwy2eVqZcYWOouQtTpa8X1L23h4660uVHc0C8os/edit?usp=sharing"",""พิษณุโลก!I176"")"),11)</f>
        <v>11</v>
      </c>
      <c r="S22" s="248">
        <f ca="1">IFERROR(__xludf.DUMMYFUNCTION("IMPORTRANGE(""https://docs.google.com/spreadsheets/d/16OMuOwy2eVqZcYWOouQtTpa8X1L23h4660uVHc0C8os/edit?usp=sharing"",""พิษณุโลก!J176"")"),11)</f>
        <v>11</v>
      </c>
      <c r="T22" s="252">
        <f t="shared" ca="1" si="19"/>
        <v>100</v>
      </c>
      <c r="U22" s="286"/>
      <c r="V22" s="286"/>
      <c r="W22" s="252"/>
      <c r="X22" s="199"/>
      <c r="Y22" s="199"/>
      <c r="Z22" s="199"/>
    </row>
    <row r="23" spans="1:26" ht="24" customHeight="1" x14ac:dyDescent="0.3">
      <c r="A23" s="243">
        <v>10</v>
      </c>
      <c r="B23" s="244" t="s">
        <v>45</v>
      </c>
      <c r="C23" s="245">
        <f t="shared" ca="1" si="0"/>
        <v>22055</v>
      </c>
      <c r="D23" s="246">
        <f t="shared" ca="1" si="25"/>
        <v>22055</v>
      </c>
      <c r="E23" s="247">
        <f ca="1">IFERROR(__xludf.DUMMYFUNCTION("IMPORTRANGE(""https://docs.google.com/spreadsheets/d/1MeEWN-I1oV_STSDYn1IFDPWt_1FKiwhDph83XaGc0o0/edit?usp=sharing"",""งบพรบ!CF23"")"),0)</f>
        <v>0</v>
      </c>
      <c r="F23" s="247">
        <f ca="1">IFERROR(__xludf.DUMMYFUNCTION("IMPORTRANGE(""https://docs.google.com/spreadsheets/d/1MeEWN-I1oV_STSDYn1IFDPWt_1FKiwhDph83XaGc0o0/edit?usp=sharing"",""งบพรบ!CG23"")"),22055)</f>
        <v>22055</v>
      </c>
      <c r="G23" s="247">
        <f ca="1">IFERROR(__xludf.DUMMYFUNCTION("IMPORTRANGE(""https://docs.google.com/spreadsheets/d/1MeEWN-I1oV_STSDYn1IFDPWt_1FKiwhDph83XaGc0o0/edit?usp=sharing"",""งบพรบ!CH23"")"),0)</f>
        <v>0</v>
      </c>
      <c r="H23" s="247">
        <f ca="1">IFERROR(__xludf.DUMMYFUNCTION("IMPORTRANGE(""https://docs.google.com/spreadsheets/d/1MeEWN-I1oV_STSDYn1IFDPWt_1FKiwhDph83XaGc0o0/edit?usp=sharing"",""งบพรบ!CJ23"")"),48605)</f>
        <v>48605</v>
      </c>
      <c r="I23" s="247">
        <f ca="1">IFERROR(__xludf.DUMMYFUNCTION("IMPORTRANGE(""https://docs.google.com/spreadsheets/d/1MeEWN-I1oV_STSDYn1IFDPWt_1FKiwhDph83XaGc0o0/edit?usp=sharing"",""งบพรบ!CK23"")"),0)</f>
        <v>0</v>
      </c>
      <c r="J23" s="247">
        <f t="shared" ca="1" si="3"/>
        <v>48125</v>
      </c>
      <c r="K23" s="253">
        <f t="shared" ca="1" si="4"/>
        <v>218.20448877805487</v>
      </c>
      <c r="L23" s="247">
        <f ca="1">IFERROR(__xludf.DUMMYFUNCTION("IMPORTRANGE(""https://docs.google.com/spreadsheets/d/1MeEWN-I1oV_STSDYn1IFDPWt_1FKiwhDph83XaGc0o0/edit?usp=sharing"",""งบพรบ!CL23"")"),48125)</f>
        <v>48125</v>
      </c>
      <c r="M23" s="250">
        <f t="shared" ca="1" si="5"/>
        <v>218.20448877805487</v>
      </c>
      <c r="N23" s="250">
        <f t="shared" ca="1" si="6"/>
        <v>99.012447279086516</v>
      </c>
      <c r="O23" s="251">
        <f ca="1">IFERROR(__xludf.DUMMYFUNCTION("IMPORTRANGE(""https://docs.google.com/spreadsheets/d/1MeEWN-I1oV_STSDYn1IFDPWt_1FKiwhDph83XaGc0o0/edit?usp=sharing"",""งบพรบ!CC23"")"),0)</f>
        <v>0</v>
      </c>
      <c r="P23" s="251">
        <f t="shared" ca="1" si="22"/>
        <v>0</v>
      </c>
      <c r="Q23" s="250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IFERROR(__xludf.DUMMYFUNCTION("IMPORTRANGE(""https://docs.google.com/spreadsheets/d/1GfgTldLG6k77HXaMQzaafODklYuucJZQNs_GAPEfZyY/edit?usp=sharing"",""เพชรบูรณ์!I176"")"),11)</f>
        <v>11</v>
      </c>
      <c r="S23" s="248">
        <f ca="1">IFERROR(__xludf.DUMMYFUNCTION("IMPORTRANGE(""https://docs.google.com/spreadsheets/d/1GfgTldLG6k77HXaMQzaafODklYuucJZQNs_GAPEfZyY/edit?usp=sharing"",""เพชรบูรณ์!J176"")"),11)</f>
        <v>11</v>
      </c>
      <c r="T23" s="252">
        <f t="shared" ca="1" si="19"/>
        <v>100</v>
      </c>
      <c r="U23" s="286"/>
      <c r="V23" s="286"/>
      <c r="W23" s="252"/>
      <c r="X23" s="199"/>
      <c r="Y23" s="199"/>
      <c r="Z23" s="199"/>
    </row>
    <row r="24" spans="1:26" ht="24" customHeight="1" x14ac:dyDescent="0.3">
      <c r="A24" s="243">
        <v>11</v>
      </c>
      <c r="B24" s="244" t="s">
        <v>46</v>
      </c>
      <c r="C24" s="245">
        <f t="shared" ca="1" si="0"/>
        <v>21050</v>
      </c>
      <c r="D24" s="246">
        <f t="shared" ca="1" si="25"/>
        <v>21050</v>
      </c>
      <c r="E24" s="247">
        <f ca="1">IFERROR(__xludf.DUMMYFUNCTION("IMPORTRANGE(""https://docs.google.com/spreadsheets/d/1MeEWN-I1oV_STSDYn1IFDPWt_1FKiwhDph83XaGc0o0/edit?usp=sharing"",""งบพรบ!CF24"")"),0)</f>
        <v>0</v>
      </c>
      <c r="F24" s="247">
        <f ca="1">IFERROR(__xludf.DUMMYFUNCTION("IMPORTRANGE(""https://docs.google.com/spreadsheets/d/1MeEWN-I1oV_STSDYn1IFDPWt_1FKiwhDph83XaGc0o0/edit?usp=sharing"",""งบพรบ!CG24"")"),21050)</f>
        <v>21050</v>
      </c>
      <c r="G24" s="247">
        <f ca="1">IFERROR(__xludf.DUMMYFUNCTION("IMPORTRANGE(""https://docs.google.com/spreadsheets/d/1MeEWN-I1oV_STSDYn1IFDPWt_1FKiwhDph83XaGc0o0/edit?usp=sharing"",""งบพรบ!CH24"")"),0)</f>
        <v>0</v>
      </c>
      <c r="H24" s="247">
        <f ca="1">IFERROR(__xludf.DUMMYFUNCTION("IMPORTRANGE(""https://docs.google.com/spreadsheets/d/1MeEWN-I1oV_STSDYn1IFDPWt_1FKiwhDph83XaGc0o0/edit?usp=sharing"",""งบพรบ!CJ24"")"),52400)</f>
        <v>52400</v>
      </c>
      <c r="I24" s="247">
        <f ca="1">IFERROR(__xludf.DUMMYFUNCTION("IMPORTRANGE(""https://docs.google.com/spreadsheets/d/1MeEWN-I1oV_STSDYn1IFDPWt_1FKiwhDph83XaGc0o0/edit?usp=sharing"",""งบพรบ!CK24"")"),0)</f>
        <v>0</v>
      </c>
      <c r="J24" s="247">
        <f t="shared" ca="1" si="3"/>
        <v>45530</v>
      </c>
      <c r="K24" s="253">
        <f t="shared" ca="1" si="4"/>
        <v>216.29453681710214</v>
      </c>
      <c r="L24" s="247">
        <f ca="1">IFERROR(__xludf.DUMMYFUNCTION("IMPORTRANGE(""https://docs.google.com/spreadsheets/d/1MeEWN-I1oV_STSDYn1IFDPWt_1FKiwhDph83XaGc0o0/edit?usp=sharing"",""งบพรบ!CL24"")"),45530)</f>
        <v>45530</v>
      </c>
      <c r="M24" s="250">
        <f t="shared" ca="1" si="5"/>
        <v>216.29453681710214</v>
      </c>
      <c r="N24" s="250">
        <f t="shared" ca="1" si="6"/>
        <v>86.889312977099237</v>
      </c>
      <c r="O24" s="251">
        <f ca="1">IFERROR(__xludf.DUMMYFUNCTION("IMPORTRANGE(""https://docs.google.com/spreadsheets/d/1MeEWN-I1oV_STSDYn1IFDPWt_1FKiwhDph83XaGc0o0/edit?usp=sharing"",""งบพรบ!CC24"")"),0)</f>
        <v>0</v>
      </c>
      <c r="P24" s="251">
        <f t="shared" ca="1" si="22"/>
        <v>0</v>
      </c>
      <c r="Q24" s="250">
        <f t="shared" ca="1" si="8"/>
        <v>0</v>
      </c>
      <c r="R24" s="248">
        <f ca="1">IFERROR(__xludf.DUMMYFUNCTION("IMPORTRANGE(""https://docs.google.com/spreadsheets/d/1gvTMYAnm7v1yG1BKWFtr0DnaTsq59oW9dwWvFgq6hs0/edit?usp=sharing"",""แพร่!I176"")"),10)</f>
        <v>10</v>
      </c>
      <c r="S24" s="248">
        <f ca="1">IFERROR(__xludf.DUMMYFUNCTION("IMPORTRANGE(""https://docs.google.com/spreadsheets/d/1gvTMYAnm7v1yG1BKWFtr0DnaTsq59oW9dwWvFgq6hs0/edit?usp=sharing"",""แพร่!J176"")"),10)</f>
        <v>10</v>
      </c>
      <c r="T24" s="252">
        <f t="shared" ca="1" si="19"/>
        <v>100</v>
      </c>
      <c r="U24" s="286"/>
      <c r="V24" s="286"/>
      <c r="W24" s="252"/>
      <c r="X24" s="199"/>
      <c r="Y24" s="199"/>
      <c r="Z24" s="199"/>
    </row>
    <row r="25" spans="1:26" ht="24" customHeight="1" x14ac:dyDescent="0.3">
      <c r="A25" s="243">
        <v>12</v>
      </c>
      <c r="B25" s="244" t="s">
        <v>47</v>
      </c>
      <c r="C25" s="245">
        <f t="shared" ca="1" si="0"/>
        <v>23060</v>
      </c>
      <c r="D25" s="246">
        <f t="shared" ca="1" si="25"/>
        <v>23060</v>
      </c>
      <c r="E25" s="247">
        <f ca="1">IFERROR(__xludf.DUMMYFUNCTION("IMPORTRANGE(""https://docs.google.com/spreadsheets/d/1MeEWN-I1oV_STSDYn1IFDPWt_1FKiwhDph83XaGc0o0/edit?usp=sharing"",""งบพรบ!CF25"")"),0)</f>
        <v>0</v>
      </c>
      <c r="F25" s="247">
        <f ca="1">IFERROR(__xludf.DUMMYFUNCTION("IMPORTRANGE(""https://docs.google.com/spreadsheets/d/1MeEWN-I1oV_STSDYn1IFDPWt_1FKiwhDph83XaGc0o0/edit?usp=sharing"",""งบพรบ!CG25"")"),23060)</f>
        <v>23060</v>
      </c>
      <c r="G25" s="247">
        <f ca="1">IFERROR(__xludf.DUMMYFUNCTION("IMPORTRANGE(""https://docs.google.com/spreadsheets/d/1MeEWN-I1oV_STSDYn1IFDPWt_1FKiwhDph83XaGc0o0/edit?usp=sharing"",""งบพรบ!CH25"")"),0)</f>
        <v>0</v>
      </c>
      <c r="H25" s="247">
        <f ca="1">IFERROR(__xludf.DUMMYFUNCTION("IMPORTRANGE(""https://docs.google.com/spreadsheets/d/1MeEWN-I1oV_STSDYn1IFDPWt_1FKiwhDph83XaGc0o0/edit?usp=sharing"",""งบพรบ!CJ25"")"),58050)</f>
        <v>58050</v>
      </c>
      <c r="I25" s="247">
        <f ca="1">IFERROR(__xludf.DUMMYFUNCTION("IMPORTRANGE(""https://docs.google.com/spreadsheets/d/1MeEWN-I1oV_STSDYn1IFDPWt_1FKiwhDph83XaGc0o0/edit?usp=sharing"",""งบพรบ!CK25"")"),0)</f>
        <v>0</v>
      </c>
      <c r="J25" s="247">
        <f t="shared" ca="1" si="3"/>
        <v>58050</v>
      </c>
      <c r="K25" s="253">
        <f t="shared" ca="1" si="4"/>
        <v>251.73460537727667</v>
      </c>
      <c r="L25" s="247">
        <f ca="1">IFERROR(__xludf.DUMMYFUNCTION("IMPORTRANGE(""https://docs.google.com/spreadsheets/d/1MeEWN-I1oV_STSDYn1IFDPWt_1FKiwhDph83XaGc0o0/edit?usp=sharing"",""งบพรบ!CL25"")"),58050)</f>
        <v>58050</v>
      </c>
      <c r="M25" s="250">
        <f t="shared" ca="1" si="5"/>
        <v>251.73460537727667</v>
      </c>
      <c r="N25" s="250">
        <f t="shared" ca="1" si="6"/>
        <v>100</v>
      </c>
      <c r="O25" s="251">
        <f ca="1">IFERROR(__xludf.DUMMYFUNCTION("IMPORTRANGE(""https://docs.google.com/spreadsheets/d/1MeEWN-I1oV_STSDYn1IFDPWt_1FKiwhDph83XaGc0o0/edit?usp=sharing"",""งบพรบ!CC25"")"),0)</f>
        <v>0</v>
      </c>
      <c r="P25" s="251">
        <f t="shared" ca="1" si="22"/>
        <v>0</v>
      </c>
      <c r="Q25" s="250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IFERROR(__xludf.DUMMYFUNCTION("IMPORTRANGE(""https://docs.google.com/spreadsheets/d/1Wbcosgy-Xa1xXUArJSOenub6EfZHUSzc_bpJFWwQUf0/edit?usp=sharing"",""แม่ฮ่องสอน!I176"")"),12)</f>
        <v>12</v>
      </c>
      <c r="S25" s="248">
        <f ca="1">IFERROR(__xludf.DUMMYFUNCTION("IMPORTRANGE(""https://docs.google.com/spreadsheets/d/1Wbcosgy-Xa1xXUArJSOenub6EfZHUSzc_bpJFWwQUf0/edit?usp=sharing"",""แม่ฮ่องสอน!J176"")"),12)</f>
        <v>12</v>
      </c>
      <c r="T25" s="252">
        <f t="shared" ca="1" si="19"/>
        <v>100</v>
      </c>
      <c r="U25" s="286"/>
      <c r="V25" s="286"/>
      <c r="W25" s="252"/>
      <c r="X25" s="199"/>
      <c r="Y25" s="199"/>
      <c r="Z25" s="199"/>
    </row>
    <row r="26" spans="1:26" ht="24" customHeight="1" x14ac:dyDescent="0.3">
      <c r="A26" s="243">
        <v>13</v>
      </c>
      <c r="B26" s="244" t="s">
        <v>48</v>
      </c>
      <c r="C26" s="245">
        <f t="shared" ca="1" si="0"/>
        <v>22055</v>
      </c>
      <c r="D26" s="246">
        <f t="shared" ca="1" si="25"/>
        <v>22055</v>
      </c>
      <c r="E26" s="247">
        <f ca="1">IFERROR(__xludf.DUMMYFUNCTION("IMPORTRANGE(""https://docs.google.com/spreadsheets/d/1MeEWN-I1oV_STSDYn1IFDPWt_1FKiwhDph83XaGc0o0/edit?usp=sharing"",""งบพรบ!CF26"")"),0)</f>
        <v>0</v>
      </c>
      <c r="F26" s="247">
        <f ca="1">IFERROR(__xludf.DUMMYFUNCTION("IMPORTRANGE(""https://docs.google.com/spreadsheets/d/1MeEWN-I1oV_STSDYn1IFDPWt_1FKiwhDph83XaGc0o0/edit?usp=sharing"",""งบพรบ!CG26"")"),22055)</f>
        <v>22055</v>
      </c>
      <c r="G26" s="247">
        <f ca="1">IFERROR(__xludf.DUMMYFUNCTION("IMPORTRANGE(""https://docs.google.com/spreadsheets/d/1MeEWN-I1oV_STSDYn1IFDPWt_1FKiwhDph83XaGc0o0/edit?usp=sharing"",""งบพรบ!CH26"")"),0)</f>
        <v>0</v>
      </c>
      <c r="H26" s="247">
        <f ca="1">IFERROR(__xludf.DUMMYFUNCTION("IMPORTRANGE(""https://docs.google.com/spreadsheets/d/1MeEWN-I1oV_STSDYn1IFDPWt_1FKiwhDph83XaGc0o0/edit?usp=sharing"",""งบพรบ!CJ26"")"),54715)</f>
        <v>54715</v>
      </c>
      <c r="I26" s="247">
        <f ca="1">IFERROR(__xludf.DUMMYFUNCTION("IMPORTRANGE(""https://docs.google.com/spreadsheets/d/1MeEWN-I1oV_STSDYn1IFDPWt_1FKiwhDph83XaGc0o0/edit?usp=sharing"",""งบพรบ!CK26"")"),0)</f>
        <v>0</v>
      </c>
      <c r="J26" s="247">
        <f t="shared" ca="1" si="3"/>
        <v>54265</v>
      </c>
      <c r="K26" s="253">
        <f t="shared" ca="1" si="4"/>
        <v>246.04398095669916</v>
      </c>
      <c r="L26" s="247">
        <f ca="1">IFERROR(__xludf.DUMMYFUNCTION("IMPORTRANGE(""https://docs.google.com/spreadsheets/d/1MeEWN-I1oV_STSDYn1IFDPWt_1FKiwhDph83XaGc0o0/edit?usp=sharing"",""งบพรบ!CL26"")"),54265)</f>
        <v>54265</v>
      </c>
      <c r="M26" s="250">
        <f t="shared" ca="1" si="5"/>
        <v>246.04398095669916</v>
      </c>
      <c r="N26" s="250">
        <f t="shared" ca="1" si="6"/>
        <v>99.177556428767247</v>
      </c>
      <c r="O26" s="251">
        <f ca="1">IFERROR(__xludf.DUMMYFUNCTION("IMPORTRANGE(""https://docs.google.com/spreadsheets/d/1MeEWN-I1oV_STSDYn1IFDPWt_1FKiwhDph83XaGc0o0/edit?usp=sharing"",""งบพรบ!CC26"")"),0)</f>
        <v>0</v>
      </c>
      <c r="P26" s="251">
        <f t="shared" ca="1" si="22"/>
        <v>0</v>
      </c>
      <c r="Q26" s="250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IFERROR(__xludf.DUMMYFUNCTION("IMPORTRANGE(""https://docs.google.com/spreadsheets/d/1p7ERhsr0qZeSn-KSOdeHS9r0heI-lHtkcn2OH7hP0jQ/edit?usp=sharing"",""ลำปาง!I176"")"),11)</f>
        <v>11</v>
      </c>
      <c r="S26" s="248">
        <f ca="1">IFERROR(__xludf.DUMMYFUNCTION("IMPORTRANGE(""https://docs.google.com/spreadsheets/d/1p7ERhsr0qZeSn-KSOdeHS9r0heI-lHtkcn2OH7hP0jQ/edit?usp=sharing"",""ลำปาง!J176"")"),11)</f>
        <v>11</v>
      </c>
      <c r="T26" s="252">
        <f t="shared" ca="1" si="19"/>
        <v>100</v>
      </c>
      <c r="U26" s="286"/>
      <c r="V26" s="286"/>
      <c r="W26" s="252"/>
      <c r="X26" s="199"/>
      <c r="Y26" s="199"/>
      <c r="Z26" s="199"/>
    </row>
    <row r="27" spans="1:26" ht="24" customHeight="1" x14ac:dyDescent="0.3">
      <c r="A27" s="243">
        <v>14</v>
      </c>
      <c r="B27" s="244" t="s">
        <v>49</v>
      </c>
      <c r="C27" s="245">
        <f t="shared" ca="1" si="0"/>
        <v>21050</v>
      </c>
      <c r="D27" s="246">
        <f t="shared" ca="1" si="25"/>
        <v>21050</v>
      </c>
      <c r="E27" s="247">
        <f ca="1">IFERROR(__xludf.DUMMYFUNCTION("IMPORTRANGE(""https://docs.google.com/spreadsheets/d/1MeEWN-I1oV_STSDYn1IFDPWt_1FKiwhDph83XaGc0o0/edit?usp=sharing"",""งบพรบ!CF27"")"),0)</f>
        <v>0</v>
      </c>
      <c r="F27" s="247">
        <f ca="1">IFERROR(__xludf.DUMMYFUNCTION("IMPORTRANGE(""https://docs.google.com/spreadsheets/d/1MeEWN-I1oV_STSDYn1IFDPWt_1FKiwhDph83XaGc0o0/edit?usp=sharing"",""งบพรบ!CG27"")"),21050)</f>
        <v>21050</v>
      </c>
      <c r="G27" s="247">
        <f ca="1">IFERROR(__xludf.DUMMYFUNCTION("IMPORTRANGE(""https://docs.google.com/spreadsheets/d/1MeEWN-I1oV_STSDYn1IFDPWt_1FKiwhDph83XaGc0o0/edit?usp=sharing"",""งบพรบ!CH27"")"),0)</f>
        <v>0</v>
      </c>
      <c r="H27" s="247">
        <f ca="1">IFERROR(__xludf.DUMMYFUNCTION("IMPORTRANGE(""https://docs.google.com/spreadsheets/d/1MeEWN-I1oV_STSDYn1IFDPWt_1FKiwhDph83XaGc0o0/edit?usp=sharing"",""งบพรบ!CJ27"")"),53770)</f>
        <v>53770</v>
      </c>
      <c r="I27" s="247">
        <f ca="1">IFERROR(__xludf.DUMMYFUNCTION("IMPORTRANGE(""https://docs.google.com/spreadsheets/d/1MeEWN-I1oV_STSDYn1IFDPWt_1FKiwhDph83XaGc0o0/edit?usp=sharing"",""งบพรบ!CK27"")"),0)</f>
        <v>0</v>
      </c>
      <c r="J27" s="247">
        <f t="shared" ca="1" si="3"/>
        <v>51970</v>
      </c>
      <c r="K27" s="253">
        <f t="shared" ca="1" si="4"/>
        <v>246.88836104513064</v>
      </c>
      <c r="L27" s="247">
        <f ca="1">IFERROR(__xludf.DUMMYFUNCTION("IMPORTRANGE(""https://docs.google.com/spreadsheets/d/1MeEWN-I1oV_STSDYn1IFDPWt_1FKiwhDph83XaGc0o0/edit?usp=sharing"",""งบพรบ!CL27"")"),51970)</f>
        <v>51970</v>
      </c>
      <c r="M27" s="250">
        <f t="shared" ca="1" si="5"/>
        <v>246.88836104513064</v>
      </c>
      <c r="N27" s="250">
        <f t="shared" ca="1" si="6"/>
        <v>96.652408406174445</v>
      </c>
      <c r="O27" s="251">
        <f ca="1">IFERROR(__xludf.DUMMYFUNCTION("IMPORTRANGE(""https://docs.google.com/spreadsheets/d/1MeEWN-I1oV_STSDYn1IFDPWt_1FKiwhDph83XaGc0o0/edit?usp=sharing"",""งบพรบ!CC27"")"),0)</f>
        <v>0</v>
      </c>
      <c r="P27" s="251">
        <f t="shared" ca="1" si="22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IFERROR(__xludf.DUMMYFUNCTION("IMPORTRANGE(""https://docs.google.com/spreadsheets/d/1-uUXvimVhiU2U0bMN-xi2te0tS4X7DI2GLPnMjzl8cA/edit?usp=sharing"",""ลำพูน!I176"")"),10)</f>
        <v>10</v>
      </c>
      <c r="S27" s="248">
        <f ca="1">IFERROR(__xludf.DUMMYFUNCTION("IMPORTRANGE(""https://docs.google.com/spreadsheets/d/1-uUXvimVhiU2U0bMN-xi2te0tS4X7DI2GLPnMjzl8cA/edit?usp=sharing"",""ลำพูน!J176"")"),10)</f>
        <v>10</v>
      </c>
      <c r="T27" s="252">
        <f t="shared" ca="1" si="19"/>
        <v>100</v>
      </c>
      <c r="U27" s="286"/>
      <c r="V27" s="286"/>
      <c r="W27" s="252"/>
      <c r="X27" s="199"/>
      <c r="Y27" s="199"/>
      <c r="Z27" s="199"/>
    </row>
    <row r="28" spans="1:26" ht="24" customHeight="1" x14ac:dyDescent="0.3">
      <c r="A28" s="243">
        <v>15</v>
      </c>
      <c r="B28" s="244" t="s">
        <v>50</v>
      </c>
      <c r="C28" s="245">
        <f t="shared" ca="1" si="0"/>
        <v>22055</v>
      </c>
      <c r="D28" s="246">
        <f t="shared" ca="1" si="25"/>
        <v>22055</v>
      </c>
      <c r="E28" s="247">
        <f ca="1">IFERROR(__xludf.DUMMYFUNCTION("IMPORTRANGE(""https://docs.google.com/spreadsheets/d/1MeEWN-I1oV_STSDYn1IFDPWt_1FKiwhDph83XaGc0o0/edit?usp=sharing"",""งบพรบ!CF28"")"),0)</f>
        <v>0</v>
      </c>
      <c r="F28" s="247">
        <f ca="1">IFERROR(__xludf.DUMMYFUNCTION("IMPORTRANGE(""https://docs.google.com/spreadsheets/d/1MeEWN-I1oV_STSDYn1IFDPWt_1FKiwhDph83XaGc0o0/edit?usp=sharing"",""งบพรบ!CG28"")"),22055)</f>
        <v>22055</v>
      </c>
      <c r="G28" s="247">
        <f ca="1">IFERROR(__xludf.DUMMYFUNCTION("IMPORTRANGE(""https://docs.google.com/spreadsheets/d/1MeEWN-I1oV_STSDYn1IFDPWt_1FKiwhDph83XaGc0o0/edit?usp=sharing"",""งบพรบ!CH28"")"),0)</f>
        <v>0</v>
      </c>
      <c r="H28" s="247">
        <f ca="1">IFERROR(__xludf.DUMMYFUNCTION("IMPORTRANGE(""https://docs.google.com/spreadsheets/d/1MeEWN-I1oV_STSDYn1IFDPWt_1FKiwhDph83XaGc0o0/edit?usp=sharing"",""งบพรบ!CJ28"")"),43795)</f>
        <v>43795</v>
      </c>
      <c r="I28" s="247">
        <f ca="1">IFERROR(__xludf.DUMMYFUNCTION("IMPORTRANGE(""https://docs.google.com/spreadsheets/d/1MeEWN-I1oV_STSDYn1IFDPWt_1FKiwhDph83XaGc0o0/edit?usp=sharing"",""งบพรบ!CK28"")"),0)</f>
        <v>0</v>
      </c>
      <c r="J28" s="247">
        <f t="shared" ca="1" si="3"/>
        <v>40695</v>
      </c>
      <c r="K28" s="253">
        <f t="shared" ca="1" si="4"/>
        <v>184.51598277034685</v>
      </c>
      <c r="L28" s="247">
        <f ca="1">IFERROR(__xludf.DUMMYFUNCTION("IMPORTRANGE(""https://docs.google.com/spreadsheets/d/1MeEWN-I1oV_STSDYn1IFDPWt_1FKiwhDph83XaGc0o0/edit?usp=sharing"",""งบพรบ!CL28"")"),40695)</f>
        <v>40695</v>
      </c>
      <c r="M28" s="250">
        <f t="shared" ca="1" si="5"/>
        <v>184.51598277034685</v>
      </c>
      <c r="N28" s="250">
        <f t="shared" ca="1" si="6"/>
        <v>92.921566388857173</v>
      </c>
      <c r="O28" s="251">
        <f ca="1">IFERROR(__xludf.DUMMYFUNCTION("IMPORTRANGE(""https://docs.google.com/spreadsheets/d/1MeEWN-I1oV_STSDYn1IFDPWt_1FKiwhDph83XaGc0o0/edit?usp=sharing"",""งบพรบ!CC28"")"),0)</f>
        <v>0</v>
      </c>
      <c r="P28" s="251">
        <f t="shared" ca="1" si="22"/>
        <v>0</v>
      </c>
      <c r="Q28" s="250">
        <f t="shared" ca="1" si="8"/>
        <v>0</v>
      </c>
      <c r="R28" s="248">
        <f ca="1">IFERROR(__xludf.DUMMYFUNCTION("IMPORTRANGE(""https://docs.google.com/spreadsheets/d/17HrOaa5pBUI1onckFfumXB8xlg35qb2uBAFfF1D-Myo/edit?usp=sharing"",""สุโขทัย!I176"")"),11)</f>
        <v>11</v>
      </c>
      <c r="S28" s="248">
        <f ca="1">IFERROR(__xludf.DUMMYFUNCTION("IMPORTRANGE(""https://docs.google.com/spreadsheets/d/17HrOaa5pBUI1onckFfumXB8xlg35qb2uBAFfF1D-Myo/edit?usp=sharing"",""สุโขทัย!J176"")"),11)</f>
        <v>11</v>
      </c>
      <c r="T28" s="252">
        <f t="shared" ca="1" si="19"/>
        <v>100</v>
      </c>
      <c r="U28" s="286"/>
      <c r="V28" s="286"/>
      <c r="W28" s="252"/>
      <c r="X28" s="199"/>
      <c r="Y28" s="199"/>
      <c r="Z28" s="199"/>
    </row>
    <row r="29" spans="1:26" ht="24" customHeight="1" x14ac:dyDescent="0.3">
      <c r="A29" s="243">
        <v>16</v>
      </c>
      <c r="B29" s="244" t="s">
        <v>51</v>
      </c>
      <c r="C29" s="245">
        <f t="shared" ca="1" si="0"/>
        <v>22055</v>
      </c>
      <c r="D29" s="246">
        <f t="shared" ca="1" si="25"/>
        <v>22055</v>
      </c>
      <c r="E29" s="247">
        <f ca="1">IFERROR(__xludf.DUMMYFUNCTION("IMPORTRANGE(""https://docs.google.com/spreadsheets/d/1MeEWN-I1oV_STSDYn1IFDPWt_1FKiwhDph83XaGc0o0/edit?usp=sharing"",""งบพรบ!CF29"")"),0)</f>
        <v>0</v>
      </c>
      <c r="F29" s="247">
        <f ca="1">IFERROR(__xludf.DUMMYFUNCTION("IMPORTRANGE(""https://docs.google.com/spreadsheets/d/1MeEWN-I1oV_STSDYn1IFDPWt_1FKiwhDph83XaGc0o0/edit?usp=sharing"",""งบพรบ!CG29"")"),22055)</f>
        <v>22055</v>
      </c>
      <c r="G29" s="247">
        <f ca="1">IFERROR(__xludf.DUMMYFUNCTION("IMPORTRANGE(""https://docs.google.com/spreadsheets/d/1MeEWN-I1oV_STSDYn1IFDPWt_1FKiwhDph83XaGc0o0/edit?usp=sharing"",""งบพรบ!CH29"")"),0)</f>
        <v>0</v>
      </c>
      <c r="H29" s="247">
        <f ca="1">IFERROR(__xludf.DUMMYFUNCTION("IMPORTRANGE(""https://docs.google.com/spreadsheets/d/1MeEWN-I1oV_STSDYn1IFDPWt_1FKiwhDph83XaGc0o0/edit?usp=sharing"",""งบพรบ!CJ29"")"),44515)</f>
        <v>44515</v>
      </c>
      <c r="I29" s="247">
        <f ca="1">IFERROR(__xludf.DUMMYFUNCTION("IMPORTRANGE(""https://docs.google.com/spreadsheets/d/1MeEWN-I1oV_STSDYn1IFDPWt_1FKiwhDph83XaGc0o0/edit?usp=sharing"",""งบพรบ!CK29"")"),0)</f>
        <v>0</v>
      </c>
      <c r="J29" s="247">
        <f t="shared" ca="1" si="3"/>
        <v>41115</v>
      </c>
      <c r="K29" s="253">
        <f t="shared" ca="1" si="4"/>
        <v>186.42031285422806</v>
      </c>
      <c r="L29" s="247">
        <f ca="1">IFERROR(__xludf.DUMMYFUNCTION("IMPORTRANGE(""https://docs.google.com/spreadsheets/d/1MeEWN-I1oV_STSDYn1IFDPWt_1FKiwhDph83XaGc0o0/edit?usp=sharing"",""งบพรบ!CL29"")"),41115)</f>
        <v>41115</v>
      </c>
      <c r="M29" s="250">
        <f t="shared" ca="1" si="5"/>
        <v>186.42031285422806</v>
      </c>
      <c r="N29" s="250">
        <f t="shared" ca="1" si="6"/>
        <v>92.362125126361903</v>
      </c>
      <c r="O29" s="251">
        <f ca="1">IFERROR(__xludf.DUMMYFUNCTION("IMPORTRANGE(""https://docs.google.com/spreadsheets/d/1MeEWN-I1oV_STSDYn1IFDPWt_1FKiwhDph83XaGc0o0/edit?usp=sharing"",""งบพรบ!CC29"")"),0)</f>
        <v>0</v>
      </c>
      <c r="P29" s="251">
        <f t="shared" ca="1" si="22"/>
        <v>0</v>
      </c>
      <c r="Q29" s="250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IFERROR(__xludf.DUMMYFUNCTION("IMPORTRANGE(""https://docs.google.com/spreadsheets/d/1ubs5cl16eYL9gHbdHTJtmtYb9MGzHBs7CAphn8kNCgM/edit?usp=sharing"",""อุตรดิตถ์!I176"")"),11)</f>
        <v>11</v>
      </c>
      <c r="S29" s="248">
        <f ca="1">IFERROR(__xludf.DUMMYFUNCTION("IMPORTRANGE(""https://docs.google.com/spreadsheets/d/1ubs5cl16eYL9gHbdHTJtmtYb9MGzHBs7CAphn8kNCgM/edit?usp=sharing"",""อุตรดิตถ์!J176"")"),11)</f>
        <v>11</v>
      </c>
      <c r="T29" s="252">
        <f t="shared" ca="1" si="19"/>
        <v>100</v>
      </c>
      <c r="U29" s="286"/>
      <c r="V29" s="286"/>
      <c r="W29" s="252"/>
      <c r="X29" s="199"/>
      <c r="Y29" s="199"/>
      <c r="Z29" s="199"/>
    </row>
    <row r="30" spans="1:26" ht="24" customHeight="1" x14ac:dyDescent="0.3">
      <c r="A30" s="254">
        <v>17</v>
      </c>
      <c r="B30" s="255" t="s">
        <v>52</v>
      </c>
      <c r="C30" s="256">
        <f t="shared" ca="1" si="0"/>
        <v>21050</v>
      </c>
      <c r="D30" s="257">
        <f t="shared" ca="1" si="25"/>
        <v>21050</v>
      </c>
      <c r="E30" s="258">
        <f ca="1">IFERROR(__xludf.DUMMYFUNCTION("IMPORTRANGE(""https://docs.google.com/spreadsheets/d/1MeEWN-I1oV_STSDYn1IFDPWt_1FKiwhDph83XaGc0o0/edit?usp=sharing"",""งบพรบ!CF30"")"),0)</f>
        <v>0</v>
      </c>
      <c r="F30" s="258">
        <f ca="1">IFERROR(__xludf.DUMMYFUNCTION("IMPORTRANGE(""https://docs.google.com/spreadsheets/d/1MeEWN-I1oV_STSDYn1IFDPWt_1FKiwhDph83XaGc0o0/edit?usp=sharing"",""งบพรบ!CG30"")"),21050)</f>
        <v>21050</v>
      </c>
      <c r="G30" s="258">
        <f ca="1">IFERROR(__xludf.DUMMYFUNCTION("IMPORTRANGE(""https://docs.google.com/spreadsheets/d/1MeEWN-I1oV_STSDYn1IFDPWt_1FKiwhDph83XaGc0o0/edit?usp=sharing"",""งบพรบ!CH30"")"),0)</f>
        <v>0</v>
      </c>
      <c r="H30" s="258">
        <f ca="1">IFERROR(__xludf.DUMMYFUNCTION("IMPORTRANGE(""https://docs.google.com/spreadsheets/d/1MeEWN-I1oV_STSDYn1IFDPWt_1FKiwhDph83XaGc0o0/edit?usp=sharing"",""งบพรบ!CJ30"")"),44120)</f>
        <v>44120</v>
      </c>
      <c r="I30" s="258">
        <f ca="1">IFERROR(__xludf.DUMMYFUNCTION("IMPORTRANGE(""https://docs.google.com/spreadsheets/d/1MeEWN-I1oV_STSDYn1IFDPWt_1FKiwhDph83XaGc0o0/edit?usp=sharing"",""งบพรบ!CK30"")"),0)</f>
        <v>0</v>
      </c>
      <c r="J30" s="258">
        <f t="shared" ca="1" si="3"/>
        <v>31820</v>
      </c>
      <c r="K30" s="259">
        <f t="shared" ca="1" si="4"/>
        <v>151.16389548693587</v>
      </c>
      <c r="L30" s="258">
        <f ca="1">IFERROR(__xludf.DUMMYFUNCTION("IMPORTRANGE(""https://docs.google.com/spreadsheets/d/1MeEWN-I1oV_STSDYn1IFDPWt_1FKiwhDph83XaGc0o0/edit?usp=sharing"",""งบพรบ!CL30"")"),31820)</f>
        <v>31820</v>
      </c>
      <c r="M30" s="260">
        <f t="shared" ca="1" si="5"/>
        <v>151.16389548693587</v>
      </c>
      <c r="N30" s="260">
        <f t="shared" ca="1" si="6"/>
        <v>72.121486854034458</v>
      </c>
      <c r="O30" s="261">
        <f ca="1">IFERROR(__xludf.DUMMYFUNCTION("IMPORTRANGE(""https://docs.google.com/spreadsheets/d/1MeEWN-I1oV_STSDYn1IFDPWt_1FKiwhDph83XaGc0o0/edit?usp=sharing"",""งบพรบ!CC30"")"),0)</f>
        <v>0</v>
      </c>
      <c r="P30" s="261">
        <f t="shared" ca="1" si="22"/>
        <v>0</v>
      </c>
      <c r="Q30" s="260">
        <f t="shared" ca="1" si="8"/>
        <v>0</v>
      </c>
      <c r="R30" s="287">
        <f ca="1">IFERROR(__xludf.DUMMYFUNCTION("IMPORTRANGE(""https://docs.google.com/spreadsheets/d/1kII0BjS6CtVrBvI8IrytgPdxDrlyQDyigzMsohRtDMs/edit?usp=sharing"",""อุทัยธานี!I176"")"),10)</f>
        <v>10</v>
      </c>
      <c r="S30" s="287">
        <f ca="1">IFERROR(__xludf.DUMMYFUNCTION("IMPORTRANGE(""https://docs.google.com/spreadsheets/d/1kII0BjS6CtVrBvI8IrytgPdxDrlyQDyigzMsohRtDMs/edit?usp=sharing"",""อุทัยธานี!J176"")"),10)</f>
        <v>10</v>
      </c>
      <c r="T30" s="263">
        <f t="shared" ca="1" si="19"/>
        <v>100</v>
      </c>
      <c r="U30" s="288"/>
      <c r="V30" s="288"/>
      <c r="W30" s="263"/>
      <c r="X30" s="199"/>
      <c r="Y30" s="199"/>
      <c r="Z30" s="199"/>
    </row>
    <row r="31" spans="1:26" ht="21" customHeight="1" x14ac:dyDescent="0.3">
      <c r="A31" s="442" t="s">
        <v>53</v>
      </c>
      <c r="B31" s="414"/>
      <c r="C31" s="224">
        <f t="shared" ca="1" si="0"/>
        <v>422060</v>
      </c>
      <c r="D31" s="224">
        <f t="shared" ref="D31:I31" ca="1" si="26">SUM(D32:D51)</f>
        <v>422060</v>
      </c>
      <c r="E31" s="224">
        <f t="shared" ca="1" si="26"/>
        <v>0</v>
      </c>
      <c r="F31" s="224">
        <f t="shared" ca="1" si="26"/>
        <v>422060</v>
      </c>
      <c r="G31" s="224">
        <f t="shared" ca="1" si="26"/>
        <v>0</v>
      </c>
      <c r="H31" s="224">
        <f t="shared" ca="1" si="26"/>
        <v>799030</v>
      </c>
      <c r="I31" s="224">
        <f t="shared" ca="1" si="26"/>
        <v>0</v>
      </c>
      <c r="J31" s="224">
        <f t="shared" ca="1" si="3"/>
        <v>711395</v>
      </c>
      <c r="K31" s="225">
        <f t="shared" ca="1" si="4"/>
        <v>168.55304932947922</v>
      </c>
      <c r="L31" s="224">
        <f ca="1">SUM(L32:L51)</f>
        <v>711395</v>
      </c>
      <c r="M31" s="226">
        <f t="shared" ca="1" si="5"/>
        <v>168.55304932947922</v>
      </c>
      <c r="N31" s="226">
        <f t="shared" ca="1" si="6"/>
        <v>89.032326696119043</v>
      </c>
      <c r="O31" s="227">
        <f ca="1">SUM(O32:O51)</f>
        <v>0</v>
      </c>
      <c r="P31" s="227">
        <f t="shared" ca="1" si="22"/>
        <v>0</v>
      </c>
      <c r="Q31" s="226">
        <f t="shared" ca="1" si="8"/>
        <v>0</v>
      </c>
      <c r="R31" s="224">
        <f t="shared" ref="R31:S31" ca="1" si="27">SUM(R32:R51)</f>
        <v>212</v>
      </c>
      <c r="S31" s="224">
        <f t="shared" ca="1" si="27"/>
        <v>212</v>
      </c>
      <c r="T31" s="226">
        <f t="shared" ca="1" si="19"/>
        <v>100</v>
      </c>
      <c r="U31" s="224">
        <f t="shared" ref="U31:V31" si="28">SUM(U32:U51)</f>
        <v>0</v>
      </c>
      <c r="V31" s="224">
        <f t="shared" si="28"/>
        <v>0</v>
      </c>
      <c r="W31" s="226">
        <f>IF(U31&gt;0,V31*100/U31,0)</f>
        <v>0</v>
      </c>
      <c r="X31" s="199"/>
      <c r="Y31" s="199"/>
      <c r="Z31" s="199"/>
    </row>
    <row r="32" spans="1:26" ht="21" customHeight="1" x14ac:dyDescent="0.3">
      <c r="A32" s="243">
        <v>1</v>
      </c>
      <c r="B32" s="244" t="s">
        <v>54</v>
      </c>
      <c r="C32" s="245">
        <f t="shared" ca="1" si="0"/>
        <v>23060</v>
      </c>
      <c r="D32" s="246">
        <f t="shared" ref="D32:D51" ca="1" si="29">+E32+F32</f>
        <v>23060</v>
      </c>
      <c r="E32" s="247">
        <f ca="1">IFERROR(__xludf.DUMMYFUNCTION("IMPORTRANGE(""https://docs.google.com/spreadsheets/d/1MeEWN-I1oV_STSDYn1IFDPWt_1FKiwhDph83XaGc0o0/edit?usp=sharing"",""งบพรบ!CF32"")"),0)</f>
        <v>0</v>
      </c>
      <c r="F32" s="247">
        <f ca="1">IFERROR(__xludf.DUMMYFUNCTION("IMPORTRANGE(""https://docs.google.com/spreadsheets/d/1MeEWN-I1oV_STSDYn1IFDPWt_1FKiwhDph83XaGc0o0/edit?usp=sharing"",""งบพรบ!CG32"")"),23060)</f>
        <v>23060</v>
      </c>
      <c r="G32" s="248">
        <f ca="1">IFERROR(__xludf.DUMMYFUNCTION("IMPORTRANGE(""https://docs.google.com/spreadsheets/d/1MeEWN-I1oV_STSDYn1IFDPWt_1FKiwhDph83XaGc0o0/edit?usp=sharing"",""งบพรบ!CH32"")"),0)</f>
        <v>0</v>
      </c>
      <c r="H32" s="248">
        <f ca="1">IFERROR(__xludf.DUMMYFUNCTION("IMPORTRANGE(""https://docs.google.com/spreadsheets/d/1MeEWN-I1oV_STSDYn1IFDPWt_1FKiwhDph83XaGc0o0/edit?usp=sharing"",""งบพรบ!CJ32"")"),51800)</f>
        <v>51800</v>
      </c>
      <c r="I32" s="248">
        <f ca="1">IFERROR(__xludf.DUMMYFUNCTION("IMPORTRANGE(""https://docs.google.com/spreadsheets/d/1MeEWN-I1oV_STSDYn1IFDPWt_1FKiwhDph83XaGc0o0/edit?usp=sharing"",""งบพรบ!CK32"")"),0)</f>
        <v>0</v>
      </c>
      <c r="J32" s="248">
        <f t="shared" ca="1" si="3"/>
        <v>51800</v>
      </c>
      <c r="K32" s="249">
        <f t="shared" ca="1" si="4"/>
        <v>224.6313963573287</v>
      </c>
      <c r="L32" s="248">
        <f ca="1">IFERROR(__xludf.DUMMYFUNCTION("IMPORTRANGE(""https://docs.google.com/spreadsheets/d/1MeEWN-I1oV_STSDYn1IFDPWt_1FKiwhDph83XaGc0o0/edit?usp=sharing"",""งบพรบ!CL32"")"),51800)</f>
        <v>51800</v>
      </c>
      <c r="M32" s="250">
        <f t="shared" ca="1" si="5"/>
        <v>224.6313963573287</v>
      </c>
      <c r="N32" s="250">
        <f t="shared" ca="1" si="6"/>
        <v>100</v>
      </c>
      <c r="O32" s="251">
        <f ca="1">IFERROR(__xludf.DUMMYFUNCTION("IMPORTRANGE(""https://docs.google.com/spreadsheets/d/1MeEWN-I1oV_STSDYn1IFDPWt_1FKiwhDph83XaGc0o0/edit?usp=sharing"",""งบพรบ!CC32"")"),0)</f>
        <v>0</v>
      </c>
      <c r="P32" s="251">
        <f t="shared" ca="1" si="22"/>
        <v>0</v>
      </c>
      <c r="Q32" s="250">
        <f t="shared" ca="1" si="8"/>
        <v>0</v>
      </c>
      <c r="R32" s="248">
        <f ca="1">IFERROR(__xludf.DUMMYFUNCTION("IMPORTRANGE(""https://docs.google.com/spreadsheets/d/1fb2B9NLcpJgjIieIJvenUTNPn0TimZDUi0OtYeiSQ_s/edit?usp=sharing"",""กาฬสินธุ์!I176"")"),12)</f>
        <v>12</v>
      </c>
      <c r="S32" s="248">
        <f ca="1">IFERROR(__xludf.DUMMYFUNCTION("IMPORTRANGE(""https://docs.google.com/spreadsheets/d/1fb2B9NLcpJgjIieIJvenUTNPn0TimZDUi0OtYeiSQ_s/edit?usp=sharing"",""กาฬสินธุ์!J176"")"),12)</f>
        <v>12</v>
      </c>
      <c r="T32" s="252">
        <f t="shared" ca="1" si="19"/>
        <v>100</v>
      </c>
      <c r="U32" s="286"/>
      <c r="V32" s="286"/>
      <c r="W32" s="252"/>
      <c r="X32" s="199"/>
      <c r="Y32" s="199"/>
      <c r="Z32" s="199"/>
    </row>
    <row r="33" spans="1:26" ht="21" customHeight="1" x14ac:dyDescent="0.3">
      <c r="A33" s="243">
        <v>2</v>
      </c>
      <c r="B33" s="244" t="s">
        <v>55</v>
      </c>
      <c r="C33" s="245">
        <f t="shared" ca="1" si="0"/>
        <v>21050</v>
      </c>
      <c r="D33" s="246">
        <f t="shared" ca="1" si="29"/>
        <v>21050</v>
      </c>
      <c r="E33" s="247">
        <f ca="1">IFERROR(__xludf.DUMMYFUNCTION("IMPORTRANGE(""https://docs.google.com/spreadsheets/d/1MeEWN-I1oV_STSDYn1IFDPWt_1FKiwhDph83XaGc0o0/edit?usp=sharing"",""งบพรบ!CF33"")"),0)</f>
        <v>0</v>
      </c>
      <c r="F33" s="247">
        <f ca="1">IFERROR(__xludf.DUMMYFUNCTION("IMPORTRANGE(""https://docs.google.com/spreadsheets/d/1MeEWN-I1oV_STSDYn1IFDPWt_1FKiwhDph83XaGc0o0/edit?usp=sharing"",""งบพรบ!CG33"")"),21050)</f>
        <v>21050</v>
      </c>
      <c r="G33" s="247">
        <f ca="1">IFERROR(__xludf.DUMMYFUNCTION("IMPORTRANGE(""https://docs.google.com/spreadsheets/d/1MeEWN-I1oV_STSDYn1IFDPWt_1FKiwhDph83XaGc0o0/edit?usp=sharing"",""งบพรบ!CH33"")"),0)</f>
        <v>0</v>
      </c>
      <c r="H33" s="247">
        <f ca="1">IFERROR(__xludf.DUMMYFUNCTION("IMPORTRANGE(""https://docs.google.com/spreadsheets/d/1MeEWN-I1oV_STSDYn1IFDPWt_1FKiwhDph83XaGc0o0/edit?usp=sharing"",""งบพรบ!CJ33"")"),33950)</f>
        <v>33950</v>
      </c>
      <c r="I33" s="247">
        <f ca="1">IFERROR(__xludf.DUMMYFUNCTION("IMPORTRANGE(""https://docs.google.com/spreadsheets/d/1MeEWN-I1oV_STSDYn1IFDPWt_1FKiwhDph83XaGc0o0/edit?usp=sharing"",""งบพรบ!CK33"")"),0)</f>
        <v>0</v>
      </c>
      <c r="J33" s="247">
        <f t="shared" ca="1" si="3"/>
        <v>33480</v>
      </c>
      <c r="K33" s="253">
        <f t="shared" ca="1" si="4"/>
        <v>159.0498812351544</v>
      </c>
      <c r="L33" s="247">
        <f ca="1">IFERROR(__xludf.DUMMYFUNCTION("IMPORTRANGE(""https://docs.google.com/spreadsheets/d/1MeEWN-I1oV_STSDYn1IFDPWt_1FKiwhDph83XaGc0o0/edit?usp=sharing"",""งบพรบ!CL33"")"),33480)</f>
        <v>33480</v>
      </c>
      <c r="M33" s="250">
        <f t="shared" ca="1" si="5"/>
        <v>159.0498812351544</v>
      </c>
      <c r="N33" s="250">
        <f t="shared" ca="1" si="6"/>
        <v>98.615611192930785</v>
      </c>
      <c r="O33" s="251">
        <f ca="1">IFERROR(__xludf.DUMMYFUNCTION("IMPORTRANGE(""https://docs.google.com/spreadsheets/d/1MeEWN-I1oV_STSDYn1IFDPWt_1FKiwhDph83XaGc0o0/edit?usp=sharing"",""งบพรบ!CC33"")"),0)</f>
        <v>0</v>
      </c>
      <c r="P33" s="251">
        <f t="shared" ca="1" si="22"/>
        <v>0</v>
      </c>
      <c r="Q33" s="250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IFERROR(__xludf.DUMMYFUNCTION("IMPORTRANGE(""https://docs.google.com/spreadsheets/d/1SaMnqrwRGmFYNR0MhpWmHuL5niYUd5E7vDq8X7whAlI/edit?usp=sharing"",""ขอนแก่น!I176"")"),10)</f>
        <v>10</v>
      </c>
      <c r="S33" s="248">
        <f ca="1">IFERROR(__xludf.DUMMYFUNCTION("IMPORTRANGE(""https://docs.google.com/spreadsheets/d/1SaMnqrwRGmFYNR0MhpWmHuL5niYUd5E7vDq8X7whAlI/edit?usp=sharing"",""ขอนแก่น!J176"")"),10)</f>
        <v>10</v>
      </c>
      <c r="T33" s="252">
        <f t="shared" ca="1" si="19"/>
        <v>100</v>
      </c>
      <c r="U33" s="286"/>
      <c r="V33" s="286"/>
      <c r="W33" s="252"/>
      <c r="X33" s="199"/>
      <c r="Y33" s="199"/>
      <c r="Z33" s="199"/>
    </row>
    <row r="34" spans="1:26" ht="21" customHeight="1" x14ac:dyDescent="0.3">
      <c r="A34" s="243">
        <v>3</v>
      </c>
      <c r="B34" s="244" t="s">
        <v>56</v>
      </c>
      <c r="C34" s="245">
        <f t="shared" ca="1" si="0"/>
        <v>21050</v>
      </c>
      <c r="D34" s="246">
        <f t="shared" ca="1" si="29"/>
        <v>21050</v>
      </c>
      <c r="E34" s="247">
        <f ca="1">IFERROR(__xludf.DUMMYFUNCTION("IMPORTRANGE(""https://docs.google.com/spreadsheets/d/1MeEWN-I1oV_STSDYn1IFDPWt_1FKiwhDph83XaGc0o0/edit?usp=sharing"",""งบพรบ!CF34"")"),0)</f>
        <v>0</v>
      </c>
      <c r="F34" s="247">
        <f ca="1">IFERROR(__xludf.DUMMYFUNCTION("IMPORTRANGE(""https://docs.google.com/spreadsheets/d/1MeEWN-I1oV_STSDYn1IFDPWt_1FKiwhDph83XaGc0o0/edit?usp=sharing"",""งบพรบ!CG34"")"),21050)</f>
        <v>21050</v>
      </c>
      <c r="G34" s="247">
        <f ca="1">IFERROR(__xludf.DUMMYFUNCTION("IMPORTRANGE(""https://docs.google.com/spreadsheets/d/1MeEWN-I1oV_STSDYn1IFDPWt_1FKiwhDph83XaGc0o0/edit?usp=sharing"",""งบพรบ!CH34"")"),0)</f>
        <v>0</v>
      </c>
      <c r="H34" s="247">
        <f ca="1">IFERROR(__xludf.DUMMYFUNCTION("IMPORTRANGE(""https://docs.google.com/spreadsheets/d/1MeEWN-I1oV_STSDYn1IFDPWt_1FKiwhDph83XaGc0o0/edit?usp=sharing"",""งบพรบ!CJ34"")"),45320)</f>
        <v>45320</v>
      </c>
      <c r="I34" s="247">
        <f ca="1">IFERROR(__xludf.DUMMYFUNCTION("IMPORTRANGE(""https://docs.google.com/spreadsheets/d/1MeEWN-I1oV_STSDYn1IFDPWt_1FKiwhDph83XaGc0o0/edit?usp=sharing"",""งบพรบ!CK34"")"),0)</f>
        <v>0</v>
      </c>
      <c r="J34" s="247">
        <f t="shared" ca="1" si="3"/>
        <v>44340</v>
      </c>
      <c r="K34" s="253">
        <f t="shared" ca="1" si="4"/>
        <v>210.64133016627079</v>
      </c>
      <c r="L34" s="247">
        <f ca="1">IFERROR(__xludf.DUMMYFUNCTION("IMPORTRANGE(""https://docs.google.com/spreadsheets/d/1MeEWN-I1oV_STSDYn1IFDPWt_1FKiwhDph83XaGc0o0/edit?usp=sharing"",""งบพรบ!CL34"")"),44340)</f>
        <v>44340</v>
      </c>
      <c r="M34" s="250">
        <f t="shared" ca="1" si="5"/>
        <v>210.64133016627079</v>
      </c>
      <c r="N34" s="250">
        <f t="shared" ca="1" si="6"/>
        <v>97.837599293909975</v>
      </c>
      <c r="O34" s="251">
        <f ca="1">IFERROR(__xludf.DUMMYFUNCTION("IMPORTRANGE(""https://docs.google.com/spreadsheets/d/1MeEWN-I1oV_STSDYn1IFDPWt_1FKiwhDph83XaGc0o0/edit?usp=sharing"",""งบพรบ!CC34"")"),0)</f>
        <v>0</v>
      </c>
      <c r="P34" s="251">
        <f t="shared" ca="1" si="22"/>
        <v>0</v>
      </c>
      <c r="Q34" s="250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IFERROR(__xludf.DUMMYFUNCTION("IMPORTRANGE(""https://docs.google.com/spreadsheets/d/1xQzEtGHhTTgxHh6YUkKY1P4dRyjVhS74dGswLfAASA4/edit?usp=sharing"",""ชัยภูมิ!I176"")"),10)</f>
        <v>10</v>
      </c>
      <c r="S34" s="248">
        <f ca="1">IFERROR(__xludf.DUMMYFUNCTION("IMPORTRANGE(""https://docs.google.com/spreadsheets/d/1xQzEtGHhTTgxHh6YUkKY1P4dRyjVhS74dGswLfAASA4/edit?usp=sharing"",""ชัยภูมิ!J176"")"),10)</f>
        <v>10</v>
      </c>
      <c r="T34" s="252">
        <f t="shared" ca="1" si="19"/>
        <v>100</v>
      </c>
      <c r="U34" s="286"/>
      <c r="V34" s="286"/>
      <c r="W34" s="252"/>
      <c r="X34" s="199"/>
      <c r="Y34" s="199"/>
      <c r="Z34" s="199"/>
    </row>
    <row r="35" spans="1:26" ht="21" customHeight="1" x14ac:dyDescent="0.3">
      <c r="A35" s="243">
        <v>4</v>
      </c>
      <c r="B35" s="244" t="s">
        <v>57</v>
      </c>
      <c r="C35" s="245">
        <f t="shared" ca="1" si="0"/>
        <v>22055</v>
      </c>
      <c r="D35" s="246">
        <f t="shared" ca="1" si="29"/>
        <v>22055</v>
      </c>
      <c r="E35" s="247">
        <f ca="1">IFERROR(__xludf.DUMMYFUNCTION("IMPORTRANGE(""https://docs.google.com/spreadsheets/d/1MeEWN-I1oV_STSDYn1IFDPWt_1FKiwhDph83XaGc0o0/edit?usp=sharing"",""งบพรบ!CF35"")"),0)</f>
        <v>0</v>
      </c>
      <c r="F35" s="247">
        <f ca="1">IFERROR(__xludf.DUMMYFUNCTION("IMPORTRANGE(""https://docs.google.com/spreadsheets/d/1MeEWN-I1oV_STSDYn1IFDPWt_1FKiwhDph83XaGc0o0/edit?usp=sharing"",""งบพรบ!CG35"")"),22055)</f>
        <v>22055</v>
      </c>
      <c r="G35" s="247">
        <f ca="1">IFERROR(__xludf.DUMMYFUNCTION("IMPORTRANGE(""https://docs.google.com/spreadsheets/d/1MeEWN-I1oV_STSDYn1IFDPWt_1FKiwhDph83XaGc0o0/edit?usp=sharing"",""งบพรบ!CH35"")"),0)</f>
        <v>0</v>
      </c>
      <c r="H35" s="247">
        <f ca="1">IFERROR(__xludf.DUMMYFUNCTION("IMPORTRANGE(""https://docs.google.com/spreadsheets/d/1MeEWN-I1oV_STSDYn1IFDPWt_1FKiwhDph83XaGc0o0/edit?usp=sharing"",""งบพรบ!CJ35"")"),38755)</f>
        <v>38755</v>
      </c>
      <c r="I35" s="247">
        <f ca="1">IFERROR(__xludf.DUMMYFUNCTION("IMPORTRANGE(""https://docs.google.com/spreadsheets/d/1MeEWN-I1oV_STSDYn1IFDPWt_1FKiwhDph83XaGc0o0/edit?usp=sharing"",""งบพรบ!CK35"")"),0)</f>
        <v>0</v>
      </c>
      <c r="J35" s="247">
        <f t="shared" ca="1" si="3"/>
        <v>38755</v>
      </c>
      <c r="K35" s="253">
        <f t="shared" ca="1" si="4"/>
        <v>175.71979143051462</v>
      </c>
      <c r="L35" s="247">
        <f ca="1">IFERROR(__xludf.DUMMYFUNCTION("IMPORTRANGE(""https://docs.google.com/spreadsheets/d/1MeEWN-I1oV_STSDYn1IFDPWt_1FKiwhDph83XaGc0o0/edit?usp=sharing"",""งบพรบ!CL35"")"),38755)</f>
        <v>38755</v>
      </c>
      <c r="M35" s="250">
        <f t="shared" ca="1" si="5"/>
        <v>175.71979143051462</v>
      </c>
      <c r="N35" s="250">
        <f t="shared" ca="1" si="6"/>
        <v>100</v>
      </c>
      <c r="O35" s="251">
        <f ca="1">IFERROR(__xludf.DUMMYFUNCTION("IMPORTRANGE(""https://docs.google.com/spreadsheets/d/1MeEWN-I1oV_STSDYn1IFDPWt_1FKiwhDph83XaGc0o0/edit?usp=sharing"",""งบพรบ!CC35"")"),0)</f>
        <v>0</v>
      </c>
      <c r="P35" s="251">
        <f t="shared" ca="1" si="22"/>
        <v>0</v>
      </c>
      <c r="Q35" s="250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IFERROR(__xludf.DUMMYFUNCTION("IMPORTRANGE(""https://docs.google.com/spreadsheets/d/1EXMBoBxU3OFbjT2TRpneM33qFjqDzrKmn9ydcflfI0o/edit?usp=sharing"",""นครพนม!I176"")"),11)</f>
        <v>11</v>
      </c>
      <c r="S35" s="248">
        <f ca="1">IFERROR(__xludf.DUMMYFUNCTION("IMPORTRANGE(""https://docs.google.com/spreadsheets/d/1EXMBoBxU3OFbjT2TRpneM33qFjqDzrKmn9ydcflfI0o/edit?usp=sharing"",""นครพนม!J176"")"),11)</f>
        <v>11</v>
      </c>
      <c r="T35" s="252">
        <f t="shared" ca="1" si="19"/>
        <v>100</v>
      </c>
      <c r="U35" s="286"/>
      <c r="V35" s="286"/>
      <c r="W35" s="252"/>
      <c r="X35" s="199"/>
      <c r="Y35" s="199"/>
      <c r="Z35" s="199"/>
    </row>
    <row r="36" spans="1:26" ht="21" customHeight="1" x14ac:dyDescent="0.3">
      <c r="A36" s="243">
        <v>5</v>
      </c>
      <c r="B36" s="244" t="s">
        <v>58</v>
      </c>
      <c r="C36" s="245">
        <f t="shared" ca="1" si="0"/>
        <v>21050</v>
      </c>
      <c r="D36" s="246">
        <f t="shared" ca="1" si="29"/>
        <v>21050</v>
      </c>
      <c r="E36" s="247">
        <f ca="1">IFERROR(__xludf.DUMMYFUNCTION("IMPORTRANGE(""https://docs.google.com/spreadsheets/d/1MeEWN-I1oV_STSDYn1IFDPWt_1FKiwhDph83XaGc0o0/edit?usp=sharing"",""งบพรบ!CF36"")"),0)</f>
        <v>0</v>
      </c>
      <c r="F36" s="247">
        <f ca="1">IFERROR(__xludf.DUMMYFUNCTION("IMPORTRANGE(""https://docs.google.com/spreadsheets/d/1MeEWN-I1oV_STSDYn1IFDPWt_1FKiwhDph83XaGc0o0/edit?usp=sharing"",""งบพรบ!CG36"")"),21050)</f>
        <v>21050</v>
      </c>
      <c r="G36" s="247">
        <f ca="1">IFERROR(__xludf.DUMMYFUNCTION("IMPORTRANGE(""https://docs.google.com/spreadsheets/d/1MeEWN-I1oV_STSDYn1IFDPWt_1FKiwhDph83XaGc0o0/edit?usp=sharing"",""งบพรบ!CH36"")"),0)</f>
        <v>0</v>
      </c>
      <c r="H36" s="247">
        <f ca="1">IFERROR(__xludf.DUMMYFUNCTION("IMPORTRANGE(""https://docs.google.com/spreadsheets/d/1MeEWN-I1oV_STSDYn1IFDPWt_1FKiwhDph83XaGc0o0/edit?usp=sharing"",""งบพรบ!CJ36"")"),45480)</f>
        <v>45480</v>
      </c>
      <c r="I36" s="247">
        <f ca="1">IFERROR(__xludf.DUMMYFUNCTION("IMPORTRANGE(""https://docs.google.com/spreadsheets/d/1MeEWN-I1oV_STSDYn1IFDPWt_1FKiwhDph83XaGc0o0/edit?usp=sharing"",""งบพรบ!CK36"")"),0)</f>
        <v>0</v>
      </c>
      <c r="J36" s="247">
        <f t="shared" ca="1" si="3"/>
        <v>45480</v>
      </c>
      <c r="K36" s="253">
        <f t="shared" ca="1" si="4"/>
        <v>216.05700712589075</v>
      </c>
      <c r="L36" s="247">
        <f ca="1">IFERROR(__xludf.DUMMYFUNCTION("IMPORTRANGE(""https://docs.google.com/spreadsheets/d/1MeEWN-I1oV_STSDYn1IFDPWt_1FKiwhDph83XaGc0o0/edit?usp=sharing"",""งบพรบ!CL36"")"),45480)</f>
        <v>45480</v>
      </c>
      <c r="M36" s="250">
        <f t="shared" ca="1" si="5"/>
        <v>216.05700712589075</v>
      </c>
      <c r="N36" s="250">
        <f t="shared" ca="1" si="6"/>
        <v>100</v>
      </c>
      <c r="O36" s="251">
        <f ca="1">IFERROR(__xludf.DUMMYFUNCTION("IMPORTRANGE(""https://docs.google.com/spreadsheets/d/1MeEWN-I1oV_STSDYn1IFDPWt_1FKiwhDph83XaGc0o0/edit?usp=sharing"",""งบพรบ!CC36"")"),0)</f>
        <v>0</v>
      </c>
      <c r="P36" s="251">
        <f t="shared" ca="1" si="22"/>
        <v>0</v>
      </c>
      <c r="Q36" s="250">
        <f t="shared" ca="1" si="8"/>
        <v>0</v>
      </c>
      <c r="R36" s="248">
        <f ca="1">IFERROR(__xludf.DUMMYFUNCTION("IMPORTRANGE(""https://docs.google.com/spreadsheets/d/1bDQrolntRWtHumK8W-x-HXKntwxB9S3sF5aDeRS66Ko/edit?usp=sharing"",""นครราชสีมา!I176"")"),10)</f>
        <v>10</v>
      </c>
      <c r="S36" s="248">
        <f ca="1">IFERROR(__xludf.DUMMYFUNCTION("IMPORTRANGE(""https://docs.google.com/spreadsheets/d/1bDQrolntRWtHumK8W-x-HXKntwxB9S3sF5aDeRS66Ko/edit?usp=sharing"",""นครราชสีมา!J176"")"),10)</f>
        <v>10</v>
      </c>
      <c r="T36" s="252">
        <f t="shared" ca="1" si="19"/>
        <v>100</v>
      </c>
      <c r="U36" s="286"/>
      <c r="V36" s="286"/>
      <c r="W36" s="252"/>
      <c r="X36" s="199"/>
      <c r="Y36" s="199"/>
      <c r="Z36" s="199"/>
    </row>
    <row r="37" spans="1:26" ht="21" customHeight="1" x14ac:dyDescent="0.3">
      <c r="A37" s="243">
        <v>6</v>
      </c>
      <c r="B37" s="244" t="s">
        <v>59</v>
      </c>
      <c r="C37" s="245">
        <f t="shared" ca="1" si="0"/>
        <v>23060</v>
      </c>
      <c r="D37" s="246">
        <f t="shared" ca="1" si="29"/>
        <v>23060</v>
      </c>
      <c r="E37" s="247">
        <f ca="1">IFERROR(__xludf.DUMMYFUNCTION("IMPORTRANGE(""https://docs.google.com/spreadsheets/d/1MeEWN-I1oV_STSDYn1IFDPWt_1FKiwhDph83XaGc0o0/edit?usp=sharing"",""งบพรบ!CF37"")"),0)</f>
        <v>0</v>
      </c>
      <c r="F37" s="247">
        <f ca="1">IFERROR(__xludf.DUMMYFUNCTION("IMPORTRANGE(""https://docs.google.com/spreadsheets/d/1MeEWN-I1oV_STSDYn1IFDPWt_1FKiwhDph83XaGc0o0/edit?usp=sharing"",""งบพรบ!CG37"")"),23060)</f>
        <v>23060</v>
      </c>
      <c r="G37" s="247">
        <f ca="1">IFERROR(__xludf.DUMMYFUNCTION("IMPORTRANGE(""https://docs.google.com/spreadsheets/d/1MeEWN-I1oV_STSDYn1IFDPWt_1FKiwhDph83XaGc0o0/edit?usp=sharing"",""งบพรบ!CH37"")"),0)</f>
        <v>0</v>
      </c>
      <c r="H37" s="247">
        <f ca="1">IFERROR(__xludf.DUMMYFUNCTION("IMPORTRANGE(""https://docs.google.com/spreadsheets/d/1MeEWN-I1oV_STSDYn1IFDPWt_1FKiwhDph83XaGc0o0/edit?usp=sharing"",""งบพรบ!CJ37"")"),55810)</f>
        <v>55810</v>
      </c>
      <c r="I37" s="247">
        <f ca="1">IFERROR(__xludf.DUMMYFUNCTION("IMPORTRANGE(""https://docs.google.com/spreadsheets/d/1MeEWN-I1oV_STSDYn1IFDPWt_1FKiwhDph83XaGc0o0/edit?usp=sharing"",""งบพรบ!CK37"")"),0)</f>
        <v>0</v>
      </c>
      <c r="J37" s="247">
        <f t="shared" ca="1" si="3"/>
        <v>39810</v>
      </c>
      <c r="K37" s="253">
        <f t="shared" ca="1" si="4"/>
        <v>172.63660017346055</v>
      </c>
      <c r="L37" s="247">
        <f ca="1">IFERROR(__xludf.DUMMYFUNCTION("IMPORTRANGE(""https://docs.google.com/spreadsheets/d/1MeEWN-I1oV_STSDYn1IFDPWt_1FKiwhDph83XaGc0o0/edit?usp=sharing"",""งบพรบ!CL37"")"),39810)</f>
        <v>39810</v>
      </c>
      <c r="M37" s="250">
        <f t="shared" ca="1" si="5"/>
        <v>172.63660017346055</v>
      </c>
      <c r="N37" s="250">
        <f t="shared" ca="1" si="6"/>
        <v>71.331302633936573</v>
      </c>
      <c r="O37" s="251">
        <f ca="1">IFERROR(__xludf.DUMMYFUNCTION("IMPORTRANGE(""https://docs.google.com/spreadsheets/d/1MeEWN-I1oV_STSDYn1IFDPWt_1FKiwhDph83XaGc0o0/edit?usp=sharing"",""งบพรบ!CC37"")"),0)</f>
        <v>0</v>
      </c>
      <c r="P37" s="251">
        <f t="shared" ca="1" si="22"/>
        <v>0</v>
      </c>
      <c r="Q37" s="250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IFERROR(__xludf.DUMMYFUNCTION("IMPORTRANGE(""https://docs.google.com/spreadsheets/d/1_MzZ-2gVPiCW-d2VcafoCmFJQTSrZ6SQyFcMqRRQQ2w/edit?usp=sharing"",""บึงกาฬ!I176"")"),12)</f>
        <v>12</v>
      </c>
      <c r="S37" s="248">
        <f ca="1">IFERROR(__xludf.DUMMYFUNCTION("IMPORTRANGE(""https://docs.google.com/spreadsheets/d/1_MzZ-2gVPiCW-d2VcafoCmFJQTSrZ6SQyFcMqRRQQ2w/edit?usp=sharing"",""บึงกาฬ!J176"")"),12)</f>
        <v>12</v>
      </c>
      <c r="T37" s="252">
        <f t="shared" ca="1" si="19"/>
        <v>100</v>
      </c>
      <c r="U37" s="286"/>
      <c r="V37" s="286"/>
      <c r="W37" s="252"/>
      <c r="X37" s="199"/>
      <c r="Y37" s="199"/>
      <c r="Z37" s="199"/>
    </row>
    <row r="38" spans="1:26" ht="21" customHeight="1" x14ac:dyDescent="0.3">
      <c r="A38" s="243">
        <v>7</v>
      </c>
      <c r="B38" s="244" t="s">
        <v>60</v>
      </c>
      <c r="C38" s="245">
        <f t="shared" ca="1" si="0"/>
        <v>21050</v>
      </c>
      <c r="D38" s="246">
        <f t="shared" ca="1" si="29"/>
        <v>21050</v>
      </c>
      <c r="E38" s="247">
        <f ca="1">IFERROR(__xludf.DUMMYFUNCTION("IMPORTRANGE(""https://docs.google.com/spreadsheets/d/1MeEWN-I1oV_STSDYn1IFDPWt_1FKiwhDph83XaGc0o0/edit?usp=sharing"",""งบพรบ!CF38"")"),0)</f>
        <v>0</v>
      </c>
      <c r="F38" s="247">
        <f ca="1">IFERROR(__xludf.DUMMYFUNCTION("IMPORTRANGE(""https://docs.google.com/spreadsheets/d/1MeEWN-I1oV_STSDYn1IFDPWt_1FKiwhDph83XaGc0o0/edit?usp=sharing"",""งบพรบ!CG38"")"),21050)</f>
        <v>21050</v>
      </c>
      <c r="G38" s="247">
        <f ca="1">IFERROR(__xludf.DUMMYFUNCTION("IMPORTRANGE(""https://docs.google.com/spreadsheets/d/1MeEWN-I1oV_STSDYn1IFDPWt_1FKiwhDph83XaGc0o0/edit?usp=sharing"",""งบพรบ!CH38"")"),0)</f>
        <v>0</v>
      </c>
      <c r="H38" s="247">
        <f ca="1">IFERROR(__xludf.DUMMYFUNCTION("IMPORTRANGE(""https://docs.google.com/spreadsheets/d/1MeEWN-I1oV_STSDYn1IFDPWt_1FKiwhDph83XaGc0o0/edit?usp=sharing"",""งบพรบ!CJ38"")"),36950)</f>
        <v>36950</v>
      </c>
      <c r="I38" s="247">
        <f ca="1">IFERROR(__xludf.DUMMYFUNCTION("IMPORTRANGE(""https://docs.google.com/spreadsheets/d/1MeEWN-I1oV_STSDYn1IFDPWt_1FKiwhDph83XaGc0o0/edit?usp=sharing"",""งบพรบ!CK38"")"),0)</f>
        <v>0</v>
      </c>
      <c r="J38" s="247">
        <f t="shared" ca="1" si="3"/>
        <v>36950</v>
      </c>
      <c r="K38" s="253">
        <f t="shared" ca="1" si="4"/>
        <v>175.53444180522564</v>
      </c>
      <c r="L38" s="247">
        <f ca="1">IFERROR(__xludf.DUMMYFUNCTION("IMPORTRANGE(""https://docs.google.com/spreadsheets/d/1MeEWN-I1oV_STSDYn1IFDPWt_1FKiwhDph83XaGc0o0/edit?usp=sharing"",""งบพรบ!CL38"")"),36950)</f>
        <v>36950</v>
      </c>
      <c r="M38" s="250">
        <f t="shared" ca="1" si="5"/>
        <v>175.53444180522564</v>
      </c>
      <c r="N38" s="250">
        <f t="shared" ca="1" si="6"/>
        <v>100</v>
      </c>
      <c r="O38" s="251">
        <f ca="1">IFERROR(__xludf.DUMMYFUNCTION("IMPORTRANGE(""https://docs.google.com/spreadsheets/d/1MeEWN-I1oV_STSDYn1IFDPWt_1FKiwhDph83XaGc0o0/edit?usp=sharing"",""งบพรบ!CC38"")"),0)</f>
        <v>0</v>
      </c>
      <c r="P38" s="251">
        <f t="shared" ca="1" si="22"/>
        <v>0</v>
      </c>
      <c r="Q38" s="250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IFERROR(__xludf.DUMMYFUNCTION("IMPORTRANGE(""https://docs.google.com/spreadsheets/d/1B3lPpzOuaNwVItLwLEZYl_qEblfcx7dRnbRkAw0l-pE/edit?usp=sharing"",""บุรีรัมย์!I176"")"),10)</f>
        <v>10</v>
      </c>
      <c r="S38" s="248">
        <f ca="1">IFERROR(__xludf.DUMMYFUNCTION("IMPORTRANGE(""https://docs.google.com/spreadsheets/d/1B3lPpzOuaNwVItLwLEZYl_qEblfcx7dRnbRkAw0l-pE/edit?usp=sharing"",""บุรีรัมย์!J176"")"),10)</f>
        <v>10</v>
      </c>
      <c r="T38" s="252">
        <f t="shared" ca="1" si="19"/>
        <v>100</v>
      </c>
      <c r="U38" s="286"/>
      <c r="V38" s="286"/>
      <c r="W38" s="252"/>
      <c r="X38" s="199"/>
      <c r="Y38" s="199"/>
      <c r="Z38" s="199"/>
    </row>
    <row r="39" spans="1:26" ht="21" customHeight="1" x14ac:dyDescent="0.3">
      <c r="A39" s="243">
        <v>8</v>
      </c>
      <c r="B39" s="244" t="s">
        <v>61</v>
      </c>
      <c r="C39" s="245">
        <f t="shared" ca="1" si="0"/>
        <v>23060</v>
      </c>
      <c r="D39" s="246">
        <f t="shared" ca="1" si="29"/>
        <v>23060</v>
      </c>
      <c r="E39" s="247">
        <f ca="1">IFERROR(__xludf.DUMMYFUNCTION("IMPORTRANGE(""https://docs.google.com/spreadsheets/d/1MeEWN-I1oV_STSDYn1IFDPWt_1FKiwhDph83XaGc0o0/edit?usp=sharing"",""งบพรบ!CF39"")"),0)</f>
        <v>0</v>
      </c>
      <c r="F39" s="247">
        <f ca="1">IFERROR(__xludf.DUMMYFUNCTION("IMPORTRANGE(""https://docs.google.com/spreadsheets/d/1MeEWN-I1oV_STSDYn1IFDPWt_1FKiwhDph83XaGc0o0/edit?usp=sharing"",""งบพรบ!CG39"")"),23060)</f>
        <v>23060</v>
      </c>
      <c r="G39" s="247">
        <f ca="1">IFERROR(__xludf.DUMMYFUNCTION("IMPORTRANGE(""https://docs.google.com/spreadsheets/d/1MeEWN-I1oV_STSDYn1IFDPWt_1FKiwhDph83XaGc0o0/edit?usp=sharing"",""งบพรบ!CH39"")"),0)</f>
        <v>0</v>
      </c>
      <c r="H39" s="247">
        <f ca="1">IFERROR(__xludf.DUMMYFUNCTION("IMPORTRANGE(""https://docs.google.com/spreadsheets/d/1MeEWN-I1oV_STSDYn1IFDPWt_1FKiwhDph83XaGc0o0/edit?usp=sharing"",""งบพรบ!CJ39"")"),36460)</f>
        <v>36460</v>
      </c>
      <c r="I39" s="247">
        <f ca="1">IFERROR(__xludf.DUMMYFUNCTION("IMPORTRANGE(""https://docs.google.com/spreadsheets/d/1MeEWN-I1oV_STSDYn1IFDPWt_1FKiwhDph83XaGc0o0/edit?usp=sharing"",""งบพรบ!CK39"")"),0)</f>
        <v>0</v>
      </c>
      <c r="J39" s="247">
        <f t="shared" ca="1" si="3"/>
        <v>36460</v>
      </c>
      <c r="K39" s="253">
        <f t="shared" ca="1" si="4"/>
        <v>158.10928013876844</v>
      </c>
      <c r="L39" s="247">
        <f ca="1">IFERROR(__xludf.DUMMYFUNCTION("IMPORTRANGE(""https://docs.google.com/spreadsheets/d/1MeEWN-I1oV_STSDYn1IFDPWt_1FKiwhDph83XaGc0o0/edit?usp=sharing"",""งบพรบ!CL39"")"),36460)</f>
        <v>36460</v>
      </c>
      <c r="M39" s="250">
        <f t="shared" ca="1" si="5"/>
        <v>158.10928013876844</v>
      </c>
      <c r="N39" s="250">
        <f t="shared" ca="1" si="6"/>
        <v>100</v>
      </c>
      <c r="O39" s="251">
        <f ca="1">IFERROR(__xludf.DUMMYFUNCTION("IMPORTRANGE(""https://docs.google.com/spreadsheets/d/1MeEWN-I1oV_STSDYn1IFDPWt_1FKiwhDph83XaGc0o0/edit?usp=sharing"",""งบพรบ!CC39"")"),0)</f>
        <v>0</v>
      </c>
      <c r="P39" s="251">
        <f t="shared" ca="1" si="22"/>
        <v>0</v>
      </c>
      <c r="Q39" s="250">
        <f t="shared" ca="1" si="8"/>
        <v>0</v>
      </c>
      <c r="R39" s="248">
        <f ca="1">IFERROR(__xludf.DUMMYFUNCTION("IMPORTRANGE(""https://docs.google.com/spreadsheets/d/19GOkiOqnzYbevLYWrMk4qFOXe3rX14BkSA8X-mq-a40/edit?usp=sharing"",""มหาสารคาม!I176"")"),12)</f>
        <v>12</v>
      </c>
      <c r="S39" s="248">
        <f ca="1">IFERROR(__xludf.DUMMYFUNCTION("IMPORTRANGE(""https://docs.google.com/spreadsheets/d/19GOkiOqnzYbevLYWrMk4qFOXe3rX14BkSA8X-mq-a40/edit?usp=sharing"",""มหาสารคาม!J176"")"),12)</f>
        <v>12</v>
      </c>
      <c r="T39" s="252">
        <f t="shared" ca="1" si="19"/>
        <v>100</v>
      </c>
      <c r="U39" s="286"/>
      <c r="V39" s="286"/>
      <c r="W39" s="252"/>
      <c r="X39" s="199"/>
      <c r="Y39" s="199"/>
      <c r="Z39" s="199"/>
    </row>
    <row r="40" spans="1:26" ht="21" customHeight="1" x14ac:dyDescent="0.3">
      <c r="A40" s="243">
        <v>9</v>
      </c>
      <c r="B40" s="244" t="s">
        <v>62</v>
      </c>
      <c r="C40" s="245">
        <f t="shared" ca="1" si="0"/>
        <v>22055</v>
      </c>
      <c r="D40" s="246">
        <f t="shared" ca="1" si="29"/>
        <v>22055</v>
      </c>
      <c r="E40" s="247">
        <f ca="1">IFERROR(__xludf.DUMMYFUNCTION("IMPORTRANGE(""https://docs.google.com/spreadsheets/d/1MeEWN-I1oV_STSDYn1IFDPWt_1FKiwhDph83XaGc0o0/edit?usp=sharing"",""งบพรบ!CF40"")"),0)</f>
        <v>0</v>
      </c>
      <c r="F40" s="247">
        <f ca="1">IFERROR(__xludf.DUMMYFUNCTION("IMPORTRANGE(""https://docs.google.com/spreadsheets/d/1MeEWN-I1oV_STSDYn1IFDPWt_1FKiwhDph83XaGc0o0/edit?usp=sharing"",""งบพรบ!CG40"")"),22055)</f>
        <v>22055</v>
      </c>
      <c r="G40" s="247">
        <f ca="1">IFERROR(__xludf.DUMMYFUNCTION("IMPORTRANGE(""https://docs.google.com/spreadsheets/d/1MeEWN-I1oV_STSDYn1IFDPWt_1FKiwhDph83XaGc0o0/edit?usp=sharing"",""งบพรบ!CH40"")"),0)</f>
        <v>0</v>
      </c>
      <c r="H40" s="247">
        <f ca="1">IFERROR(__xludf.DUMMYFUNCTION("IMPORTRANGE(""https://docs.google.com/spreadsheets/d/1MeEWN-I1oV_STSDYn1IFDPWt_1FKiwhDph83XaGc0o0/edit?usp=sharing"",""งบพรบ!CJ40"")"),37955)</f>
        <v>37955</v>
      </c>
      <c r="I40" s="247">
        <f ca="1">IFERROR(__xludf.DUMMYFUNCTION("IMPORTRANGE(""https://docs.google.com/spreadsheets/d/1MeEWN-I1oV_STSDYn1IFDPWt_1FKiwhDph83XaGc0o0/edit?usp=sharing"",""งบพรบ!CK40"")"),0)</f>
        <v>0</v>
      </c>
      <c r="J40" s="247">
        <f t="shared" ca="1" si="3"/>
        <v>22055</v>
      </c>
      <c r="K40" s="253">
        <f t="shared" ca="1" si="4"/>
        <v>100</v>
      </c>
      <c r="L40" s="247">
        <f ca="1">IFERROR(__xludf.DUMMYFUNCTION("IMPORTRANGE(""https://docs.google.com/spreadsheets/d/1MeEWN-I1oV_STSDYn1IFDPWt_1FKiwhDph83XaGc0o0/edit?usp=sharing"",""งบพรบ!CL40"")"),22055)</f>
        <v>22055</v>
      </c>
      <c r="M40" s="250">
        <f t="shared" ca="1" si="5"/>
        <v>100</v>
      </c>
      <c r="N40" s="250">
        <f t="shared" ca="1" si="6"/>
        <v>58.108286128309842</v>
      </c>
      <c r="O40" s="251">
        <f ca="1">IFERROR(__xludf.DUMMYFUNCTION("IMPORTRANGE(""https://docs.google.com/spreadsheets/d/1MeEWN-I1oV_STSDYn1IFDPWt_1FKiwhDph83XaGc0o0/edit?usp=sharing"",""งบพรบ!CC40"")"),0)</f>
        <v>0</v>
      </c>
      <c r="P40" s="251">
        <f t="shared" ca="1" si="22"/>
        <v>0</v>
      </c>
      <c r="Q40" s="250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IFERROR(__xludf.DUMMYFUNCTION("IMPORTRANGE(""https://docs.google.com/spreadsheets/d/1uMKqWwuNQ-TCKboGA3Bb1qXb5uj2-faACNUINCz8PN4/edit?usp=sharing"",""มุกดาหาร!I176"")"),11)</f>
        <v>11</v>
      </c>
      <c r="S40" s="248">
        <f ca="1">IFERROR(__xludf.DUMMYFUNCTION("IMPORTRANGE(""https://docs.google.com/spreadsheets/d/1uMKqWwuNQ-TCKboGA3Bb1qXb5uj2-faACNUINCz8PN4/edit?usp=sharing"",""มุกดาหาร!J176"")"),11)</f>
        <v>11</v>
      </c>
      <c r="T40" s="252">
        <f t="shared" ca="1" si="19"/>
        <v>100</v>
      </c>
      <c r="U40" s="286"/>
      <c r="V40" s="286"/>
      <c r="W40" s="252"/>
      <c r="X40" s="199"/>
      <c r="Y40" s="199"/>
      <c r="Z40" s="199"/>
    </row>
    <row r="41" spans="1:26" ht="21" customHeight="1" x14ac:dyDescent="0.3">
      <c r="A41" s="243">
        <v>10</v>
      </c>
      <c r="B41" s="244" t="s">
        <v>63</v>
      </c>
      <c r="C41" s="245">
        <f t="shared" ca="1" si="0"/>
        <v>22055</v>
      </c>
      <c r="D41" s="246">
        <f t="shared" ca="1" si="29"/>
        <v>22055</v>
      </c>
      <c r="E41" s="247">
        <f ca="1">IFERROR(__xludf.DUMMYFUNCTION("IMPORTRANGE(""https://docs.google.com/spreadsheets/d/1MeEWN-I1oV_STSDYn1IFDPWt_1FKiwhDph83XaGc0o0/edit?usp=sharing"",""งบพรบ!CF41"")"),0)</f>
        <v>0</v>
      </c>
      <c r="F41" s="247">
        <f ca="1">IFERROR(__xludf.DUMMYFUNCTION("IMPORTRANGE(""https://docs.google.com/spreadsheets/d/1MeEWN-I1oV_STSDYn1IFDPWt_1FKiwhDph83XaGc0o0/edit?usp=sharing"",""งบพรบ!CG41"")"),22055)</f>
        <v>22055</v>
      </c>
      <c r="G41" s="247">
        <f ca="1">IFERROR(__xludf.DUMMYFUNCTION("IMPORTRANGE(""https://docs.google.com/spreadsheets/d/1MeEWN-I1oV_STSDYn1IFDPWt_1FKiwhDph83XaGc0o0/edit?usp=sharing"",""งบพรบ!CH41"")"),0)</f>
        <v>0</v>
      </c>
      <c r="H41" s="247">
        <f ca="1">IFERROR(__xludf.DUMMYFUNCTION("IMPORTRANGE(""https://docs.google.com/spreadsheets/d/1MeEWN-I1oV_STSDYn1IFDPWt_1FKiwhDph83XaGc0o0/edit?usp=sharing"",""งบพรบ!CJ41"")"),38155)</f>
        <v>38155</v>
      </c>
      <c r="I41" s="247">
        <f ca="1">IFERROR(__xludf.DUMMYFUNCTION("IMPORTRANGE(""https://docs.google.com/spreadsheets/d/1MeEWN-I1oV_STSDYn1IFDPWt_1FKiwhDph83XaGc0o0/edit?usp=sharing"",""งบพรบ!CK41"")"),0)</f>
        <v>0</v>
      </c>
      <c r="J41" s="247">
        <f t="shared" ca="1" si="3"/>
        <v>38155</v>
      </c>
      <c r="K41" s="253">
        <f t="shared" ca="1" si="4"/>
        <v>172.9993198821129</v>
      </c>
      <c r="L41" s="247">
        <f ca="1">IFERROR(__xludf.DUMMYFUNCTION("IMPORTRANGE(""https://docs.google.com/spreadsheets/d/1MeEWN-I1oV_STSDYn1IFDPWt_1FKiwhDph83XaGc0o0/edit?usp=sharing"",""งบพรบ!CL41"")"),38155)</f>
        <v>38155</v>
      </c>
      <c r="M41" s="250">
        <f t="shared" ca="1" si="5"/>
        <v>172.9993198821129</v>
      </c>
      <c r="N41" s="250">
        <f t="shared" ca="1" si="6"/>
        <v>100</v>
      </c>
      <c r="O41" s="251">
        <f ca="1">IFERROR(__xludf.DUMMYFUNCTION("IMPORTRANGE(""https://docs.google.com/spreadsheets/d/1MeEWN-I1oV_STSDYn1IFDPWt_1FKiwhDph83XaGc0o0/edit?usp=sharing"",""งบพรบ!CC41"")"),0)</f>
        <v>0</v>
      </c>
      <c r="P41" s="251">
        <f t="shared" ca="1" si="22"/>
        <v>0</v>
      </c>
      <c r="Q41" s="250">
        <f t="shared" ca="1" si="8"/>
        <v>0</v>
      </c>
      <c r="R41" s="248">
        <f ca="1">IFERROR(__xludf.DUMMYFUNCTION("IMPORTRANGE(""https://docs.google.com/spreadsheets/d/1oKaccgDdQABndOzGr688Dbfxb_V3YcF67VqEPBtdzsc/edit?usp=sharing"",""ยโสธร!I176"")"),11)</f>
        <v>11</v>
      </c>
      <c r="S41" s="248">
        <f ca="1">IFERROR(__xludf.DUMMYFUNCTION("IMPORTRANGE(""https://docs.google.com/spreadsheets/d/1oKaccgDdQABndOzGr688Dbfxb_V3YcF67VqEPBtdzsc/edit?usp=sharing"",""ยโสธร!J176"")"),11)</f>
        <v>11</v>
      </c>
      <c r="T41" s="252">
        <f t="shared" ca="1" si="19"/>
        <v>100</v>
      </c>
      <c r="U41" s="286"/>
      <c r="V41" s="286"/>
      <c r="W41" s="252"/>
      <c r="X41" s="199"/>
      <c r="Y41" s="199"/>
      <c r="Z41" s="199"/>
    </row>
    <row r="42" spans="1:26" ht="21" customHeight="1" x14ac:dyDescent="0.3">
      <c r="A42" s="243">
        <v>11</v>
      </c>
      <c r="B42" s="244" t="s">
        <v>64</v>
      </c>
      <c r="C42" s="245">
        <f t="shared" ca="1" si="0"/>
        <v>23060</v>
      </c>
      <c r="D42" s="246">
        <f t="shared" ca="1" si="29"/>
        <v>23060</v>
      </c>
      <c r="E42" s="247">
        <f ca="1">IFERROR(__xludf.DUMMYFUNCTION("IMPORTRANGE(""https://docs.google.com/spreadsheets/d/1MeEWN-I1oV_STSDYn1IFDPWt_1FKiwhDph83XaGc0o0/edit?usp=sharing"",""งบพรบ!CF42"")"),0)</f>
        <v>0</v>
      </c>
      <c r="F42" s="247">
        <f ca="1">IFERROR(__xludf.DUMMYFUNCTION("IMPORTRANGE(""https://docs.google.com/spreadsheets/d/1MeEWN-I1oV_STSDYn1IFDPWt_1FKiwhDph83XaGc0o0/edit?usp=sharing"",""งบพรบ!CG42"")"),23060)</f>
        <v>23060</v>
      </c>
      <c r="G42" s="247">
        <f ca="1">IFERROR(__xludf.DUMMYFUNCTION("IMPORTRANGE(""https://docs.google.com/spreadsheets/d/1MeEWN-I1oV_STSDYn1IFDPWt_1FKiwhDph83XaGc0o0/edit?usp=sharing"",""งบพรบ!CH42"")"),0)</f>
        <v>0</v>
      </c>
      <c r="H42" s="247">
        <f ca="1">IFERROR(__xludf.DUMMYFUNCTION("IMPORTRANGE(""https://docs.google.com/spreadsheets/d/1MeEWN-I1oV_STSDYn1IFDPWt_1FKiwhDph83XaGc0o0/edit?usp=sharing"",""งบพรบ!CJ42"")"),38560)</f>
        <v>38560</v>
      </c>
      <c r="I42" s="247">
        <f ca="1">IFERROR(__xludf.DUMMYFUNCTION("IMPORTRANGE(""https://docs.google.com/spreadsheets/d/1MeEWN-I1oV_STSDYn1IFDPWt_1FKiwhDph83XaGc0o0/edit?usp=sharing"",""งบพรบ!CK42"")"),0)</f>
        <v>0</v>
      </c>
      <c r="J42" s="247">
        <f t="shared" ca="1" si="3"/>
        <v>38560</v>
      </c>
      <c r="K42" s="253">
        <f t="shared" ca="1" si="4"/>
        <v>167.21595836947094</v>
      </c>
      <c r="L42" s="247">
        <f ca="1">IFERROR(__xludf.DUMMYFUNCTION("IMPORTRANGE(""https://docs.google.com/spreadsheets/d/1MeEWN-I1oV_STSDYn1IFDPWt_1FKiwhDph83XaGc0o0/edit?usp=sharing"",""งบพรบ!CL42"")"),38560)</f>
        <v>38560</v>
      </c>
      <c r="M42" s="250">
        <f t="shared" ca="1" si="5"/>
        <v>167.21595836947094</v>
      </c>
      <c r="N42" s="250">
        <f t="shared" ca="1" si="6"/>
        <v>100</v>
      </c>
      <c r="O42" s="251">
        <f ca="1">IFERROR(__xludf.DUMMYFUNCTION("IMPORTRANGE(""https://docs.google.com/spreadsheets/d/1MeEWN-I1oV_STSDYn1IFDPWt_1FKiwhDph83XaGc0o0/edit?usp=sharing"",""งบพรบ!CC42"")"),0)</f>
        <v>0</v>
      </c>
      <c r="P42" s="251">
        <f t="shared" ca="1" si="22"/>
        <v>0</v>
      </c>
      <c r="Q42" s="250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IFERROR(__xludf.DUMMYFUNCTION("IMPORTRANGE(""https://docs.google.com/spreadsheets/d/1BRgc8xKpxZ0PX-gauieMVkV_IOxKSotf0yW8MabGprQ/edit?usp=sharing"",""ร้อยเอ็ด!I176"")"),12)</f>
        <v>12</v>
      </c>
      <c r="S42" s="248">
        <f ca="1">IFERROR(__xludf.DUMMYFUNCTION("IMPORTRANGE(""https://docs.google.com/spreadsheets/d/1BRgc8xKpxZ0PX-gauieMVkV_IOxKSotf0yW8MabGprQ/edit?usp=sharing"",""ร้อยเอ็ด!J176"")"),12)</f>
        <v>12</v>
      </c>
      <c r="T42" s="252">
        <f t="shared" ca="1" si="19"/>
        <v>100</v>
      </c>
      <c r="U42" s="286"/>
      <c r="V42" s="286"/>
      <c r="W42" s="252"/>
      <c r="X42" s="199"/>
      <c r="Y42" s="199"/>
      <c r="Z42" s="199"/>
    </row>
    <row r="43" spans="1:26" ht="21" customHeight="1" x14ac:dyDescent="0.3">
      <c r="A43" s="243">
        <v>12</v>
      </c>
      <c r="B43" s="244" t="s">
        <v>65</v>
      </c>
      <c r="C43" s="245">
        <f t="shared" ca="1" si="0"/>
        <v>22055</v>
      </c>
      <c r="D43" s="246">
        <f t="shared" ca="1" si="29"/>
        <v>22055</v>
      </c>
      <c r="E43" s="247">
        <f ca="1">IFERROR(__xludf.DUMMYFUNCTION("IMPORTRANGE(""https://docs.google.com/spreadsheets/d/1MeEWN-I1oV_STSDYn1IFDPWt_1FKiwhDph83XaGc0o0/edit?usp=sharing"",""งบพรบ!CF43"")"),0)</f>
        <v>0</v>
      </c>
      <c r="F43" s="247">
        <f ca="1">IFERROR(__xludf.DUMMYFUNCTION("IMPORTRANGE(""https://docs.google.com/spreadsheets/d/1MeEWN-I1oV_STSDYn1IFDPWt_1FKiwhDph83XaGc0o0/edit?usp=sharing"",""งบพรบ!CG43"")"),22055)</f>
        <v>22055</v>
      </c>
      <c r="G43" s="247">
        <f ca="1">IFERROR(__xludf.DUMMYFUNCTION("IMPORTRANGE(""https://docs.google.com/spreadsheets/d/1MeEWN-I1oV_STSDYn1IFDPWt_1FKiwhDph83XaGc0o0/edit?usp=sharing"",""งบพรบ!CH43"")"),0)</f>
        <v>0</v>
      </c>
      <c r="H43" s="247">
        <f ca="1">IFERROR(__xludf.DUMMYFUNCTION("IMPORTRANGE(""https://docs.google.com/spreadsheets/d/1MeEWN-I1oV_STSDYn1IFDPWt_1FKiwhDph83XaGc0o0/edit?usp=sharing"",""งบพรบ!CJ43"")"),49495)</f>
        <v>49495</v>
      </c>
      <c r="I43" s="247">
        <f ca="1">IFERROR(__xludf.DUMMYFUNCTION("IMPORTRANGE(""https://docs.google.com/spreadsheets/d/1MeEWN-I1oV_STSDYn1IFDPWt_1FKiwhDph83XaGc0o0/edit?usp=sharing"",""งบพรบ!CK43"")"),0)</f>
        <v>0</v>
      </c>
      <c r="J43" s="247">
        <f t="shared" ca="1" si="3"/>
        <v>25110</v>
      </c>
      <c r="K43" s="253">
        <f t="shared" ca="1" si="4"/>
        <v>113.85173430061211</v>
      </c>
      <c r="L43" s="247">
        <f ca="1">IFERROR(__xludf.DUMMYFUNCTION("IMPORTRANGE(""https://docs.google.com/spreadsheets/d/1MeEWN-I1oV_STSDYn1IFDPWt_1FKiwhDph83XaGc0o0/edit?usp=sharing"",""งบพรบ!CL43"")"),25110)</f>
        <v>25110</v>
      </c>
      <c r="M43" s="250">
        <f t="shared" ca="1" si="5"/>
        <v>113.85173430061211</v>
      </c>
      <c r="N43" s="250">
        <f t="shared" ca="1" si="6"/>
        <v>50.732397211839583</v>
      </c>
      <c r="O43" s="251">
        <f ca="1">IFERROR(__xludf.DUMMYFUNCTION("IMPORTRANGE(""https://docs.google.com/spreadsheets/d/1MeEWN-I1oV_STSDYn1IFDPWt_1FKiwhDph83XaGc0o0/edit?usp=sharing"",""งบพรบ!CC43"")"),0)</f>
        <v>0</v>
      </c>
      <c r="P43" s="251">
        <f t="shared" ca="1" si="22"/>
        <v>0</v>
      </c>
      <c r="Q43" s="250">
        <f t="shared" ca="1" si="8"/>
        <v>0</v>
      </c>
      <c r="R43" s="248">
        <f ca="1">IFERROR(__xludf.DUMMYFUNCTION("IMPORTRANGE(""https://docs.google.com/spreadsheets/d/1IdolZc-dfdgMwAm_KZxYJl1sUOcIgnbGQzbWOlddedo/edit?usp=sharing"",""เลย!I176"")"),11)</f>
        <v>11</v>
      </c>
      <c r="S43" s="248">
        <f ca="1">IFERROR(__xludf.DUMMYFUNCTION("IMPORTRANGE(""https://docs.google.com/spreadsheets/d/1IdolZc-dfdgMwAm_KZxYJl1sUOcIgnbGQzbWOlddedo/edit?usp=sharing"",""เลย!J176"")"),11)</f>
        <v>11</v>
      </c>
      <c r="T43" s="252">
        <f t="shared" ca="1" si="19"/>
        <v>100</v>
      </c>
      <c r="U43" s="286"/>
      <c r="V43" s="286"/>
      <c r="W43" s="252"/>
      <c r="X43" s="199"/>
      <c r="Y43" s="199"/>
      <c r="Z43" s="199"/>
    </row>
    <row r="44" spans="1:26" ht="21" customHeight="1" x14ac:dyDescent="0.3">
      <c r="A44" s="243">
        <v>13</v>
      </c>
      <c r="B44" s="244" t="s">
        <v>66</v>
      </c>
      <c r="C44" s="245">
        <f t="shared" ca="1" si="0"/>
        <v>22055</v>
      </c>
      <c r="D44" s="246">
        <f t="shared" ca="1" si="29"/>
        <v>22055</v>
      </c>
      <c r="E44" s="247">
        <f ca="1">IFERROR(__xludf.DUMMYFUNCTION("IMPORTRANGE(""https://docs.google.com/spreadsheets/d/1MeEWN-I1oV_STSDYn1IFDPWt_1FKiwhDph83XaGc0o0/edit?usp=sharing"",""งบพรบ!CF44"")"),0)</f>
        <v>0</v>
      </c>
      <c r="F44" s="247">
        <f ca="1">IFERROR(__xludf.DUMMYFUNCTION("IMPORTRANGE(""https://docs.google.com/spreadsheets/d/1MeEWN-I1oV_STSDYn1IFDPWt_1FKiwhDph83XaGc0o0/edit?usp=sharing"",""งบพรบ!CG44"")"),22055)</f>
        <v>22055</v>
      </c>
      <c r="G44" s="247">
        <f ca="1">IFERROR(__xludf.DUMMYFUNCTION("IMPORTRANGE(""https://docs.google.com/spreadsheets/d/1MeEWN-I1oV_STSDYn1IFDPWt_1FKiwhDph83XaGc0o0/edit?usp=sharing"",""งบพรบ!CH44"")"),0)</f>
        <v>0</v>
      </c>
      <c r="H44" s="247">
        <f ca="1">IFERROR(__xludf.DUMMYFUNCTION("IMPORTRANGE(""https://docs.google.com/spreadsheets/d/1MeEWN-I1oV_STSDYn1IFDPWt_1FKiwhDph83XaGc0o0/edit?usp=sharing"",""งบพรบ!CJ44"")"),38755)</f>
        <v>38755</v>
      </c>
      <c r="I44" s="247">
        <f ca="1">IFERROR(__xludf.DUMMYFUNCTION("IMPORTRANGE(""https://docs.google.com/spreadsheets/d/1MeEWN-I1oV_STSDYn1IFDPWt_1FKiwhDph83XaGc0o0/edit?usp=sharing"",""งบพรบ!CK44"")"),0)</f>
        <v>0</v>
      </c>
      <c r="J44" s="247">
        <f t="shared" ca="1" si="3"/>
        <v>22055</v>
      </c>
      <c r="K44" s="253">
        <f t="shared" ca="1" si="4"/>
        <v>100</v>
      </c>
      <c r="L44" s="247">
        <f ca="1">IFERROR(__xludf.DUMMYFUNCTION("IMPORTRANGE(""https://docs.google.com/spreadsheets/d/1MeEWN-I1oV_STSDYn1IFDPWt_1FKiwhDph83XaGc0o0/edit?usp=sharing"",""งบพรบ!CL44"")"),22055)</f>
        <v>22055</v>
      </c>
      <c r="M44" s="250">
        <f t="shared" ca="1" si="5"/>
        <v>100</v>
      </c>
      <c r="N44" s="250">
        <f t="shared" ca="1" si="6"/>
        <v>56.908785963101536</v>
      </c>
      <c r="O44" s="251">
        <f ca="1">IFERROR(__xludf.DUMMYFUNCTION("IMPORTRANGE(""https://docs.google.com/spreadsheets/d/1MeEWN-I1oV_STSDYn1IFDPWt_1FKiwhDph83XaGc0o0/edit?usp=sharing"",""งบพรบ!CC44"")"),0)</f>
        <v>0</v>
      </c>
      <c r="P44" s="251">
        <f t="shared" ca="1" si="22"/>
        <v>0</v>
      </c>
      <c r="Q44" s="250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IFERROR(__xludf.DUMMYFUNCTION("IMPORTRANGE(""https://docs.google.com/spreadsheets/d/1tZ0nmtGuIRCaGAMXHlQU8EpR9LOAJvyKfc4f7EFmE34/edit?usp=sharing"",""ศรีสะเกษ!I176"")"),11)</f>
        <v>11</v>
      </c>
      <c r="S44" s="248">
        <f ca="1">IFERROR(__xludf.DUMMYFUNCTION("IMPORTRANGE(""https://docs.google.com/spreadsheets/d/1tZ0nmtGuIRCaGAMXHlQU8EpR9LOAJvyKfc4f7EFmE34/edit?usp=sharing"",""ศรีสะเกษ!J176"")"),11)</f>
        <v>11</v>
      </c>
      <c r="T44" s="252">
        <f t="shared" ca="1" si="19"/>
        <v>100</v>
      </c>
      <c r="U44" s="286"/>
      <c r="V44" s="286"/>
      <c r="W44" s="252"/>
      <c r="X44" s="199"/>
      <c r="Y44" s="199"/>
      <c r="Z44" s="199"/>
    </row>
    <row r="45" spans="1:26" ht="21" customHeight="1" x14ac:dyDescent="0.3">
      <c r="A45" s="243">
        <v>14</v>
      </c>
      <c r="B45" s="244" t="s">
        <v>67</v>
      </c>
      <c r="C45" s="245">
        <f t="shared" ca="1" si="0"/>
        <v>23060</v>
      </c>
      <c r="D45" s="246">
        <f t="shared" ca="1" si="29"/>
        <v>23060</v>
      </c>
      <c r="E45" s="247">
        <f ca="1">IFERROR(__xludf.DUMMYFUNCTION("IMPORTRANGE(""https://docs.google.com/spreadsheets/d/1MeEWN-I1oV_STSDYn1IFDPWt_1FKiwhDph83XaGc0o0/edit?usp=sharing"",""งบพรบ!CF45"")"),0)</f>
        <v>0</v>
      </c>
      <c r="F45" s="247">
        <f ca="1">IFERROR(__xludf.DUMMYFUNCTION("IMPORTRANGE(""https://docs.google.com/spreadsheets/d/1MeEWN-I1oV_STSDYn1IFDPWt_1FKiwhDph83XaGc0o0/edit?usp=sharing"",""งบพรบ!CG45"")"),23060)</f>
        <v>23060</v>
      </c>
      <c r="G45" s="247">
        <f ca="1">IFERROR(__xludf.DUMMYFUNCTION("IMPORTRANGE(""https://docs.google.com/spreadsheets/d/1MeEWN-I1oV_STSDYn1IFDPWt_1FKiwhDph83XaGc0o0/edit?usp=sharing"",""งบพรบ!CH45"")"),0)</f>
        <v>0</v>
      </c>
      <c r="H45" s="247">
        <f ca="1">IFERROR(__xludf.DUMMYFUNCTION("IMPORTRANGE(""https://docs.google.com/spreadsheets/d/1MeEWN-I1oV_STSDYn1IFDPWt_1FKiwhDph83XaGc0o0/edit?usp=sharing"",""งบพรบ!CJ45"")"),39060)</f>
        <v>39060</v>
      </c>
      <c r="I45" s="247">
        <f ca="1">IFERROR(__xludf.DUMMYFUNCTION("IMPORTRANGE(""https://docs.google.com/spreadsheets/d/1MeEWN-I1oV_STSDYn1IFDPWt_1FKiwhDph83XaGc0o0/edit?usp=sharing"",""งบพรบ!CK45"")"),0)</f>
        <v>0</v>
      </c>
      <c r="J45" s="247">
        <f t="shared" ca="1" si="3"/>
        <v>39060</v>
      </c>
      <c r="K45" s="253">
        <f t="shared" ca="1" si="4"/>
        <v>169.38421509106678</v>
      </c>
      <c r="L45" s="247">
        <f ca="1">IFERROR(__xludf.DUMMYFUNCTION("IMPORTRANGE(""https://docs.google.com/spreadsheets/d/1MeEWN-I1oV_STSDYn1IFDPWt_1FKiwhDph83XaGc0o0/edit?usp=sharing"",""งบพรบ!CL45"")"),39060)</f>
        <v>39060</v>
      </c>
      <c r="M45" s="250">
        <f t="shared" ca="1" si="5"/>
        <v>169.38421509106678</v>
      </c>
      <c r="N45" s="250">
        <f t="shared" ca="1" si="6"/>
        <v>100</v>
      </c>
      <c r="O45" s="251">
        <f ca="1">IFERROR(__xludf.DUMMYFUNCTION("IMPORTRANGE(""https://docs.google.com/spreadsheets/d/1MeEWN-I1oV_STSDYn1IFDPWt_1FKiwhDph83XaGc0o0/edit?usp=sharing"",""งบพรบ!CC45"")"),0)</f>
        <v>0</v>
      </c>
      <c r="P45" s="251">
        <f t="shared" ca="1" si="22"/>
        <v>0</v>
      </c>
      <c r="Q45" s="250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IFERROR(__xludf.DUMMYFUNCTION("IMPORTRANGE(""https://docs.google.com/spreadsheets/d/1QC8psz9w0f9IVE9Xuc2FT_btkaOzZbbUSgYObpBuetM/edit?usp=sharing"",""สกลนคร!I176"")"),12)</f>
        <v>12</v>
      </c>
      <c r="S45" s="248">
        <f ca="1">IFERROR(__xludf.DUMMYFUNCTION("IMPORTRANGE(""https://docs.google.com/spreadsheets/d/1QC8psz9w0f9IVE9Xuc2FT_btkaOzZbbUSgYObpBuetM/edit?usp=sharing"",""สกลนคร!J176"")"),12)</f>
        <v>12</v>
      </c>
      <c r="T45" s="252">
        <f t="shared" ca="1" si="19"/>
        <v>100</v>
      </c>
      <c r="U45" s="286"/>
      <c r="V45" s="286"/>
      <c r="W45" s="252"/>
      <c r="X45" s="199"/>
      <c r="Y45" s="199"/>
      <c r="Z45" s="199"/>
    </row>
    <row r="46" spans="1:26" ht="21" customHeight="1" x14ac:dyDescent="0.3">
      <c r="A46" s="243">
        <v>15</v>
      </c>
      <c r="B46" s="244" t="s">
        <v>68</v>
      </c>
      <c r="C46" s="245">
        <f t="shared" ca="1" si="0"/>
        <v>22055</v>
      </c>
      <c r="D46" s="246">
        <f t="shared" ca="1" si="29"/>
        <v>22055</v>
      </c>
      <c r="E46" s="247">
        <f ca="1">IFERROR(__xludf.DUMMYFUNCTION("IMPORTRANGE(""https://docs.google.com/spreadsheets/d/1MeEWN-I1oV_STSDYn1IFDPWt_1FKiwhDph83XaGc0o0/edit?usp=sharing"",""งบพรบ!CF46"")"),0)</f>
        <v>0</v>
      </c>
      <c r="F46" s="247">
        <f ca="1">IFERROR(__xludf.DUMMYFUNCTION("IMPORTRANGE(""https://docs.google.com/spreadsheets/d/1MeEWN-I1oV_STSDYn1IFDPWt_1FKiwhDph83XaGc0o0/edit?usp=sharing"",""งบพรบ!CG46"")"),22055)</f>
        <v>22055</v>
      </c>
      <c r="G46" s="247">
        <f ca="1">IFERROR(__xludf.DUMMYFUNCTION("IMPORTRANGE(""https://docs.google.com/spreadsheets/d/1MeEWN-I1oV_STSDYn1IFDPWt_1FKiwhDph83XaGc0o0/edit?usp=sharing"",""งบพรบ!CH46"")"),0)</f>
        <v>0</v>
      </c>
      <c r="H46" s="247">
        <f ca="1">IFERROR(__xludf.DUMMYFUNCTION("IMPORTRANGE(""https://docs.google.com/spreadsheets/d/1MeEWN-I1oV_STSDYn1IFDPWt_1FKiwhDph83XaGc0o0/edit?usp=sharing"",""งบพรบ!CJ46"")"),52995)</f>
        <v>52995</v>
      </c>
      <c r="I46" s="247">
        <f ca="1">IFERROR(__xludf.DUMMYFUNCTION("IMPORTRANGE(""https://docs.google.com/spreadsheets/d/1MeEWN-I1oV_STSDYn1IFDPWt_1FKiwhDph83XaGc0o0/edit?usp=sharing"",""งบพรบ!CK46"")"),0)</f>
        <v>0</v>
      </c>
      <c r="J46" s="247">
        <f t="shared" ca="1" si="3"/>
        <v>52995</v>
      </c>
      <c r="K46" s="253">
        <f t="shared" ca="1" si="4"/>
        <v>240.28564951258218</v>
      </c>
      <c r="L46" s="247">
        <f ca="1">IFERROR(__xludf.DUMMYFUNCTION("IMPORTRANGE(""https://docs.google.com/spreadsheets/d/1MeEWN-I1oV_STSDYn1IFDPWt_1FKiwhDph83XaGc0o0/edit?usp=sharing"",""งบพรบ!CL46"")"),52995)</f>
        <v>52995</v>
      </c>
      <c r="M46" s="250">
        <f t="shared" ca="1" si="5"/>
        <v>240.28564951258218</v>
      </c>
      <c r="N46" s="250">
        <f t="shared" ca="1" si="6"/>
        <v>100</v>
      </c>
      <c r="O46" s="251">
        <f ca="1">IFERROR(__xludf.DUMMYFUNCTION("IMPORTRANGE(""https://docs.google.com/spreadsheets/d/1MeEWN-I1oV_STSDYn1IFDPWt_1FKiwhDph83XaGc0o0/edit?usp=sharing"",""งบพรบ!CC46"")"),0)</f>
        <v>0</v>
      </c>
      <c r="P46" s="251">
        <f t="shared" ca="1" si="22"/>
        <v>0</v>
      </c>
      <c r="Q46" s="250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IFERROR(__xludf.DUMMYFUNCTION("IMPORTRANGE(""https://docs.google.com/spreadsheets/d/1wPdvRbu02d33MYVlbsCnyTiZpefEBs9NNktAnT1HZvw/edit?usp=sharing"",""สุรินทร์!I176"")"),11)</f>
        <v>11</v>
      </c>
      <c r="S46" s="248">
        <f ca="1">IFERROR(__xludf.DUMMYFUNCTION("IMPORTRANGE(""https://docs.google.com/spreadsheets/d/1wPdvRbu02d33MYVlbsCnyTiZpefEBs9NNktAnT1HZvw/edit?usp=sharing"",""สุรินทร์!J176"")"),11)</f>
        <v>11</v>
      </c>
      <c r="T46" s="252">
        <f t="shared" ca="1" si="19"/>
        <v>100</v>
      </c>
      <c r="U46" s="286"/>
      <c r="V46" s="286"/>
      <c r="W46" s="252"/>
      <c r="X46" s="199"/>
      <c r="Y46" s="199"/>
      <c r="Z46" s="199"/>
    </row>
    <row r="47" spans="1:26" ht="21" customHeight="1" x14ac:dyDescent="0.3">
      <c r="A47" s="243">
        <v>16</v>
      </c>
      <c r="B47" s="244" t="s">
        <v>69</v>
      </c>
      <c r="C47" s="245">
        <f t="shared" ca="1" si="0"/>
        <v>0</v>
      </c>
      <c r="D47" s="246">
        <f t="shared" ca="1" si="29"/>
        <v>0</v>
      </c>
      <c r="E47" s="247">
        <f ca="1">IFERROR(__xludf.DUMMYFUNCTION("IMPORTRANGE(""https://docs.google.com/spreadsheets/d/1MeEWN-I1oV_STSDYn1IFDPWt_1FKiwhDph83XaGc0o0/edit?usp=sharing"",""งบพรบ!CF47"")"),0)</f>
        <v>0</v>
      </c>
      <c r="F47" s="247">
        <f ca="1">IFERROR(__xludf.DUMMYFUNCTION("IMPORTRANGE(""https://docs.google.com/spreadsheets/d/1MeEWN-I1oV_STSDYn1IFDPWt_1FKiwhDph83XaGc0o0/edit?usp=sharing"",""งบพรบ!CG47"")"),0)</f>
        <v>0</v>
      </c>
      <c r="G47" s="247">
        <f ca="1">IFERROR(__xludf.DUMMYFUNCTION("IMPORTRANGE(""https://docs.google.com/spreadsheets/d/1MeEWN-I1oV_STSDYn1IFDPWt_1FKiwhDph83XaGc0o0/edit?usp=sharing"",""งบพรบ!CH47"")"),0)</f>
        <v>0</v>
      </c>
      <c r="H47" s="247">
        <f ca="1">IFERROR(__xludf.DUMMYFUNCTION("IMPORTRANGE(""https://docs.google.com/spreadsheets/d/1MeEWN-I1oV_STSDYn1IFDPWt_1FKiwhDph83XaGc0o0/edit?usp=sharing"",""งบพรบ!CJ47"")"),13400)</f>
        <v>13400</v>
      </c>
      <c r="I47" s="247">
        <f ca="1">IFERROR(__xludf.DUMMYFUNCTION("IMPORTRANGE(""https://docs.google.com/spreadsheets/d/1MeEWN-I1oV_STSDYn1IFDPWt_1FKiwhDph83XaGc0o0/edit?usp=sharing"",""งบพรบ!CK47"")"),0)</f>
        <v>0</v>
      </c>
      <c r="J47" s="247">
        <f t="shared" ca="1" si="3"/>
        <v>13400</v>
      </c>
      <c r="K47" s="253">
        <f t="shared" ca="1" si="4"/>
        <v>0</v>
      </c>
      <c r="L47" s="247">
        <f ca="1">IFERROR(__xludf.DUMMYFUNCTION("IMPORTRANGE(""https://docs.google.com/spreadsheets/d/1MeEWN-I1oV_STSDYn1IFDPWt_1FKiwhDph83XaGc0o0/edit?usp=sharing"",""งบพรบ!CL47"")"),13400)</f>
        <v>13400</v>
      </c>
      <c r="M47" s="250">
        <f t="shared" ca="1" si="5"/>
        <v>0</v>
      </c>
      <c r="N47" s="250">
        <f t="shared" ca="1" si="6"/>
        <v>100</v>
      </c>
      <c r="O47" s="251">
        <f ca="1">IFERROR(__xludf.DUMMYFUNCTION("IMPORTRANGE(""https://docs.google.com/spreadsheets/d/1MeEWN-I1oV_STSDYn1IFDPWt_1FKiwhDph83XaGc0o0/edit?usp=sharing"",""งบพรบ!CC47"")"),0)</f>
        <v>0</v>
      </c>
      <c r="P47" s="251">
        <f t="shared" ca="1" si="22"/>
        <v>0</v>
      </c>
      <c r="Q47" s="250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IFERROR(__xludf.DUMMYFUNCTION("IMPORTRANGE(""https://docs.google.com/spreadsheets/d/1GVExpf-Exi_2gmuqTYH28fseTB9MoKPXWcXCbSt_YrM/edit?usp=sharing"",""หนองคาย!I176"")"),0)</f>
        <v>0</v>
      </c>
      <c r="S47" s="248">
        <f ca="1">IFERROR(__xludf.DUMMYFUNCTION("IMPORTRANGE(""https://docs.google.com/spreadsheets/d/1GVExpf-Exi_2gmuqTYH28fseTB9MoKPXWcXCbSt_YrM/edit?usp=sharing"",""หนองคาย!J176"")"),0)</f>
        <v>0</v>
      </c>
      <c r="T47" s="252">
        <f t="shared" ca="1" si="19"/>
        <v>0</v>
      </c>
      <c r="U47" s="286"/>
      <c r="V47" s="286"/>
      <c r="W47" s="252"/>
      <c r="X47" s="199"/>
      <c r="Y47" s="199"/>
      <c r="Z47" s="199"/>
    </row>
    <row r="48" spans="1:26" ht="21" customHeight="1" x14ac:dyDescent="0.3">
      <c r="A48" s="243">
        <v>17</v>
      </c>
      <c r="B48" s="244" t="s">
        <v>70</v>
      </c>
      <c r="C48" s="245">
        <f t="shared" ca="1" si="0"/>
        <v>23060</v>
      </c>
      <c r="D48" s="246">
        <f t="shared" ca="1" si="29"/>
        <v>23060</v>
      </c>
      <c r="E48" s="247">
        <f ca="1">IFERROR(__xludf.DUMMYFUNCTION("IMPORTRANGE(""https://docs.google.com/spreadsheets/d/1MeEWN-I1oV_STSDYn1IFDPWt_1FKiwhDph83XaGc0o0/edit?usp=sharing"",""งบพรบ!CF48"")"),0)</f>
        <v>0</v>
      </c>
      <c r="F48" s="247">
        <f ca="1">IFERROR(__xludf.DUMMYFUNCTION("IMPORTRANGE(""https://docs.google.com/spreadsheets/d/1MeEWN-I1oV_STSDYn1IFDPWt_1FKiwhDph83XaGc0o0/edit?usp=sharing"",""งบพรบ!CG48"")"),23060)</f>
        <v>23060</v>
      </c>
      <c r="G48" s="247">
        <f ca="1">IFERROR(__xludf.DUMMYFUNCTION("IMPORTRANGE(""https://docs.google.com/spreadsheets/d/1MeEWN-I1oV_STSDYn1IFDPWt_1FKiwhDph83XaGc0o0/edit?usp=sharing"",""งบพรบ!CH48"")"),0)</f>
        <v>0</v>
      </c>
      <c r="H48" s="247">
        <f ca="1">IFERROR(__xludf.DUMMYFUNCTION("IMPORTRANGE(""https://docs.google.com/spreadsheets/d/1MeEWN-I1oV_STSDYn1IFDPWt_1FKiwhDph83XaGc0o0/edit?usp=sharing"",""งบพรบ!CJ48"")"),35860)</f>
        <v>35860</v>
      </c>
      <c r="I48" s="247">
        <f ca="1">IFERROR(__xludf.DUMMYFUNCTION("IMPORTRANGE(""https://docs.google.com/spreadsheets/d/1MeEWN-I1oV_STSDYn1IFDPWt_1FKiwhDph83XaGc0o0/edit?usp=sharing"",""งบพรบ!CK48"")"),0)</f>
        <v>0</v>
      </c>
      <c r="J48" s="247">
        <f t="shared" ca="1" si="3"/>
        <v>35860</v>
      </c>
      <c r="K48" s="253">
        <f t="shared" ca="1" si="4"/>
        <v>155.50737207285343</v>
      </c>
      <c r="L48" s="247">
        <f ca="1">IFERROR(__xludf.DUMMYFUNCTION("IMPORTRANGE(""https://docs.google.com/spreadsheets/d/1MeEWN-I1oV_STSDYn1IFDPWt_1FKiwhDph83XaGc0o0/edit?usp=sharing"",""งบพรบ!CL48"")"),35860)</f>
        <v>35860</v>
      </c>
      <c r="M48" s="250">
        <f t="shared" ca="1" si="5"/>
        <v>155.50737207285343</v>
      </c>
      <c r="N48" s="250">
        <f t="shared" ca="1" si="6"/>
        <v>100</v>
      </c>
      <c r="O48" s="251">
        <f ca="1">IFERROR(__xludf.DUMMYFUNCTION("IMPORTRANGE(""https://docs.google.com/spreadsheets/d/1MeEWN-I1oV_STSDYn1IFDPWt_1FKiwhDph83XaGc0o0/edit?usp=sharing"",""งบพรบ!CC48"")"),0)</f>
        <v>0</v>
      </c>
      <c r="P48" s="251">
        <f t="shared" ca="1" si="22"/>
        <v>0</v>
      </c>
      <c r="Q48" s="250">
        <f t="shared" ca="1" si="8"/>
        <v>0</v>
      </c>
      <c r="R48" s="248">
        <f ca="1">IFERROR(__xludf.DUMMYFUNCTION("IMPORTRANGE(""https://docs.google.com/spreadsheets/d/16UeMz0UgOB5BZcoxP75eYGcLFtGYRn9GoesD4OX9m5U/edit?usp=sharing"",""หนองบัวลำภู!I176"")"),12)</f>
        <v>12</v>
      </c>
      <c r="S48" s="248">
        <f ca="1">IFERROR(__xludf.DUMMYFUNCTION("IMPORTRANGE(""https://docs.google.com/spreadsheets/d/16UeMz0UgOB5BZcoxP75eYGcLFtGYRn9GoesD4OX9m5U/edit?usp=sharing"",""หนองบัวลำภู!J176"")"),12)</f>
        <v>12</v>
      </c>
      <c r="T48" s="252">
        <f t="shared" ca="1" si="19"/>
        <v>100</v>
      </c>
      <c r="U48" s="286"/>
      <c r="V48" s="286"/>
      <c r="W48" s="252"/>
      <c r="X48" s="199"/>
      <c r="Y48" s="199"/>
      <c r="Z48" s="199"/>
    </row>
    <row r="49" spans="1:26" ht="21" customHeight="1" x14ac:dyDescent="0.3">
      <c r="A49" s="243">
        <v>18</v>
      </c>
      <c r="B49" s="244" t="s">
        <v>71</v>
      </c>
      <c r="C49" s="245">
        <f t="shared" ca="1" si="0"/>
        <v>22055</v>
      </c>
      <c r="D49" s="246">
        <f t="shared" ca="1" si="29"/>
        <v>22055</v>
      </c>
      <c r="E49" s="247">
        <f ca="1">IFERROR(__xludf.DUMMYFUNCTION("IMPORTRANGE(""https://docs.google.com/spreadsheets/d/1MeEWN-I1oV_STSDYn1IFDPWt_1FKiwhDph83XaGc0o0/edit?usp=sharing"",""งบพรบ!CF49"")"),0)</f>
        <v>0</v>
      </c>
      <c r="F49" s="247">
        <f ca="1">IFERROR(__xludf.DUMMYFUNCTION("IMPORTRANGE(""https://docs.google.com/spreadsheets/d/1MeEWN-I1oV_STSDYn1IFDPWt_1FKiwhDph83XaGc0o0/edit?usp=sharing"",""งบพรบ!CG49"")"),22055)</f>
        <v>22055</v>
      </c>
      <c r="G49" s="247">
        <f ca="1">IFERROR(__xludf.DUMMYFUNCTION("IMPORTRANGE(""https://docs.google.com/spreadsheets/d/1MeEWN-I1oV_STSDYn1IFDPWt_1FKiwhDph83XaGc0o0/edit?usp=sharing"",""งบพรบ!CH49"")"),0)</f>
        <v>0</v>
      </c>
      <c r="H49" s="247">
        <f ca="1">IFERROR(__xludf.DUMMYFUNCTION("IMPORTRANGE(""https://docs.google.com/spreadsheets/d/1MeEWN-I1oV_STSDYn1IFDPWt_1FKiwhDph83XaGc0o0/edit?usp=sharing"",""งบพรบ!CJ49"")"),35255)</f>
        <v>35255</v>
      </c>
      <c r="I49" s="247">
        <f ca="1">IFERROR(__xludf.DUMMYFUNCTION("IMPORTRANGE(""https://docs.google.com/spreadsheets/d/1MeEWN-I1oV_STSDYn1IFDPWt_1FKiwhDph83XaGc0o0/edit?usp=sharing"",""งบพรบ!CK49"")"),0)</f>
        <v>0</v>
      </c>
      <c r="J49" s="247">
        <f t="shared" ca="1" si="3"/>
        <v>22055</v>
      </c>
      <c r="K49" s="253">
        <f t="shared" ca="1" si="4"/>
        <v>100</v>
      </c>
      <c r="L49" s="247">
        <f ca="1">IFERROR(__xludf.DUMMYFUNCTION("IMPORTRANGE(""https://docs.google.com/spreadsheets/d/1MeEWN-I1oV_STSDYn1IFDPWt_1FKiwhDph83XaGc0o0/edit?usp=sharing"",""งบพรบ!CL49"")"),22055)</f>
        <v>22055</v>
      </c>
      <c r="M49" s="250">
        <f t="shared" ca="1" si="5"/>
        <v>100</v>
      </c>
      <c r="N49" s="250">
        <f t="shared" ca="1" si="6"/>
        <v>62.558502340093604</v>
      </c>
      <c r="O49" s="251">
        <f ca="1">IFERROR(__xludf.DUMMYFUNCTION("IMPORTRANGE(""https://docs.google.com/spreadsheets/d/1MeEWN-I1oV_STSDYn1IFDPWt_1FKiwhDph83XaGc0o0/edit?usp=sharing"",""งบพรบ!CC49"")"),0)</f>
        <v>0</v>
      </c>
      <c r="P49" s="251">
        <f t="shared" ca="1" si="22"/>
        <v>0</v>
      </c>
      <c r="Q49" s="250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IFERROR(__xludf.DUMMYFUNCTION("IMPORTRANGE(""https://docs.google.com/spreadsheets/d/1uUP8Zo1-qaJLuIkRU0qlwLSE3DHkbdrrj2JGJiWBQZE/edit?usp=sharing"",""อำนาจเจริญ!I176"")"),11)</f>
        <v>11</v>
      </c>
      <c r="S49" s="248">
        <f ca="1">IFERROR(__xludf.DUMMYFUNCTION("IMPORTRANGE(""https://docs.google.com/spreadsheets/d/1uUP8Zo1-qaJLuIkRU0qlwLSE3DHkbdrrj2JGJiWBQZE/edit?usp=sharing"",""อำนาจเจริญ!J176"")"),11)</f>
        <v>11</v>
      </c>
      <c r="T49" s="252">
        <f t="shared" ca="1" si="19"/>
        <v>100</v>
      </c>
      <c r="U49" s="286"/>
      <c r="V49" s="286"/>
      <c r="W49" s="252"/>
      <c r="X49" s="199"/>
      <c r="Y49" s="199"/>
      <c r="Z49" s="199"/>
    </row>
    <row r="50" spans="1:26" ht="21" customHeight="1" x14ac:dyDescent="0.3">
      <c r="A50" s="243">
        <v>19</v>
      </c>
      <c r="B50" s="244" t="s">
        <v>72</v>
      </c>
      <c r="C50" s="245">
        <f t="shared" ca="1" si="0"/>
        <v>22055</v>
      </c>
      <c r="D50" s="246">
        <f t="shared" ca="1" si="29"/>
        <v>22055</v>
      </c>
      <c r="E50" s="247">
        <f ca="1">IFERROR(__xludf.DUMMYFUNCTION("IMPORTRANGE(""https://docs.google.com/spreadsheets/d/1MeEWN-I1oV_STSDYn1IFDPWt_1FKiwhDph83XaGc0o0/edit?usp=sharing"",""งบพรบ!CF50"")"),0)</f>
        <v>0</v>
      </c>
      <c r="F50" s="247">
        <f ca="1">IFERROR(__xludf.DUMMYFUNCTION("IMPORTRANGE(""https://docs.google.com/spreadsheets/d/1MeEWN-I1oV_STSDYn1IFDPWt_1FKiwhDph83XaGc0o0/edit?usp=sharing"",""งบพรบ!CG50"")"),22055)</f>
        <v>22055</v>
      </c>
      <c r="G50" s="247">
        <f ca="1">IFERROR(__xludf.DUMMYFUNCTION("IMPORTRANGE(""https://docs.google.com/spreadsheets/d/1MeEWN-I1oV_STSDYn1IFDPWt_1FKiwhDph83XaGc0o0/edit?usp=sharing"",""งบพรบ!CH50"")"),0)</f>
        <v>0</v>
      </c>
      <c r="H50" s="247">
        <f ca="1">IFERROR(__xludf.DUMMYFUNCTION("IMPORTRANGE(""https://docs.google.com/spreadsheets/d/1MeEWN-I1oV_STSDYn1IFDPWt_1FKiwhDph83XaGc0o0/edit?usp=sharing"",""งบพรบ!CJ50"")"),35455)</f>
        <v>35455</v>
      </c>
      <c r="I50" s="247">
        <f ca="1">IFERROR(__xludf.DUMMYFUNCTION("IMPORTRANGE(""https://docs.google.com/spreadsheets/d/1MeEWN-I1oV_STSDYn1IFDPWt_1FKiwhDph83XaGc0o0/edit?usp=sharing"",""งบพรบ!CK50"")"),0)</f>
        <v>0</v>
      </c>
      <c r="J50" s="247">
        <f t="shared" ca="1" si="3"/>
        <v>35455</v>
      </c>
      <c r="K50" s="253">
        <f t="shared" ca="1" si="4"/>
        <v>160.75719791430515</v>
      </c>
      <c r="L50" s="247">
        <f ca="1">IFERROR(__xludf.DUMMYFUNCTION("IMPORTRANGE(""https://docs.google.com/spreadsheets/d/1MeEWN-I1oV_STSDYn1IFDPWt_1FKiwhDph83XaGc0o0/edit?usp=sharing"",""งบพรบ!CL50"")"),35455)</f>
        <v>35455</v>
      </c>
      <c r="M50" s="250">
        <f t="shared" ca="1" si="5"/>
        <v>160.75719791430515</v>
      </c>
      <c r="N50" s="250">
        <f t="shared" ca="1" si="6"/>
        <v>100</v>
      </c>
      <c r="O50" s="251">
        <f ca="1">IFERROR(__xludf.DUMMYFUNCTION("IMPORTRANGE(""https://docs.google.com/spreadsheets/d/1MeEWN-I1oV_STSDYn1IFDPWt_1FKiwhDph83XaGc0o0/edit?usp=sharing"",""งบพรบ!CC50"")"),0)</f>
        <v>0</v>
      </c>
      <c r="P50" s="251">
        <f t="shared" ca="1" si="22"/>
        <v>0</v>
      </c>
      <c r="Q50" s="250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IFERROR(__xludf.DUMMYFUNCTION("IMPORTRANGE(""https://docs.google.com/spreadsheets/d/1hb_taSOHanzRjqfzWPiFo8yiT83VV1L7vvUCLhOiHKc/edit?usp=sharing"",""อุดรธานี!I176"")"),11)</f>
        <v>11</v>
      </c>
      <c r="S50" s="248">
        <f ca="1">IFERROR(__xludf.DUMMYFUNCTION("IMPORTRANGE(""https://docs.google.com/spreadsheets/d/1hb_taSOHanzRjqfzWPiFo8yiT83VV1L7vvUCLhOiHKc/edit?usp=sharing"",""อุดรธานี!J176"")"),11)</f>
        <v>11</v>
      </c>
      <c r="T50" s="252">
        <f t="shared" ca="1" si="19"/>
        <v>100</v>
      </c>
      <c r="U50" s="286"/>
      <c r="V50" s="286"/>
      <c r="W50" s="252"/>
      <c r="X50" s="199"/>
      <c r="Y50" s="199"/>
      <c r="Z50" s="199"/>
    </row>
    <row r="51" spans="1:26" ht="21" customHeight="1" x14ac:dyDescent="0.3">
      <c r="A51" s="254">
        <v>20</v>
      </c>
      <c r="B51" s="255" t="s">
        <v>73</v>
      </c>
      <c r="C51" s="256">
        <f t="shared" ca="1" si="0"/>
        <v>23060</v>
      </c>
      <c r="D51" s="257">
        <f t="shared" ca="1" si="29"/>
        <v>23060</v>
      </c>
      <c r="E51" s="258">
        <f ca="1">IFERROR(__xludf.DUMMYFUNCTION("IMPORTRANGE(""https://docs.google.com/spreadsheets/d/1MeEWN-I1oV_STSDYn1IFDPWt_1FKiwhDph83XaGc0o0/edit?usp=sharing"",""งบพรบ!CF51"")"),0)</f>
        <v>0</v>
      </c>
      <c r="F51" s="258">
        <f ca="1">IFERROR(__xludf.DUMMYFUNCTION("IMPORTRANGE(""https://docs.google.com/spreadsheets/d/1MeEWN-I1oV_STSDYn1IFDPWt_1FKiwhDph83XaGc0o0/edit?usp=sharing"",""งบพรบ!CG51"")"),23060)</f>
        <v>23060</v>
      </c>
      <c r="G51" s="258">
        <f ca="1">IFERROR(__xludf.DUMMYFUNCTION("IMPORTRANGE(""https://docs.google.com/spreadsheets/d/1MeEWN-I1oV_STSDYn1IFDPWt_1FKiwhDph83XaGc0o0/edit?usp=sharing"",""งบพรบ!CH51"")"),0)</f>
        <v>0</v>
      </c>
      <c r="H51" s="258">
        <f ca="1">IFERROR(__xludf.DUMMYFUNCTION("IMPORTRANGE(""https://docs.google.com/spreadsheets/d/1MeEWN-I1oV_STSDYn1IFDPWt_1FKiwhDph83XaGc0o0/edit?usp=sharing"",""งบพรบ!CJ51"")"),39560)</f>
        <v>39560</v>
      </c>
      <c r="I51" s="258">
        <f ca="1">IFERROR(__xludf.DUMMYFUNCTION("IMPORTRANGE(""https://docs.google.com/spreadsheets/d/1MeEWN-I1oV_STSDYn1IFDPWt_1FKiwhDph83XaGc0o0/edit?usp=sharing"",""งบพรบ!CK51"")"),0)</f>
        <v>0</v>
      </c>
      <c r="J51" s="258">
        <f t="shared" ca="1" si="3"/>
        <v>39560</v>
      </c>
      <c r="K51" s="259">
        <f t="shared" ca="1" si="4"/>
        <v>171.55247181266262</v>
      </c>
      <c r="L51" s="258">
        <f ca="1">IFERROR(__xludf.DUMMYFUNCTION("IMPORTRANGE(""https://docs.google.com/spreadsheets/d/1MeEWN-I1oV_STSDYn1IFDPWt_1FKiwhDph83XaGc0o0/edit?usp=sharing"",""งบพรบ!CL51"")"),39560)</f>
        <v>39560</v>
      </c>
      <c r="M51" s="260">
        <f t="shared" ca="1" si="5"/>
        <v>171.55247181266262</v>
      </c>
      <c r="N51" s="260">
        <f t="shared" ca="1" si="6"/>
        <v>100</v>
      </c>
      <c r="O51" s="261">
        <f ca="1">IFERROR(__xludf.DUMMYFUNCTION("IMPORTRANGE(""https://docs.google.com/spreadsheets/d/1MeEWN-I1oV_STSDYn1IFDPWt_1FKiwhDph83XaGc0o0/edit?usp=sharing"",""งบพรบ!CC51"")"),0)</f>
        <v>0</v>
      </c>
      <c r="P51" s="261">
        <f t="shared" ca="1" si="22"/>
        <v>0</v>
      </c>
      <c r="Q51" s="260">
        <f t="shared" ca="1" si="8"/>
        <v>0</v>
      </c>
      <c r="R51" s="287">
        <f ca="1">IFERROR(__xludf.DUMMYFUNCTION("IMPORTRANGE(""https://docs.google.com/spreadsheets/d/17IOkEwkUd63EGNfyNDnM5de9YlZ7rwzTiW6-dokVjKI/edit?usp=sharing"",""อุบลราชธานี!I176"")"),12)</f>
        <v>12</v>
      </c>
      <c r="S51" s="287">
        <f ca="1">IFERROR(__xludf.DUMMYFUNCTION("IMPORTRANGE(""https://docs.google.com/spreadsheets/d/17IOkEwkUd63EGNfyNDnM5de9YlZ7rwzTiW6-dokVjKI/edit?usp=sharing"",""อุบลราชธานี!J176"")"),12)</f>
        <v>12</v>
      </c>
      <c r="T51" s="263">
        <f t="shared" ca="1" si="19"/>
        <v>100</v>
      </c>
      <c r="U51" s="288"/>
      <c r="V51" s="288"/>
      <c r="W51" s="263"/>
      <c r="X51" s="199"/>
      <c r="Y51" s="199"/>
      <c r="Z51" s="199"/>
    </row>
    <row r="52" spans="1:26" ht="21" customHeight="1" x14ac:dyDescent="0.3">
      <c r="A52" s="443" t="s">
        <v>74</v>
      </c>
      <c r="B52" s="414"/>
      <c r="C52" s="224">
        <f t="shared" ca="1" si="0"/>
        <v>392970</v>
      </c>
      <c r="D52" s="224">
        <f t="shared" ref="D52:I52" ca="1" si="30">SUM(D53:D73)</f>
        <v>392970</v>
      </c>
      <c r="E52" s="224">
        <f t="shared" ca="1" si="30"/>
        <v>0</v>
      </c>
      <c r="F52" s="224">
        <f t="shared" ca="1" si="30"/>
        <v>392970</v>
      </c>
      <c r="G52" s="224">
        <f t="shared" ca="1" si="30"/>
        <v>0</v>
      </c>
      <c r="H52" s="224">
        <f t="shared" ca="1" si="30"/>
        <v>841370</v>
      </c>
      <c r="I52" s="224">
        <f t="shared" ca="1" si="30"/>
        <v>0</v>
      </c>
      <c r="J52" s="224">
        <f t="shared" ca="1" si="3"/>
        <v>764496</v>
      </c>
      <c r="K52" s="225">
        <f t="shared" ca="1" si="4"/>
        <v>194.5430948927399</v>
      </c>
      <c r="L52" s="224">
        <f ca="1">SUM(L53:L73)</f>
        <v>764496</v>
      </c>
      <c r="M52" s="226">
        <f t="shared" ca="1" si="5"/>
        <v>194.5430948927399</v>
      </c>
      <c r="N52" s="226">
        <f t="shared" ca="1" si="6"/>
        <v>90.863234962026226</v>
      </c>
      <c r="O52" s="227">
        <f ca="1">SUM(O53:O73)</f>
        <v>0</v>
      </c>
      <c r="P52" s="227">
        <f t="shared" ca="1" si="22"/>
        <v>0</v>
      </c>
      <c r="Q52" s="226">
        <f t="shared" ca="1" si="8"/>
        <v>0</v>
      </c>
      <c r="R52" s="224">
        <f t="shared" ref="R52:S52" ca="1" si="31">SUM(R53:R73)</f>
        <v>194</v>
      </c>
      <c r="S52" s="224">
        <f t="shared" ca="1" si="31"/>
        <v>194</v>
      </c>
      <c r="T52" s="226">
        <f t="shared" ca="1" si="19"/>
        <v>100</v>
      </c>
      <c r="U52" s="224">
        <f t="shared" ref="U52:V52" si="32">SUM(U53:U73)</f>
        <v>0</v>
      </c>
      <c r="V52" s="224">
        <f t="shared" si="32"/>
        <v>0</v>
      </c>
      <c r="W52" s="226">
        <f>IF(U52&gt;0,V52*100/U52,0)</f>
        <v>0</v>
      </c>
      <c r="X52" s="199"/>
      <c r="Y52" s="199"/>
      <c r="Z52" s="199"/>
    </row>
    <row r="53" spans="1:26" ht="21" customHeight="1" x14ac:dyDescent="0.3">
      <c r="A53" s="243">
        <v>1</v>
      </c>
      <c r="B53" s="244" t="s">
        <v>75</v>
      </c>
      <c r="C53" s="245">
        <f t="shared" ca="1" si="0"/>
        <v>23060</v>
      </c>
      <c r="D53" s="246">
        <f t="shared" ref="D53:D73" ca="1" si="33">+E53+F53</f>
        <v>23060</v>
      </c>
      <c r="E53" s="247">
        <f ca="1">IFERROR(__xludf.DUMMYFUNCTION("IMPORTRANGE(""https://docs.google.com/spreadsheets/d/1MeEWN-I1oV_STSDYn1IFDPWt_1FKiwhDph83XaGc0o0/edit?usp=sharing"",""งบพรบ!CF53"")"),0)</f>
        <v>0</v>
      </c>
      <c r="F53" s="247">
        <f ca="1">IFERROR(__xludf.DUMMYFUNCTION("IMPORTRANGE(""https://docs.google.com/spreadsheets/d/1MeEWN-I1oV_STSDYn1IFDPWt_1FKiwhDph83XaGc0o0/edit?usp=sharing"",""งบพรบ!CG53"")"),23060)</f>
        <v>23060</v>
      </c>
      <c r="G53" s="248">
        <f ca="1">IFERROR(__xludf.DUMMYFUNCTION("IMPORTRANGE(""https://docs.google.com/spreadsheets/d/1MeEWN-I1oV_STSDYn1IFDPWt_1FKiwhDph83XaGc0o0/edit?usp=sharing"",""งบพรบ!CH53"")"),0)</f>
        <v>0</v>
      </c>
      <c r="H53" s="248">
        <f ca="1">IFERROR(__xludf.DUMMYFUNCTION("IMPORTRANGE(""https://docs.google.com/spreadsheets/d/1MeEWN-I1oV_STSDYn1IFDPWt_1FKiwhDph83XaGc0o0/edit?usp=sharing"",""งบพรบ!CJ53"")"),49600)</f>
        <v>49600</v>
      </c>
      <c r="I53" s="248">
        <f ca="1">IFERROR(__xludf.DUMMYFUNCTION("IMPORTRANGE(""https://docs.google.com/spreadsheets/d/1MeEWN-I1oV_STSDYn1IFDPWt_1FKiwhDph83XaGc0o0/edit?usp=sharing"",""งบพรบ!CK53"")"),0)</f>
        <v>0</v>
      </c>
      <c r="J53" s="248">
        <f t="shared" ca="1" si="3"/>
        <v>49480</v>
      </c>
      <c r="K53" s="249">
        <f t="shared" ca="1" si="4"/>
        <v>214.57068516912403</v>
      </c>
      <c r="L53" s="248">
        <f ca="1">IFERROR(__xludf.DUMMYFUNCTION("IMPORTRANGE(""https://docs.google.com/spreadsheets/d/1MeEWN-I1oV_STSDYn1IFDPWt_1FKiwhDph83XaGc0o0/edit?usp=sharing"",""งบพรบ!CL53"")"),49480)</f>
        <v>49480</v>
      </c>
      <c r="M53" s="250">
        <f t="shared" ca="1" si="5"/>
        <v>214.57068516912403</v>
      </c>
      <c r="N53" s="250">
        <f t="shared" ca="1" si="6"/>
        <v>99.758064516129039</v>
      </c>
      <c r="O53" s="251">
        <f ca="1">IFERROR(__xludf.DUMMYFUNCTION("IMPORTRANGE(""https://docs.google.com/spreadsheets/d/1MeEWN-I1oV_STSDYn1IFDPWt_1FKiwhDph83XaGc0o0/edit?usp=sharing"",""งบพรบ!CC53"")"),0)</f>
        <v>0</v>
      </c>
      <c r="P53" s="251">
        <f t="shared" ca="1" si="22"/>
        <v>0</v>
      </c>
      <c r="Q53" s="250">
        <f t="shared" ca="1" si="8"/>
        <v>0</v>
      </c>
      <c r="R53" s="248">
        <f ca="1">IFERROR(__xludf.DUMMYFUNCTION("IMPORTRANGE(""https://docs.google.com/spreadsheets/d/1hKO5uv94SSRZWOvrh72HRcpyoEQF9TsE_Cvxl77XNU4/edit?usp=sharing"",""กาญจนบุรี!I176"")"),12)</f>
        <v>12</v>
      </c>
      <c r="S53" s="248">
        <f ca="1">IFERROR(__xludf.DUMMYFUNCTION("IMPORTRANGE(""https://docs.google.com/spreadsheets/d/1hKO5uv94SSRZWOvrh72HRcpyoEQF9TsE_Cvxl77XNU4/edit?usp=sharing"",""กาญจนบุรี!J176"")"),12)</f>
        <v>12</v>
      </c>
      <c r="T53" s="252">
        <f t="shared" ca="1" si="19"/>
        <v>100</v>
      </c>
      <c r="U53" s="286"/>
      <c r="V53" s="286"/>
      <c r="W53" s="252"/>
      <c r="X53" s="199"/>
      <c r="Y53" s="199"/>
      <c r="Z53" s="199"/>
    </row>
    <row r="54" spans="1:26" ht="21" customHeight="1" x14ac:dyDescent="0.3">
      <c r="A54" s="243">
        <v>2</v>
      </c>
      <c r="B54" s="244" t="s">
        <v>76</v>
      </c>
      <c r="C54" s="245">
        <f t="shared" ca="1" si="0"/>
        <v>21050</v>
      </c>
      <c r="D54" s="246">
        <f t="shared" ca="1" si="33"/>
        <v>21050</v>
      </c>
      <c r="E54" s="247">
        <f ca="1">IFERROR(__xludf.DUMMYFUNCTION("IMPORTRANGE(""https://docs.google.com/spreadsheets/d/1MeEWN-I1oV_STSDYn1IFDPWt_1FKiwhDph83XaGc0o0/edit?usp=sharing"",""งบพรบ!CF54"")"),0)</f>
        <v>0</v>
      </c>
      <c r="F54" s="247">
        <f ca="1">IFERROR(__xludf.DUMMYFUNCTION("IMPORTRANGE(""https://docs.google.com/spreadsheets/d/1MeEWN-I1oV_STSDYn1IFDPWt_1FKiwhDph83XaGc0o0/edit?usp=sharing"",""งบพรบ!CG54"")"),21050)</f>
        <v>21050</v>
      </c>
      <c r="G54" s="247">
        <f ca="1">IFERROR(__xludf.DUMMYFUNCTION("IMPORTRANGE(""https://docs.google.com/spreadsheets/d/1MeEWN-I1oV_STSDYn1IFDPWt_1FKiwhDph83XaGc0o0/edit?usp=sharing"",""งบพรบ!CH54"")"),0)</f>
        <v>0</v>
      </c>
      <c r="H54" s="247">
        <f ca="1">IFERROR(__xludf.DUMMYFUNCTION("IMPORTRANGE(""https://docs.google.com/spreadsheets/d/1MeEWN-I1oV_STSDYn1IFDPWt_1FKiwhDph83XaGc0o0/edit?usp=sharing"",""งบพรบ!CJ54"")"),48490)</f>
        <v>48490</v>
      </c>
      <c r="I54" s="247">
        <f ca="1">IFERROR(__xludf.DUMMYFUNCTION("IMPORTRANGE(""https://docs.google.com/spreadsheets/d/1MeEWN-I1oV_STSDYn1IFDPWt_1FKiwhDph83XaGc0o0/edit?usp=sharing"",""งบพรบ!CK54"")"),0)</f>
        <v>0</v>
      </c>
      <c r="J54" s="247">
        <f t="shared" ca="1" si="3"/>
        <v>48490</v>
      </c>
      <c r="K54" s="253">
        <f t="shared" ca="1" si="4"/>
        <v>230.3562945368171</v>
      </c>
      <c r="L54" s="247">
        <f ca="1">IFERROR(__xludf.DUMMYFUNCTION("IMPORTRANGE(""https://docs.google.com/spreadsheets/d/1MeEWN-I1oV_STSDYn1IFDPWt_1FKiwhDph83XaGc0o0/edit?usp=sharing"",""งบพรบ!CL54"")"),48490)</f>
        <v>48490</v>
      </c>
      <c r="M54" s="250">
        <f t="shared" ca="1" si="5"/>
        <v>230.3562945368171</v>
      </c>
      <c r="N54" s="250">
        <f t="shared" ca="1" si="6"/>
        <v>100</v>
      </c>
      <c r="O54" s="251">
        <f ca="1">IFERROR(__xludf.DUMMYFUNCTION("IMPORTRANGE(""https://docs.google.com/spreadsheets/d/1MeEWN-I1oV_STSDYn1IFDPWt_1FKiwhDph83XaGc0o0/edit?usp=sharing"",""งบพรบ!CC54"")"),0)</f>
        <v>0</v>
      </c>
      <c r="P54" s="251">
        <f t="shared" ca="1" si="22"/>
        <v>0</v>
      </c>
      <c r="Q54" s="250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IFERROR(__xludf.DUMMYFUNCTION("IMPORTRANGE(""https://docs.google.com/spreadsheets/d/1njBaP_xXd-Uotvo2D9zb01TTCFkLJLDK97Tk1l9Qux0/edit?usp=sharing"",""จันทบุรี!I176"")"),10)</f>
        <v>10</v>
      </c>
      <c r="S54" s="248">
        <f ca="1">IFERROR(__xludf.DUMMYFUNCTION("IMPORTRANGE(""https://docs.google.com/spreadsheets/d/1njBaP_xXd-Uotvo2D9zb01TTCFkLJLDK97Tk1l9Qux0/edit?usp=sharing"",""จันทบุรี!J176"")"),10)</f>
        <v>10</v>
      </c>
      <c r="T54" s="252">
        <f t="shared" ca="1" si="19"/>
        <v>100</v>
      </c>
      <c r="U54" s="286"/>
      <c r="V54" s="286"/>
      <c r="W54" s="252"/>
      <c r="X54" s="199"/>
      <c r="Y54" s="199"/>
      <c r="Z54" s="199"/>
    </row>
    <row r="55" spans="1:26" ht="21" customHeight="1" x14ac:dyDescent="0.3">
      <c r="A55" s="243">
        <v>3</v>
      </c>
      <c r="B55" s="244" t="s">
        <v>77</v>
      </c>
      <c r="C55" s="245">
        <f t="shared" ca="1" si="0"/>
        <v>23060</v>
      </c>
      <c r="D55" s="246">
        <f t="shared" ca="1" si="33"/>
        <v>23060</v>
      </c>
      <c r="E55" s="247">
        <f ca="1">IFERROR(__xludf.DUMMYFUNCTION("IMPORTRANGE(""https://docs.google.com/spreadsheets/d/1MeEWN-I1oV_STSDYn1IFDPWt_1FKiwhDph83XaGc0o0/edit?usp=sharing"",""งบพรบ!CF55"")"),0)</f>
        <v>0</v>
      </c>
      <c r="F55" s="247">
        <f ca="1">IFERROR(__xludf.DUMMYFUNCTION("IMPORTRANGE(""https://docs.google.com/spreadsheets/d/1MeEWN-I1oV_STSDYn1IFDPWt_1FKiwhDph83XaGc0o0/edit?usp=sharing"",""งบพรบ!CG55"")"),23060)</f>
        <v>23060</v>
      </c>
      <c r="G55" s="247">
        <f ca="1">IFERROR(__xludf.DUMMYFUNCTION("IMPORTRANGE(""https://docs.google.com/spreadsheets/d/1MeEWN-I1oV_STSDYn1IFDPWt_1FKiwhDph83XaGc0o0/edit?usp=sharing"",""งบพรบ!CH55"")"),0)</f>
        <v>0</v>
      </c>
      <c r="H55" s="247">
        <f ca="1">IFERROR(__xludf.DUMMYFUNCTION("IMPORTRANGE(""https://docs.google.com/spreadsheets/d/1MeEWN-I1oV_STSDYn1IFDPWt_1FKiwhDph83XaGc0o0/edit?usp=sharing"",""งบพรบ!CJ55"")"),51700)</f>
        <v>51700</v>
      </c>
      <c r="I55" s="247">
        <f ca="1">IFERROR(__xludf.DUMMYFUNCTION("IMPORTRANGE(""https://docs.google.com/spreadsheets/d/1MeEWN-I1oV_STSDYn1IFDPWt_1FKiwhDph83XaGc0o0/edit?usp=sharing"",""งบพรบ!CK55"")"),0)</f>
        <v>0</v>
      </c>
      <c r="J55" s="247">
        <f t="shared" ca="1" si="3"/>
        <v>48960</v>
      </c>
      <c r="K55" s="253">
        <f t="shared" ca="1" si="4"/>
        <v>212.31569817866435</v>
      </c>
      <c r="L55" s="247">
        <f ca="1">IFERROR(__xludf.DUMMYFUNCTION("IMPORTRANGE(""https://docs.google.com/spreadsheets/d/1MeEWN-I1oV_STSDYn1IFDPWt_1FKiwhDph83XaGc0o0/edit?usp=sharing"",""งบพรบ!CL55"")"),48960)</f>
        <v>48960</v>
      </c>
      <c r="M55" s="250">
        <f t="shared" ca="1" si="5"/>
        <v>212.31569817866435</v>
      </c>
      <c r="N55" s="250">
        <f t="shared" ca="1" si="6"/>
        <v>94.700193423597682</v>
      </c>
      <c r="O55" s="251">
        <f ca="1">IFERROR(__xludf.DUMMYFUNCTION("IMPORTRANGE(""https://docs.google.com/spreadsheets/d/1MeEWN-I1oV_STSDYn1IFDPWt_1FKiwhDph83XaGc0o0/edit?usp=sharing"",""งบพรบ!CC55"")"),0)</f>
        <v>0</v>
      </c>
      <c r="P55" s="251">
        <f t="shared" ca="1" si="22"/>
        <v>0</v>
      </c>
      <c r="Q55" s="250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IFERROR(__xludf.DUMMYFUNCTION("IMPORTRANGE(""https://docs.google.com/spreadsheets/d/14xp6qUzrGFnUk_qnc1eEmfiaNRd4_grkhpfQH_46fa8/edit?usp=sharing"",""ฉะเชิงเทรา!I176"")"),12)</f>
        <v>12</v>
      </c>
      <c r="S55" s="248">
        <f ca="1">IFERROR(__xludf.DUMMYFUNCTION("IMPORTRANGE(""https://docs.google.com/spreadsheets/d/14xp6qUzrGFnUk_qnc1eEmfiaNRd4_grkhpfQH_46fa8/edit?usp=sharing"",""ฉะเชิงเทรา!J176"")"),12)</f>
        <v>12</v>
      </c>
      <c r="T55" s="252">
        <f t="shared" ca="1" si="19"/>
        <v>100</v>
      </c>
      <c r="U55" s="286"/>
      <c r="V55" s="286"/>
      <c r="W55" s="252"/>
      <c r="X55" s="199"/>
      <c r="Y55" s="199"/>
      <c r="Z55" s="199"/>
    </row>
    <row r="56" spans="1:26" ht="21" customHeight="1" x14ac:dyDescent="0.3">
      <c r="A56" s="243">
        <v>4</v>
      </c>
      <c r="B56" s="244" t="s">
        <v>78</v>
      </c>
      <c r="C56" s="245">
        <f t="shared" ca="1" si="0"/>
        <v>0</v>
      </c>
      <c r="D56" s="246">
        <f t="shared" ca="1" si="33"/>
        <v>0</v>
      </c>
      <c r="E56" s="247">
        <f ca="1">IFERROR(__xludf.DUMMYFUNCTION("IMPORTRANGE(""https://docs.google.com/spreadsheets/d/1MeEWN-I1oV_STSDYn1IFDPWt_1FKiwhDph83XaGc0o0/edit?usp=sharing"",""งบพรบ!CF56"")"),0)</f>
        <v>0</v>
      </c>
      <c r="F56" s="247">
        <f ca="1">IFERROR(__xludf.DUMMYFUNCTION("IMPORTRANGE(""https://docs.google.com/spreadsheets/d/1MeEWN-I1oV_STSDYn1IFDPWt_1FKiwhDph83XaGc0o0/edit?usp=sharing"",""งบพรบ!CG56"")"),0)</f>
        <v>0</v>
      </c>
      <c r="G56" s="247">
        <f ca="1">IFERROR(__xludf.DUMMYFUNCTION("IMPORTRANGE(""https://docs.google.com/spreadsheets/d/1MeEWN-I1oV_STSDYn1IFDPWt_1FKiwhDph83XaGc0o0/edit?usp=sharing"",""งบพรบ!CH56"")"),0)</f>
        <v>0</v>
      </c>
      <c r="H56" s="247">
        <f ca="1">IFERROR(__xludf.DUMMYFUNCTION("IMPORTRANGE(""https://docs.google.com/spreadsheets/d/1MeEWN-I1oV_STSDYn1IFDPWt_1FKiwhDph83XaGc0o0/edit?usp=sharing"",""งบพรบ!CJ56"")"),13800)</f>
        <v>13800</v>
      </c>
      <c r="I56" s="247">
        <f ca="1">IFERROR(__xludf.DUMMYFUNCTION("IMPORTRANGE(""https://docs.google.com/spreadsheets/d/1MeEWN-I1oV_STSDYn1IFDPWt_1FKiwhDph83XaGc0o0/edit?usp=sharing"",""งบพรบ!CK56"")"),0)</f>
        <v>0</v>
      </c>
      <c r="J56" s="247">
        <f t="shared" ca="1" si="3"/>
        <v>13800</v>
      </c>
      <c r="K56" s="253">
        <f t="shared" ca="1" si="4"/>
        <v>0</v>
      </c>
      <c r="L56" s="247">
        <f ca="1">IFERROR(__xludf.DUMMYFUNCTION("IMPORTRANGE(""https://docs.google.com/spreadsheets/d/1MeEWN-I1oV_STSDYn1IFDPWt_1FKiwhDph83XaGc0o0/edit?usp=sharing"",""งบพรบ!CL56"")"),13800)</f>
        <v>13800</v>
      </c>
      <c r="M56" s="250">
        <f t="shared" ca="1" si="5"/>
        <v>0</v>
      </c>
      <c r="N56" s="250">
        <f t="shared" ca="1" si="6"/>
        <v>100</v>
      </c>
      <c r="O56" s="251">
        <f ca="1">IFERROR(__xludf.DUMMYFUNCTION("IMPORTRANGE(""https://docs.google.com/spreadsheets/d/1MeEWN-I1oV_STSDYn1IFDPWt_1FKiwhDph83XaGc0o0/edit?usp=sharing"",""งบพรบ!CC56"")"),0)</f>
        <v>0</v>
      </c>
      <c r="P56" s="251">
        <f t="shared" ca="1" si="22"/>
        <v>0</v>
      </c>
      <c r="Q56" s="250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IFERROR(__xludf.DUMMYFUNCTION("IMPORTRANGE(""https://docs.google.com/spreadsheets/d/1_Zwps30dlVa-pZFsorjVf1Pil6WXwzCsJU0U2whO3NI/edit?usp=sharing"",""ชลบุรี!I176"")"),0)</f>
        <v>0</v>
      </c>
      <c r="S56" s="248">
        <f ca="1">IFERROR(__xludf.DUMMYFUNCTION("IMPORTRANGE(""https://docs.google.com/spreadsheets/d/1_Zwps30dlVa-pZFsorjVf1Pil6WXwzCsJU0U2whO3NI/edit?usp=sharing"",""ชลบุรี!J176"")"),0)</f>
        <v>0</v>
      </c>
      <c r="T56" s="252">
        <f t="shared" ca="1" si="19"/>
        <v>0</v>
      </c>
      <c r="U56" s="286"/>
      <c r="V56" s="286"/>
      <c r="W56" s="252"/>
      <c r="X56" s="199"/>
      <c r="Y56" s="199"/>
      <c r="Z56" s="199"/>
    </row>
    <row r="57" spans="1:26" ht="21" customHeight="1" x14ac:dyDescent="0.3">
      <c r="A57" s="243">
        <v>5</v>
      </c>
      <c r="B57" s="244" t="s">
        <v>79</v>
      </c>
      <c r="C57" s="245">
        <f t="shared" ca="1" si="0"/>
        <v>21050</v>
      </c>
      <c r="D57" s="246">
        <f t="shared" ca="1" si="33"/>
        <v>21050</v>
      </c>
      <c r="E57" s="247">
        <f ca="1">IFERROR(__xludf.DUMMYFUNCTION("IMPORTRANGE(""https://docs.google.com/spreadsheets/d/1MeEWN-I1oV_STSDYn1IFDPWt_1FKiwhDph83XaGc0o0/edit?usp=sharing"",""งบพรบ!CF57"")"),0)</f>
        <v>0</v>
      </c>
      <c r="F57" s="247">
        <f ca="1">IFERROR(__xludf.DUMMYFUNCTION("IMPORTRANGE(""https://docs.google.com/spreadsheets/d/1MeEWN-I1oV_STSDYn1IFDPWt_1FKiwhDph83XaGc0o0/edit?usp=sharing"",""งบพรบ!CG57"")"),21050)</f>
        <v>21050</v>
      </c>
      <c r="G57" s="247">
        <f ca="1">IFERROR(__xludf.DUMMYFUNCTION("IMPORTRANGE(""https://docs.google.com/spreadsheets/d/1MeEWN-I1oV_STSDYn1IFDPWt_1FKiwhDph83XaGc0o0/edit?usp=sharing"",""งบพรบ!CH57"")"),0)</f>
        <v>0</v>
      </c>
      <c r="H57" s="247">
        <f ca="1">IFERROR(__xludf.DUMMYFUNCTION("IMPORTRANGE(""https://docs.google.com/spreadsheets/d/1MeEWN-I1oV_STSDYn1IFDPWt_1FKiwhDph83XaGc0o0/edit?usp=sharing"",""งบพรบ!CJ57"")"),32850)</f>
        <v>32850</v>
      </c>
      <c r="I57" s="247">
        <f ca="1">IFERROR(__xludf.DUMMYFUNCTION("IMPORTRANGE(""https://docs.google.com/spreadsheets/d/1MeEWN-I1oV_STSDYn1IFDPWt_1FKiwhDph83XaGc0o0/edit?usp=sharing"",""งบพรบ!CK57"")"),0)</f>
        <v>0</v>
      </c>
      <c r="J57" s="247">
        <f t="shared" ca="1" si="3"/>
        <v>21050</v>
      </c>
      <c r="K57" s="253">
        <f t="shared" ca="1" si="4"/>
        <v>100</v>
      </c>
      <c r="L57" s="247">
        <f ca="1">IFERROR(__xludf.DUMMYFUNCTION("IMPORTRANGE(""https://docs.google.com/spreadsheets/d/1MeEWN-I1oV_STSDYn1IFDPWt_1FKiwhDph83XaGc0o0/edit?usp=sharing"",""งบพรบ!CL57"")"),21050)</f>
        <v>21050</v>
      </c>
      <c r="M57" s="250">
        <f t="shared" ca="1" si="5"/>
        <v>100</v>
      </c>
      <c r="N57" s="250">
        <f t="shared" ca="1" si="6"/>
        <v>64.079147640791476</v>
      </c>
      <c r="O57" s="251">
        <f ca="1">IFERROR(__xludf.DUMMYFUNCTION("IMPORTRANGE(""https://docs.google.com/spreadsheets/d/1MeEWN-I1oV_STSDYn1IFDPWt_1FKiwhDph83XaGc0o0/edit?usp=sharing"",""งบพรบ!CC57"")"),0)</f>
        <v>0</v>
      </c>
      <c r="P57" s="251">
        <f t="shared" ca="1" si="22"/>
        <v>0</v>
      </c>
      <c r="Q57" s="250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IFERROR(__xludf.DUMMYFUNCTION("IMPORTRANGE(""https://docs.google.com/spreadsheets/d/1xAsT4sUbBlom7l0acStESh_15nvjZcXjZM7fK5uZSq8/edit?usp=sharing"",""ชัยนาท!I176"")"),10)</f>
        <v>10</v>
      </c>
      <c r="S57" s="248">
        <f ca="1">IFERROR(__xludf.DUMMYFUNCTION("IMPORTRANGE(""https://docs.google.com/spreadsheets/d/1xAsT4sUbBlom7l0acStESh_15nvjZcXjZM7fK5uZSq8/edit?usp=sharing"",""ชัยนาท!J176"")"),10)</f>
        <v>10</v>
      </c>
      <c r="T57" s="252">
        <f t="shared" ca="1" si="19"/>
        <v>100</v>
      </c>
      <c r="U57" s="286"/>
      <c r="V57" s="286"/>
      <c r="W57" s="252"/>
      <c r="X57" s="199"/>
      <c r="Y57" s="199"/>
      <c r="Z57" s="199"/>
    </row>
    <row r="58" spans="1:26" ht="21" customHeight="1" x14ac:dyDescent="0.3">
      <c r="A58" s="243">
        <v>6</v>
      </c>
      <c r="B58" s="244" t="s">
        <v>80</v>
      </c>
      <c r="C58" s="245">
        <f t="shared" ca="1" si="0"/>
        <v>21050</v>
      </c>
      <c r="D58" s="246">
        <f t="shared" ca="1" si="33"/>
        <v>21050</v>
      </c>
      <c r="E58" s="247">
        <f ca="1">IFERROR(__xludf.DUMMYFUNCTION("IMPORTRANGE(""https://docs.google.com/spreadsheets/d/1MeEWN-I1oV_STSDYn1IFDPWt_1FKiwhDph83XaGc0o0/edit?usp=sharing"",""งบพรบ!CF58"")"),0)</f>
        <v>0</v>
      </c>
      <c r="F58" s="247">
        <f ca="1">IFERROR(__xludf.DUMMYFUNCTION("IMPORTRANGE(""https://docs.google.com/spreadsheets/d/1MeEWN-I1oV_STSDYn1IFDPWt_1FKiwhDph83XaGc0o0/edit?usp=sharing"",""งบพรบ!CG58"")"),21050)</f>
        <v>21050</v>
      </c>
      <c r="G58" s="247">
        <f ca="1">IFERROR(__xludf.DUMMYFUNCTION("IMPORTRANGE(""https://docs.google.com/spreadsheets/d/1MeEWN-I1oV_STSDYn1IFDPWt_1FKiwhDph83XaGc0o0/edit?usp=sharing"",""งบพรบ!CH58"")"),0)</f>
        <v>0</v>
      </c>
      <c r="H58" s="247">
        <f ca="1">IFERROR(__xludf.DUMMYFUNCTION("IMPORTRANGE(""https://docs.google.com/spreadsheets/d/1MeEWN-I1oV_STSDYn1IFDPWt_1FKiwhDph83XaGc0o0/edit?usp=sharing"",""งบพรบ!CJ58"")"),49240)</f>
        <v>49240</v>
      </c>
      <c r="I58" s="247">
        <f ca="1">IFERROR(__xludf.DUMMYFUNCTION("IMPORTRANGE(""https://docs.google.com/spreadsheets/d/1MeEWN-I1oV_STSDYn1IFDPWt_1FKiwhDph83XaGc0o0/edit?usp=sharing"",""งบพรบ!CK58"")"),0)</f>
        <v>0</v>
      </c>
      <c r="J58" s="247">
        <f t="shared" ca="1" si="3"/>
        <v>49240</v>
      </c>
      <c r="K58" s="253">
        <f t="shared" ca="1" si="4"/>
        <v>233.91923990498813</v>
      </c>
      <c r="L58" s="247">
        <f ca="1">IFERROR(__xludf.DUMMYFUNCTION("IMPORTRANGE(""https://docs.google.com/spreadsheets/d/1MeEWN-I1oV_STSDYn1IFDPWt_1FKiwhDph83XaGc0o0/edit?usp=sharing"",""งบพรบ!CL58"")"),49240)</f>
        <v>49240</v>
      </c>
      <c r="M58" s="250">
        <f t="shared" ca="1" si="5"/>
        <v>233.91923990498813</v>
      </c>
      <c r="N58" s="250">
        <f t="shared" ca="1" si="6"/>
        <v>100</v>
      </c>
      <c r="O58" s="251">
        <f ca="1">IFERROR(__xludf.DUMMYFUNCTION("IMPORTRANGE(""https://docs.google.com/spreadsheets/d/1MeEWN-I1oV_STSDYn1IFDPWt_1FKiwhDph83XaGc0o0/edit?usp=sharing"",""งบพรบ!CC58"")"),0)</f>
        <v>0</v>
      </c>
      <c r="P58" s="251">
        <f t="shared" ca="1" si="22"/>
        <v>0</v>
      </c>
      <c r="Q58" s="250">
        <f t="shared" ca="1" si="8"/>
        <v>0</v>
      </c>
      <c r="R58" s="248">
        <f ca="1">IFERROR(__xludf.DUMMYFUNCTION("IMPORTRANGE(""https://docs.google.com/spreadsheets/d/1vWPVBOAaZ6mHSI8yf95DNqHwTJ1cpeFsvqt6cxV34QA/edit?usp=sharing"",""ตราด!I176"")"),10)</f>
        <v>10</v>
      </c>
      <c r="S58" s="248">
        <f ca="1">IFERROR(__xludf.DUMMYFUNCTION("IMPORTRANGE(""https://docs.google.com/spreadsheets/d/1vWPVBOAaZ6mHSI8yf95DNqHwTJ1cpeFsvqt6cxV34QA/edit?usp=sharing"",""ตราด!J176"")"),10)</f>
        <v>10</v>
      </c>
      <c r="T58" s="252">
        <f t="shared" ca="1" si="19"/>
        <v>100</v>
      </c>
      <c r="U58" s="286"/>
      <c r="V58" s="286"/>
      <c r="W58" s="252"/>
      <c r="X58" s="199"/>
      <c r="Y58" s="199"/>
      <c r="Z58" s="199"/>
    </row>
    <row r="59" spans="1:26" ht="21" customHeight="1" x14ac:dyDescent="0.3">
      <c r="A59" s="243">
        <v>7</v>
      </c>
      <c r="B59" s="244" t="s">
        <v>81</v>
      </c>
      <c r="C59" s="245">
        <f t="shared" ca="1" si="0"/>
        <v>0</v>
      </c>
      <c r="D59" s="246">
        <f t="shared" ca="1" si="33"/>
        <v>0</v>
      </c>
      <c r="E59" s="247">
        <f ca="1">IFERROR(__xludf.DUMMYFUNCTION("IMPORTRANGE(""https://docs.google.com/spreadsheets/d/1MeEWN-I1oV_STSDYn1IFDPWt_1FKiwhDph83XaGc0o0/edit?usp=sharing"",""งบพรบ!CF59"")"),0)</f>
        <v>0</v>
      </c>
      <c r="F59" s="247">
        <f ca="1">IFERROR(__xludf.DUMMYFUNCTION("IMPORTRANGE(""https://docs.google.com/spreadsheets/d/1MeEWN-I1oV_STSDYn1IFDPWt_1FKiwhDph83XaGc0o0/edit?usp=sharing"",""งบพรบ!CG59"")"),0)</f>
        <v>0</v>
      </c>
      <c r="G59" s="247">
        <f ca="1">IFERROR(__xludf.DUMMYFUNCTION("IMPORTRANGE(""https://docs.google.com/spreadsheets/d/1MeEWN-I1oV_STSDYn1IFDPWt_1FKiwhDph83XaGc0o0/edit?usp=sharing"",""งบพรบ!CH59"")"),0)</f>
        <v>0</v>
      </c>
      <c r="H59" s="247">
        <f ca="1">IFERROR(__xludf.DUMMYFUNCTION("IMPORTRANGE(""https://docs.google.com/spreadsheets/d/1MeEWN-I1oV_STSDYn1IFDPWt_1FKiwhDph83XaGc0o0/edit?usp=sharing"",""งบพรบ!CJ59"")"),13000)</f>
        <v>13000</v>
      </c>
      <c r="I59" s="247">
        <f ca="1">IFERROR(__xludf.DUMMYFUNCTION("IMPORTRANGE(""https://docs.google.com/spreadsheets/d/1MeEWN-I1oV_STSDYn1IFDPWt_1FKiwhDph83XaGc0o0/edit?usp=sharing"",""งบพรบ!CK59"")"),0)</f>
        <v>0</v>
      </c>
      <c r="J59" s="247">
        <f t="shared" ca="1" si="3"/>
        <v>0</v>
      </c>
      <c r="K59" s="253">
        <f t="shared" ca="1" si="4"/>
        <v>0</v>
      </c>
      <c r="L59" s="247">
        <f ca="1">IFERROR(__xludf.DUMMYFUNCTION("IMPORTRANGE(""https://docs.google.com/spreadsheets/d/1MeEWN-I1oV_STSDYn1IFDPWt_1FKiwhDph83XaGc0o0/edit?usp=sharing"",""งบพรบ!CL59"")"),0)</f>
        <v>0</v>
      </c>
      <c r="M59" s="250">
        <f t="shared" ca="1" si="5"/>
        <v>0</v>
      </c>
      <c r="N59" s="250">
        <f t="shared" ca="1" si="6"/>
        <v>0</v>
      </c>
      <c r="O59" s="251">
        <f ca="1">IFERROR(__xludf.DUMMYFUNCTION("IMPORTRANGE(""https://docs.google.com/spreadsheets/d/1MeEWN-I1oV_STSDYn1IFDPWt_1FKiwhDph83XaGc0o0/edit?usp=sharing"",""งบพรบ!CC59"")"),0)</f>
        <v>0</v>
      </c>
      <c r="P59" s="251">
        <f t="shared" ca="1" si="22"/>
        <v>0</v>
      </c>
      <c r="Q59" s="250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IFERROR(__xludf.DUMMYFUNCTION("IMPORTRANGE(""https://docs.google.com/spreadsheets/d/1phaeSb9lTGgzDpbvVqI9hfmOQQzUom07-HEvpbARzEg/edit?usp=sharing"",""นครนายก!I176"")"),0)</f>
        <v>0</v>
      </c>
      <c r="S59" s="248">
        <f ca="1">IFERROR(__xludf.DUMMYFUNCTION("IMPORTRANGE(""https://docs.google.com/spreadsheets/d/1phaeSb9lTGgzDpbvVqI9hfmOQQzUom07-HEvpbARzEg/edit?usp=sharing"",""นครนายก!J176"")"),0)</f>
        <v>0</v>
      </c>
      <c r="T59" s="252">
        <f t="shared" ca="1" si="19"/>
        <v>0</v>
      </c>
      <c r="U59" s="286"/>
      <c r="V59" s="286"/>
      <c r="W59" s="252"/>
      <c r="X59" s="199"/>
      <c r="Y59" s="199"/>
      <c r="Z59" s="199"/>
    </row>
    <row r="60" spans="1:26" ht="21" customHeight="1" x14ac:dyDescent="0.3">
      <c r="A60" s="243">
        <v>8</v>
      </c>
      <c r="B60" s="244" t="s">
        <v>82</v>
      </c>
      <c r="C60" s="245">
        <f t="shared" ca="1" si="0"/>
        <v>22055</v>
      </c>
      <c r="D60" s="246">
        <f t="shared" ca="1" si="33"/>
        <v>22055</v>
      </c>
      <c r="E60" s="247">
        <f ca="1">IFERROR(__xludf.DUMMYFUNCTION("IMPORTRANGE(""https://docs.google.com/spreadsheets/d/1MeEWN-I1oV_STSDYn1IFDPWt_1FKiwhDph83XaGc0o0/edit?usp=sharing"",""งบพรบ!CF60"")"),0)</f>
        <v>0</v>
      </c>
      <c r="F60" s="247">
        <f ca="1">IFERROR(__xludf.DUMMYFUNCTION("IMPORTRANGE(""https://docs.google.com/spreadsheets/d/1MeEWN-I1oV_STSDYn1IFDPWt_1FKiwhDph83XaGc0o0/edit?usp=sharing"",""งบพรบ!CG60"")"),22055)</f>
        <v>22055</v>
      </c>
      <c r="G60" s="247">
        <f ca="1">IFERROR(__xludf.DUMMYFUNCTION("IMPORTRANGE(""https://docs.google.com/spreadsheets/d/1MeEWN-I1oV_STSDYn1IFDPWt_1FKiwhDph83XaGc0o0/edit?usp=sharing"",""งบพรบ!CH60"")"),0)</f>
        <v>0</v>
      </c>
      <c r="H60" s="247">
        <f ca="1">IFERROR(__xludf.DUMMYFUNCTION("IMPORTRANGE(""https://docs.google.com/spreadsheets/d/1MeEWN-I1oV_STSDYn1IFDPWt_1FKiwhDph83XaGc0o0/edit?usp=sharing"",""งบพรบ!CJ60"")"),45155)</f>
        <v>45155</v>
      </c>
      <c r="I60" s="247">
        <f ca="1">IFERROR(__xludf.DUMMYFUNCTION("IMPORTRANGE(""https://docs.google.com/spreadsheets/d/1MeEWN-I1oV_STSDYn1IFDPWt_1FKiwhDph83XaGc0o0/edit?usp=sharing"",""งบพรบ!CK60"")"),0)</f>
        <v>0</v>
      </c>
      <c r="J60" s="247">
        <f t="shared" ca="1" si="3"/>
        <v>44215</v>
      </c>
      <c r="K60" s="253">
        <f t="shared" ca="1" si="4"/>
        <v>200.47608252097029</v>
      </c>
      <c r="L60" s="247">
        <f ca="1">IFERROR(__xludf.DUMMYFUNCTION("IMPORTRANGE(""https://docs.google.com/spreadsheets/d/1MeEWN-I1oV_STSDYn1IFDPWt_1FKiwhDph83XaGc0o0/edit?usp=sharing"",""งบพรบ!CL60"")"),44215)</f>
        <v>44215</v>
      </c>
      <c r="M60" s="250">
        <f t="shared" ca="1" si="5"/>
        <v>200.47608252097029</v>
      </c>
      <c r="N60" s="250">
        <f t="shared" ca="1" si="6"/>
        <v>97.918281474919723</v>
      </c>
      <c r="O60" s="251">
        <f ca="1">IFERROR(__xludf.DUMMYFUNCTION("IMPORTRANGE(""https://docs.google.com/spreadsheets/d/1MeEWN-I1oV_STSDYn1IFDPWt_1FKiwhDph83XaGc0o0/edit?usp=sharing"",""งบพรบ!CC60"")"),0)</f>
        <v>0</v>
      </c>
      <c r="P60" s="251">
        <f t="shared" ca="1" si="22"/>
        <v>0</v>
      </c>
      <c r="Q60" s="250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IFERROR(__xludf.DUMMYFUNCTION("IMPORTRANGE(""https://docs.google.com/spreadsheets/d/1tpwhWwkqkBeiSWCcfB5f2fbwPRbM9hHOEDSDHpl2MIc/edit?usp=sharing"",""นครปฐม!I176"")"),11)</f>
        <v>11</v>
      </c>
      <c r="S60" s="248">
        <f ca="1">IFERROR(__xludf.DUMMYFUNCTION("IMPORTRANGE(""https://docs.google.com/spreadsheets/d/1tpwhWwkqkBeiSWCcfB5f2fbwPRbM9hHOEDSDHpl2MIc/edit?usp=sharing"",""นครปฐม!J176"")"),11)</f>
        <v>11</v>
      </c>
      <c r="T60" s="252">
        <f t="shared" ca="1" si="19"/>
        <v>100</v>
      </c>
      <c r="U60" s="286"/>
      <c r="V60" s="286"/>
      <c r="W60" s="252"/>
      <c r="X60" s="199"/>
      <c r="Y60" s="199"/>
      <c r="Z60" s="199"/>
    </row>
    <row r="61" spans="1:26" ht="21" customHeight="1" x14ac:dyDescent="0.3">
      <c r="A61" s="243">
        <v>9</v>
      </c>
      <c r="B61" s="244" t="s">
        <v>83</v>
      </c>
      <c r="C61" s="245">
        <f t="shared" ca="1" si="0"/>
        <v>21050</v>
      </c>
      <c r="D61" s="246">
        <f t="shared" ca="1" si="33"/>
        <v>21050</v>
      </c>
      <c r="E61" s="247">
        <f ca="1">IFERROR(__xludf.DUMMYFUNCTION("IMPORTRANGE(""https://docs.google.com/spreadsheets/d/1MeEWN-I1oV_STSDYn1IFDPWt_1FKiwhDph83XaGc0o0/edit?usp=sharing"",""งบพรบ!CF61"")"),0)</f>
        <v>0</v>
      </c>
      <c r="F61" s="247">
        <f ca="1">IFERROR(__xludf.DUMMYFUNCTION("IMPORTRANGE(""https://docs.google.com/spreadsheets/d/1MeEWN-I1oV_STSDYn1IFDPWt_1FKiwhDph83XaGc0o0/edit?usp=sharing"",""งบพรบ!CG61"")"),21050)</f>
        <v>21050</v>
      </c>
      <c r="G61" s="247">
        <f ca="1">IFERROR(__xludf.DUMMYFUNCTION("IMPORTRANGE(""https://docs.google.com/spreadsheets/d/1MeEWN-I1oV_STSDYn1IFDPWt_1FKiwhDph83XaGc0o0/edit?usp=sharing"",""งบพรบ!CH61"")"),0)</f>
        <v>0</v>
      </c>
      <c r="H61" s="247">
        <f ca="1">IFERROR(__xludf.DUMMYFUNCTION("IMPORTRANGE(""https://docs.google.com/spreadsheets/d/1MeEWN-I1oV_STSDYn1IFDPWt_1FKiwhDph83XaGc0o0/edit?usp=sharing"",""งบพรบ!CJ61"")"),43490)</f>
        <v>43490</v>
      </c>
      <c r="I61" s="247">
        <f ca="1">IFERROR(__xludf.DUMMYFUNCTION("IMPORTRANGE(""https://docs.google.com/spreadsheets/d/1MeEWN-I1oV_STSDYn1IFDPWt_1FKiwhDph83XaGc0o0/edit?usp=sharing"",""งบพรบ!CK61"")"),0)</f>
        <v>0</v>
      </c>
      <c r="J61" s="247">
        <f t="shared" ca="1" si="3"/>
        <v>40100</v>
      </c>
      <c r="K61" s="253">
        <f t="shared" ca="1" si="4"/>
        <v>190.49881235154393</v>
      </c>
      <c r="L61" s="247">
        <f ca="1">IFERROR(__xludf.DUMMYFUNCTION("IMPORTRANGE(""https://docs.google.com/spreadsheets/d/1MeEWN-I1oV_STSDYn1IFDPWt_1FKiwhDph83XaGc0o0/edit?usp=sharing"",""งบพรบ!CL61"")"),40100)</f>
        <v>40100</v>
      </c>
      <c r="M61" s="250">
        <f t="shared" ca="1" si="5"/>
        <v>190.49881235154393</v>
      </c>
      <c r="N61" s="250">
        <f t="shared" ca="1" si="6"/>
        <v>92.205104621752128</v>
      </c>
      <c r="O61" s="251">
        <f ca="1">IFERROR(__xludf.DUMMYFUNCTION("IMPORTRANGE(""https://docs.google.com/spreadsheets/d/1MeEWN-I1oV_STSDYn1IFDPWt_1FKiwhDph83XaGc0o0/edit?usp=sharing"",""งบพรบ!CC61"")"),0)</f>
        <v>0</v>
      </c>
      <c r="P61" s="251">
        <f t="shared" ca="1" si="22"/>
        <v>0</v>
      </c>
      <c r="Q61" s="250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IFERROR(__xludf.DUMMYFUNCTION("IMPORTRANGE(""https://docs.google.com/spreadsheets/d/1fJJCVBkBnhriyv0Cp5ZFMr0I_yrfdEITNpb4zILJgUQ/edit?usp=sharing"",""ปทุมธานี!I176"")"),10)</f>
        <v>10</v>
      </c>
      <c r="S61" s="248">
        <f ca="1">IFERROR(__xludf.DUMMYFUNCTION("IMPORTRANGE(""https://docs.google.com/spreadsheets/d/1fJJCVBkBnhriyv0Cp5ZFMr0I_yrfdEITNpb4zILJgUQ/edit?usp=sharing"",""ปทุมธานี!J176"")"),10)</f>
        <v>10</v>
      </c>
      <c r="T61" s="252">
        <f t="shared" ca="1" si="19"/>
        <v>100</v>
      </c>
      <c r="U61" s="286"/>
      <c r="V61" s="286"/>
      <c r="W61" s="252"/>
      <c r="X61" s="199"/>
      <c r="Y61" s="199"/>
      <c r="Z61" s="199"/>
    </row>
    <row r="62" spans="1:26" ht="21" customHeight="1" x14ac:dyDescent="0.3">
      <c r="A62" s="243">
        <v>10</v>
      </c>
      <c r="B62" s="244" t="s">
        <v>84</v>
      </c>
      <c r="C62" s="245">
        <f t="shared" ca="1" si="0"/>
        <v>21050</v>
      </c>
      <c r="D62" s="246">
        <f t="shared" ca="1" si="33"/>
        <v>21050</v>
      </c>
      <c r="E62" s="247">
        <f ca="1">IFERROR(__xludf.DUMMYFUNCTION("IMPORTRANGE(""https://docs.google.com/spreadsheets/d/1MeEWN-I1oV_STSDYn1IFDPWt_1FKiwhDph83XaGc0o0/edit?usp=sharing"",""งบพรบ!CF62"")"),0)</f>
        <v>0</v>
      </c>
      <c r="F62" s="247">
        <f ca="1">IFERROR(__xludf.DUMMYFUNCTION("IMPORTRANGE(""https://docs.google.com/spreadsheets/d/1MeEWN-I1oV_STSDYn1IFDPWt_1FKiwhDph83XaGc0o0/edit?usp=sharing"",""งบพรบ!CG62"")"),21050)</f>
        <v>21050</v>
      </c>
      <c r="G62" s="247">
        <f ca="1">IFERROR(__xludf.DUMMYFUNCTION("IMPORTRANGE(""https://docs.google.com/spreadsheets/d/1MeEWN-I1oV_STSDYn1IFDPWt_1FKiwhDph83XaGc0o0/edit?usp=sharing"",""งบพรบ!CH62"")"),0)</f>
        <v>0</v>
      </c>
      <c r="H62" s="247">
        <f ca="1">IFERROR(__xludf.DUMMYFUNCTION("IMPORTRANGE(""https://docs.google.com/spreadsheets/d/1MeEWN-I1oV_STSDYn1IFDPWt_1FKiwhDph83XaGc0o0/edit?usp=sharing"",""งบพรบ!CJ62"")"),48620)</f>
        <v>48620</v>
      </c>
      <c r="I62" s="247">
        <f ca="1">IFERROR(__xludf.DUMMYFUNCTION("IMPORTRANGE(""https://docs.google.com/spreadsheets/d/1MeEWN-I1oV_STSDYn1IFDPWt_1FKiwhDph83XaGc0o0/edit?usp=sharing"",""งบพรบ!CK62"")"),0)</f>
        <v>0</v>
      </c>
      <c r="J62" s="247">
        <f t="shared" ca="1" si="3"/>
        <v>45560</v>
      </c>
      <c r="K62" s="253">
        <f t="shared" ca="1" si="4"/>
        <v>216.43705463182897</v>
      </c>
      <c r="L62" s="247">
        <f ca="1">IFERROR(__xludf.DUMMYFUNCTION("IMPORTRANGE(""https://docs.google.com/spreadsheets/d/1MeEWN-I1oV_STSDYn1IFDPWt_1FKiwhDph83XaGc0o0/edit?usp=sharing"",""งบพรบ!CL62"")"),45560)</f>
        <v>45560</v>
      </c>
      <c r="M62" s="250">
        <f t="shared" ca="1" si="5"/>
        <v>216.43705463182897</v>
      </c>
      <c r="N62" s="250">
        <f t="shared" ca="1" si="6"/>
        <v>93.706293706293707</v>
      </c>
      <c r="O62" s="251">
        <f ca="1">IFERROR(__xludf.DUMMYFUNCTION("IMPORTRANGE(""https://docs.google.com/spreadsheets/d/1MeEWN-I1oV_STSDYn1IFDPWt_1FKiwhDph83XaGc0o0/edit?usp=sharing"",""งบพรบ!CC62"")"),0)</f>
        <v>0</v>
      </c>
      <c r="P62" s="251">
        <f t="shared" ca="1" si="22"/>
        <v>0</v>
      </c>
      <c r="Q62" s="250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248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252">
        <f t="shared" ca="1" si="19"/>
        <v>100</v>
      </c>
      <c r="U62" s="286"/>
      <c r="V62" s="286"/>
      <c r="W62" s="252"/>
      <c r="X62" s="199"/>
      <c r="Y62" s="199"/>
      <c r="Z62" s="199"/>
    </row>
    <row r="63" spans="1:26" ht="21" customHeight="1" x14ac:dyDescent="0.3">
      <c r="A63" s="243">
        <v>11</v>
      </c>
      <c r="B63" s="244" t="s">
        <v>85</v>
      </c>
      <c r="C63" s="245">
        <f t="shared" ca="1" si="0"/>
        <v>21050</v>
      </c>
      <c r="D63" s="246">
        <f t="shared" ca="1" si="33"/>
        <v>21050</v>
      </c>
      <c r="E63" s="247">
        <f ca="1">IFERROR(__xludf.DUMMYFUNCTION("IMPORTRANGE(""https://docs.google.com/spreadsheets/d/1MeEWN-I1oV_STSDYn1IFDPWt_1FKiwhDph83XaGc0o0/edit?usp=sharing"",""งบพรบ!CF63"")"),0)</f>
        <v>0</v>
      </c>
      <c r="F63" s="247">
        <f ca="1">IFERROR(__xludf.DUMMYFUNCTION("IMPORTRANGE(""https://docs.google.com/spreadsheets/d/1MeEWN-I1oV_STSDYn1IFDPWt_1FKiwhDph83XaGc0o0/edit?usp=sharing"",""งบพรบ!CG63"")"),21050)</f>
        <v>21050</v>
      </c>
      <c r="G63" s="247">
        <f ca="1">IFERROR(__xludf.DUMMYFUNCTION("IMPORTRANGE(""https://docs.google.com/spreadsheets/d/1MeEWN-I1oV_STSDYn1IFDPWt_1FKiwhDph83XaGc0o0/edit?usp=sharing"",""งบพรบ!CH63"")"),0)</f>
        <v>0</v>
      </c>
      <c r="H63" s="247">
        <f ca="1">IFERROR(__xludf.DUMMYFUNCTION("IMPORTRANGE(""https://docs.google.com/spreadsheets/d/1MeEWN-I1oV_STSDYn1IFDPWt_1FKiwhDph83XaGc0o0/edit?usp=sharing"",""งบพรบ!CJ63"")"),47630)</f>
        <v>47630</v>
      </c>
      <c r="I63" s="247">
        <f ca="1">IFERROR(__xludf.DUMMYFUNCTION("IMPORTRANGE(""https://docs.google.com/spreadsheets/d/1MeEWN-I1oV_STSDYn1IFDPWt_1FKiwhDph83XaGc0o0/edit?usp=sharing"",""งบพรบ!CK63"")"),0)</f>
        <v>0</v>
      </c>
      <c r="J63" s="247">
        <f t="shared" ca="1" si="3"/>
        <v>47440</v>
      </c>
      <c r="K63" s="253">
        <f t="shared" ca="1" si="4"/>
        <v>225.36817102137766</v>
      </c>
      <c r="L63" s="247">
        <f ca="1">IFERROR(__xludf.DUMMYFUNCTION("IMPORTRANGE(""https://docs.google.com/spreadsheets/d/1MeEWN-I1oV_STSDYn1IFDPWt_1FKiwhDph83XaGc0o0/edit?usp=sharing"",""งบพรบ!CL63"")"),47440)</f>
        <v>47440</v>
      </c>
      <c r="M63" s="250">
        <f t="shared" ca="1" si="5"/>
        <v>225.36817102137766</v>
      </c>
      <c r="N63" s="250">
        <f t="shared" ca="1" si="6"/>
        <v>99.601091748897758</v>
      </c>
      <c r="O63" s="251">
        <f ca="1">IFERROR(__xludf.DUMMYFUNCTION("IMPORTRANGE(""https://docs.google.com/spreadsheets/d/1MeEWN-I1oV_STSDYn1IFDPWt_1FKiwhDph83XaGc0o0/edit?usp=sharing"",""งบพรบ!CC63"")"),0)</f>
        <v>0</v>
      </c>
      <c r="P63" s="251">
        <f t="shared" ca="1" si="22"/>
        <v>0</v>
      </c>
      <c r="Q63" s="250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IFERROR(__xludf.DUMMYFUNCTION("IMPORTRANGE(""https://docs.google.com/spreadsheets/d/1nYxRXgnCfTXtqUY1otYuTlnrzE0Tn-Y0YRsW5pkRVqo/edit?usp=sharing"",""ปราจีนบุรี!I176"")"),10)</f>
        <v>10</v>
      </c>
      <c r="S63" s="248">
        <f ca="1">IFERROR(__xludf.DUMMYFUNCTION("IMPORTRANGE(""https://docs.google.com/spreadsheets/d/1nYxRXgnCfTXtqUY1otYuTlnrzE0Tn-Y0YRsW5pkRVqo/edit?usp=sharing"",""ปราจีนบุรี!J176"")"),10)</f>
        <v>10</v>
      </c>
      <c r="T63" s="252">
        <f t="shared" ca="1" si="19"/>
        <v>100</v>
      </c>
      <c r="U63" s="286"/>
      <c r="V63" s="286"/>
      <c r="W63" s="252"/>
      <c r="X63" s="199"/>
      <c r="Y63" s="199"/>
      <c r="Z63" s="199"/>
    </row>
    <row r="64" spans="1:26" ht="21" customHeight="1" x14ac:dyDescent="0.3">
      <c r="A64" s="243">
        <v>12</v>
      </c>
      <c r="B64" s="244" t="s">
        <v>86</v>
      </c>
      <c r="C64" s="245">
        <f t="shared" ca="1" si="0"/>
        <v>23060</v>
      </c>
      <c r="D64" s="246">
        <f t="shared" ca="1" si="33"/>
        <v>23060</v>
      </c>
      <c r="E64" s="247">
        <f ca="1">IFERROR(__xludf.DUMMYFUNCTION("IMPORTRANGE(""https://docs.google.com/spreadsheets/d/1MeEWN-I1oV_STSDYn1IFDPWt_1FKiwhDph83XaGc0o0/edit?usp=sharing"",""งบพรบ!CF64"")"),0)</f>
        <v>0</v>
      </c>
      <c r="F64" s="247">
        <f ca="1">IFERROR(__xludf.DUMMYFUNCTION("IMPORTRANGE(""https://docs.google.com/spreadsheets/d/1MeEWN-I1oV_STSDYn1IFDPWt_1FKiwhDph83XaGc0o0/edit?usp=sharing"",""งบพรบ!CG64"")"),23060)</f>
        <v>23060</v>
      </c>
      <c r="G64" s="247">
        <f ca="1">IFERROR(__xludf.DUMMYFUNCTION("IMPORTRANGE(""https://docs.google.com/spreadsheets/d/1MeEWN-I1oV_STSDYn1IFDPWt_1FKiwhDph83XaGc0o0/edit?usp=sharing"",""งบพรบ!CH64"")"),0)</f>
        <v>0</v>
      </c>
      <c r="H64" s="247">
        <f ca="1">IFERROR(__xludf.DUMMYFUNCTION("IMPORTRANGE(""https://docs.google.com/spreadsheets/d/1MeEWN-I1oV_STSDYn1IFDPWt_1FKiwhDph83XaGc0o0/edit?usp=sharing"",""งบพรบ!CJ64"")"),35660)</f>
        <v>35660</v>
      </c>
      <c r="I64" s="247">
        <f ca="1">IFERROR(__xludf.DUMMYFUNCTION("IMPORTRANGE(""https://docs.google.com/spreadsheets/d/1MeEWN-I1oV_STSDYn1IFDPWt_1FKiwhDph83XaGc0o0/edit?usp=sharing"",""งบพรบ!CK64"")"),0)</f>
        <v>0</v>
      </c>
      <c r="J64" s="247">
        <f t="shared" ca="1" si="3"/>
        <v>32760</v>
      </c>
      <c r="K64" s="253">
        <f t="shared" ca="1" si="4"/>
        <v>142.06418039895922</v>
      </c>
      <c r="L64" s="247">
        <f ca="1">IFERROR(__xludf.DUMMYFUNCTION("IMPORTRANGE(""https://docs.google.com/spreadsheets/d/1MeEWN-I1oV_STSDYn1IFDPWt_1FKiwhDph83XaGc0o0/edit?usp=sharing"",""งบพรบ!CL64"")"),32760)</f>
        <v>32760</v>
      </c>
      <c r="M64" s="250">
        <f t="shared" ca="1" si="5"/>
        <v>142.06418039895922</v>
      </c>
      <c r="N64" s="250">
        <f t="shared" ca="1" si="6"/>
        <v>91.867638810992716</v>
      </c>
      <c r="O64" s="251">
        <f ca="1">IFERROR(__xludf.DUMMYFUNCTION("IMPORTRANGE(""https://docs.google.com/spreadsheets/d/1MeEWN-I1oV_STSDYn1IFDPWt_1FKiwhDph83XaGc0o0/edit?usp=sharing"",""งบพรบ!CC64"")"),0)</f>
        <v>0</v>
      </c>
      <c r="P64" s="251">
        <f t="shared" ca="1" si="22"/>
        <v>0</v>
      </c>
      <c r="Q64" s="250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248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252">
        <f t="shared" ca="1" si="19"/>
        <v>100</v>
      </c>
      <c r="U64" s="286"/>
      <c r="V64" s="286"/>
      <c r="W64" s="252"/>
      <c r="X64" s="199"/>
      <c r="Y64" s="199"/>
      <c r="Z64" s="199"/>
    </row>
    <row r="65" spans="1:26" ht="21" customHeight="1" x14ac:dyDescent="0.3">
      <c r="A65" s="243">
        <v>13</v>
      </c>
      <c r="B65" s="244" t="s">
        <v>87</v>
      </c>
      <c r="C65" s="245">
        <f t="shared" ca="1" si="0"/>
        <v>21050</v>
      </c>
      <c r="D65" s="246">
        <f t="shared" ca="1" si="33"/>
        <v>21050</v>
      </c>
      <c r="E65" s="247">
        <f ca="1">IFERROR(__xludf.DUMMYFUNCTION("IMPORTRANGE(""https://docs.google.com/spreadsheets/d/1MeEWN-I1oV_STSDYn1IFDPWt_1FKiwhDph83XaGc0o0/edit?usp=sharing"",""งบพรบ!CF65"")"),0)</f>
        <v>0</v>
      </c>
      <c r="F65" s="247">
        <f ca="1">IFERROR(__xludf.DUMMYFUNCTION("IMPORTRANGE(""https://docs.google.com/spreadsheets/d/1MeEWN-I1oV_STSDYn1IFDPWt_1FKiwhDph83XaGc0o0/edit?usp=sharing"",""งบพรบ!CG65"")"),21050)</f>
        <v>21050</v>
      </c>
      <c r="G65" s="247">
        <f ca="1">IFERROR(__xludf.DUMMYFUNCTION("IMPORTRANGE(""https://docs.google.com/spreadsheets/d/1MeEWN-I1oV_STSDYn1IFDPWt_1FKiwhDph83XaGc0o0/edit?usp=sharing"",""งบพรบ!CH65"")"),0)</f>
        <v>0</v>
      </c>
      <c r="H65" s="247">
        <f ca="1">IFERROR(__xludf.DUMMYFUNCTION("IMPORTRANGE(""https://docs.google.com/spreadsheets/d/1MeEWN-I1oV_STSDYn1IFDPWt_1FKiwhDph83XaGc0o0/edit?usp=sharing"",""งบพรบ!CJ65"")"),46990)</f>
        <v>46990</v>
      </c>
      <c r="I65" s="247">
        <f ca="1">IFERROR(__xludf.DUMMYFUNCTION("IMPORTRANGE(""https://docs.google.com/spreadsheets/d/1MeEWN-I1oV_STSDYn1IFDPWt_1FKiwhDph83XaGc0o0/edit?usp=sharing"",""งบพรบ!CK65"")"),0)</f>
        <v>0</v>
      </c>
      <c r="J65" s="247">
        <f t="shared" ca="1" si="3"/>
        <v>46990</v>
      </c>
      <c r="K65" s="253">
        <f t="shared" ca="1" si="4"/>
        <v>223.23040380047505</v>
      </c>
      <c r="L65" s="247">
        <f ca="1">IFERROR(__xludf.DUMMYFUNCTION("IMPORTRANGE(""https://docs.google.com/spreadsheets/d/1MeEWN-I1oV_STSDYn1IFDPWt_1FKiwhDph83XaGc0o0/edit?usp=sharing"",""งบพรบ!CL65"")"),46990)</f>
        <v>46990</v>
      </c>
      <c r="M65" s="250">
        <f t="shared" ca="1" si="5"/>
        <v>223.23040380047505</v>
      </c>
      <c r="N65" s="250">
        <f t="shared" ca="1" si="6"/>
        <v>100</v>
      </c>
      <c r="O65" s="251">
        <f ca="1">IFERROR(__xludf.DUMMYFUNCTION("IMPORTRANGE(""https://docs.google.com/spreadsheets/d/1MeEWN-I1oV_STSDYn1IFDPWt_1FKiwhDph83XaGc0o0/edit?usp=sharing"",""งบพรบ!CC65"")"),0)</f>
        <v>0</v>
      </c>
      <c r="P65" s="251">
        <f t="shared" ca="1" si="22"/>
        <v>0</v>
      </c>
      <c r="Q65" s="250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IFERROR(__xludf.DUMMYFUNCTION("IMPORTRANGE(""https://docs.google.com/spreadsheets/d/1CdNicvf3i6yt4tJlCePe3V1Va76wYqW0QzMzTsaGRrA/edit?usp=sharing"",""เพชรบุรี!I176"")"),10)</f>
        <v>10</v>
      </c>
      <c r="S65" s="248">
        <f ca="1">IFERROR(__xludf.DUMMYFUNCTION("IMPORTRANGE(""https://docs.google.com/spreadsheets/d/1CdNicvf3i6yt4tJlCePe3V1Va76wYqW0QzMzTsaGRrA/edit?usp=sharing"",""เพชรบุรี!J176"")"),10)</f>
        <v>10</v>
      </c>
      <c r="T65" s="252">
        <f t="shared" ca="1" si="19"/>
        <v>100</v>
      </c>
      <c r="U65" s="286"/>
      <c r="V65" s="286"/>
      <c r="W65" s="252"/>
      <c r="X65" s="199"/>
      <c r="Y65" s="199"/>
      <c r="Z65" s="199"/>
    </row>
    <row r="66" spans="1:26" ht="21" customHeight="1" x14ac:dyDescent="0.3">
      <c r="A66" s="243">
        <v>14</v>
      </c>
      <c r="B66" s="244" t="s">
        <v>88</v>
      </c>
      <c r="C66" s="245">
        <f t="shared" ca="1" si="0"/>
        <v>21050</v>
      </c>
      <c r="D66" s="246">
        <f t="shared" ca="1" si="33"/>
        <v>21050</v>
      </c>
      <c r="E66" s="247">
        <f ca="1">IFERROR(__xludf.DUMMYFUNCTION("IMPORTRANGE(""https://docs.google.com/spreadsheets/d/1MeEWN-I1oV_STSDYn1IFDPWt_1FKiwhDph83XaGc0o0/edit?usp=sharing"",""งบพรบ!CF66"")"),0)</f>
        <v>0</v>
      </c>
      <c r="F66" s="247">
        <f ca="1">IFERROR(__xludf.DUMMYFUNCTION("IMPORTRANGE(""https://docs.google.com/spreadsheets/d/1MeEWN-I1oV_STSDYn1IFDPWt_1FKiwhDph83XaGc0o0/edit?usp=sharing"",""งบพรบ!CG66"")"),21050)</f>
        <v>21050</v>
      </c>
      <c r="G66" s="247">
        <f ca="1">IFERROR(__xludf.DUMMYFUNCTION("IMPORTRANGE(""https://docs.google.com/spreadsheets/d/1MeEWN-I1oV_STSDYn1IFDPWt_1FKiwhDph83XaGc0o0/edit?usp=sharing"",""งบพรบ!CH66"")"),0)</f>
        <v>0</v>
      </c>
      <c r="H66" s="247">
        <f ca="1">IFERROR(__xludf.DUMMYFUNCTION("IMPORTRANGE(""https://docs.google.com/spreadsheets/d/1MeEWN-I1oV_STSDYn1IFDPWt_1FKiwhDph83XaGc0o0/edit?usp=sharing"",""งบพรบ!CJ66"")"),47360)</f>
        <v>47360</v>
      </c>
      <c r="I66" s="247">
        <f ca="1">IFERROR(__xludf.DUMMYFUNCTION("IMPORTRANGE(""https://docs.google.com/spreadsheets/d/1MeEWN-I1oV_STSDYn1IFDPWt_1FKiwhDph83XaGc0o0/edit?usp=sharing"",""งบพรบ!CK66"")"),0)</f>
        <v>0</v>
      </c>
      <c r="J66" s="247">
        <f t="shared" ca="1" si="3"/>
        <v>47360</v>
      </c>
      <c r="K66" s="253">
        <f t="shared" ca="1" si="4"/>
        <v>224.98812351543944</v>
      </c>
      <c r="L66" s="247">
        <f ca="1">IFERROR(__xludf.DUMMYFUNCTION("IMPORTRANGE(""https://docs.google.com/spreadsheets/d/1MeEWN-I1oV_STSDYn1IFDPWt_1FKiwhDph83XaGc0o0/edit?usp=sharing"",""งบพรบ!CL66"")"),47360)</f>
        <v>47360</v>
      </c>
      <c r="M66" s="250">
        <f t="shared" ca="1" si="5"/>
        <v>224.98812351543944</v>
      </c>
      <c r="N66" s="250">
        <f t="shared" ca="1" si="6"/>
        <v>100</v>
      </c>
      <c r="O66" s="251">
        <f ca="1">IFERROR(__xludf.DUMMYFUNCTION("IMPORTRANGE(""https://docs.google.com/spreadsheets/d/1MeEWN-I1oV_STSDYn1IFDPWt_1FKiwhDph83XaGc0o0/edit?usp=sharing"",""งบพรบ!CC66"")"),0)</f>
        <v>0</v>
      </c>
      <c r="P66" s="251">
        <f t="shared" ca="1" si="22"/>
        <v>0</v>
      </c>
      <c r="Q66" s="250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IFERROR(__xludf.DUMMYFUNCTION("IMPORTRANGE(""https://docs.google.com/spreadsheets/d/1XiF77UIVHV0Kjc6xbXuOuJ10WgJYxd4p_22ngKVV5oM/edit?usp=sharing"",""ระยอง!I176"")"),10)</f>
        <v>10</v>
      </c>
      <c r="S66" s="248">
        <f ca="1">IFERROR(__xludf.DUMMYFUNCTION("IMPORTRANGE(""https://docs.google.com/spreadsheets/d/1XiF77UIVHV0Kjc6xbXuOuJ10WgJYxd4p_22ngKVV5oM/edit?usp=sharing"",""ระยอง!J176"")"),10)</f>
        <v>10</v>
      </c>
      <c r="T66" s="252">
        <f t="shared" ca="1" si="19"/>
        <v>100</v>
      </c>
      <c r="U66" s="286"/>
      <c r="V66" s="286"/>
      <c r="W66" s="252"/>
      <c r="X66" s="199"/>
      <c r="Y66" s="199"/>
      <c r="Z66" s="199"/>
    </row>
    <row r="67" spans="1:26" ht="21" customHeight="1" x14ac:dyDescent="0.3">
      <c r="A67" s="243">
        <v>15</v>
      </c>
      <c r="B67" s="244" t="s">
        <v>89</v>
      </c>
      <c r="C67" s="245">
        <f t="shared" ca="1" si="0"/>
        <v>21050</v>
      </c>
      <c r="D67" s="246">
        <f t="shared" ca="1" si="33"/>
        <v>21050</v>
      </c>
      <c r="E67" s="247">
        <f ca="1">IFERROR(__xludf.DUMMYFUNCTION("IMPORTRANGE(""https://docs.google.com/spreadsheets/d/1MeEWN-I1oV_STSDYn1IFDPWt_1FKiwhDph83XaGc0o0/edit?usp=sharing"",""งบพรบ!CF67"")"),0)</f>
        <v>0</v>
      </c>
      <c r="F67" s="247">
        <f ca="1">IFERROR(__xludf.DUMMYFUNCTION("IMPORTRANGE(""https://docs.google.com/spreadsheets/d/1MeEWN-I1oV_STSDYn1IFDPWt_1FKiwhDph83XaGc0o0/edit?usp=sharing"",""งบพรบ!CG67"")"),21050)</f>
        <v>21050</v>
      </c>
      <c r="G67" s="247">
        <f ca="1">IFERROR(__xludf.DUMMYFUNCTION("IMPORTRANGE(""https://docs.google.com/spreadsheets/d/1MeEWN-I1oV_STSDYn1IFDPWt_1FKiwhDph83XaGc0o0/edit?usp=sharing"",""งบพรบ!CH67"")"),0)</f>
        <v>0</v>
      </c>
      <c r="H67" s="247">
        <f ca="1">IFERROR(__xludf.DUMMYFUNCTION("IMPORTRANGE(""https://docs.google.com/spreadsheets/d/1MeEWN-I1oV_STSDYn1IFDPWt_1FKiwhDph83XaGc0o0/edit?usp=sharing"",""งบพรบ!CJ67"")"),46540)</f>
        <v>46540</v>
      </c>
      <c r="I67" s="247">
        <f ca="1">IFERROR(__xludf.DUMMYFUNCTION("IMPORTRANGE(""https://docs.google.com/spreadsheets/d/1MeEWN-I1oV_STSDYn1IFDPWt_1FKiwhDph83XaGc0o0/edit?usp=sharing"",""งบพรบ!CK67"")"),0)</f>
        <v>0</v>
      </c>
      <c r="J67" s="247">
        <f t="shared" ca="1" si="3"/>
        <v>42030</v>
      </c>
      <c r="K67" s="253">
        <f t="shared" ca="1" si="4"/>
        <v>199.66745843230404</v>
      </c>
      <c r="L67" s="247">
        <f ca="1">IFERROR(__xludf.DUMMYFUNCTION("IMPORTRANGE(""https://docs.google.com/spreadsheets/d/1MeEWN-I1oV_STSDYn1IFDPWt_1FKiwhDph83XaGc0o0/edit?usp=sharing"",""งบพรบ!CL67"")"),42030)</f>
        <v>42030</v>
      </c>
      <c r="M67" s="250">
        <f t="shared" ca="1" si="5"/>
        <v>199.66745843230404</v>
      </c>
      <c r="N67" s="250">
        <f t="shared" ca="1" si="6"/>
        <v>90.309411259131934</v>
      </c>
      <c r="O67" s="251">
        <f ca="1">IFERROR(__xludf.DUMMYFUNCTION("IMPORTRANGE(""https://docs.google.com/spreadsheets/d/1MeEWN-I1oV_STSDYn1IFDPWt_1FKiwhDph83XaGc0o0/edit?usp=sharing"",""งบพรบ!CC67"")"),0)</f>
        <v>0</v>
      </c>
      <c r="P67" s="251">
        <f t="shared" ca="1" si="22"/>
        <v>0</v>
      </c>
      <c r="Q67" s="250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IFERROR(__xludf.DUMMYFUNCTION("IMPORTRANGE(""https://docs.google.com/spreadsheets/d/1qU-W_9MCQD1pgIVXGEOjCFo9QqlmJywuebyGgaN92r8/edit?usp=sharing"",""ราชบุรี!I176"")"),10)</f>
        <v>10</v>
      </c>
      <c r="S67" s="248">
        <f ca="1">IFERROR(__xludf.DUMMYFUNCTION("IMPORTRANGE(""https://docs.google.com/spreadsheets/d/1qU-W_9MCQD1pgIVXGEOjCFo9QqlmJywuebyGgaN92r8/edit?usp=sharing"",""ราชบุรี!J176"")"),10)</f>
        <v>10</v>
      </c>
      <c r="T67" s="252">
        <f t="shared" ca="1" si="19"/>
        <v>100</v>
      </c>
      <c r="U67" s="286"/>
      <c r="V67" s="286"/>
      <c r="W67" s="252"/>
      <c r="X67" s="199"/>
      <c r="Y67" s="199"/>
      <c r="Z67" s="199"/>
    </row>
    <row r="68" spans="1:26" ht="24" customHeight="1" x14ac:dyDescent="0.3">
      <c r="A68" s="243">
        <v>16</v>
      </c>
      <c r="B68" s="244" t="s">
        <v>90</v>
      </c>
      <c r="C68" s="245">
        <f t="shared" ca="1" si="0"/>
        <v>23060</v>
      </c>
      <c r="D68" s="246">
        <f t="shared" ca="1" si="33"/>
        <v>23060</v>
      </c>
      <c r="E68" s="247">
        <f ca="1">IFERROR(__xludf.DUMMYFUNCTION("IMPORTRANGE(""https://docs.google.com/spreadsheets/d/1MeEWN-I1oV_STSDYn1IFDPWt_1FKiwhDph83XaGc0o0/edit?usp=sharing"",""งบพรบ!CF68"")"),0)</f>
        <v>0</v>
      </c>
      <c r="F68" s="247">
        <f ca="1">IFERROR(__xludf.DUMMYFUNCTION("IMPORTRANGE(""https://docs.google.com/spreadsheets/d/1MeEWN-I1oV_STSDYn1IFDPWt_1FKiwhDph83XaGc0o0/edit?usp=sharing"",""งบพรบ!CG68"")"),23060)</f>
        <v>23060</v>
      </c>
      <c r="G68" s="247">
        <f ca="1">IFERROR(__xludf.DUMMYFUNCTION("IMPORTRANGE(""https://docs.google.com/spreadsheets/d/1MeEWN-I1oV_STSDYn1IFDPWt_1FKiwhDph83XaGc0o0/edit?usp=sharing"",""งบพรบ!CH68"")"),0)</f>
        <v>0</v>
      </c>
      <c r="H68" s="247">
        <f ca="1">IFERROR(__xludf.DUMMYFUNCTION("IMPORTRANGE(""https://docs.google.com/spreadsheets/d/1MeEWN-I1oV_STSDYn1IFDPWt_1FKiwhDph83XaGc0o0/edit?usp=sharing"",""งบพรบ!CJ68"")"),35260)</f>
        <v>35260</v>
      </c>
      <c r="I68" s="247">
        <f ca="1">IFERROR(__xludf.DUMMYFUNCTION("IMPORTRANGE(""https://docs.google.com/spreadsheets/d/1MeEWN-I1oV_STSDYn1IFDPWt_1FKiwhDph83XaGc0o0/edit?usp=sharing"",""งบพรบ!CK68"")"),0)</f>
        <v>0</v>
      </c>
      <c r="J68" s="247">
        <f t="shared" ca="1" si="3"/>
        <v>23060</v>
      </c>
      <c r="K68" s="253">
        <f t="shared" ca="1" si="4"/>
        <v>100</v>
      </c>
      <c r="L68" s="247">
        <f ca="1">IFERROR(__xludf.DUMMYFUNCTION("IMPORTRANGE(""https://docs.google.com/spreadsheets/d/1MeEWN-I1oV_STSDYn1IFDPWt_1FKiwhDph83XaGc0o0/edit?usp=sharing"",""งบพรบ!CL68"")"),23060)</f>
        <v>23060</v>
      </c>
      <c r="M68" s="250">
        <f t="shared" ca="1" si="5"/>
        <v>100</v>
      </c>
      <c r="N68" s="250">
        <f t="shared" ca="1" si="6"/>
        <v>65.399886557005104</v>
      </c>
      <c r="O68" s="251">
        <f ca="1">IFERROR(__xludf.DUMMYFUNCTION("IMPORTRANGE(""https://docs.google.com/spreadsheets/d/1MeEWN-I1oV_STSDYn1IFDPWt_1FKiwhDph83XaGc0o0/edit?usp=sharing"",""งบพรบ!CC68"")"),0)</f>
        <v>0</v>
      </c>
      <c r="P68" s="251">
        <f t="shared" ca="1" si="22"/>
        <v>0</v>
      </c>
      <c r="Q68" s="250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IFERROR(__xludf.DUMMYFUNCTION("IMPORTRANGE(""https://docs.google.com/spreadsheets/d/1xYFIxIM_CspAP5Q-5Zx_V0T_Ut3cjryrjd2hss28vGk/edit?usp=sharing"",""ลพบุรี!I176"")"),12)</f>
        <v>12</v>
      </c>
      <c r="S68" s="248">
        <f ca="1">IFERROR(__xludf.DUMMYFUNCTION("IMPORTRANGE(""https://docs.google.com/spreadsheets/d/1xYFIxIM_CspAP5Q-5Zx_V0T_Ut3cjryrjd2hss28vGk/edit?usp=sharing"",""ลพบุรี!J176"")"),12)</f>
        <v>12</v>
      </c>
      <c r="T68" s="252">
        <f t="shared" ca="1" si="19"/>
        <v>100</v>
      </c>
      <c r="U68" s="286"/>
      <c r="V68" s="286"/>
      <c r="W68" s="252"/>
      <c r="X68" s="199"/>
      <c r="Y68" s="199"/>
      <c r="Z68" s="199"/>
    </row>
    <row r="69" spans="1:26" ht="21" customHeight="1" x14ac:dyDescent="0.3">
      <c r="A69" s="243">
        <v>17</v>
      </c>
      <c r="B69" s="244" t="s">
        <v>91</v>
      </c>
      <c r="C69" s="245">
        <f t="shared" ca="1" si="0"/>
        <v>21050</v>
      </c>
      <c r="D69" s="246">
        <f t="shared" ca="1" si="33"/>
        <v>21050</v>
      </c>
      <c r="E69" s="247">
        <f ca="1">IFERROR(__xludf.DUMMYFUNCTION("IMPORTRANGE(""https://docs.google.com/spreadsheets/d/1MeEWN-I1oV_STSDYn1IFDPWt_1FKiwhDph83XaGc0o0/edit?usp=sharing"",""งบพรบ!CF69"")"),0)</f>
        <v>0</v>
      </c>
      <c r="F69" s="247">
        <f ca="1">IFERROR(__xludf.DUMMYFUNCTION("IMPORTRANGE(""https://docs.google.com/spreadsheets/d/1MeEWN-I1oV_STSDYn1IFDPWt_1FKiwhDph83XaGc0o0/edit?usp=sharing"",""งบพรบ!CG69"")"),21050)</f>
        <v>21050</v>
      </c>
      <c r="G69" s="247">
        <f ca="1">IFERROR(__xludf.DUMMYFUNCTION("IMPORTRANGE(""https://docs.google.com/spreadsheets/d/1MeEWN-I1oV_STSDYn1IFDPWt_1FKiwhDph83XaGc0o0/edit?usp=sharing"",""งบพรบ!CH69"")"),0)</f>
        <v>0</v>
      </c>
      <c r="H69" s="247">
        <f ca="1">IFERROR(__xludf.DUMMYFUNCTION("IMPORTRANGE(""https://docs.google.com/spreadsheets/d/1MeEWN-I1oV_STSDYn1IFDPWt_1FKiwhDph83XaGc0o0/edit?usp=sharing"",""งบพรบ!CJ69"")"),34850)</f>
        <v>34850</v>
      </c>
      <c r="I69" s="247">
        <f ca="1">IFERROR(__xludf.DUMMYFUNCTION("IMPORTRANGE(""https://docs.google.com/spreadsheets/d/1MeEWN-I1oV_STSDYn1IFDPWt_1FKiwhDph83XaGc0o0/edit?usp=sharing"",""งบพรบ!CK69"")"),0)</f>
        <v>0</v>
      </c>
      <c r="J69" s="247">
        <f t="shared" ca="1" si="3"/>
        <v>34850</v>
      </c>
      <c r="K69" s="253">
        <f t="shared" ca="1" si="4"/>
        <v>165.55819477434679</v>
      </c>
      <c r="L69" s="247">
        <f ca="1">IFERROR(__xludf.DUMMYFUNCTION("IMPORTRANGE(""https://docs.google.com/spreadsheets/d/1MeEWN-I1oV_STSDYn1IFDPWt_1FKiwhDph83XaGc0o0/edit?usp=sharing"",""งบพรบ!CL69"")"),34850)</f>
        <v>34850</v>
      </c>
      <c r="M69" s="250">
        <f t="shared" ca="1" si="5"/>
        <v>165.55819477434679</v>
      </c>
      <c r="N69" s="250">
        <f t="shared" ca="1" si="6"/>
        <v>100</v>
      </c>
      <c r="O69" s="251">
        <f ca="1">IFERROR(__xludf.DUMMYFUNCTION("IMPORTRANGE(""https://docs.google.com/spreadsheets/d/1MeEWN-I1oV_STSDYn1IFDPWt_1FKiwhDph83XaGc0o0/edit?usp=sharing"",""งบพรบ!CC69"")"),0)</f>
        <v>0</v>
      </c>
      <c r="P69" s="251">
        <f t="shared" ca="1" si="22"/>
        <v>0</v>
      </c>
      <c r="Q69" s="250">
        <f t="shared" ca="1" si="8"/>
        <v>0</v>
      </c>
      <c r="R69" s="248">
        <f ca="1">IFERROR(__xludf.DUMMYFUNCTION("IMPORTRANGE(""https://docs.google.com/spreadsheets/d/11s9m3tKsCBdPWq6syhZm27eBGbKneDLZc75co106bio/edit?usp=sharing"",""สระแก้ว!I176"")"),10)</f>
        <v>10</v>
      </c>
      <c r="S69" s="248">
        <f ca="1">IFERROR(__xludf.DUMMYFUNCTION("IMPORTRANGE(""https://docs.google.com/spreadsheets/d/11s9m3tKsCBdPWq6syhZm27eBGbKneDLZc75co106bio/edit?usp=sharing"",""สระแก้ว!J176"")"),10)</f>
        <v>10</v>
      </c>
      <c r="T69" s="252">
        <f t="shared" ca="1" si="19"/>
        <v>100</v>
      </c>
      <c r="U69" s="286"/>
      <c r="V69" s="286"/>
      <c r="W69" s="252"/>
      <c r="X69" s="199"/>
      <c r="Y69" s="199"/>
      <c r="Z69" s="199"/>
    </row>
    <row r="70" spans="1:26" ht="21" customHeight="1" x14ac:dyDescent="0.3">
      <c r="A70" s="243">
        <v>18</v>
      </c>
      <c r="B70" s="244" t="s">
        <v>92</v>
      </c>
      <c r="C70" s="245">
        <f t="shared" ca="1" si="0"/>
        <v>23060</v>
      </c>
      <c r="D70" s="246">
        <f t="shared" ca="1" si="33"/>
        <v>23060</v>
      </c>
      <c r="E70" s="247">
        <f ca="1">IFERROR(__xludf.DUMMYFUNCTION("IMPORTRANGE(""https://docs.google.com/spreadsheets/d/1MeEWN-I1oV_STSDYn1IFDPWt_1FKiwhDph83XaGc0o0/edit?usp=sharing"",""งบพรบ!CF70"")"),0)</f>
        <v>0</v>
      </c>
      <c r="F70" s="247">
        <f ca="1">IFERROR(__xludf.DUMMYFUNCTION("IMPORTRANGE(""https://docs.google.com/spreadsheets/d/1MeEWN-I1oV_STSDYn1IFDPWt_1FKiwhDph83XaGc0o0/edit?usp=sharing"",""งบพรบ!CG70"")"),23060)</f>
        <v>23060</v>
      </c>
      <c r="G70" s="247">
        <f ca="1">IFERROR(__xludf.DUMMYFUNCTION("IMPORTRANGE(""https://docs.google.com/spreadsheets/d/1MeEWN-I1oV_STSDYn1IFDPWt_1FKiwhDph83XaGc0o0/edit?usp=sharing"",""งบพรบ!CH70"")"),0)</f>
        <v>0</v>
      </c>
      <c r="H70" s="247">
        <f ca="1">IFERROR(__xludf.DUMMYFUNCTION("IMPORTRANGE(""https://docs.google.com/spreadsheets/d/1MeEWN-I1oV_STSDYn1IFDPWt_1FKiwhDph83XaGc0o0/edit?usp=sharing"",""งบพรบ!CJ70"")"),48860)</f>
        <v>48860</v>
      </c>
      <c r="I70" s="247">
        <f ca="1">IFERROR(__xludf.DUMMYFUNCTION("IMPORTRANGE(""https://docs.google.com/spreadsheets/d/1MeEWN-I1oV_STSDYn1IFDPWt_1FKiwhDph83XaGc0o0/edit?usp=sharing"",""งบพรบ!CK70"")"),0)</f>
        <v>0</v>
      </c>
      <c r="J70" s="247">
        <f t="shared" ca="1" si="3"/>
        <v>36260</v>
      </c>
      <c r="K70" s="253">
        <f t="shared" ca="1" si="4"/>
        <v>157.24197745013009</v>
      </c>
      <c r="L70" s="247">
        <f ca="1">IFERROR(__xludf.DUMMYFUNCTION("IMPORTRANGE(""https://docs.google.com/spreadsheets/d/1MeEWN-I1oV_STSDYn1IFDPWt_1FKiwhDph83XaGc0o0/edit?usp=sharing"",""งบพรบ!CL70"")"),36260)</f>
        <v>36260</v>
      </c>
      <c r="M70" s="250">
        <f t="shared" ca="1" si="5"/>
        <v>157.24197745013009</v>
      </c>
      <c r="N70" s="250">
        <f t="shared" ca="1" si="6"/>
        <v>74.212034383954148</v>
      </c>
      <c r="O70" s="251">
        <f ca="1">IFERROR(__xludf.DUMMYFUNCTION("IMPORTRANGE(""https://docs.google.com/spreadsheets/d/1MeEWN-I1oV_STSDYn1IFDPWt_1FKiwhDph83XaGc0o0/edit?usp=sharing"",""งบพรบ!CC70"")"),0)</f>
        <v>0</v>
      </c>
      <c r="P70" s="251">
        <f t="shared" ca="1" si="22"/>
        <v>0</v>
      </c>
      <c r="Q70" s="250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IFERROR(__xludf.DUMMYFUNCTION("IMPORTRANGE(""https://docs.google.com/spreadsheets/d/1Nn1EvsFPtXldgpgVb3Rcng2K2cls68LFQsBh2FyW0Bg/edit?usp=sharing"",""สระบุรี!I176"")"),12)</f>
        <v>12</v>
      </c>
      <c r="S70" s="248">
        <f ca="1">IFERROR(__xludf.DUMMYFUNCTION("IMPORTRANGE(""https://docs.google.com/spreadsheets/d/1Nn1EvsFPtXldgpgVb3Rcng2K2cls68LFQsBh2FyW0Bg/edit?usp=sharing"",""สระบุรี!J176"")"),12)</f>
        <v>12</v>
      </c>
      <c r="T70" s="252">
        <f t="shared" ca="1" si="19"/>
        <v>100</v>
      </c>
      <c r="U70" s="286"/>
      <c r="V70" s="286"/>
      <c r="W70" s="252"/>
      <c r="X70" s="199"/>
      <c r="Y70" s="199"/>
      <c r="Z70" s="199"/>
    </row>
    <row r="71" spans="1:26" ht="21" customHeight="1" x14ac:dyDescent="0.3">
      <c r="A71" s="243">
        <v>19</v>
      </c>
      <c r="B71" s="244" t="s">
        <v>93</v>
      </c>
      <c r="C71" s="245">
        <f t="shared" ca="1" si="0"/>
        <v>22055</v>
      </c>
      <c r="D71" s="246">
        <f t="shared" ca="1" si="33"/>
        <v>22055</v>
      </c>
      <c r="E71" s="247">
        <f ca="1">IFERROR(__xludf.DUMMYFUNCTION("IMPORTRANGE(""https://docs.google.com/spreadsheets/d/1MeEWN-I1oV_STSDYn1IFDPWt_1FKiwhDph83XaGc0o0/edit?usp=sharing"",""งบพรบ!CF71"")"),0)</f>
        <v>0</v>
      </c>
      <c r="F71" s="247">
        <f ca="1">IFERROR(__xludf.DUMMYFUNCTION("IMPORTRANGE(""https://docs.google.com/spreadsheets/d/1MeEWN-I1oV_STSDYn1IFDPWt_1FKiwhDph83XaGc0o0/edit?usp=sharing"",""งบพรบ!CG71"")"),22055)</f>
        <v>22055</v>
      </c>
      <c r="G71" s="247">
        <f ca="1">IFERROR(__xludf.DUMMYFUNCTION("IMPORTRANGE(""https://docs.google.com/spreadsheets/d/1MeEWN-I1oV_STSDYn1IFDPWt_1FKiwhDph83XaGc0o0/edit?usp=sharing"",""งบพรบ!CH71"")"),0)</f>
        <v>0</v>
      </c>
      <c r="H71" s="247">
        <f ca="1">IFERROR(__xludf.DUMMYFUNCTION("IMPORTRANGE(""https://docs.google.com/spreadsheets/d/1MeEWN-I1oV_STSDYn1IFDPWt_1FKiwhDph83XaGc0o0/edit?usp=sharing"",""งบพรบ!CJ71"")"),44425)</f>
        <v>44425</v>
      </c>
      <c r="I71" s="247">
        <f ca="1">IFERROR(__xludf.DUMMYFUNCTION("IMPORTRANGE(""https://docs.google.com/spreadsheets/d/1MeEWN-I1oV_STSDYn1IFDPWt_1FKiwhDph83XaGc0o0/edit?usp=sharing"",""งบพรบ!CK71"")"),0)</f>
        <v>0</v>
      </c>
      <c r="J71" s="247">
        <f t="shared" ca="1" si="3"/>
        <v>44425</v>
      </c>
      <c r="K71" s="253">
        <f t="shared" ca="1" si="4"/>
        <v>201.42824756291091</v>
      </c>
      <c r="L71" s="247">
        <f ca="1">IFERROR(__xludf.DUMMYFUNCTION("IMPORTRANGE(""https://docs.google.com/spreadsheets/d/1MeEWN-I1oV_STSDYn1IFDPWt_1FKiwhDph83XaGc0o0/edit?usp=sharing"",""งบพรบ!CL71"")"),44425)</f>
        <v>44425</v>
      </c>
      <c r="M71" s="250">
        <f t="shared" ca="1" si="5"/>
        <v>201.42824756291091</v>
      </c>
      <c r="N71" s="250">
        <f t="shared" ca="1" si="6"/>
        <v>100</v>
      </c>
      <c r="O71" s="251">
        <f ca="1">IFERROR(__xludf.DUMMYFUNCTION("IMPORTRANGE(""https://docs.google.com/spreadsheets/d/1MeEWN-I1oV_STSDYn1IFDPWt_1FKiwhDph83XaGc0o0/edit?usp=sharing"",""งบพรบ!CC71"")"),0)</f>
        <v>0</v>
      </c>
      <c r="P71" s="251">
        <f t="shared" ca="1" si="22"/>
        <v>0</v>
      </c>
      <c r="Q71" s="250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IFERROR(__xludf.DUMMYFUNCTION("IMPORTRANGE(""https://docs.google.com/spreadsheets/d/149xufxukrnEciK3WPbNpHwUK8BKEJxp3UcBG3Al6dA4/edit?usp=sharing"",""สิงห์บุรี!I176"")"),11)</f>
        <v>11</v>
      </c>
      <c r="S71" s="248">
        <f ca="1">IFERROR(__xludf.DUMMYFUNCTION("IMPORTRANGE(""https://docs.google.com/spreadsheets/d/149xufxukrnEciK3WPbNpHwUK8BKEJxp3UcBG3Al6dA4/edit?usp=sharing"",""สิงห์บุรี!J176"")"),11)</f>
        <v>11</v>
      </c>
      <c r="T71" s="252">
        <f t="shared" ca="1" si="19"/>
        <v>100</v>
      </c>
      <c r="U71" s="286"/>
      <c r="V71" s="286"/>
      <c r="W71" s="252"/>
      <c r="X71" s="199"/>
      <c r="Y71" s="199"/>
      <c r="Z71" s="199"/>
    </row>
    <row r="72" spans="1:26" ht="21" customHeight="1" x14ac:dyDescent="0.3">
      <c r="A72" s="243">
        <v>20</v>
      </c>
      <c r="B72" s="244" t="s">
        <v>94</v>
      </c>
      <c r="C72" s="245">
        <f t="shared" ca="1" si="0"/>
        <v>23060</v>
      </c>
      <c r="D72" s="246">
        <f t="shared" ca="1" si="33"/>
        <v>23060</v>
      </c>
      <c r="E72" s="247">
        <f ca="1">IFERROR(__xludf.DUMMYFUNCTION("IMPORTRANGE(""https://docs.google.com/spreadsheets/d/1MeEWN-I1oV_STSDYn1IFDPWt_1FKiwhDph83XaGc0o0/edit?usp=sharing"",""งบพรบ!CF72"")"),0)</f>
        <v>0</v>
      </c>
      <c r="F72" s="247">
        <f ca="1">IFERROR(__xludf.DUMMYFUNCTION("IMPORTRANGE(""https://docs.google.com/spreadsheets/d/1MeEWN-I1oV_STSDYn1IFDPWt_1FKiwhDph83XaGc0o0/edit?usp=sharing"",""งบพรบ!CG72"")"),23060)</f>
        <v>23060</v>
      </c>
      <c r="G72" s="247">
        <f ca="1">IFERROR(__xludf.DUMMYFUNCTION("IMPORTRANGE(""https://docs.google.com/spreadsheets/d/1MeEWN-I1oV_STSDYn1IFDPWt_1FKiwhDph83XaGc0o0/edit?usp=sharing"",""งบพรบ!CH72"")"),0)</f>
        <v>0</v>
      </c>
      <c r="H72" s="247">
        <f ca="1">IFERROR(__xludf.DUMMYFUNCTION("IMPORTRANGE(""https://docs.google.com/spreadsheets/d/1MeEWN-I1oV_STSDYn1IFDPWt_1FKiwhDph83XaGc0o0/edit?usp=sharing"",""งบพรบ!CJ72"")"),45550)</f>
        <v>45550</v>
      </c>
      <c r="I72" s="247">
        <f ca="1">IFERROR(__xludf.DUMMYFUNCTION("IMPORTRANGE(""https://docs.google.com/spreadsheets/d/1MeEWN-I1oV_STSDYn1IFDPWt_1FKiwhDph83XaGc0o0/edit?usp=sharing"",""งบพรบ!CK72"")"),0)</f>
        <v>0</v>
      </c>
      <c r="J72" s="247">
        <f t="shared" ca="1" si="3"/>
        <v>41810</v>
      </c>
      <c r="K72" s="253">
        <f t="shared" ca="1" si="4"/>
        <v>181.30962705984388</v>
      </c>
      <c r="L72" s="247">
        <f ca="1">IFERROR(__xludf.DUMMYFUNCTION("IMPORTRANGE(""https://docs.google.com/spreadsheets/d/1MeEWN-I1oV_STSDYn1IFDPWt_1FKiwhDph83XaGc0o0/edit?usp=sharing"",""งบพรบ!CL72"")"),41810)</f>
        <v>41810</v>
      </c>
      <c r="M72" s="250">
        <f t="shared" ca="1" si="5"/>
        <v>181.30962705984388</v>
      </c>
      <c r="N72" s="250">
        <f t="shared" ca="1" si="6"/>
        <v>91.789242590559823</v>
      </c>
      <c r="O72" s="251">
        <f ca="1">IFERROR(__xludf.DUMMYFUNCTION("IMPORTRANGE(""https://docs.google.com/spreadsheets/d/1MeEWN-I1oV_STSDYn1IFDPWt_1FKiwhDph83XaGc0o0/edit?usp=sharing"",""งบพรบ!CC72"")"),0)</f>
        <v>0</v>
      </c>
      <c r="P72" s="251">
        <f t="shared" ca="1" si="22"/>
        <v>0</v>
      </c>
      <c r="Q72" s="250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IFERROR(__xludf.DUMMYFUNCTION("IMPORTRANGE(""https://docs.google.com/spreadsheets/d/132g-zJpz2uMKimp17uOIx8A7o3w1Z25zwJyXnwsB56c/edit?usp=sharing"",""สุพรรณบุรี!I176"")"),12)</f>
        <v>12</v>
      </c>
      <c r="S72" s="248">
        <f ca="1">IFERROR(__xludf.DUMMYFUNCTION("IMPORTRANGE(""https://docs.google.com/spreadsheets/d/132g-zJpz2uMKimp17uOIx8A7o3w1Z25zwJyXnwsB56c/edit?usp=sharing"",""สุพรรณบุรี!J176"")"),12)</f>
        <v>12</v>
      </c>
      <c r="T72" s="252">
        <f t="shared" ca="1" si="19"/>
        <v>100</v>
      </c>
      <c r="U72" s="286"/>
      <c r="V72" s="286"/>
      <c r="W72" s="252"/>
      <c r="X72" s="199"/>
      <c r="Y72" s="199"/>
      <c r="Z72" s="199"/>
    </row>
    <row r="73" spans="1:26" ht="21" customHeight="1" x14ac:dyDescent="0.3">
      <c r="A73" s="254">
        <v>21</v>
      </c>
      <c r="B73" s="255" t="s">
        <v>95</v>
      </c>
      <c r="C73" s="256">
        <f t="shared" ca="1" si="0"/>
        <v>0</v>
      </c>
      <c r="D73" s="257">
        <f t="shared" ca="1" si="33"/>
        <v>0</v>
      </c>
      <c r="E73" s="258">
        <f ca="1">IFERROR(__xludf.DUMMYFUNCTION("IMPORTRANGE(""https://docs.google.com/spreadsheets/d/1MeEWN-I1oV_STSDYn1IFDPWt_1FKiwhDph83XaGc0o0/edit?usp=sharing"",""งบพรบ!CF73"")"),0)</f>
        <v>0</v>
      </c>
      <c r="F73" s="258">
        <f ca="1">IFERROR(__xludf.DUMMYFUNCTION("IMPORTRANGE(""https://docs.google.com/spreadsheets/d/1MeEWN-I1oV_STSDYn1IFDPWt_1FKiwhDph83XaGc0o0/edit?usp=sharing"",""งบพรบ!CG73"")"),0)</f>
        <v>0</v>
      </c>
      <c r="G73" s="258">
        <f ca="1">IFERROR(__xludf.DUMMYFUNCTION("IMPORTRANGE(""https://docs.google.com/spreadsheets/d/1MeEWN-I1oV_STSDYn1IFDPWt_1FKiwhDph83XaGc0o0/edit?usp=sharing"",""งบพรบ!CH73"")"),0)</f>
        <v>0</v>
      </c>
      <c r="H73" s="258">
        <f ca="1">IFERROR(__xludf.DUMMYFUNCTION("IMPORTRANGE(""https://docs.google.com/spreadsheets/d/1MeEWN-I1oV_STSDYn1IFDPWt_1FKiwhDph83XaGc0o0/edit?usp=sharing"",""งบพรบ!CJ73"")"),12300)</f>
        <v>12300</v>
      </c>
      <c r="I73" s="258">
        <f ca="1">IFERROR(__xludf.DUMMYFUNCTION("IMPORTRANGE(""https://docs.google.com/spreadsheets/d/1MeEWN-I1oV_STSDYn1IFDPWt_1FKiwhDph83XaGc0o0/edit?usp=sharing"",""งบพรบ!CK73"")"),0)</f>
        <v>0</v>
      </c>
      <c r="J73" s="258">
        <f t="shared" ca="1" si="3"/>
        <v>6616</v>
      </c>
      <c r="K73" s="259">
        <f t="shared" ca="1" si="4"/>
        <v>0</v>
      </c>
      <c r="L73" s="258">
        <f ca="1">IFERROR(__xludf.DUMMYFUNCTION("IMPORTRANGE(""https://docs.google.com/spreadsheets/d/1MeEWN-I1oV_STSDYn1IFDPWt_1FKiwhDph83XaGc0o0/edit?usp=sharing"",""งบพรบ!CL73"")"),6616)</f>
        <v>6616</v>
      </c>
      <c r="M73" s="260">
        <f t="shared" ca="1" si="5"/>
        <v>0</v>
      </c>
      <c r="N73" s="260">
        <f t="shared" ca="1" si="6"/>
        <v>53.788617886178862</v>
      </c>
      <c r="O73" s="261">
        <f ca="1">IFERROR(__xludf.DUMMYFUNCTION("IMPORTRANGE(""https://docs.google.com/spreadsheets/d/1MeEWN-I1oV_STSDYn1IFDPWt_1FKiwhDph83XaGc0o0/edit?usp=sharing"",""งบพรบ!CC73"")"),0)</f>
        <v>0</v>
      </c>
      <c r="P73" s="261">
        <f t="shared" ca="1" si="22"/>
        <v>0</v>
      </c>
      <c r="Q73" s="260">
        <f t="shared" ca="1" si="8"/>
        <v>0</v>
      </c>
      <c r="R73" s="287">
        <f ca="1">IFERROR(__xludf.DUMMYFUNCTION("IMPORTRANGE(""https://docs.google.com/spreadsheets/d/12Q_U0nVnFdxDFwa0pej9xvx8ZvLC9Dpi_vRro_aiG5g/edit?usp=sharing"",""อ่างทอง!I176"")"),0)</f>
        <v>0</v>
      </c>
      <c r="S73" s="287">
        <f ca="1">IFERROR(__xludf.DUMMYFUNCTION("IMPORTRANGE(""https://docs.google.com/spreadsheets/d/12Q_U0nVnFdxDFwa0pej9xvx8ZvLC9Dpi_vRro_aiG5g/edit?usp=sharing"",""อ่างทอง!J176"")"),0)</f>
        <v>0</v>
      </c>
      <c r="T73" s="263">
        <f t="shared" ca="1" si="19"/>
        <v>0</v>
      </c>
      <c r="U73" s="288"/>
      <c r="V73" s="288"/>
      <c r="W73" s="263"/>
      <c r="X73" s="199"/>
      <c r="Y73" s="199"/>
      <c r="Z73" s="199"/>
    </row>
    <row r="74" spans="1:26" ht="21" customHeight="1" x14ac:dyDescent="0.3">
      <c r="A74" s="442" t="s">
        <v>96</v>
      </c>
      <c r="B74" s="414"/>
      <c r="C74" s="224">
        <f t="shared" ca="1" si="0"/>
        <v>271695</v>
      </c>
      <c r="D74" s="224">
        <f t="shared" ref="D74:I74" ca="1" si="34">SUM(D75:D88)</f>
        <v>271695</v>
      </c>
      <c r="E74" s="224">
        <f t="shared" ca="1" si="34"/>
        <v>0</v>
      </c>
      <c r="F74" s="224">
        <f t="shared" ca="1" si="34"/>
        <v>271695</v>
      </c>
      <c r="G74" s="224">
        <f t="shared" ca="1" si="34"/>
        <v>0</v>
      </c>
      <c r="H74" s="224">
        <f t="shared" ca="1" si="34"/>
        <v>958895</v>
      </c>
      <c r="I74" s="224">
        <f t="shared" ca="1" si="34"/>
        <v>0</v>
      </c>
      <c r="J74" s="224">
        <f t="shared" ca="1" si="3"/>
        <v>942225</v>
      </c>
      <c r="K74" s="225">
        <f t="shared" ca="1" si="4"/>
        <v>346.79511952741126</v>
      </c>
      <c r="L74" s="224">
        <f ca="1">SUM(L75:L88)</f>
        <v>942225</v>
      </c>
      <c r="M74" s="226">
        <f t="shared" ca="1" si="5"/>
        <v>346.79511952741126</v>
      </c>
      <c r="N74" s="226">
        <f t="shared" ca="1" si="6"/>
        <v>98.261540627493105</v>
      </c>
      <c r="O74" s="227">
        <f ca="1">SUM(O75:O88)</f>
        <v>0</v>
      </c>
      <c r="P74" s="227">
        <f t="shared" ca="1" si="22"/>
        <v>0</v>
      </c>
      <c r="Q74" s="226">
        <f t="shared" ca="1" si="8"/>
        <v>0</v>
      </c>
      <c r="R74" s="224">
        <f t="shared" ref="R74:S74" ca="1" si="35">SUM(R75:R88)</f>
        <v>139</v>
      </c>
      <c r="S74" s="224">
        <f t="shared" ca="1" si="35"/>
        <v>139</v>
      </c>
      <c r="T74" s="226">
        <f t="shared" ca="1" si="19"/>
        <v>100</v>
      </c>
      <c r="U74" s="224">
        <f t="shared" ref="U74:V74" si="36">SUM(U75:U88)</f>
        <v>0</v>
      </c>
      <c r="V74" s="224">
        <f t="shared" si="36"/>
        <v>0</v>
      </c>
      <c r="W74" s="226">
        <f>IF(U74&gt;0,V74*100/U74,0)</f>
        <v>0</v>
      </c>
      <c r="X74" s="199"/>
      <c r="Y74" s="199"/>
      <c r="Z74" s="199"/>
    </row>
    <row r="75" spans="1:26" ht="21" customHeight="1" x14ac:dyDescent="0.3">
      <c r="A75" s="243">
        <v>1</v>
      </c>
      <c r="B75" s="244" t="s">
        <v>97</v>
      </c>
      <c r="C75" s="245">
        <f t="shared" ca="1" si="0"/>
        <v>0</v>
      </c>
      <c r="D75" s="246">
        <f t="shared" ref="D75:D88" ca="1" si="37">+E75+F75</f>
        <v>0</v>
      </c>
      <c r="E75" s="247">
        <f ca="1">IFERROR(__xludf.DUMMYFUNCTION("IMPORTRANGE(""https://docs.google.com/spreadsheets/d/1MeEWN-I1oV_STSDYn1IFDPWt_1FKiwhDph83XaGc0o0/edit?usp=sharing"",""งบพรบ!CF75"")"),0)</f>
        <v>0</v>
      </c>
      <c r="F75" s="247">
        <f ca="1">IFERROR(__xludf.DUMMYFUNCTION("IMPORTRANGE(""https://docs.google.com/spreadsheets/d/1MeEWN-I1oV_STSDYn1IFDPWt_1FKiwhDph83XaGc0o0/edit?usp=sharing"",""งบพรบ!CG75"")"),0)</f>
        <v>0</v>
      </c>
      <c r="G75" s="247">
        <f ca="1">IFERROR(__xludf.DUMMYFUNCTION("IMPORTRANGE(""https://docs.google.com/spreadsheets/d/1MeEWN-I1oV_STSDYn1IFDPWt_1FKiwhDph83XaGc0o0/edit?usp=sharing"",""งบพรบ!CH75"")"),0)</f>
        <v>0</v>
      </c>
      <c r="H75" s="247">
        <f ca="1">IFERROR(__xludf.DUMMYFUNCTION("IMPORTRANGE(""https://docs.google.com/spreadsheets/d/1MeEWN-I1oV_STSDYn1IFDPWt_1FKiwhDph83XaGc0o0/edit?usp=sharing"",""งบพรบ!CJ75"")"),28000)</f>
        <v>28000</v>
      </c>
      <c r="I75" s="247">
        <f ca="1">IFERROR(__xludf.DUMMYFUNCTION("IMPORTRANGE(""https://docs.google.com/spreadsheets/d/1MeEWN-I1oV_STSDYn1IFDPWt_1FKiwhDph83XaGc0o0/edit?usp=sharing"",""งบพรบ!CK75"")"),0)</f>
        <v>0</v>
      </c>
      <c r="J75" s="247">
        <f t="shared" ca="1" si="3"/>
        <v>23280</v>
      </c>
      <c r="K75" s="253">
        <f t="shared" ca="1" si="4"/>
        <v>0</v>
      </c>
      <c r="L75" s="247">
        <f ca="1">IFERROR(__xludf.DUMMYFUNCTION("IMPORTRANGE(""https://docs.google.com/spreadsheets/d/1MeEWN-I1oV_STSDYn1IFDPWt_1FKiwhDph83XaGc0o0/edit?usp=sharing"",""งบพรบ!CL75"")"),23280)</f>
        <v>23280</v>
      </c>
      <c r="M75" s="250">
        <f t="shared" ca="1" si="5"/>
        <v>0</v>
      </c>
      <c r="N75" s="250">
        <f t="shared" ca="1" si="6"/>
        <v>83.142857142857139</v>
      </c>
      <c r="O75" s="251">
        <f ca="1">IFERROR(__xludf.DUMMYFUNCTION("IMPORTRANGE(""https://docs.google.com/spreadsheets/d/1MeEWN-I1oV_STSDYn1IFDPWt_1FKiwhDph83XaGc0o0/edit?usp=sharing"",""งบพรบ!CC75"")"),0)</f>
        <v>0</v>
      </c>
      <c r="P75" s="251">
        <f t="shared" ca="1" si="22"/>
        <v>0</v>
      </c>
      <c r="Q75" s="250">
        <f t="shared" ca="1" si="8"/>
        <v>0</v>
      </c>
      <c r="R75" s="248">
        <f ca="1">IFERROR(__xludf.DUMMYFUNCTION("IMPORTRANGE(""https://docs.google.com/spreadsheets/d/1kC41EOXpGBFOW658Fs3oD8beYlym0-zO54WY-2Qnp9I/edit?usp=sharing"",""กระบี่!I176"")"),0)</f>
        <v>0</v>
      </c>
      <c r="S75" s="248">
        <f ca="1">IFERROR(__xludf.DUMMYFUNCTION("IMPORTRANGE(""https://docs.google.com/spreadsheets/d/1kC41EOXpGBFOW658Fs3oD8beYlym0-zO54WY-2Qnp9I/edit?usp=sharing"",""กระบี่!J176"")"),0)</f>
        <v>0</v>
      </c>
      <c r="T75" s="252">
        <f t="shared" ca="1" si="19"/>
        <v>0</v>
      </c>
      <c r="U75" s="286"/>
      <c r="V75" s="286"/>
      <c r="W75" s="252"/>
      <c r="X75" s="199"/>
      <c r="Y75" s="199"/>
      <c r="Z75" s="199"/>
    </row>
    <row r="76" spans="1:26" ht="21" customHeight="1" x14ac:dyDescent="0.3">
      <c r="A76" s="243">
        <v>2</v>
      </c>
      <c r="B76" s="244" t="s">
        <v>98</v>
      </c>
      <c r="C76" s="245">
        <f t="shared" ca="1" si="0"/>
        <v>0</v>
      </c>
      <c r="D76" s="246">
        <f t="shared" ca="1" si="37"/>
        <v>0</v>
      </c>
      <c r="E76" s="247">
        <f ca="1">IFERROR(__xludf.DUMMYFUNCTION("IMPORTRANGE(""https://docs.google.com/spreadsheets/d/1MeEWN-I1oV_STSDYn1IFDPWt_1FKiwhDph83XaGc0o0/edit?usp=sharing"",""งบพรบ!CF76"")"),0)</f>
        <v>0</v>
      </c>
      <c r="F76" s="247">
        <f ca="1">IFERROR(__xludf.DUMMYFUNCTION("IMPORTRANGE(""https://docs.google.com/spreadsheets/d/1MeEWN-I1oV_STSDYn1IFDPWt_1FKiwhDph83XaGc0o0/edit?usp=sharing"",""งบพรบ!CG76"")"),0)</f>
        <v>0</v>
      </c>
      <c r="G76" s="247">
        <f ca="1">IFERROR(__xludf.DUMMYFUNCTION("IMPORTRANGE(""https://docs.google.com/spreadsheets/d/1MeEWN-I1oV_STSDYn1IFDPWt_1FKiwhDph83XaGc0o0/edit?usp=sharing"",""งบพรบ!CH76"")"),0)</f>
        <v>0</v>
      </c>
      <c r="H76" s="247">
        <f ca="1">IFERROR(__xludf.DUMMYFUNCTION("IMPORTRANGE(""https://docs.google.com/spreadsheets/d/1MeEWN-I1oV_STSDYn1IFDPWt_1FKiwhDph83XaGc0o0/edit?usp=sharing"",""งบพรบ!CJ76"")"),26000)</f>
        <v>26000</v>
      </c>
      <c r="I76" s="247">
        <f ca="1">IFERROR(__xludf.DUMMYFUNCTION("IMPORTRANGE(""https://docs.google.com/spreadsheets/d/1MeEWN-I1oV_STSDYn1IFDPWt_1FKiwhDph83XaGc0o0/edit?usp=sharing"",""งบพรบ!CK76"")"),0)</f>
        <v>0</v>
      </c>
      <c r="J76" s="247">
        <f t="shared" ca="1" si="3"/>
        <v>24700</v>
      </c>
      <c r="K76" s="253">
        <f t="shared" ca="1" si="4"/>
        <v>0</v>
      </c>
      <c r="L76" s="247">
        <f ca="1">IFERROR(__xludf.DUMMYFUNCTION("IMPORTRANGE(""https://docs.google.com/spreadsheets/d/1MeEWN-I1oV_STSDYn1IFDPWt_1FKiwhDph83XaGc0o0/edit?usp=sharing"",""งบพรบ!CL76"")"),24700)</f>
        <v>24700</v>
      </c>
      <c r="M76" s="250">
        <f t="shared" ca="1" si="5"/>
        <v>0</v>
      </c>
      <c r="N76" s="250">
        <f t="shared" ca="1" si="6"/>
        <v>95</v>
      </c>
      <c r="O76" s="251">
        <f ca="1">IFERROR(__xludf.DUMMYFUNCTION("IMPORTRANGE(""https://docs.google.com/spreadsheets/d/1MeEWN-I1oV_STSDYn1IFDPWt_1FKiwhDph83XaGc0o0/edit?usp=sharing"",""งบพรบ!CC76"")"),0)</f>
        <v>0</v>
      </c>
      <c r="P76" s="251">
        <f t="shared" ca="1" si="22"/>
        <v>0</v>
      </c>
      <c r="Q76" s="250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IFERROR(__xludf.DUMMYFUNCTION("IMPORTRANGE(""https://docs.google.com/spreadsheets/d/1FbzMZY_f3MDiEuK7RpCQKrilJ_kpX0Wm7QBZ1L7EjIU/edit?usp=sharing"",""ชุมพร!I176"")"),0)</f>
        <v>0</v>
      </c>
      <c r="S76" s="248">
        <f ca="1">IFERROR(__xludf.DUMMYFUNCTION("IMPORTRANGE(""https://docs.google.com/spreadsheets/d/1FbzMZY_f3MDiEuK7RpCQKrilJ_kpX0Wm7QBZ1L7EjIU/edit?usp=sharing"",""ชุมพร!J176"")"),0)</f>
        <v>0</v>
      </c>
      <c r="T76" s="252">
        <f t="shared" ca="1" si="19"/>
        <v>0</v>
      </c>
      <c r="U76" s="286"/>
      <c r="V76" s="286"/>
      <c r="W76" s="252"/>
      <c r="X76" s="199"/>
      <c r="Y76" s="199"/>
      <c r="Z76" s="199"/>
    </row>
    <row r="77" spans="1:26" ht="21" customHeight="1" x14ac:dyDescent="0.3">
      <c r="A77" s="243">
        <v>3</v>
      </c>
      <c r="B77" s="244" t="s">
        <v>99</v>
      </c>
      <c r="C77" s="245">
        <f t="shared" ca="1" si="0"/>
        <v>24065</v>
      </c>
      <c r="D77" s="246">
        <f t="shared" ca="1" si="37"/>
        <v>24065</v>
      </c>
      <c r="E77" s="247">
        <f ca="1">IFERROR(__xludf.DUMMYFUNCTION("IMPORTRANGE(""https://docs.google.com/spreadsheets/d/1MeEWN-I1oV_STSDYn1IFDPWt_1FKiwhDph83XaGc0o0/edit?usp=sharing"",""งบพรบ!CF77"")"),0)</f>
        <v>0</v>
      </c>
      <c r="F77" s="247">
        <f ca="1">IFERROR(__xludf.DUMMYFUNCTION("IMPORTRANGE(""https://docs.google.com/spreadsheets/d/1MeEWN-I1oV_STSDYn1IFDPWt_1FKiwhDph83XaGc0o0/edit?usp=sharing"",""งบพรบ!CG77"")"),24065)</f>
        <v>24065</v>
      </c>
      <c r="G77" s="247">
        <f ca="1">IFERROR(__xludf.DUMMYFUNCTION("IMPORTRANGE(""https://docs.google.com/spreadsheets/d/1MeEWN-I1oV_STSDYn1IFDPWt_1FKiwhDph83XaGc0o0/edit?usp=sharing"",""งบพรบ!CH77"")"),0)</f>
        <v>0</v>
      </c>
      <c r="H77" s="247">
        <f ca="1">IFERROR(__xludf.DUMMYFUNCTION("IMPORTRANGE(""https://docs.google.com/spreadsheets/d/1MeEWN-I1oV_STSDYn1IFDPWt_1FKiwhDph83XaGc0o0/edit?usp=sharing"",""งบพรบ!CJ77"")"),77315)</f>
        <v>77315</v>
      </c>
      <c r="I77" s="247">
        <f ca="1">IFERROR(__xludf.DUMMYFUNCTION("IMPORTRANGE(""https://docs.google.com/spreadsheets/d/1MeEWN-I1oV_STSDYn1IFDPWt_1FKiwhDph83XaGc0o0/edit?usp=sharing"",""งบพรบ!CK77"")"),0)</f>
        <v>0</v>
      </c>
      <c r="J77" s="247">
        <f t="shared" ca="1" si="3"/>
        <v>77315</v>
      </c>
      <c r="K77" s="253">
        <f t="shared" ca="1" si="4"/>
        <v>321.27571161437771</v>
      </c>
      <c r="L77" s="247">
        <f ca="1">IFERROR(__xludf.DUMMYFUNCTION("IMPORTRANGE(""https://docs.google.com/spreadsheets/d/1MeEWN-I1oV_STSDYn1IFDPWt_1FKiwhDph83XaGc0o0/edit?usp=sharing"",""งบพรบ!CL77"")"),77315)</f>
        <v>77315</v>
      </c>
      <c r="M77" s="250">
        <f t="shared" ca="1" si="5"/>
        <v>321.27571161437771</v>
      </c>
      <c r="N77" s="250">
        <f t="shared" ca="1" si="6"/>
        <v>100</v>
      </c>
      <c r="O77" s="251">
        <f ca="1">IFERROR(__xludf.DUMMYFUNCTION("IMPORTRANGE(""https://docs.google.com/spreadsheets/d/1MeEWN-I1oV_STSDYn1IFDPWt_1FKiwhDph83XaGc0o0/edit?usp=sharing"",""งบพรบ!CC77"")"),0)</f>
        <v>0</v>
      </c>
      <c r="P77" s="251">
        <f t="shared" ca="1" si="22"/>
        <v>0</v>
      </c>
      <c r="Q77" s="250">
        <f t="shared" ca="1" si="8"/>
        <v>0</v>
      </c>
      <c r="R77" s="248">
        <f ca="1">IFERROR(__xludf.DUMMYFUNCTION("IMPORTRANGE(""https://docs.google.com/spreadsheets/d/1v5sN-00LrXuhBxw4dkh2GrG_z4l5oAqOdJRBCsUyMaM/edit?usp=sharing"",""ตรัง!I176"")"),13)</f>
        <v>13</v>
      </c>
      <c r="S77" s="248">
        <f ca="1">IFERROR(__xludf.DUMMYFUNCTION("IMPORTRANGE(""https://docs.google.com/spreadsheets/d/1v5sN-00LrXuhBxw4dkh2GrG_z4l5oAqOdJRBCsUyMaM/edit?usp=sharing"",""ตรัง!J176"")"),13)</f>
        <v>13</v>
      </c>
      <c r="T77" s="252">
        <f t="shared" ca="1" si="19"/>
        <v>100</v>
      </c>
      <c r="U77" s="286"/>
      <c r="V77" s="286"/>
      <c r="W77" s="252"/>
      <c r="X77" s="199"/>
      <c r="Y77" s="199"/>
      <c r="Z77" s="199"/>
    </row>
    <row r="78" spans="1:26" ht="21" customHeight="1" x14ac:dyDescent="0.3">
      <c r="A78" s="243">
        <v>4</v>
      </c>
      <c r="B78" s="244" t="s">
        <v>100</v>
      </c>
      <c r="C78" s="245">
        <f t="shared" ca="1" si="0"/>
        <v>24065</v>
      </c>
      <c r="D78" s="246">
        <f t="shared" ca="1" si="37"/>
        <v>24065</v>
      </c>
      <c r="E78" s="247">
        <f ca="1">IFERROR(__xludf.DUMMYFUNCTION("IMPORTRANGE(""https://docs.google.com/spreadsheets/d/1MeEWN-I1oV_STSDYn1IFDPWt_1FKiwhDph83XaGc0o0/edit?usp=sharing"",""งบพรบ!CF78"")"),0)</f>
        <v>0</v>
      </c>
      <c r="F78" s="247">
        <f ca="1">IFERROR(__xludf.DUMMYFUNCTION("IMPORTRANGE(""https://docs.google.com/spreadsheets/d/1MeEWN-I1oV_STSDYn1IFDPWt_1FKiwhDph83XaGc0o0/edit?usp=sharing"",""งบพรบ!CG78"")"),24065)</f>
        <v>24065</v>
      </c>
      <c r="G78" s="247">
        <f ca="1">IFERROR(__xludf.DUMMYFUNCTION("IMPORTRANGE(""https://docs.google.com/spreadsheets/d/1MeEWN-I1oV_STSDYn1IFDPWt_1FKiwhDph83XaGc0o0/edit?usp=sharing"",""งบพรบ!CH78"")"),0)</f>
        <v>0</v>
      </c>
      <c r="H78" s="247">
        <f ca="1">IFERROR(__xludf.DUMMYFUNCTION("IMPORTRANGE(""https://docs.google.com/spreadsheets/d/1MeEWN-I1oV_STSDYn1IFDPWt_1FKiwhDph83XaGc0o0/edit?usp=sharing"",""งบพรบ!CJ78"")"),68795)</f>
        <v>68795</v>
      </c>
      <c r="I78" s="247">
        <f ca="1">IFERROR(__xludf.DUMMYFUNCTION("IMPORTRANGE(""https://docs.google.com/spreadsheets/d/1MeEWN-I1oV_STSDYn1IFDPWt_1FKiwhDph83XaGc0o0/edit?usp=sharing"",""งบพรบ!CK78"")"),0)</f>
        <v>0</v>
      </c>
      <c r="J78" s="247">
        <f t="shared" ca="1" si="3"/>
        <v>68795</v>
      </c>
      <c r="K78" s="253">
        <f t="shared" ca="1" si="4"/>
        <v>285.87159775607728</v>
      </c>
      <c r="L78" s="247">
        <f ca="1">IFERROR(__xludf.DUMMYFUNCTION("IMPORTRANGE(""https://docs.google.com/spreadsheets/d/1MeEWN-I1oV_STSDYn1IFDPWt_1FKiwhDph83XaGc0o0/edit?usp=sharing"",""งบพรบ!CL78"")"),68795)</f>
        <v>68795</v>
      </c>
      <c r="M78" s="250">
        <f t="shared" ca="1" si="5"/>
        <v>285.87159775607728</v>
      </c>
      <c r="N78" s="250">
        <f t="shared" ca="1" si="6"/>
        <v>100</v>
      </c>
      <c r="O78" s="251">
        <f ca="1">IFERROR(__xludf.DUMMYFUNCTION("IMPORTRANGE(""https://docs.google.com/spreadsheets/d/1MeEWN-I1oV_STSDYn1IFDPWt_1FKiwhDph83XaGc0o0/edit?usp=sharing"",""งบพรบ!CC78"")"),0)</f>
        <v>0</v>
      </c>
      <c r="P78" s="251">
        <f t="shared" ca="1" si="22"/>
        <v>0</v>
      </c>
      <c r="Q78" s="250">
        <f t="shared" ca="1" si="8"/>
        <v>0</v>
      </c>
      <c r="R78" s="248">
        <f ca="1">IFERROR(__xludf.DUMMYFUNCTION("IMPORTRANGE(""https://docs.google.com/spreadsheets/d/1T5rRTzFc79aSIvqnzkZNvwPstq829QYz_xALlO1Z0s8/edit?usp=sharing"",""นครศรีธรรมราช!I176"")"),13)</f>
        <v>13</v>
      </c>
      <c r="S78" s="248">
        <f ca="1">IFERROR(__xludf.DUMMYFUNCTION("IMPORTRANGE(""https://docs.google.com/spreadsheets/d/1T5rRTzFc79aSIvqnzkZNvwPstq829QYz_xALlO1Z0s8/edit?usp=sharing"",""นครศรีธรรมราช!J176"")"),13)</f>
        <v>13</v>
      </c>
      <c r="T78" s="252">
        <f t="shared" ca="1" si="19"/>
        <v>100</v>
      </c>
      <c r="U78" s="286"/>
      <c r="V78" s="286"/>
      <c r="W78" s="252"/>
      <c r="X78" s="199"/>
      <c r="Y78" s="199"/>
      <c r="Z78" s="199"/>
    </row>
    <row r="79" spans="1:26" ht="21" customHeight="1" x14ac:dyDescent="0.3">
      <c r="A79" s="243">
        <v>5</v>
      </c>
      <c r="B79" s="244" t="s">
        <v>101</v>
      </c>
      <c r="C79" s="245">
        <f t="shared" ca="1" si="0"/>
        <v>21050</v>
      </c>
      <c r="D79" s="246">
        <f t="shared" ca="1" si="37"/>
        <v>21050</v>
      </c>
      <c r="E79" s="247">
        <f ca="1">IFERROR(__xludf.DUMMYFUNCTION("IMPORTRANGE(""https://docs.google.com/spreadsheets/d/1MeEWN-I1oV_STSDYn1IFDPWt_1FKiwhDph83XaGc0o0/edit?usp=sharing"",""งบพรบ!CF79"")"),0)</f>
        <v>0</v>
      </c>
      <c r="F79" s="247">
        <f ca="1">IFERROR(__xludf.DUMMYFUNCTION("IMPORTRANGE(""https://docs.google.com/spreadsheets/d/1MeEWN-I1oV_STSDYn1IFDPWt_1FKiwhDph83XaGc0o0/edit?usp=sharing"",""งบพรบ!CG79"")"),21050)</f>
        <v>21050</v>
      </c>
      <c r="G79" s="247">
        <f ca="1">IFERROR(__xludf.DUMMYFUNCTION("IMPORTRANGE(""https://docs.google.com/spreadsheets/d/1MeEWN-I1oV_STSDYn1IFDPWt_1FKiwhDph83XaGc0o0/edit?usp=sharing"",""งบพรบ!CH79"")"),0)</f>
        <v>0</v>
      </c>
      <c r="H79" s="247">
        <f ca="1">IFERROR(__xludf.DUMMYFUNCTION("IMPORTRANGE(""https://docs.google.com/spreadsheets/d/1MeEWN-I1oV_STSDYn1IFDPWt_1FKiwhDph83XaGc0o0/edit?usp=sharing"",""งบพรบ!CJ79"")"),85940)</f>
        <v>85940</v>
      </c>
      <c r="I79" s="247">
        <f ca="1">IFERROR(__xludf.DUMMYFUNCTION("IMPORTRANGE(""https://docs.google.com/spreadsheets/d/1MeEWN-I1oV_STSDYn1IFDPWt_1FKiwhDph83XaGc0o0/edit?usp=sharing"",""งบพรบ!CK79"")"),0)</f>
        <v>0</v>
      </c>
      <c r="J79" s="247">
        <f t="shared" ca="1" si="3"/>
        <v>85940</v>
      </c>
      <c r="K79" s="253">
        <f t="shared" ca="1" si="4"/>
        <v>408.26603325415675</v>
      </c>
      <c r="L79" s="247">
        <f ca="1">IFERROR(__xludf.DUMMYFUNCTION("IMPORTRANGE(""https://docs.google.com/spreadsheets/d/1MeEWN-I1oV_STSDYn1IFDPWt_1FKiwhDph83XaGc0o0/edit?usp=sharing"",""งบพรบ!CL79"")"),85940)</f>
        <v>85940</v>
      </c>
      <c r="M79" s="250">
        <f t="shared" ca="1" si="5"/>
        <v>408.26603325415675</v>
      </c>
      <c r="N79" s="250">
        <f t="shared" ca="1" si="6"/>
        <v>100</v>
      </c>
      <c r="O79" s="251">
        <f ca="1">IFERROR(__xludf.DUMMYFUNCTION("IMPORTRANGE(""https://docs.google.com/spreadsheets/d/1MeEWN-I1oV_STSDYn1IFDPWt_1FKiwhDph83XaGc0o0/edit?usp=sharing"",""งบพรบ!CC79"")"),0)</f>
        <v>0</v>
      </c>
      <c r="P79" s="251">
        <f t="shared" ca="1" si="22"/>
        <v>0</v>
      </c>
      <c r="Q79" s="250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IFERROR(__xludf.DUMMYFUNCTION("IMPORTRANGE(""https://docs.google.com/spreadsheets/d/1BeghqumK0IvCmRd2QOy6_afsZq7ZtAGrSnVJy2u7WmY/edit?usp=sharing"",""นราธิวาส!I176"")"),10)</f>
        <v>10</v>
      </c>
      <c r="S79" s="248">
        <f ca="1">IFERROR(__xludf.DUMMYFUNCTION("IMPORTRANGE(""https://docs.google.com/spreadsheets/d/1BeghqumK0IvCmRd2QOy6_afsZq7ZtAGrSnVJy2u7WmY/edit?usp=sharing"",""นราธิวาส!J176"")"),10)</f>
        <v>10</v>
      </c>
      <c r="T79" s="252">
        <f t="shared" ca="1" si="19"/>
        <v>100</v>
      </c>
      <c r="U79" s="286"/>
      <c r="V79" s="286"/>
      <c r="W79" s="252"/>
      <c r="X79" s="199"/>
      <c r="Y79" s="199"/>
      <c r="Z79" s="199"/>
    </row>
    <row r="80" spans="1:26" ht="21" customHeight="1" x14ac:dyDescent="0.3">
      <c r="A80" s="243">
        <v>6</v>
      </c>
      <c r="B80" s="244" t="s">
        <v>102</v>
      </c>
      <c r="C80" s="245">
        <f t="shared" ca="1" si="0"/>
        <v>21050</v>
      </c>
      <c r="D80" s="246">
        <f t="shared" ca="1" si="37"/>
        <v>21050</v>
      </c>
      <c r="E80" s="247">
        <f ca="1">IFERROR(__xludf.DUMMYFUNCTION("IMPORTRANGE(""https://docs.google.com/spreadsheets/d/1MeEWN-I1oV_STSDYn1IFDPWt_1FKiwhDph83XaGc0o0/edit?usp=sharing"",""งบพรบ!CF80"")"),0)</f>
        <v>0</v>
      </c>
      <c r="F80" s="247">
        <f ca="1">IFERROR(__xludf.DUMMYFUNCTION("IMPORTRANGE(""https://docs.google.com/spreadsheets/d/1MeEWN-I1oV_STSDYn1IFDPWt_1FKiwhDph83XaGc0o0/edit?usp=sharing"",""งบพรบ!CG80"")"),21050)</f>
        <v>21050</v>
      </c>
      <c r="G80" s="247">
        <f ca="1">IFERROR(__xludf.DUMMYFUNCTION("IMPORTRANGE(""https://docs.google.com/spreadsheets/d/1MeEWN-I1oV_STSDYn1IFDPWt_1FKiwhDph83XaGc0o0/edit?usp=sharing"",""งบพรบ!CH80"")"),0)</f>
        <v>0</v>
      </c>
      <c r="H80" s="247">
        <f ca="1">IFERROR(__xludf.DUMMYFUNCTION("IMPORTRANGE(""https://docs.google.com/spreadsheets/d/1MeEWN-I1oV_STSDYn1IFDPWt_1FKiwhDph83XaGc0o0/edit?usp=sharing"",""งบพรบ!CJ80"")"),79790)</f>
        <v>79790</v>
      </c>
      <c r="I80" s="247">
        <f ca="1">IFERROR(__xludf.DUMMYFUNCTION("IMPORTRANGE(""https://docs.google.com/spreadsheets/d/1MeEWN-I1oV_STSDYn1IFDPWt_1FKiwhDph83XaGc0o0/edit?usp=sharing"",""งบพรบ!CK80"")"),0)</f>
        <v>0</v>
      </c>
      <c r="J80" s="247">
        <f t="shared" ca="1" si="3"/>
        <v>79790</v>
      </c>
      <c r="K80" s="253">
        <f t="shared" ca="1" si="4"/>
        <v>379.04988123515437</v>
      </c>
      <c r="L80" s="247">
        <f ca="1">IFERROR(__xludf.DUMMYFUNCTION("IMPORTRANGE(""https://docs.google.com/spreadsheets/d/1MeEWN-I1oV_STSDYn1IFDPWt_1FKiwhDph83XaGc0o0/edit?usp=sharing"",""งบพรบ!CL80"")"),79790)</f>
        <v>79790</v>
      </c>
      <c r="M80" s="250">
        <f t="shared" ca="1" si="5"/>
        <v>379.04988123515437</v>
      </c>
      <c r="N80" s="250">
        <f t="shared" ca="1" si="6"/>
        <v>100</v>
      </c>
      <c r="O80" s="251">
        <f ca="1">IFERROR(__xludf.DUMMYFUNCTION("IMPORTRANGE(""https://docs.google.com/spreadsheets/d/1MeEWN-I1oV_STSDYn1IFDPWt_1FKiwhDph83XaGc0o0/edit?usp=sharing"",""งบพรบ!CC80"")"),0)</f>
        <v>0</v>
      </c>
      <c r="P80" s="251">
        <f t="shared" ca="1" si="22"/>
        <v>0</v>
      </c>
      <c r="Q80" s="250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IFERROR(__xludf.DUMMYFUNCTION("IMPORTRANGE(""https://docs.google.com/spreadsheets/d/1IwnW3-jjRf74MCLW-6PiFwMUffRQXZwZA7YM609NmRc/edit?usp=sharing"",""ปัตตานี!I176"")"),10)</f>
        <v>10</v>
      </c>
      <c r="S80" s="248">
        <f ca="1">IFERROR(__xludf.DUMMYFUNCTION("IMPORTRANGE(""https://docs.google.com/spreadsheets/d/1IwnW3-jjRf74MCLW-6PiFwMUffRQXZwZA7YM609NmRc/edit?usp=sharing"",""ปัตตานี!J176"")"),10)</f>
        <v>10</v>
      </c>
      <c r="T80" s="252">
        <f t="shared" ca="1" si="19"/>
        <v>100</v>
      </c>
      <c r="U80" s="286"/>
      <c r="V80" s="286"/>
      <c r="W80" s="252"/>
      <c r="X80" s="199"/>
      <c r="Y80" s="199"/>
      <c r="Z80" s="199"/>
    </row>
    <row r="81" spans="1:26" ht="21" customHeight="1" x14ac:dyDescent="0.3">
      <c r="A81" s="243">
        <v>7</v>
      </c>
      <c r="B81" s="244" t="s">
        <v>103</v>
      </c>
      <c r="C81" s="245">
        <f t="shared" ca="1" si="0"/>
        <v>24065</v>
      </c>
      <c r="D81" s="246">
        <f t="shared" ca="1" si="37"/>
        <v>24065</v>
      </c>
      <c r="E81" s="247">
        <f ca="1">IFERROR(__xludf.DUMMYFUNCTION("IMPORTRANGE(""https://docs.google.com/spreadsheets/d/1MeEWN-I1oV_STSDYn1IFDPWt_1FKiwhDph83XaGc0o0/edit?usp=sharing"",""งบพรบ!CF81"")"),0)</f>
        <v>0</v>
      </c>
      <c r="F81" s="247">
        <f ca="1">IFERROR(__xludf.DUMMYFUNCTION("IMPORTRANGE(""https://docs.google.com/spreadsheets/d/1MeEWN-I1oV_STSDYn1IFDPWt_1FKiwhDph83XaGc0o0/edit?usp=sharing"",""งบพรบ!CG81"")"),24065)</f>
        <v>24065</v>
      </c>
      <c r="G81" s="247">
        <f ca="1">IFERROR(__xludf.DUMMYFUNCTION("IMPORTRANGE(""https://docs.google.com/spreadsheets/d/1MeEWN-I1oV_STSDYn1IFDPWt_1FKiwhDph83XaGc0o0/edit?usp=sharing"",""งบพรบ!CH81"")"),0)</f>
        <v>0</v>
      </c>
      <c r="H81" s="247">
        <f ca="1">IFERROR(__xludf.DUMMYFUNCTION("IMPORTRANGE(""https://docs.google.com/spreadsheets/d/1MeEWN-I1oV_STSDYn1IFDPWt_1FKiwhDph83XaGc0o0/edit?usp=sharing"",""งบพรบ!CJ81"")"),68955)</f>
        <v>68955</v>
      </c>
      <c r="I81" s="247">
        <f ca="1">IFERROR(__xludf.DUMMYFUNCTION("IMPORTRANGE(""https://docs.google.com/spreadsheets/d/1MeEWN-I1oV_STSDYn1IFDPWt_1FKiwhDph83XaGc0o0/edit?usp=sharing"",""งบพรบ!CK81"")"),0)</f>
        <v>0</v>
      </c>
      <c r="J81" s="247">
        <f t="shared" ca="1" si="3"/>
        <v>68955</v>
      </c>
      <c r="K81" s="253">
        <f t="shared" ca="1" si="4"/>
        <v>286.53646374402661</v>
      </c>
      <c r="L81" s="247">
        <f ca="1">IFERROR(__xludf.DUMMYFUNCTION("IMPORTRANGE(""https://docs.google.com/spreadsheets/d/1MeEWN-I1oV_STSDYn1IFDPWt_1FKiwhDph83XaGc0o0/edit?usp=sharing"",""งบพรบ!CL81"")"),68955)</f>
        <v>68955</v>
      </c>
      <c r="M81" s="250">
        <f t="shared" ca="1" si="5"/>
        <v>286.53646374402661</v>
      </c>
      <c r="N81" s="250">
        <f t="shared" ca="1" si="6"/>
        <v>100</v>
      </c>
      <c r="O81" s="251">
        <f ca="1">IFERROR(__xludf.DUMMYFUNCTION("IMPORTRANGE(""https://docs.google.com/spreadsheets/d/1MeEWN-I1oV_STSDYn1IFDPWt_1FKiwhDph83XaGc0o0/edit?usp=sharing"",""งบพรบ!CC81"")"),0)</f>
        <v>0</v>
      </c>
      <c r="P81" s="251">
        <f t="shared" ca="1" si="22"/>
        <v>0</v>
      </c>
      <c r="Q81" s="250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IFERROR(__xludf.DUMMYFUNCTION("IMPORTRANGE(""https://docs.google.com/spreadsheets/d/1vl4QWbWdFruual5o_wdo6ZSqXZ_it806oja4CctTLKs/edit?usp=sharing"",""พังงา!I176"")"),13)</f>
        <v>13</v>
      </c>
      <c r="S81" s="248">
        <f ca="1">IFERROR(__xludf.DUMMYFUNCTION("IMPORTRANGE(""https://docs.google.com/spreadsheets/d/1vl4QWbWdFruual5o_wdo6ZSqXZ_it806oja4CctTLKs/edit?usp=sharing"",""พังงา!J176"")"),13)</f>
        <v>13</v>
      </c>
      <c r="T81" s="252">
        <f t="shared" ca="1" si="19"/>
        <v>100</v>
      </c>
      <c r="U81" s="286"/>
      <c r="V81" s="286"/>
      <c r="W81" s="252"/>
      <c r="X81" s="199"/>
      <c r="Y81" s="199"/>
      <c r="Z81" s="199"/>
    </row>
    <row r="82" spans="1:26" ht="21" customHeight="1" x14ac:dyDescent="0.3">
      <c r="A82" s="243">
        <v>8</v>
      </c>
      <c r="B82" s="244" t="s">
        <v>104</v>
      </c>
      <c r="C82" s="245">
        <f t="shared" ca="1" si="0"/>
        <v>22055</v>
      </c>
      <c r="D82" s="246">
        <f t="shared" ca="1" si="37"/>
        <v>22055</v>
      </c>
      <c r="E82" s="247">
        <f ca="1">IFERROR(__xludf.DUMMYFUNCTION("IMPORTRANGE(""https://docs.google.com/spreadsheets/d/1MeEWN-I1oV_STSDYn1IFDPWt_1FKiwhDph83XaGc0o0/edit?usp=sharing"",""งบพรบ!CF82"")"),0)</f>
        <v>0</v>
      </c>
      <c r="F82" s="247">
        <f ca="1">IFERROR(__xludf.DUMMYFUNCTION("IMPORTRANGE(""https://docs.google.com/spreadsheets/d/1MeEWN-I1oV_STSDYn1IFDPWt_1FKiwhDph83XaGc0o0/edit?usp=sharing"",""งบพรบ!CG82"")"),22055)</f>
        <v>22055</v>
      </c>
      <c r="G82" s="247">
        <f ca="1">IFERROR(__xludf.DUMMYFUNCTION("IMPORTRANGE(""https://docs.google.com/spreadsheets/d/1MeEWN-I1oV_STSDYn1IFDPWt_1FKiwhDph83XaGc0o0/edit?usp=sharing"",""งบพรบ!CH82"")"),0)</f>
        <v>0</v>
      </c>
      <c r="H82" s="247">
        <f ca="1">IFERROR(__xludf.DUMMYFUNCTION("IMPORTRANGE(""https://docs.google.com/spreadsheets/d/1MeEWN-I1oV_STSDYn1IFDPWt_1FKiwhDph83XaGc0o0/edit?usp=sharing"",""งบพรบ!CJ82"")"),75575)</f>
        <v>75575</v>
      </c>
      <c r="I82" s="247">
        <f ca="1">IFERROR(__xludf.DUMMYFUNCTION("IMPORTRANGE(""https://docs.google.com/spreadsheets/d/1MeEWN-I1oV_STSDYn1IFDPWt_1FKiwhDph83XaGc0o0/edit?usp=sharing"",""งบพรบ!CK82"")"),0)</f>
        <v>0</v>
      </c>
      <c r="J82" s="247">
        <f t="shared" ca="1" si="3"/>
        <v>75575</v>
      </c>
      <c r="K82" s="253">
        <f t="shared" ca="1" si="4"/>
        <v>342.66606211743368</v>
      </c>
      <c r="L82" s="247">
        <f ca="1">IFERROR(__xludf.DUMMYFUNCTION("IMPORTRANGE(""https://docs.google.com/spreadsheets/d/1MeEWN-I1oV_STSDYn1IFDPWt_1FKiwhDph83XaGc0o0/edit?usp=sharing"",""งบพรบ!CL82"")"),75575)</f>
        <v>75575</v>
      </c>
      <c r="M82" s="250">
        <f t="shared" ca="1" si="5"/>
        <v>342.66606211743368</v>
      </c>
      <c r="N82" s="250">
        <f t="shared" ca="1" si="6"/>
        <v>100</v>
      </c>
      <c r="O82" s="251">
        <f ca="1">IFERROR(__xludf.DUMMYFUNCTION("IMPORTRANGE(""https://docs.google.com/spreadsheets/d/1MeEWN-I1oV_STSDYn1IFDPWt_1FKiwhDph83XaGc0o0/edit?usp=sharing"",""งบพรบ!CC82"")"),0)</f>
        <v>0</v>
      </c>
      <c r="P82" s="251">
        <f t="shared" ca="1" si="22"/>
        <v>0</v>
      </c>
      <c r="Q82" s="250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IFERROR(__xludf.DUMMYFUNCTION("IMPORTRANGE(""https://docs.google.com/spreadsheets/d/1b6QssHQp2FoAPSMKHOy273KNzAomaIKhtdlvuZ_zDNE/edit?usp=sharing"",""พัทลุง!I176"")"),11)</f>
        <v>11</v>
      </c>
      <c r="S82" s="248">
        <f ca="1">IFERROR(__xludf.DUMMYFUNCTION("IMPORTRANGE(""https://docs.google.com/spreadsheets/d/1b6QssHQp2FoAPSMKHOy273KNzAomaIKhtdlvuZ_zDNE/edit?usp=sharing"",""พัทลุง!J176"")"),11)</f>
        <v>11</v>
      </c>
      <c r="T82" s="252">
        <f t="shared" ca="1" si="19"/>
        <v>100</v>
      </c>
      <c r="U82" s="286"/>
      <c r="V82" s="286"/>
      <c r="W82" s="252"/>
      <c r="X82" s="199"/>
      <c r="Y82" s="199"/>
      <c r="Z82" s="199"/>
    </row>
    <row r="83" spans="1:26" ht="21" customHeight="1" x14ac:dyDescent="0.3">
      <c r="A83" s="243">
        <v>9</v>
      </c>
      <c r="B83" s="244" t="s">
        <v>105</v>
      </c>
      <c r="C83" s="245">
        <f t="shared" ca="1" si="0"/>
        <v>24065</v>
      </c>
      <c r="D83" s="246">
        <f t="shared" ca="1" si="37"/>
        <v>24065</v>
      </c>
      <c r="E83" s="247">
        <f ca="1">IFERROR(__xludf.DUMMYFUNCTION("IMPORTRANGE(""https://docs.google.com/spreadsheets/d/1MeEWN-I1oV_STSDYn1IFDPWt_1FKiwhDph83XaGc0o0/edit?usp=sharing"",""งบพรบ!CF83"")"),0)</f>
        <v>0</v>
      </c>
      <c r="F83" s="247">
        <f ca="1">IFERROR(__xludf.DUMMYFUNCTION("IMPORTRANGE(""https://docs.google.com/spreadsheets/d/1MeEWN-I1oV_STSDYn1IFDPWt_1FKiwhDph83XaGc0o0/edit?usp=sharing"",""งบพรบ!CG83"")"),24065)</f>
        <v>24065</v>
      </c>
      <c r="G83" s="247">
        <f ca="1">IFERROR(__xludf.DUMMYFUNCTION("IMPORTRANGE(""https://docs.google.com/spreadsheets/d/1MeEWN-I1oV_STSDYn1IFDPWt_1FKiwhDph83XaGc0o0/edit?usp=sharing"",""งบพรบ!CH83"")"),0)</f>
        <v>0</v>
      </c>
      <c r="H83" s="247">
        <f ca="1">IFERROR(__xludf.DUMMYFUNCTION("IMPORTRANGE(""https://docs.google.com/spreadsheets/d/1MeEWN-I1oV_STSDYn1IFDPWt_1FKiwhDph83XaGc0o0/edit?usp=sharing"",""งบพรบ!CJ83"")"),77535)</f>
        <v>77535</v>
      </c>
      <c r="I83" s="247">
        <f ca="1">IFERROR(__xludf.DUMMYFUNCTION("IMPORTRANGE(""https://docs.google.com/spreadsheets/d/1MeEWN-I1oV_STSDYn1IFDPWt_1FKiwhDph83XaGc0o0/edit?usp=sharing"",""งบพรบ!CK83"")"),0)</f>
        <v>0</v>
      </c>
      <c r="J83" s="247">
        <f t="shared" ca="1" si="3"/>
        <v>77535</v>
      </c>
      <c r="K83" s="253">
        <f t="shared" ca="1" si="4"/>
        <v>322.18990234780802</v>
      </c>
      <c r="L83" s="247">
        <f ca="1">IFERROR(__xludf.DUMMYFUNCTION("IMPORTRANGE(""https://docs.google.com/spreadsheets/d/1MeEWN-I1oV_STSDYn1IFDPWt_1FKiwhDph83XaGc0o0/edit?usp=sharing"",""งบพรบ!CL83"")"),77535)</f>
        <v>77535</v>
      </c>
      <c r="M83" s="250">
        <f t="shared" ca="1" si="5"/>
        <v>322.18990234780802</v>
      </c>
      <c r="N83" s="250">
        <f t="shared" ca="1" si="6"/>
        <v>100</v>
      </c>
      <c r="O83" s="251">
        <f ca="1">IFERROR(__xludf.DUMMYFUNCTION("IMPORTRANGE(""https://docs.google.com/spreadsheets/d/1MeEWN-I1oV_STSDYn1IFDPWt_1FKiwhDph83XaGc0o0/edit?usp=sharing"",""งบพรบ!CC83"")"),0)</f>
        <v>0</v>
      </c>
      <c r="P83" s="251">
        <f t="shared" ca="1" si="22"/>
        <v>0</v>
      </c>
      <c r="Q83" s="250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IFERROR(__xludf.DUMMYFUNCTION("IMPORTRANGE(""https://docs.google.com/spreadsheets/d/1o7UZe4_OqlqtLDHrj01Z2YFRSZDf1DMy1n3XViHaxRc/edit?usp=sharing"",""ภูเก็ต!I176"")"),13)</f>
        <v>13</v>
      </c>
      <c r="S83" s="248">
        <f ca="1">IFERROR(__xludf.DUMMYFUNCTION("IMPORTRANGE(""https://docs.google.com/spreadsheets/d/1o7UZe4_OqlqtLDHrj01Z2YFRSZDf1DMy1n3XViHaxRc/edit?usp=sharing"",""ภูเก็ต!J176"")"),13)</f>
        <v>13</v>
      </c>
      <c r="T83" s="252">
        <f t="shared" ca="1" si="19"/>
        <v>100</v>
      </c>
      <c r="U83" s="286"/>
      <c r="V83" s="286"/>
      <c r="W83" s="252"/>
      <c r="X83" s="199"/>
      <c r="Y83" s="199"/>
      <c r="Z83" s="199"/>
    </row>
    <row r="84" spans="1:26" ht="21" customHeight="1" x14ac:dyDescent="0.3">
      <c r="A84" s="243">
        <v>10</v>
      </c>
      <c r="B84" s="244" t="s">
        <v>106</v>
      </c>
      <c r="C84" s="245">
        <f t="shared" ca="1" si="0"/>
        <v>21050</v>
      </c>
      <c r="D84" s="246">
        <f t="shared" ca="1" si="37"/>
        <v>21050</v>
      </c>
      <c r="E84" s="247">
        <f ca="1">IFERROR(__xludf.DUMMYFUNCTION("IMPORTRANGE(""https://docs.google.com/spreadsheets/d/1MeEWN-I1oV_STSDYn1IFDPWt_1FKiwhDph83XaGc0o0/edit?usp=sharing"",""งบพรบ!CF84"")"),0)</f>
        <v>0</v>
      </c>
      <c r="F84" s="247">
        <f ca="1">IFERROR(__xludf.DUMMYFUNCTION("IMPORTRANGE(""https://docs.google.com/spreadsheets/d/1MeEWN-I1oV_STSDYn1IFDPWt_1FKiwhDph83XaGc0o0/edit?usp=sharing"",""งบพรบ!CG84"")"),21050)</f>
        <v>21050</v>
      </c>
      <c r="G84" s="247">
        <f ca="1">IFERROR(__xludf.DUMMYFUNCTION("IMPORTRANGE(""https://docs.google.com/spreadsheets/d/1MeEWN-I1oV_STSDYn1IFDPWt_1FKiwhDph83XaGc0o0/edit?usp=sharing"",""งบพรบ!CH84"")"),0)</f>
        <v>0</v>
      </c>
      <c r="H84" s="247">
        <f ca="1">IFERROR(__xludf.DUMMYFUNCTION("IMPORTRANGE(""https://docs.google.com/spreadsheets/d/1MeEWN-I1oV_STSDYn1IFDPWt_1FKiwhDph83XaGc0o0/edit?usp=sharing"",""งบพรบ!CJ84"")"),80180)</f>
        <v>80180</v>
      </c>
      <c r="I84" s="247">
        <f ca="1">IFERROR(__xludf.DUMMYFUNCTION("IMPORTRANGE(""https://docs.google.com/spreadsheets/d/1MeEWN-I1oV_STSDYn1IFDPWt_1FKiwhDph83XaGc0o0/edit?usp=sharing"",""งบพรบ!CK84"")"),0)</f>
        <v>0</v>
      </c>
      <c r="J84" s="247">
        <f t="shared" ca="1" si="3"/>
        <v>80180</v>
      </c>
      <c r="K84" s="253">
        <f t="shared" ca="1" si="4"/>
        <v>380.90261282660333</v>
      </c>
      <c r="L84" s="247">
        <f ca="1">IFERROR(__xludf.DUMMYFUNCTION("IMPORTRANGE(""https://docs.google.com/spreadsheets/d/1MeEWN-I1oV_STSDYn1IFDPWt_1FKiwhDph83XaGc0o0/edit?usp=sharing"",""งบพรบ!CL84"")"),80180)</f>
        <v>80180</v>
      </c>
      <c r="M84" s="250">
        <f t="shared" ca="1" si="5"/>
        <v>380.90261282660333</v>
      </c>
      <c r="N84" s="250">
        <f t="shared" ca="1" si="6"/>
        <v>100</v>
      </c>
      <c r="O84" s="251">
        <f ca="1">IFERROR(__xludf.DUMMYFUNCTION("IMPORTRANGE(""https://docs.google.com/spreadsheets/d/1MeEWN-I1oV_STSDYn1IFDPWt_1FKiwhDph83XaGc0o0/edit?usp=sharing"",""งบพรบ!CC84"")"),0)</f>
        <v>0</v>
      </c>
      <c r="P84" s="251">
        <f t="shared" ca="1" si="22"/>
        <v>0</v>
      </c>
      <c r="Q84" s="250">
        <f t="shared" ca="1" si="8"/>
        <v>0</v>
      </c>
      <c r="R84" s="248">
        <f ca="1">IFERROR(__xludf.DUMMYFUNCTION("IMPORTRANGE(""https://docs.google.com/spreadsheets/d/1ctPm1vUzcUCPuOj9-eoHUD85PqINFqUB0TjdSWmR5-c/edit?usp=sharing"",""ยะลา!I176"")"),10)</f>
        <v>10</v>
      </c>
      <c r="S84" s="248">
        <f ca="1">IFERROR(__xludf.DUMMYFUNCTION("IMPORTRANGE(""https://docs.google.com/spreadsheets/d/1ctPm1vUzcUCPuOj9-eoHUD85PqINFqUB0TjdSWmR5-c/edit?usp=sharing"",""ยะลา!J176"")"),10)</f>
        <v>10</v>
      </c>
      <c r="T84" s="252">
        <f t="shared" ca="1" si="19"/>
        <v>100</v>
      </c>
      <c r="U84" s="286"/>
      <c r="V84" s="286"/>
      <c r="W84" s="252"/>
      <c r="X84" s="199"/>
      <c r="Y84" s="199"/>
      <c r="Z84" s="199"/>
    </row>
    <row r="85" spans="1:26" ht="21" customHeight="1" x14ac:dyDescent="0.3">
      <c r="A85" s="243">
        <v>11</v>
      </c>
      <c r="B85" s="244" t="s">
        <v>107</v>
      </c>
      <c r="C85" s="245">
        <f t="shared" ca="1" si="0"/>
        <v>21050</v>
      </c>
      <c r="D85" s="246">
        <f t="shared" ca="1" si="37"/>
        <v>21050</v>
      </c>
      <c r="E85" s="247">
        <f ca="1">IFERROR(__xludf.DUMMYFUNCTION("IMPORTRANGE(""https://docs.google.com/spreadsheets/d/1MeEWN-I1oV_STSDYn1IFDPWt_1FKiwhDph83XaGc0o0/edit?usp=sharing"",""งบพรบ!CF85"")"),0)</f>
        <v>0</v>
      </c>
      <c r="F85" s="247">
        <f ca="1">IFERROR(__xludf.DUMMYFUNCTION("IMPORTRANGE(""https://docs.google.com/spreadsheets/d/1MeEWN-I1oV_STSDYn1IFDPWt_1FKiwhDph83XaGc0o0/edit?usp=sharing"",""งบพรบ!CG85"")"),21050)</f>
        <v>21050</v>
      </c>
      <c r="G85" s="247">
        <f ca="1">IFERROR(__xludf.DUMMYFUNCTION("IMPORTRANGE(""https://docs.google.com/spreadsheets/d/1MeEWN-I1oV_STSDYn1IFDPWt_1FKiwhDph83XaGc0o0/edit?usp=sharing"",""งบพรบ!CH85"")"),0)</f>
        <v>0</v>
      </c>
      <c r="H85" s="247">
        <f ca="1">IFERROR(__xludf.DUMMYFUNCTION("IMPORTRANGE(""https://docs.google.com/spreadsheets/d/1MeEWN-I1oV_STSDYn1IFDPWt_1FKiwhDph83XaGc0o0/edit?usp=sharing"",""งบพรบ!CJ85"")"),63110)</f>
        <v>63110</v>
      </c>
      <c r="I85" s="247">
        <f ca="1">IFERROR(__xludf.DUMMYFUNCTION("IMPORTRANGE(""https://docs.google.com/spreadsheets/d/1MeEWN-I1oV_STSDYn1IFDPWt_1FKiwhDph83XaGc0o0/edit?usp=sharing"",""งบพรบ!CK85"")"),0)</f>
        <v>0</v>
      </c>
      <c r="J85" s="247">
        <f t="shared" ca="1" si="3"/>
        <v>63110</v>
      </c>
      <c r="K85" s="253">
        <f t="shared" ca="1" si="4"/>
        <v>299.80997624703087</v>
      </c>
      <c r="L85" s="247">
        <f ca="1">IFERROR(__xludf.DUMMYFUNCTION("IMPORTRANGE(""https://docs.google.com/spreadsheets/d/1MeEWN-I1oV_STSDYn1IFDPWt_1FKiwhDph83XaGc0o0/edit?usp=sharing"",""งบพรบ!CL85"")"),63110)</f>
        <v>63110</v>
      </c>
      <c r="M85" s="250">
        <f t="shared" ca="1" si="5"/>
        <v>299.80997624703087</v>
      </c>
      <c r="N85" s="250">
        <f t="shared" ca="1" si="6"/>
        <v>100</v>
      </c>
      <c r="O85" s="251">
        <f ca="1">IFERROR(__xludf.DUMMYFUNCTION("IMPORTRANGE(""https://docs.google.com/spreadsheets/d/1MeEWN-I1oV_STSDYn1IFDPWt_1FKiwhDph83XaGc0o0/edit?usp=sharing"",""งบพรบ!CC85"")"),0)</f>
        <v>0</v>
      </c>
      <c r="P85" s="251">
        <f t="shared" ca="1" si="22"/>
        <v>0</v>
      </c>
      <c r="Q85" s="250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IFERROR(__xludf.DUMMYFUNCTION("IMPORTRANGE(""https://docs.google.com/spreadsheets/d/1YiDIE7Klmt8osgdapRqYWNr7iPGFSsiJqq46S7PYRE0/edit?usp=sharing"",""ระนอง!I176"")"),10)</f>
        <v>10</v>
      </c>
      <c r="S85" s="248">
        <f ca="1">IFERROR(__xludf.DUMMYFUNCTION("IMPORTRANGE(""https://docs.google.com/spreadsheets/d/1YiDIE7Klmt8osgdapRqYWNr7iPGFSsiJqq46S7PYRE0/edit?usp=sharing"",""ระนอง!J176"")"),10)</f>
        <v>10</v>
      </c>
      <c r="T85" s="252">
        <f t="shared" ca="1" si="19"/>
        <v>100</v>
      </c>
      <c r="U85" s="286"/>
      <c r="V85" s="286"/>
      <c r="W85" s="252"/>
      <c r="X85" s="199"/>
      <c r="Y85" s="199"/>
      <c r="Z85" s="199"/>
    </row>
    <row r="86" spans="1:26" ht="24" customHeight="1" x14ac:dyDescent="0.3">
      <c r="A86" s="243">
        <v>12</v>
      </c>
      <c r="B86" s="244" t="s">
        <v>108</v>
      </c>
      <c r="C86" s="245">
        <f t="shared" ca="1" si="0"/>
        <v>24065</v>
      </c>
      <c r="D86" s="246">
        <f t="shared" ca="1" si="37"/>
        <v>24065</v>
      </c>
      <c r="E86" s="247">
        <f ca="1">IFERROR(__xludf.DUMMYFUNCTION("IMPORTRANGE(""https://docs.google.com/spreadsheets/d/1MeEWN-I1oV_STSDYn1IFDPWt_1FKiwhDph83XaGc0o0/edit?usp=sharing"",""งบพรบ!CF86"")"),0)</f>
        <v>0</v>
      </c>
      <c r="F86" s="247">
        <f ca="1">IFERROR(__xludf.DUMMYFUNCTION("IMPORTRANGE(""https://docs.google.com/spreadsheets/d/1MeEWN-I1oV_STSDYn1IFDPWt_1FKiwhDph83XaGc0o0/edit?usp=sharing"",""งบพรบ!CG86"")"),24065)</f>
        <v>24065</v>
      </c>
      <c r="G86" s="247">
        <f ca="1">IFERROR(__xludf.DUMMYFUNCTION("IMPORTRANGE(""https://docs.google.com/spreadsheets/d/1MeEWN-I1oV_STSDYn1IFDPWt_1FKiwhDph83XaGc0o0/edit?usp=sharing"",""งบพรบ!CH86"")"),0)</f>
        <v>0</v>
      </c>
      <c r="H86" s="247">
        <f ca="1">IFERROR(__xludf.DUMMYFUNCTION("IMPORTRANGE(""https://docs.google.com/spreadsheets/d/1MeEWN-I1oV_STSDYn1IFDPWt_1FKiwhDph83XaGc0o0/edit?usp=sharing"",""งบพรบ!CJ86"")"),81625)</f>
        <v>81625</v>
      </c>
      <c r="I86" s="247">
        <f ca="1">IFERROR(__xludf.DUMMYFUNCTION("IMPORTRANGE(""https://docs.google.com/spreadsheets/d/1MeEWN-I1oV_STSDYn1IFDPWt_1FKiwhDph83XaGc0o0/edit?usp=sharing"",""งบพรบ!CK86"")"),0)</f>
        <v>0</v>
      </c>
      <c r="J86" s="247">
        <f t="shared" ca="1" si="3"/>
        <v>76355</v>
      </c>
      <c r="K86" s="253">
        <f t="shared" ca="1" si="4"/>
        <v>317.28651568668192</v>
      </c>
      <c r="L86" s="247">
        <f ca="1">IFERROR(__xludf.DUMMYFUNCTION("IMPORTRANGE(""https://docs.google.com/spreadsheets/d/1MeEWN-I1oV_STSDYn1IFDPWt_1FKiwhDph83XaGc0o0/edit?usp=sharing"",""งบพรบ!CL86"")"),76355)</f>
        <v>76355</v>
      </c>
      <c r="M86" s="250">
        <f t="shared" ca="1" si="5"/>
        <v>317.28651568668192</v>
      </c>
      <c r="N86" s="250">
        <f t="shared" ca="1" si="6"/>
        <v>93.543644716692185</v>
      </c>
      <c r="O86" s="251">
        <f ca="1">IFERROR(__xludf.DUMMYFUNCTION("IMPORTRANGE(""https://docs.google.com/spreadsheets/d/1MeEWN-I1oV_STSDYn1IFDPWt_1FKiwhDph83XaGc0o0/edit?usp=sharing"",""งบพรบ!CC86"")"),0)</f>
        <v>0</v>
      </c>
      <c r="P86" s="251">
        <f t="shared" ca="1" si="22"/>
        <v>0</v>
      </c>
      <c r="Q86" s="250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IFERROR(__xludf.DUMMYFUNCTION("IMPORTRANGE(""https://docs.google.com/spreadsheets/d/16o_4B-V7AWw_6E93bSpXj_XxVv1oVQctk-B6z1dNEWU/edit?usp=sharing"",""สงขลา!I176"")"),13)</f>
        <v>13</v>
      </c>
      <c r="S86" s="248">
        <f ca="1">IFERROR(__xludf.DUMMYFUNCTION("IMPORTRANGE(""https://docs.google.com/spreadsheets/d/16o_4B-V7AWw_6E93bSpXj_XxVv1oVQctk-B6z1dNEWU/edit?usp=sharing"",""สงขลา!J176"")"),13)</f>
        <v>13</v>
      </c>
      <c r="T86" s="252">
        <f t="shared" ca="1" si="19"/>
        <v>100</v>
      </c>
      <c r="U86" s="286"/>
      <c r="V86" s="286"/>
      <c r="W86" s="252"/>
      <c r="X86" s="199"/>
      <c r="Y86" s="199"/>
      <c r="Z86" s="199"/>
    </row>
    <row r="87" spans="1:26" ht="24" customHeight="1" x14ac:dyDescent="0.3">
      <c r="A87" s="243">
        <v>13</v>
      </c>
      <c r="B87" s="244" t="s">
        <v>109</v>
      </c>
      <c r="C87" s="245">
        <f t="shared" ca="1" si="0"/>
        <v>23060</v>
      </c>
      <c r="D87" s="246">
        <f t="shared" ca="1" si="37"/>
        <v>23060</v>
      </c>
      <c r="E87" s="247">
        <f ca="1">IFERROR(__xludf.DUMMYFUNCTION("IMPORTRANGE(""https://docs.google.com/spreadsheets/d/1MeEWN-I1oV_STSDYn1IFDPWt_1FKiwhDph83XaGc0o0/edit?usp=sharing"",""งบพรบ!CF87"")"),0)</f>
        <v>0</v>
      </c>
      <c r="F87" s="247">
        <f ca="1">IFERROR(__xludf.DUMMYFUNCTION("IMPORTRANGE(""https://docs.google.com/spreadsheets/d/1MeEWN-I1oV_STSDYn1IFDPWt_1FKiwhDph83XaGc0o0/edit?usp=sharing"",""งบพรบ!CG87"")"),23060)</f>
        <v>23060</v>
      </c>
      <c r="G87" s="247">
        <f ca="1">IFERROR(__xludf.DUMMYFUNCTION("IMPORTRANGE(""https://docs.google.com/spreadsheets/d/1MeEWN-I1oV_STSDYn1IFDPWt_1FKiwhDph83XaGc0o0/edit?usp=sharing"",""งบพรบ!CH87"")"),0)</f>
        <v>0</v>
      </c>
      <c r="H87" s="247">
        <f ca="1">IFERROR(__xludf.DUMMYFUNCTION("IMPORTRANGE(""https://docs.google.com/spreadsheets/d/1MeEWN-I1oV_STSDYn1IFDPWt_1FKiwhDph83XaGc0o0/edit?usp=sharing"",""งบพรบ!CJ87"")"),80870)</f>
        <v>80870</v>
      </c>
      <c r="I87" s="247">
        <f ca="1">IFERROR(__xludf.DUMMYFUNCTION("IMPORTRANGE(""https://docs.google.com/spreadsheets/d/1MeEWN-I1oV_STSDYn1IFDPWt_1FKiwhDph83XaGc0o0/edit?usp=sharing"",""งบพรบ!CK87"")"),0)</f>
        <v>0</v>
      </c>
      <c r="J87" s="247">
        <f t="shared" ca="1" si="3"/>
        <v>75490</v>
      </c>
      <c r="K87" s="253">
        <f t="shared" ca="1" si="4"/>
        <v>327.36339982653948</v>
      </c>
      <c r="L87" s="247">
        <f ca="1">IFERROR(__xludf.DUMMYFUNCTION("IMPORTRANGE(""https://docs.google.com/spreadsheets/d/1MeEWN-I1oV_STSDYn1IFDPWt_1FKiwhDph83XaGc0o0/edit?usp=sharing"",""งบพรบ!CL87"")"),75490)</f>
        <v>75490</v>
      </c>
      <c r="M87" s="250">
        <f t="shared" ca="1" si="5"/>
        <v>327.36339982653948</v>
      </c>
      <c r="N87" s="250">
        <f t="shared" ca="1" si="6"/>
        <v>93.347347594905401</v>
      </c>
      <c r="O87" s="251">
        <f ca="1">IFERROR(__xludf.DUMMYFUNCTION("IMPORTRANGE(""https://docs.google.com/spreadsheets/d/1MeEWN-I1oV_STSDYn1IFDPWt_1FKiwhDph83XaGc0o0/edit?usp=sharing"",""งบพรบ!CC87"")"),0)</f>
        <v>0</v>
      </c>
      <c r="P87" s="251">
        <f t="shared" ca="1" si="22"/>
        <v>0</v>
      </c>
      <c r="Q87" s="250">
        <f t="shared" ca="1" si="8"/>
        <v>0</v>
      </c>
      <c r="R87" s="248">
        <f ca="1">IFERROR(__xludf.DUMMYFUNCTION("IMPORTRANGE(""https://docs.google.com/spreadsheets/d/16cywr71Fj4fA5OGRHsZh30ZG2gwJhMAQv69oVBzYHv0/edit?usp=sharing"",""สตูล!I176"")"),12)</f>
        <v>12</v>
      </c>
      <c r="S87" s="248">
        <f ca="1">IFERROR(__xludf.DUMMYFUNCTION("IMPORTRANGE(""https://docs.google.com/spreadsheets/d/16cywr71Fj4fA5OGRHsZh30ZG2gwJhMAQv69oVBzYHv0/edit?usp=sharing"",""สตูล!J176"")"),12)</f>
        <v>12</v>
      </c>
      <c r="T87" s="252">
        <f t="shared" ca="1" si="19"/>
        <v>100</v>
      </c>
      <c r="U87" s="286"/>
      <c r="V87" s="286"/>
      <c r="W87" s="252"/>
      <c r="X87" s="199"/>
      <c r="Y87" s="199"/>
      <c r="Z87" s="199"/>
    </row>
    <row r="88" spans="1:26" ht="24" customHeight="1" x14ac:dyDescent="0.3">
      <c r="A88" s="254">
        <v>14</v>
      </c>
      <c r="B88" s="255" t="s">
        <v>110</v>
      </c>
      <c r="C88" s="256">
        <f t="shared" ca="1" si="0"/>
        <v>22055</v>
      </c>
      <c r="D88" s="257">
        <f t="shared" ca="1" si="37"/>
        <v>22055</v>
      </c>
      <c r="E88" s="258">
        <f ca="1">IFERROR(__xludf.DUMMYFUNCTION("IMPORTRANGE(""https://docs.google.com/spreadsheets/d/1MeEWN-I1oV_STSDYn1IFDPWt_1FKiwhDph83XaGc0o0/edit?usp=sharing"",""งบพรบ!CF88"")"),0)</f>
        <v>0</v>
      </c>
      <c r="F88" s="258">
        <f ca="1">IFERROR(__xludf.DUMMYFUNCTION("IMPORTRANGE(""https://docs.google.com/spreadsheets/d/1MeEWN-I1oV_STSDYn1IFDPWt_1FKiwhDph83XaGc0o0/edit?usp=sharing"",""งบพรบ!CG88"")"),22055)</f>
        <v>22055</v>
      </c>
      <c r="G88" s="258">
        <f ca="1">IFERROR(__xludf.DUMMYFUNCTION("IMPORTRANGE(""https://docs.google.com/spreadsheets/d/1MeEWN-I1oV_STSDYn1IFDPWt_1FKiwhDph83XaGc0o0/edit?usp=sharing"",""งบพรบ!CH88"")"),0)</f>
        <v>0</v>
      </c>
      <c r="H88" s="258">
        <f ca="1">IFERROR(__xludf.DUMMYFUNCTION("IMPORTRANGE(""https://docs.google.com/spreadsheets/d/1MeEWN-I1oV_STSDYn1IFDPWt_1FKiwhDph83XaGc0o0/edit?usp=sharing"",""งบพรบ!CJ88"")"),65205)</f>
        <v>65205</v>
      </c>
      <c r="I88" s="258">
        <f ca="1">IFERROR(__xludf.DUMMYFUNCTION("IMPORTRANGE(""https://docs.google.com/spreadsheets/d/1MeEWN-I1oV_STSDYn1IFDPWt_1FKiwhDph83XaGc0o0/edit?usp=sharing"",""งบพรบ!CK88"")"),0)</f>
        <v>0</v>
      </c>
      <c r="J88" s="258">
        <f t="shared" ca="1" si="3"/>
        <v>65205</v>
      </c>
      <c r="K88" s="259">
        <f t="shared" ca="1" si="4"/>
        <v>295.64724552255723</v>
      </c>
      <c r="L88" s="258">
        <f ca="1">IFERROR(__xludf.DUMMYFUNCTION("IMPORTRANGE(""https://docs.google.com/spreadsheets/d/1MeEWN-I1oV_STSDYn1IFDPWt_1FKiwhDph83XaGc0o0/edit?usp=sharing"",""งบพรบ!CL88"")"),65205)</f>
        <v>65205</v>
      </c>
      <c r="M88" s="260">
        <f t="shared" ca="1" si="5"/>
        <v>295.64724552255723</v>
      </c>
      <c r="N88" s="260">
        <f t="shared" ca="1" si="6"/>
        <v>100</v>
      </c>
      <c r="O88" s="261">
        <f ca="1">IFERROR(__xludf.DUMMYFUNCTION("IMPORTRANGE(""https://docs.google.com/spreadsheets/d/1MeEWN-I1oV_STSDYn1IFDPWt_1FKiwhDph83XaGc0o0/edit?usp=sharing"",""งบพรบ!CC88"")"),0)</f>
        <v>0</v>
      </c>
      <c r="P88" s="261">
        <f t="shared" ca="1" si="22"/>
        <v>0</v>
      </c>
      <c r="Q88" s="260">
        <f t="shared" ca="1" si="8"/>
        <v>0</v>
      </c>
      <c r="R88" s="287">
        <f ca="1">IFERROR(__xludf.DUMMYFUNCTION("IMPORTRANGE(""https://docs.google.com/spreadsheets/d/1vO9Sws6kMtrVtyvrAJptINXjK8TFBoX9xLYOVK_C8bQ/edit?usp=sharing"",""สุราษฎร์ธานี!I176"")"),11)</f>
        <v>11</v>
      </c>
      <c r="S88" s="287">
        <f ca="1">IFERROR(__xludf.DUMMYFUNCTION("IMPORTRANGE(""https://docs.google.com/spreadsheets/d/1vO9Sws6kMtrVtyvrAJptINXjK8TFBoX9xLYOVK_C8bQ/edit?usp=sharing"",""สุราษฎร์ธานี!J176"")"),11)</f>
        <v>11</v>
      </c>
      <c r="T88" s="263">
        <f t="shared" ca="1" si="19"/>
        <v>100</v>
      </c>
      <c r="U88" s="288"/>
      <c r="V88" s="288"/>
      <c r="W88" s="263"/>
      <c r="X88" s="199"/>
      <c r="Y88" s="199"/>
      <c r="Z88" s="199"/>
    </row>
    <row r="89" spans="1:26" ht="21" hidden="1" customHeight="1" x14ac:dyDescent="0.3">
      <c r="A89" s="441" t="s">
        <v>111</v>
      </c>
      <c r="B89" s="414"/>
      <c r="C89" s="230">
        <f t="shared" ca="1" si="0"/>
        <v>14928050</v>
      </c>
      <c r="D89" s="230">
        <f t="shared" ref="D89:I89" ca="1" si="38">+D90+D91+D92+D93+D94+D95+D96+D97+D98+D99+D100+D101+D102+D103</f>
        <v>14928050</v>
      </c>
      <c r="E89" s="230">
        <f t="shared" ca="1" si="38"/>
        <v>14928050</v>
      </c>
      <c r="F89" s="230">
        <f t="shared" ca="1" si="38"/>
        <v>0</v>
      </c>
      <c r="G89" s="230">
        <f t="shared" ca="1" si="38"/>
        <v>0</v>
      </c>
      <c r="H89" s="230">
        <f t="shared" ca="1" si="38"/>
        <v>15978750</v>
      </c>
      <c r="I89" s="230">
        <f t="shared" ca="1" si="38"/>
        <v>0</v>
      </c>
      <c r="J89" s="230">
        <f t="shared" ca="1" si="3"/>
        <v>14233616.08</v>
      </c>
      <c r="K89" s="231">
        <f t="shared" ca="1" si="4"/>
        <v>95.348127049413691</v>
      </c>
      <c r="L89" s="230">
        <f ca="1">+L90+L91+L92+L93+L94+L95+L96+L97+L98+L99+L100+L101+L102+L103</f>
        <v>14233616.08</v>
      </c>
      <c r="M89" s="232">
        <f t="shared" ca="1" si="5"/>
        <v>95.348127049413691</v>
      </c>
      <c r="N89" s="232">
        <f t="shared" ca="1" si="6"/>
        <v>89.078407760306661</v>
      </c>
      <c r="O89" s="233">
        <f ca="1">+O90+O91+O92+O93+O94+O95+O96+O97+O98+O99+O100+O101+O102+O103</f>
        <v>0</v>
      </c>
      <c r="P89" s="233">
        <f t="shared" ca="1" si="22"/>
        <v>0</v>
      </c>
      <c r="Q89" s="232">
        <f t="shared" ca="1" si="8"/>
        <v>0</v>
      </c>
      <c r="R89" s="234"/>
      <c r="S89" s="234"/>
      <c r="T89" s="232"/>
      <c r="U89" s="234"/>
      <c r="V89" s="234"/>
      <c r="W89" s="232"/>
      <c r="X89" s="199"/>
      <c r="Y89" s="199"/>
      <c r="Z89" s="199"/>
    </row>
    <row r="90" spans="1:26" ht="24" hidden="1" customHeight="1" x14ac:dyDescent="0.3">
      <c r="A90" s="243">
        <v>1</v>
      </c>
      <c r="B90" s="244" t="s">
        <v>112</v>
      </c>
      <c r="C90" s="245">
        <f t="shared" ca="1" si="0"/>
        <v>0</v>
      </c>
      <c r="D90" s="246">
        <f t="shared" ref="D90:D103" ca="1" si="39">+E90+F90</f>
        <v>0</v>
      </c>
      <c r="E90" s="247">
        <f ca="1">IFERROR(__xludf.DUMMYFUNCTION("IMPORTRANGE(""https://docs.google.com/spreadsheets/d/1MeEWN-I1oV_STSDYn1IFDPWt_1FKiwhDph83XaGc0o0/edit?usp=sharing"",""งบพรบ!CF90"")"),0)</f>
        <v>0</v>
      </c>
      <c r="F90" s="247">
        <f ca="1">IFERROR(__xludf.DUMMYFUNCTION("IMPORTRANGE(""https://docs.google.com/spreadsheets/d/1MeEWN-I1oV_STSDYn1IFDPWt_1FKiwhDph83XaGc0o0/edit?usp=sharing"",""งบพรบ!CG90"")"),0)</f>
        <v>0</v>
      </c>
      <c r="G90" s="247">
        <f ca="1">IFERROR(__xludf.DUMMYFUNCTION("IMPORTRANGE(""https://docs.google.com/spreadsheets/d/1MeEWN-I1oV_STSDYn1IFDPWt_1FKiwhDph83XaGc0o0/edit?usp=sharing"",""งบพรบ!CH90"")"),0)</f>
        <v>0</v>
      </c>
      <c r="H90" s="247">
        <f ca="1">IFERROR(__xludf.DUMMYFUNCTION("IMPORTRANGE(""https://docs.google.com/spreadsheets/d/1MeEWN-I1oV_STSDYn1IFDPWt_1FKiwhDph83XaGc0o0/edit?usp=sharing"",""งบพรบ!CJ90"")"),0)</f>
        <v>0</v>
      </c>
      <c r="I90" s="247">
        <f ca="1">IFERROR(__xludf.DUMMYFUNCTION("IMPORTRANGE(""https://docs.google.com/spreadsheets/d/1MeEWN-I1oV_STSDYn1IFDPWt_1FKiwhDph83XaGc0o0/edit?usp=sharing"",""งบพรบ!CK90"")"),0)</f>
        <v>0</v>
      </c>
      <c r="J90" s="247">
        <f t="shared" ca="1" si="3"/>
        <v>0</v>
      </c>
      <c r="K90" s="253">
        <f t="shared" ca="1" si="4"/>
        <v>0</v>
      </c>
      <c r="L90" s="247">
        <f ca="1">IFERROR(__xludf.DUMMYFUNCTION("IMPORTRANGE(""https://docs.google.com/spreadsheets/d/1MeEWN-I1oV_STSDYn1IFDPWt_1FKiwhDph83XaGc0o0/edit?usp=sharing"",""งบพรบ!CL90"")"),0)</f>
        <v>0</v>
      </c>
      <c r="M90" s="250">
        <f t="shared" ca="1" si="5"/>
        <v>0</v>
      </c>
      <c r="N90" s="250">
        <f t="shared" ca="1" si="6"/>
        <v>0</v>
      </c>
      <c r="O90" s="251">
        <f ca="1">IFERROR(__xludf.DUMMYFUNCTION("IMPORTRANGE(""https://docs.google.com/spreadsheets/d/1MeEWN-I1oV_STSDYn1IFDPWt_1FKiwhDph83XaGc0o0/edit?usp=sharing"",""งบพรบ!CC90"")"),0)</f>
        <v>0</v>
      </c>
      <c r="P90" s="251">
        <f t="shared" ca="1" si="22"/>
        <v>0</v>
      </c>
      <c r="Q90" s="250">
        <f t="shared" ca="1" si="8"/>
        <v>0</v>
      </c>
      <c r="R90" s="271"/>
      <c r="S90" s="271"/>
      <c r="T90" s="250"/>
      <c r="U90" s="271"/>
      <c r="V90" s="271"/>
      <c r="W90" s="250"/>
      <c r="X90" s="199"/>
      <c r="Y90" s="199"/>
      <c r="Z90" s="199"/>
    </row>
    <row r="91" spans="1:26" ht="24" hidden="1" customHeight="1" x14ac:dyDescent="0.3">
      <c r="A91" s="243">
        <v>2</v>
      </c>
      <c r="B91" s="244" t="s">
        <v>113</v>
      </c>
      <c r="C91" s="245">
        <f t="shared" ca="1" si="0"/>
        <v>0</v>
      </c>
      <c r="D91" s="246">
        <f t="shared" ca="1" si="39"/>
        <v>0</v>
      </c>
      <c r="E91" s="247">
        <f ca="1">IFERROR(__xludf.DUMMYFUNCTION("IMPORTRANGE(""https://docs.google.com/spreadsheets/d/1MeEWN-I1oV_STSDYn1IFDPWt_1FKiwhDph83XaGc0o0/edit?usp=sharing"",""งบพรบ!CF91"")"),0)</f>
        <v>0</v>
      </c>
      <c r="F91" s="247">
        <f ca="1">IFERROR(__xludf.DUMMYFUNCTION("IMPORTRANGE(""https://docs.google.com/spreadsheets/d/1MeEWN-I1oV_STSDYn1IFDPWt_1FKiwhDph83XaGc0o0/edit?usp=sharing"",""งบพรบ!CG91"")"),0)</f>
        <v>0</v>
      </c>
      <c r="G91" s="247">
        <f ca="1">IFERROR(__xludf.DUMMYFUNCTION("IMPORTRANGE(""https://docs.google.com/spreadsheets/d/1MeEWN-I1oV_STSDYn1IFDPWt_1FKiwhDph83XaGc0o0/edit?usp=sharing"",""งบพรบ!CH91"")"),0)</f>
        <v>0</v>
      </c>
      <c r="H91" s="247">
        <f ca="1">IFERROR(__xludf.DUMMYFUNCTION("IMPORTRANGE(""https://docs.google.com/spreadsheets/d/1MeEWN-I1oV_STSDYn1IFDPWt_1FKiwhDph83XaGc0o0/edit?usp=sharing"",""งบพรบ!CJ91"")"),0)</f>
        <v>0</v>
      </c>
      <c r="I91" s="247">
        <f ca="1">IFERROR(__xludf.DUMMYFUNCTION("IMPORTRANGE(""https://docs.google.com/spreadsheets/d/1MeEWN-I1oV_STSDYn1IFDPWt_1FKiwhDph83XaGc0o0/edit?usp=sharing"",""งบพรบ!CK91"")"),0)</f>
        <v>0</v>
      </c>
      <c r="J91" s="247">
        <f t="shared" ca="1" si="3"/>
        <v>0</v>
      </c>
      <c r="K91" s="253">
        <f t="shared" ca="1" si="4"/>
        <v>0</v>
      </c>
      <c r="L91" s="247">
        <f ca="1">IFERROR(__xludf.DUMMYFUNCTION("IMPORTRANGE(""https://docs.google.com/spreadsheets/d/1MeEWN-I1oV_STSDYn1IFDPWt_1FKiwhDph83XaGc0o0/edit?usp=sharing"",""งบพรบ!CL91"")"),0)</f>
        <v>0</v>
      </c>
      <c r="M91" s="250">
        <f t="shared" ca="1" si="5"/>
        <v>0</v>
      </c>
      <c r="N91" s="250">
        <f t="shared" ca="1" si="6"/>
        <v>0</v>
      </c>
      <c r="O91" s="251">
        <f ca="1">IFERROR(__xludf.DUMMYFUNCTION("IMPORTRANGE(""https://docs.google.com/spreadsheets/d/1MeEWN-I1oV_STSDYn1IFDPWt_1FKiwhDph83XaGc0o0/edit?usp=sharing"",""งบพรบ!CC91"")"),0)</f>
        <v>0</v>
      </c>
      <c r="P91" s="251">
        <f t="shared" ca="1" si="22"/>
        <v>0</v>
      </c>
      <c r="Q91" s="250">
        <f t="shared" ca="1" si="8"/>
        <v>0</v>
      </c>
      <c r="R91" s="271"/>
      <c r="S91" s="271"/>
      <c r="T91" s="250"/>
      <c r="U91" s="271"/>
      <c r="V91" s="271"/>
      <c r="W91" s="250"/>
      <c r="X91" s="199"/>
      <c r="Y91" s="199"/>
      <c r="Z91" s="199"/>
    </row>
    <row r="92" spans="1:26" ht="24" hidden="1" customHeight="1" x14ac:dyDescent="0.3">
      <c r="A92" s="243">
        <v>3</v>
      </c>
      <c r="B92" s="244" t="s">
        <v>114</v>
      </c>
      <c r="C92" s="245">
        <f t="shared" ca="1" si="0"/>
        <v>4000000</v>
      </c>
      <c r="D92" s="246">
        <f t="shared" ca="1" si="39"/>
        <v>4000000</v>
      </c>
      <c r="E92" s="247">
        <f ca="1">IFERROR(__xludf.DUMMYFUNCTION("IMPORTRANGE(""https://docs.google.com/spreadsheets/d/1MeEWN-I1oV_STSDYn1IFDPWt_1FKiwhDph83XaGc0o0/edit?usp=sharing"",""งบพรบ!CF92"")"),4000000)</f>
        <v>4000000</v>
      </c>
      <c r="F92" s="247">
        <f ca="1">IFERROR(__xludf.DUMMYFUNCTION("IMPORTRANGE(""https://docs.google.com/spreadsheets/d/1MeEWN-I1oV_STSDYn1IFDPWt_1FKiwhDph83XaGc0o0/edit?usp=sharing"",""งบพรบ!CG92"")"),0)</f>
        <v>0</v>
      </c>
      <c r="G92" s="247">
        <f ca="1">IFERROR(__xludf.DUMMYFUNCTION("IMPORTRANGE(""https://docs.google.com/spreadsheets/d/1MeEWN-I1oV_STSDYn1IFDPWt_1FKiwhDph83XaGc0o0/edit?usp=sharing"",""งบพรบ!CH92"")"),0)</f>
        <v>0</v>
      </c>
      <c r="H92" s="247">
        <f ca="1">IFERROR(__xludf.DUMMYFUNCTION("IMPORTRANGE(""https://docs.google.com/spreadsheets/d/1MeEWN-I1oV_STSDYn1IFDPWt_1FKiwhDph83XaGc0o0/edit?usp=sharing"",""งบพรบ!CJ92"")"),4243700)</f>
        <v>4243700</v>
      </c>
      <c r="I92" s="247">
        <f ca="1">IFERROR(__xludf.DUMMYFUNCTION("IMPORTRANGE(""https://docs.google.com/spreadsheets/d/1MeEWN-I1oV_STSDYn1IFDPWt_1FKiwhDph83XaGc0o0/edit?usp=sharing"",""งบพรบ!CK92"")"),0)</f>
        <v>0</v>
      </c>
      <c r="J92" s="247">
        <f t="shared" ca="1" si="3"/>
        <v>4028009.5</v>
      </c>
      <c r="K92" s="253">
        <f t="shared" ca="1" si="4"/>
        <v>100.7002375</v>
      </c>
      <c r="L92" s="247">
        <f ca="1">IFERROR(__xludf.DUMMYFUNCTION("IMPORTRANGE(""https://docs.google.com/spreadsheets/d/1MeEWN-I1oV_STSDYn1IFDPWt_1FKiwhDph83XaGc0o0/edit?usp=sharing"",""งบพรบ!CL92"")"),4028009.5)</f>
        <v>4028009.5</v>
      </c>
      <c r="M92" s="250">
        <f t="shared" ca="1" si="5"/>
        <v>100.7002375</v>
      </c>
      <c r="N92" s="250">
        <f t="shared" ca="1" si="6"/>
        <v>94.917395197587012</v>
      </c>
      <c r="O92" s="251">
        <f ca="1">IFERROR(__xludf.DUMMYFUNCTION("IMPORTRANGE(""https://docs.google.com/spreadsheets/d/1MeEWN-I1oV_STSDYn1IFDPWt_1FKiwhDph83XaGc0o0/edit?usp=sharing"",""งบพรบ!CC92"")"),0)</f>
        <v>0</v>
      </c>
      <c r="P92" s="251">
        <f t="shared" ca="1" si="22"/>
        <v>0</v>
      </c>
      <c r="Q92" s="250">
        <f t="shared" ca="1" si="8"/>
        <v>0</v>
      </c>
      <c r="R92" s="271"/>
      <c r="S92" s="271"/>
      <c r="T92" s="250"/>
      <c r="U92" s="271"/>
      <c r="V92" s="271"/>
      <c r="W92" s="250"/>
      <c r="X92" s="199"/>
      <c r="Y92" s="199"/>
      <c r="Z92" s="199"/>
    </row>
    <row r="93" spans="1:26" ht="24" hidden="1" customHeight="1" x14ac:dyDescent="0.3">
      <c r="A93" s="243">
        <f t="shared" ref="A93:A103" si="40">+A92+1</f>
        <v>4</v>
      </c>
      <c r="B93" s="244" t="s">
        <v>115</v>
      </c>
      <c r="C93" s="245">
        <f t="shared" ca="1" si="0"/>
        <v>0</v>
      </c>
      <c r="D93" s="246">
        <f t="shared" ca="1" si="39"/>
        <v>0</v>
      </c>
      <c r="E93" s="247">
        <f ca="1">IFERROR(__xludf.DUMMYFUNCTION("IMPORTRANGE(""https://docs.google.com/spreadsheets/d/1MeEWN-I1oV_STSDYn1IFDPWt_1FKiwhDph83XaGc0o0/edit?usp=sharing"",""งบพรบ!CF93"")"),0)</f>
        <v>0</v>
      </c>
      <c r="F93" s="247">
        <f ca="1">IFERROR(__xludf.DUMMYFUNCTION("IMPORTRANGE(""https://docs.google.com/spreadsheets/d/1MeEWN-I1oV_STSDYn1IFDPWt_1FKiwhDph83XaGc0o0/edit?usp=sharing"",""งบพรบ!CG93"")"),0)</f>
        <v>0</v>
      </c>
      <c r="G93" s="247">
        <f ca="1">IFERROR(__xludf.DUMMYFUNCTION("IMPORTRANGE(""https://docs.google.com/spreadsheets/d/1MeEWN-I1oV_STSDYn1IFDPWt_1FKiwhDph83XaGc0o0/edit?usp=sharing"",""งบพรบ!CH93"")"),0)</f>
        <v>0</v>
      </c>
      <c r="H93" s="247">
        <f ca="1">IFERROR(__xludf.DUMMYFUNCTION("IMPORTRANGE(""https://docs.google.com/spreadsheets/d/1MeEWN-I1oV_STSDYn1IFDPWt_1FKiwhDph83XaGc0o0/edit?usp=sharing"",""งบพรบ!CJ93"")"),0)</f>
        <v>0</v>
      </c>
      <c r="I93" s="247">
        <f ca="1">IFERROR(__xludf.DUMMYFUNCTION("IMPORTRANGE(""https://docs.google.com/spreadsheets/d/1MeEWN-I1oV_STSDYn1IFDPWt_1FKiwhDph83XaGc0o0/edit?usp=sharing"",""งบพรบ!CK93"")"),0)</f>
        <v>0</v>
      </c>
      <c r="J93" s="247">
        <f t="shared" ca="1" si="3"/>
        <v>0</v>
      </c>
      <c r="K93" s="253">
        <f t="shared" ca="1" si="4"/>
        <v>0</v>
      </c>
      <c r="L93" s="247">
        <f ca="1">IFERROR(__xludf.DUMMYFUNCTION("IMPORTRANGE(""https://docs.google.com/spreadsheets/d/1MeEWN-I1oV_STSDYn1IFDPWt_1FKiwhDph83XaGc0o0/edit?usp=sharing"",""งบพรบ!CL93"")"),0)</f>
        <v>0</v>
      </c>
      <c r="M93" s="250">
        <f t="shared" ca="1" si="5"/>
        <v>0</v>
      </c>
      <c r="N93" s="250">
        <f t="shared" ca="1" si="6"/>
        <v>0</v>
      </c>
      <c r="O93" s="251">
        <f ca="1">IFERROR(__xludf.DUMMYFUNCTION("IMPORTRANGE(""https://docs.google.com/spreadsheets/d/1MeEWN-I1oV_STSDYn1IFDPWt_1FKiwhDph83XaGc0o0/edit?usp=sharing"",""งบพรบ!CC93"")"),0)</f>
        <v>0</v>
      </c>
      <c r="P93" s="251">
        <f t="shared" ca="1" si="22"/>
        <v>0</v>
      </c>
      <c r="Q93" s="250">
        <f t="shared" ca="1" si="8"/>
        <v>0</v>
      </c>
      <c r="R93" s="271"/>
      <c r="S93" s="271"/>
      <c r="T93" s="250"/>
      <c r="U93" s="271"/>
      <c r="V93" s="271"/>
      <c r="W93" s="250"/>
      <c r="X93" s="199"/>
      <c r="Y93" s="199"/>
      <c r="Z93" s="199"/>
    </row>
    <row r="94" spans="1:26" ht="24" hidden="1" customHeight="1" x14ac:dyDescent="0.3">
      <c r="A94" s="243">
        <f t="shared" si="40"/>
        <v>5</v>
      </c>
      <c r="B94" s="244" t="s">
        <v>116</v>
      </c>
      <c r="C94" s="245">
        <f t="shared" ca="1" si="0"/>
        <v>0</v>
      </c>
      <c r="D94" s="246">
        <f t="shared" ca="1" si="39"/>
        <v>0</v>
      </c>
      <c r="E94" s="247">
        <f ca="1">IFERROR(__xludf.DUMMYFUNCTION("IMPORTRANGE(""https://docs.google.com/spreadsheets/d/1MeEWN-I1oV_STSDYn1IFDPWt_1FKiwhDph83XaGc0o0/edit?usp=sharing"",""งบพรบ!CF94"")"),0)</f>
        <v>0</v>
      </c>
      <c r="F94" s="247">
        <f ca="1">IFERROR(__xludf.DUMMYFUNCTION("IMPORTRANGE(""https://docs.google.com/spreadsheets/d/1MeEWN-I1oV_STSDYn1IFDPWt_1FKiwhDph83XaGc0o0/edit?usp=sharing"",""งบพรบ!CG94"")"),0)</f>
        <v>0</v>
      </c>
      <c r="G94" s="247">
        <f ca="1">IFERROR(__xludf.DUMMYFUNCTION("IMPORTRANGE(""https://docs.google.com/spreadsheets/d/1MeEWN-I1oV_STSDYn1IFDPWt_1FKiwhDph83XaGc0o0/edit?usp=sharing"",""งบพรบ!CH94"")"),0)</f>
        <v>0</v>
      </c>
      <c r="H94" s="247">
        <f ca="1">IFERROR(__xludf.DUMMYFUNCTION("IMPORTRANGE(""https://docs.google.com/spreadsheets/d/1MeEWN-I1oV_STSDYn1IFDPWt_1FKiwhDph83XaGc0o0/edit?usp=sharing"",""งบพรบ!CJ94"")"),0)</f>
        <v>0</v>
      </c>
      <c r="I94" s="247">
        <f ca="1">IFERROR(__xludf.DUMMYFUNCTION("IMPORTRANGE(""https://docs.google.com/spreadsheets/d/1MeEWN-I1oV_STSDYn1IFDPWt_1FKiwhDph83XaGc0o0/edit?usp=sharing"",""งบพรบ!CK94"")"),0)</f>
        <v>0</v>
      </c>
      <c r="J94" s="247">
        <f t="shared" ca="1" si="3"/>
        <v>0</v>
      </c>
      <c r="K94" s="253">
        <f t="shared" ca="1" si="4"/>
        <v>0</v>
      </c>
      <c r="L94" s="247">
        <f ca="1">IFERROR(__xludf.DUMMYFUNCTION("IMPORTRANGE(""https://docs.google.com/spreadsheets/d/1MeEWN-I1oV_STSDYn1IFDPWt_1FKiwhDph83XaGc0o0/edit?usp=sharing"",""งบพรบ!CL94"")"),0)</f>
        <v>0</v>
      </c>
      <c r="M94" s="250">
        <f t="shared" ca="1" si="5"/>
        <v>0</v>
      </c>
      <c r="N94" s="250">
        <f t="shared" ca="1" si="6"/>
        <v>0</v>
      </c>
      <c r="O94" s="251">
        <f ca="1">IFERROR(__xludf.DUMMYFUNCTION("IMPORTRANGE(""https://docs.google.com/spreadsheets/d/1MeEWN-I1oV_STSDYn1IFDPWt_1FKiwhDph83XaGc0o0/edit?usp=sharing"",""งบพรบ!CC94"")"),0)</f>
        <v>0</v>
      </c>
      <c r="P94" s="251">
        <f t="shared" ca="1" si="22"/>
        <v>0</v>
      </c>
      <c r="Q94" s="250">
        <f t="shared" ca="1" si="8"/>
        <v>0</v>
      </c>
      <c r="R94" s="271"/>
      <c r="S94" s="271"/>
      <c r="T94" s="250"/>
      <c r="U94" s="271"/>
      <c r="V94" s="271"/>
      <c r="W94" s="250"/>
      <c r="X94" s="199"/>
      <c r="Y94" s="199"/>
      <c r="Z94" s="199"/>
    </row>
    <row r="95" spans="1:26" ht="24" hidden="1" customHeight="1" x14ac:dyDescent="0.3">
      <c r="A95" s="243">
        <f t="shared" si="40"/>
        <v>6</v>
      </c>
      <c r="B95" s="244" t="s">
        <v>117</v>
      </c>
      <c r="C95" s="245">
        <f t="shared" ca="1" si="0"/>
        <v>0</v>
      </c>
      <c r="D95" s="246">
        <f t="shared" ca="1" si="39"/>
        <v>0</v>
      </c>
      <c r="E95" s="247">
        <f ca="1">IFERROR(__xludf.DUMMYFUNCTION("IMPORTRANGE(""https://docs.google.com/spreadsheets/d/1MeEWN-I1oV_STSDYn1IFDPWt_1FKiwhDph83XaGc0o0/edit?usp=sharing"",""งบพรบ!CF95"")"),0)</f>
        <v>0</v>
      </c>
      <c r="F95" s="247">
        <f ca="1">IFERROR(__xludf.DUMMYFUNCTION("IMPORTRANGE(""https://docs.google.com/spreadsheets/d/1MeEWN-I1oV_STSDYn1IFDPWt_1FKiwhDph83XaGc0o0/edit?usp=sharing"",""งบพรบ!CG95"")"),0)</f>
        <v>0</v>
      </c>
      <c r="G95" s="247">
        <f ca="1">IFERROR(__xludf.DUMMYFUNCTION("IMPORTRANGE(""https://docs.google.com/spreadsheets/d/1MeEWN-I1oV_STSDYn1IFDPWt_1FKiwhDph83XaGc0o0/edit?usp=sharing"",""งบพรบ!CH95"")"),0)</f>
        <v>0</v>
      </c>
      <c r="H95" s="247">
        <f ca="1">IFERROR(__xludf.DUMMYFUNCTION("IMPORTRANGE(""https://docs.google.com/spreadsheets/d/1MeEWN-I1oV_STSDYn1IFDPWt_1FKiwhDph83XaGc0o0/edit?usp=sharing"",""งบพรบ!CJ95"")"),0)</f>
        <v>0</v>
      </c>
      <c r="I95" s="247">
        <f ca="1">IFERROR(__xludf.DUMMYFUNCTION("IMPORTRANGE(""https://docs.google.com/spreadsheets/d/1MeEWN-I1oV_STSDYn1IFDPWt_1FKiwhDph83XaGc0o0/edit?usp=sharing"",""งบพรบ!CK95"")"),0)</f>
        <v>0</v>
      </c>
      <c r="J95" s="247">
        <f t="shared" ca="1" si="3"/>
        <v>0</v>
      </c>
      <c r="K95" s="253">
        <f t="shared" ca="1" si="4"/>
        <v>0</v>
      </c>
      <c r="L95" s="247">
        <f ca="1">IFERROR(__xludf.DUMMYFUNCTION("IMPORTRANGE(""https://docs.google.com/spreadsheets/d/1MeEWN-I1oV_STSDYn1IFDPWt_1FKiwhDph83XaGc0o0/edit?usp=sharing"",""งบพรบ!CL95"")"),0)</f>
        <v>0</v>
      </c>
      <c r="M95" s="250">
        <f t="shared" ca="1" si="5"/>
        <v>0</v>
      </c>
      <c r="N95" s="250">
        <f t="shared" ca="1" si="6"/>
        <v>0</v>
      </c>
      <c r="O95" s="251">
        <f ca="1">IFERROR(__xludf.DUMMYFUNCTION("IMPORTRANGE(""https://docs.google.com/spreadsheets/d/1MeEWN-I1oV_STSDYn1IFDPWt_1FKiwhDph83XaGc0o0/edit?usp=sharing"",""งบพรบ!CC95"")"),0)</f>
        <v>0</v>
      </c>
      <c r="P95" s="251">
        <f t="shared" ca="1" si="22"/>
        <v>0</v>
      </c>
      <c r="Q95" s="250">
        <f t="shared" ca="1" si="8"/>
        <v>0</v>
      </c>
      <c r="R95" s="271"/>
      <c r="S95" s="271"/>
      <c r="T95" s="250"/>
      <c r="U95" s="271"/>
      <c r="V95" s="271"/>
      <c r="W95" s="250"/>
      <c r="X95" s="199"/>
      <c r="Y95" s="199"/>
      <c r="Z95" s="199"/>
    </row>
    <row r="96" spans="1:26" ht="24" hidden="1" customHeight="1" x14ac:dyDescent="0.3">
      <c r="A96" s="243">
        <f t="shared" si="40"/>
        <v>7</v>
      </c>
      <c r="B96" s="244" t="s">
        <v>118</v>
      </c>
      <c r="C96" s="245">
        <f t="shared" ca="1" si="0"/>
        <v>0</v>
      </c>
      <c r="D96" s="246">
        <f t="shared" ca="1" si="39"/>
        <v>0</v>
      </c>
      <c r="E96" s="247">
        <f ca="1">IFERROR(__xludf.DUMMYFUNCTION("IMPORTRANGE(""https://docs.google.com/spreadsheets/d/1MeEWN-I1oV_STSDYn1IFDPWt_1FKiwhDph83XaGc0o0/edit?usp=sharing"",""งบพรบ!CF96"")"),0)</f>
        <v>0</v>
      </c>
      <c r="F96" s="247">
        <f ca="1">IFERROR(__xludf.DUMMYFUNCTION("IMPORTRANGE(""https://docs.google.com/spreadsheets/d/1MeEWN-I1oV_STSDYn1IFDPWt_1FKiwhDph83XaGc0o0/edit?usp=sharing"",""งบพรบ!CG96"")"),0)</f>
        <v>0</v>
      </c>
      <c r="G96" s="247">
        <f ca="1">IFERROR(__xludf.DUMMYFUNCTION("IMPORTRANGE(""https://docs.google.com/spreadsheets/d/1MeEWN-I1oV_STSDYn1IFDPWt_1FKiwhDph83XaGc0o0/edit?usp=sharing"",""งบพรบ!CH96"")"),0)</f>
        <v>0</v>
      </c>
      <c r="H96" s="247">
        <f ca="1">IFERROR(__xludf.DUMMYFUNCTION("IMPORTRANGE(""https://docs.google.com/spreadsheets/d/1MeEWN-I1oV_STSDYn1IFDPWt_1FKiwhDph83XaGc0o0/edit?usp=sharing"",""งบพรบ!CJ96"")"),0)</f>
        <v>0</v>
      </c>
      <c r="I96" s="247">
        <f ca="1">IFERROR(__xludf.DUMMYFUNCTION("IMPORTRANGE(""https://docs.google.com/spreadsheets/d/1MeEWN-I1oV_STSDYn1IFDPWt_1FKiwhDph83XaGc0o0/edit?usp=sharing"",""งบพรบ!CK96"")"),0)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IFERROR(__xludf.DUMMYFUNCTION("IMPORTRANGE(""https://docs.google.com/spreadsheets/d/1MeEWN-I1oV_STSDYn1IFDPWt_1FKiwhDph83XaGc0o0/edit?usp=sharing"",""งบพรบ!CL96"")"),0)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IFERROR(__xludf.DUMMYFUNCTION("IMPORTRANGE(""https://docs.google.com/spreadsheets/d/1MeEWN-I1oV_STSDYn1IFDPWt_1FKiwhDph83XaGc0o0/edit?usp=sharing"",""งบพรบ!CC96"")"),0)</f>
        <v>0</v>
      </c>
      <c r="P96" s="251">
        <f t="shared" ca="1" si="22"/>
        <v>0</v>
      </c>
      <c r="Q96" s="250">
        <f t="shared" ca="1" si="8"/>
        <v>0</v>
      </c>
      <c r="R96" s="271"/>
      <c r="S96" s="271"/>
      <c r="T96" s="250"/>
      <c r="U96" s="271"/>
      <c r="V96" s="271"/>
      <c r="W96" s="250"/>
      <c r="X96" s="199"/>
      <c r="Y96" s="199"/>
      <c r="Z96" s="199"/>
    </row>
    <row r="97" spans="1:26" ht="24" hidden="1" customHeight="1" x14ac:dyDescent="0.3">
      <c r="A97" s="243">
        <f t="shared" si="40"/>
        <v>8</v>
      </c>
      <c r="B97" s="244" t="s">
        <v>119</v>
      </c>
      <c r="C97" s="245">
        <f t="shared" ca="1" si="0"/>
        <v>0</v>
      </c>
      <c r="D97" s="246">
        <f t="shared" ca="1" si="39"/>
        <v>0</v>
      </c>
      <c r="E97" s="247">
        <f ca="1">IFERROR(__xludf.DUMMYFUNCTION("IMPORTRANGE(""https://docs.google.com/spreadsheets/d/1MeEWN-I1oV_STSDYn1IFDPWt_1FKiwhDph83XaGc0o0/edit?usp=sharing"",""งบพรบ!CF97"")"),0)</f>
        <v>0</v>
      </c>
      <c r="F97" s="247">
        <f ca="1">IFERROR(__xludf.DUMMYFUNCTION("IMPORTRANGE(""https://docs.google.com/spreadsheets/d/1MeEWN-I1oV_STSDYn1IFDPWt_1FKiwhDph83XaGc0o0/edit?usp=sharing"",""งบพรบ!CG97"")"),0)</f>
        <v>0</v>
      </c>
      <c r="G97" s="247">
        <f ca="1">IFERROR(__xludf.DUMMYFUNCTION("IMPORTRANGE(""https://docs.google.com/spreadsheets/d/1MeEWN-I1oV_STSDYn1IFDPWt_1FKiwhDph83XaGc0o0/edit?usp=sharing"",""งบพรบ!CH97"")"),0)</f>
        <v>0</v>
      </c>
      <c r="H97" s="247">
        <f ca="1">IFERROR(__xludf.DUMMYFUNCTION("IMPORTRANGE(""https://docs.google.com/spreadsheets/d/1MeEWN-I1oV_STSDYn1IFDPWt_1FKiwhDph83XaGc0o0/edit?usp=sharing"",""งบพรบ!CJ97"")"),0)</f>
        <v>0</v>
      </c>
      <c r="I97" s="247">
        <f ca="1">IFERROR(__xludf.DUMMYFUNCTION("IMPORTRANGE(""https://docs.google.com/spreadsheets/d/1MeEWN-I1oV_STSDYn1IFDPWt_1FKiwhDph83XaGc0o0/edit?usp=sharing"",""งบพรบ!CK97"")"),0)</f>
        <v>0</v>
      </c>
      <c r="J97" s="247">
        <f t="shared" ca="1" si="3"/>
        <v>0</v>
      </c>
      <c r="K97" s="253">
        <f t="shared" ca="1" si="4"/>
        <v>0</v>
      </c>
      <c r="L97" s="247">
        <f ca="1">IFERROR(__xludf.DUMMYFUNCTION("IMPORTRANGE(""https://docs.google.com/spreadsheets/d/1MeEWN-I1oV_STSDYn1IFDPWt_1FKiwhDph83XaGc0o0/edit?usp=sharing"",""งบพรบ!CL97"")"),0)</f>
        <v>0</v>
      </c>
      <c r="M97" s="250">
        <f t="shared" ca="1" si="5"/>
        <v>0</v>
      </c>
      <c r="N97" s="250">
        <f t="shared" ca="1" si="6"/>
        <v>0</v>
      </c>
      <c r="O97" s="251">
        <f ca="1">IFERROR(__xludf.DUMMYFUNCTION("IMPORTRANGE(""https://docs.google.com/spreadsheets/d/1MeEWN-I1oV_STSDYn1IFDPWt_1FKiwhDph83XaGc0o0/edit?usp=sharing"",""งบพรบ!CC97"")"),0)</f>
        <v>0</v>
      </c>
      <c r="P97" s="251">
        <f t="shared" ca="1" si="22"/>
        <v>0</v>
      </c>
      <c r="Q97" s="250">
        <f t="shared" ca="1" si="8"/>
        <v>0</v>
      </c>
      <c r="R97" s="271"/>
      <c r="S97" s="271"/>
      <c r="T97" s="250"/>
      <c r="U97" s="271"/>
      <c r="V97" s="271"/>
      <c r="W97" s="250"/>
      <c r="X97" s="199"/>
      <c r="Y97" s="199"/>
      <c r="Z97" s="199"/>
    </row>
    <row r="98" spans="1:26" ht="24" hidden="1" customHeight="1" x14ac:dyDescent="0.3">
      <c r="A98" s="243">
        <f t="shared" si="40"/>
        <v>9</v>
      </c>
      <c r="B98" s="244" t="s">
        <v>120</v>
      </c>
      <c r="C98" s="245">
        <f t="shared" ca="1" si="0"/>
        <v>0</v>
      </c>
      <c r="D98" s="246">
        <f t="shared" ca="1" si="39"/>
        <v>0</v>
      </c>
      <c r="E98" s="247">
        <f ca="1">IFERROR(__xludf.DUMMYFUNCTION("IMPORTRANGE(""https://docs.google.com/spreadsheets/d/1MeEWN-I1oV_STSDYn1IFDPWt_1FKiwhDph83XaGc0o0/edit?usp=sharing"",""งบพรบ!CF98"")"),0)</f>
        <v>0</v>
      </c>
      <c r="F98" s="247">
        <f ca="1">IFERROR(__xludf.DUMMYFUNCTION("IMPORTRANGE(""https://docs.google.com/spreadsheets/d/1MeEWN-I1oV_STSDYn1IFDPWt_1FKiwhDph83XaGc0o0/edit?usp=sharing"",""งบพรบ!CG98"")"),0)</f>
        <v>0</v>
      </c>
      <c r="G98" s="247">
        <f ca="1">IFERROR(__xludf.DUMMYFUNCTION("IMPORTRANGE(""https://docs.google.com/spreadsheets/d/1MeEWN-I1oV_STSDYn1IFDPWt_1FKiwhDph83XaGc0o0/edit?usp=sharing"",""งบพรบ!CH98"")"),0)</f>
        <v>0</v>
      </c>
      <c r="H98" s="247">
        <f ca="1">IFERROR(__xludf.DUMMYFUNCTION("IMPORTRANGE(""https://docs.google.com/spreadsheets/d/1MeEWN-I1oV_STSDYn1IFDPWt_1FKiwhDph83XaGc0o0/edit?usp=sharing"",""งบพรบ!CJ98"")"),0)</f>
        <v>0</v>
      </c>
      <c r="I98" s="247">
        <f ca="1">IFERROR(__xludf.DUMMYFUNCTION("IMPORTRANGE(""https://docs.google.com/spreadsheets/d/1MeEWN-I1oV_STSDYn1IFDPWt_1FKiwhDph83XaGc0o0/edit?usp=sharing"",""งบพรบ!CK98"")"),0)</f>
        <v>0</v>
      </c>
      <c r="J98" s="247">
        <f t="shared" ca="1" si="3"/>
        <v>0</v>
      </c>
      <c r="K98" s="253">
        <f t="shared" ca="1" si="4"/>
        <v>0</v>
      </c>
      <c r="L98" s="247">
        <f ca="1">IFERROR(__xludf.DUMMYFUNCTION("IMPORTRANGE(""https://docs.google.com/spreadsheets/d/1MeEWN-I1oV_STSDYn1IFDPWt_1FKiwhDph83XaGc0o0/edit?usp=sharing"",""งบพรบ!CL98"")"),0)</f>
        <v>0</v>
      </c>
      <c r="M98" s="250">
        <f t="shared" ca="1" si="5"/>
        <v>0</v>
      </c>
      <c r="N98" s="250">
        <f t="shared" ca="1" si="6"/>
        <v>0</v>
      </c>
      <c r="O98" s="251">
        <f ca="1">IFERROR(__xludf.DUMMYFUNCTION("IMPORTRANGE(""https://docs.google.com/spreadsheets/d/1MeEWN-I1oV_STSDYn1IFDPWt_1FKiwhDph83XaGc0o0/edit?usp=sharing"",""งบพรบ!CC98"")"),0)</f>
        <v>0</v>
      </c>
      <c r="P98" s="251">
        <f t="shared" ca="1" si="22"/>
        <v>0</v>
      </c>
      <c r="Q98" s="250">
        <f t="shared" ca="1" si="8"/>
        <v>0</v>
      </c>
      <c r="R98" s="271"/>
      <c r="S98" s="271"/>
      <c r="T98" s="250"/>
      <c r="U98" s="271"/>
      <c r="V98" s="271"/>
      <c r="W98" s="250"/>
      <c r="X98" s="199"/>
      <c r="Y98" s="199"/>
      <c r="Z98" s="199"/>
    </row>
    <row r="99" spans="1:26" ht="24" hidden="1" customHeight="1" x14ac:dyDescent="0.3">
      <c r="A99" s="243">
        <f t="shared" si="40"/>
        <v>10</v>
      </c>
      <c r="B99" s="244" t="s">
        <v>121</v>
      </c>
      <c r="C99" s="245">
        <f t="shared" ca="1" si="0"/>
        <v>0</v>
      </c>
      <c r="D99" s="246">
        <f t="shared" ca="1" si="39"/>
        <v>0</v>
      </c>
      <c r="E99" s="247">
        <f ca="1">IFERROR(__xludf.DUMMYFUNCTION("IMPORTRANGE(""https://docs.google.com/spreadsheets/d/1MeEWN-I1oV_STSDYn1IFDPWt_1FKiwhDph83XaGc0o0/edit?usp=sharing"",""งบพรบ!CF99"")"),0)</f>
        <v>0</v>
      </c>
      <c r="F99" s="247">
        <f ca="1">IFERROR(__xludf.DUMMYFUNCTION("IMPORTRANGE(""https://docs.google.com/spreadsheets/d/1MeEWN-I1oV_STSDYn1IFDPWt_1FKiwhDph83XaGc0o0/edit?usp=sharing"",""งบพรบ!CG99"")"),0)</f>
        <v>0</v>
      </c>
      <c r="G99" s="247">
        <f ca="1">IFERROR(__xludf.DUMMYFUNCTION("IMPORTRANGE(""https://docs.google.com/spreadsheets/d/1MeEWN-I1oV_STSDYn1IFDPWt_1FKiwhDph83XaGc0o0/edit?usp=sharing"",""งบพรบ!CH99"")"),0)</f>
        <v>0</v>
      </c>
      <c r="H99" s="247">
        <f ca="1">IFERROR(__xludf.DUMMYFUNCTION("IMPORTRANGE(""https://docs.google.com/spreadsheets/d/1MeEWN-I1oV_STSDYn1IFDPWt_1FKiwhDph83XaGc0o0/edit?usp=sharing"",""งบพรบ!CJ99"")"),0)</f>
        <v>0</v>
      </c>
      <c r="I99" s="247">
        <f ca="1">IFERROR(__xludf.DUMMYFUNCTION("IMPORTRANGE(""https://docs.google.com/spreadsheets/d/1MeEWN-I1oV_STSDYn1IFDPWt_1FKiwhDph83XaGc0o0/edit?usp=sharing"",""งบพรบ!CK99"")"),0)</f>
        <v>0</v>
      </c>
      <c r="J99" s="247">
        <f t="shared" ca="1" si="3"/>
        <v>0</v>
      </c>
      <c r="K99" s="253">
        <f t="shared" ca="1" si="4"/>
        <v>0</v>
      </c>
      <c r="L99" s="247">
        <f ca="1">IFERROR(__xludf.DUMMYFUNCTION("IMPORTRANGE(""https://docs.google.com/spreadsheets/d/1MeEWN-I1oV_STSDYn1IFDPWt_1FKiwhDph83XaGc0o0/edit?usp=sharing"",""งบพรบ!CL99"")"),0)</f>
        <v>0</v>
      </c>
      <c r="M99" s="250">
        <f t="shared" ca="1" si="5"/>
        <v>0</v>
      </c>
      <c r="N99" s="250">
        <f t="shared" ca="1" si="6"/>
        <v>0</v>
      </c>
      <c r="O99" s="251">
        <f ca="1">IFERROR(__xludf.DUMMYFUNCTION("IMPORTRANGE(""https://docs.google.com/spreadsheets/d/1MeEWN-I1oV_STSDYn1IFDPWt_1FKiwhDph83XaGc0o0/edit?usp=sharing"",""งบพรบ!CC99"")"),0)</f>
        <v>0</v>
      </c>
      <c r="P99" s="251">
        <f t="shared" ca="1" si="22"/>
        <v>0</v>
      </c>
      <c r="Q99" s="250">
        <f t="shared" ca="1" si="8"/>
        <v>0</v>
      </c>
      <c r="R99" s="271"/>
      <c r="S99" s="271"/>
      <c r="T99" s="250"/>
      <c r="U99" s="271"/>
      <c r="V99" s="271"/>
      <c r="W99" s="250"/>
      <c r="X99" s="199"/>
      <c r="Y99" s="199"/>
      <c r="Z99" s="199"/>
    </row>
    <row r="100" spans="1:26" ht="24" hidden="1" customHeight="1" x14ac:dyDescent="0.3">
      <c r="A100" s="243">
        <f t="shared" si="40"/>
        <v>11</v>
      </c>
      <c r="B100" s="244" t="s">
        <v>122</v>
      </c>
      <c r="C100" s="245">
        <f t="shared" ca="1" si="0"/>
        <v>0</v>
      </c>
      <c r="D100" s="246">
        <f t="shared" ca="1" si="39"/>
        <v>0</v>
      </c>
      <c r="E100" s="247">
        <f ca="1">IFERROR(__xludf.DUMMYFUNCTION("IMPORTRANGE(""https://docs.google.com/spreadsheets/d/1MeEWN-I1oV_STSDYn1IFDPWt_1FKiwhDph83XaGc0o0/edit?usp=sharing"",""งบพรบ!CF100"")"),0)</f>
        <v>0</v>
      </c>
      <c r="F100" s="247">
        <f ca="1">IFERROR(__xludf.DUMMYFUNCTION("IMPORTRANGE(""https://docs.google.com/spreadsheets/d/1MeEWN-I1oV_STSDYn1IFDPWt_1FKiwhDph83XaGc0o0/edit?usp=sharing"",""งบพรบ!CG100"")"),0)</f>
        <v>0</v>
      </c>
      <c r="G100" s="247">
        <f ca="1">IFERROR(__xludf.DUMMYFUNCTION("IMPORTRANGE(""https://docs.google.com/spreadsheets/d/1MeEWN-I1oV_STSDYn1IFDPWt_1FKiwhDph83XaGc0o0/edit?usp=sharing"",""งบพรบ!CH100"")"),0)</f>
        <v>0</v>
      </c>
      <c r="H100" s="247">
        <f ca="1">IFERROR(__xludf.DUMMYFUNCTION("IMPORTRANGE(""https://docs.google.com/spreadsheets/d/1MeEWN-I1oV_STSDYn1IFDPWt_1FKiwhDph83XaGc0o0/edit?usp=sharing"",""งบพรบ!CJ100"")"),0)</f>
        <v>0</v>
      </c>
      <c r="I100" s="247">
        <f ca="1">IFERROR(__xludf.DUMMYFUNCTION("IMPORTRANGE(""https://docs.google.com/spreadsheets/d/1MeEWN-I1oV_STSDYn1IFDPWt_1FKiwhDph83XaGc0o0/edit?usp=sharing"",""งบพรบ!CK100"")"),0)</f>
        <v>0</v>
      </c>
      <c r="J100" s="247">
        <f t="shared" ca="1" si="3"/>
        <v>0</v>
      </c>
      <c r="K100" s="253">
        <f t="shared" ca="1" si="4"/>
        <v>0</v>
      </c>
      <c r="L100" s="247">
        <f ca="1">IFERROR(__xludf.DUMMYFUNCTION("IMPORTRANGE(""https://docs.google.com/spreadsheets/d/1MeEWN-I1oV_STSDYn1IFDPWt_1FKiwhDph83XaGc0o0/edit?usp=sharing"",""งบพรบ!CL100"")"),0)</f>
        <v>0</v>
      </c>
      <c r="M100" s="250">
        <f t="shared" ca="1" si="5"/>
        <v>0</v>
      </c>
      <c r="N100" s="250">
        <f t="shared" ca="1" si="6"/>
        <v>0</v>
      </c>
      <c r="O100" s="251">
        <f ca="1">IFERROR(__xludf.DUMMYFUNCTION("IMPORTRANGE(""https://docs.google.com/spreadsheets/d/1MeEWN-I1oV_STSDYn1IFDPWt_1FKiwhDph83XaGc0o0/edit?usp=sharing"",""งบพรบ!CC100"")"),0)</f>
        <v>0</v>
      </c>
      <c r="P100" s="251">
        <f t="shared" ca="1" si="22"/>
        <v>0</v>
      </c>
      <c r="Q100" s="250">
        <f t="shared" ca="1" si="8"/>
        <v>0</v>
      </c>
      <c r="R100" s="271"/>
      <c r="S100" s="271"/>
      <c r="T100" s="250"/>
      <c r="U100" s="271"/>
      <c r="V100" s="271"/>
      <c r="W100" s="250"/>
      <c r="X100" s="199"/>
      <c r="Y100" s="199"/>
      <c r="Z100" s="199"/>
    </row>
    <row r="101" spans="1:26" ht="24" hidden="1" customHeight="1" x14ac:dyDescent="0.3">
      <c r="A101" s="243">
        <f t="shared" si="40"/>
        <v>12</v>
      </c>
      <c r="B101" s="244" t="s">
        <v>123</v>
      </c>
      <c r="C101" s="245">
        <f t="shared" ca="1" si="0"/>
        <v>0</v>
      </c>
      <c r="D101" s="246">
        <f t="shared" ca="1" si="39"/>
        <v>0</v>
      </c>
      <c r="E101" s="247">
        <f ca="1">IFERROR(__xludf.DUMMYFUNCTION("IMPORTRANGE(""https://docs.google.com/spreadsheets/d/1MeEWN-I1oV_STSDYn1IFDPWt_1FKiwhDph83XaGc0o0/edit?usp=sharing"",""งบพรบ!CF101"")"),0)</f>
        <v>0</v>
      </c>
      <c r="F101" s="247">
        <f ca="1">IFERROR(__xludf.DUMMYFUNCTION("IMPORTRANGE(""https://docs.google.com/spreadsheets/d/1MeEWN-I1oV_STSDYn1IFDPWt_1FKiwhDph83XaGc0o0/edit?usp=sharing"",""งบพรบ!CG101"")"),0)</f>
        <v>0</v>
      </c>
      <c r="G101" s="247">
        <f ca="1">IFERROR(__xludf.DUMMYFUNCTION("IMPORTRANGE(""https://docs.google.com/spreadsheets/d/1MeEWN-I1oV_STSDYn1IFDPWt_1FKiwhDph83XaGc0o0/edit?usp=sharing"",""งบพรบ!CH101"")"),0)</f>
        <v>0</v>
      </c>
      <c r="H101" s="247">
        <f ca="1">IFERROR(__xludf.DUMMYFUNCTION("IMPORTRANGE(""https://docs.google.com/spreadsheets/d/1MeEWN-I1oV_STSDYn1IFDPWt_1FKiwhDph83XaGc0o0/edit?usp=sharing"",""งบพรบ!CJ101"")"),0)</f>
        <v>0</v>
      </c>
      <c r="I101" s="247">
        <f ca="1">IFERROR(__xludf.DUMMYFUNCTION("IMPORTRANGE(""https://docs.google.com/spreadsheets/d/1MeEWN-I1oV_STSDYn1IFDPWt_1FKiwhDph83XaGc0o0/edit?usp=sharing"",""งบพรบ!CK101"")"),0)</f>
        <v>0</v>
      </c>
      <c r="J101" s="247">
        <f t="shared" ca="1" si="3"/>
        <v>0</v>
      </c>
      <c r="K101" s="253">
        <f t="shared" ca="1" si="4"/>
        <v>0</v>
      </c>
      <c r="L101" s="247">
        <f ca="1">IFERROR(__xludf.DUMMYFUNCTION("IMPORTRANGE(""https://docs.google.com/spreadsheets/d/1MeEWN-I1oV_STSDYn1IFDPWt_1FKiwhDph83XaGc0o0/edit?usp=sharing"",""งบพรบ!CL101"")"),0)</f>
        <v>0</v>
      </c>
      <c r="M101" s="250">
        <f t="shared" ca="1" si="5"/>
        <v>0</v>
      </c>
      <c r="N101" s="250">
        <f t="shared" ca="1" si="6"/>
        <v>0</v>
      </c>
      <c r="O101" s="251">
        <f ca="1">IFERROR(__xludf.DUMMYFUNCTION("IMPORTRANGE(""https://docs.google.com/spreadsheets/d/1MeEWN-I1oV_STSDYn1IFDPWt_1FKiwhDph83XaGc0o0/edit?usp=sharing"",""งบพรบ!CC101"")"),0)</f>
        <v>0</v>
      </c>
      <c r="P101" s="251">
        <f t="shared" ca="1" si="22"/>
        <v>0</v>
      </c>
      <c r="Q101" s="250">
        <f t="shared" ca="1" si="8"/>
        <v>0</v>
      </c>
      <c r="R101" s="271"/>
      <c r="S101" s="271"/>
      <c r="T101" s="250"/>
      <c r="U101" s="271"/>
      <c r="V101" s="271"/>
      <c r="W101" s="250"/>
      <c r="X101" s="199"/>
      <c r="Y101" s="199"/>
      <c r="Z101" s="199"/>
    </row>
    <row r="102" spans="1:26" ht="24" hidden="1" customHeight="1" x14ac:dyDescent="0.3">
      <c r="A102" s="243">
        <f t="shared" si="40"/>
        <v>13</v>
      </c>
      <c r="B102" s="244" t="s">
        <v>124</v>
      </c>
      <c r="C102" s="245">
        <f t="shared" ca="1" si="0"/>
        <v>0</v>
      </c>
      <c r="D102" s="246">
        <f t="shared" ca="1" si="39"/>
        <v>0</v>
      </c>
      <c r="E102" s="247">
        <f ca="1">IFERROR(__xludf.DUMMYFUNCTION("IMPORTRANGE(""https://docs.google.com/spreadsheets/d/1MeEWN-I1oV_STSDYn1IFDPWt_1FKiwhDph83XaGc0o0/edit?usp=sharing"",""งบพรบ!CF102"")"),0)</f>
        <v>0</v>
      </c>
      <c r="F102" s="247">
        <f ca="1">IFERROR(__xludf.DUMMYFUNCTION("IMPORTRANGE(""https://docs.google.com/spreadsheets/d/1MeEWN-I1oV_STSDYn1IFDPWt_1FKiwhDph83XaGc0o0/edit?usp=sharing"",""งบพรบ!CG102"")"),0)</f>
        <v>0</v>
      </c>
      <c r="G102" s="247">
        <f ca="1">IFERROR(__xludf.DUMMYFUNCTION("IMPORTRANGE(""https://docs.google.com/spreadsheets/d/1MeEWN-I1oV_STSDYn1IFDPWt_1FKiwhDph83XaGc0o0/edit?usp=sharing"",""งบพรบ!CH102"")"),0)</f>
        <v>0</v>
      </c>
      <c r="H102" s="247">
        <f ca="1">IFERROR(__xludf.DUMMYFUNCTION("IMPORTRANGE(""https://docs.google.com/spreadsheets/d/1MeEWN-I1oV_STSDYn1IFDPWt_1FKiwhDph83XaGc0o0/edit?usp=sharing"",""งบพรบ!CJ102"")"),0)</f>
        <v>0</v>
      </c>
      <c r="I102" s="247">
        <f ca="1">IFERROR(__xludf.DUMMYFUNCTION("IMPORTRANGE(""https://docs.google.com/spreadsheets/d/1MeEWN-I1oV_STSDYn1IFDPWt_1FKiwhDph83XaGc0o0/edit?usp=sharing"",""งบพรบ!CK102"")"),0)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IFERROR(__xludf.DUMMYFUNCTION("IMPORTRANGE(""https://docs.google.com/spreadsheets/d/1MeEWN-I1oV_STSDYn1IFDPWt_1FKiwhDph83XaGc0o0/edit?usp=sharing"",""งบพรบ!CL102"")"),0)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IFERROR(__xludf.DUMMYFUNCTION("IMPORTRANGE(""https://docs.google.com/spreadsheets/d/1MeEWN-I1oV_STSDYn1IFDPWt_1FKiwhDph83XaGc0o0/edit?usp=sharing"",""งบพรบ!CC102"")"),0)</f>
        <v>0</v>
      </c>
      <c r="P102" s="251">
        <f t="shared" ca="1" si="22"/>
        <v>0</v>
      </c>
      <c r="Q102" s="250">
        <f t="shared" ca="1" si="8"/>
        <v>0</v>
      </c>
      <c r="R102" s="271"/>
      <c r="S102" s="271"/>
      <c r="T102" s="250"/>
      <c r="U102" s="271"/>
      <c r="V102" s="271"/>
      <c r="W102" s="250"/>
      <c r="X102" s="199"/>
      <c r="Y102" s="199"/>
      <c r="Z102" s="199"/>
    </row>
    <row r="103" spans="1:26" ht="24" hidden="1" customHeight="1" x14ac:dyDescent="0.3">
      <c r="A103" s="254">
        <f t="shared" si="40"/>
        <v>14</v>
      </c>
      <c r="B103" s="255" t="s">
        <v>125</v>
      </c>
      <c r="C103" s="256">
        <f t="shared" ca="1" si="0"/>
        <v>10928050</v>
      </c>
      <c r="D103" s="257">
        <f t="shared" ca="1" si="39"/>
        <v>10928050</v>
      </c>
      <c r="E103" s="258">
        <f ca="1">IFERROR(__xludf.DUMMYFUNCTION("IMPORTRANGE(""https://docs.google.com/spreadsheets/d/1MeEWN-I1oV_STSDYn1IFDPWt_1FKiwhDph83XaGc0o0/edit?usp=sharing"",""งบพรบ!CF103"")"),10928050)</f>
        <v>10928050</v>
      </c>
      <c r="F103" s="258">
        <f ca="1">IFERROR(__xludf.DUMMYFUNCTION("IMPORTRANGE(""https://docs.google.com/spreadsheets/d/1MeEWN-I1oV_STSDYn1IFDPWt_1FKiwhDph83XaGc0o0/edit?usp=sharing"",""งบพรบ!CG103"")"),0)</f>
        <v>0</v>
      </c>
      <c r="G103" s="258">
        <f ca="1">IFERROR(__xludf.DUMMYFUNCTION("IMPORTRANGE(""https://docs.google.com/spreadsheets/d/1MeEWN-I1oV_STSDYn1IFDPWt_1FKiwhDph83XaGc0o0/edit?usp=sharing"",""งบพรบ!CH103"")"),0)</f>
        <v>0</v>
      </c>
      <c r="H103" s="258">
        <f ca="1">IFERROR(__xludf.DUMMYFUNCTION("IMPORTRANGE(""https://docs.google.com/spreadsheets/d/1MeEWN-I1oV_STSDYn1IFDPWt_1FKiwhDph83XaGc0o0/edit?usp=sharing"",""งบพรบ!CJ103"")"),11735050)</f>
        <v>11735050</v>
      </c>
      <c r="I103" s="258">
        <f ca="1">IFERROR(__xludf.DUMMYFUNCTION("IMPORTRANGE(""https://docs.google.com/spreadsheets/d/1MeEWN-I1oV_STSDYn1IFDPWt_1FKiwhDph83XaGc0o0/edit?usp=sharing"",""งบพรบ!CK103"")"),0)</f>
        <v>0</v>
      </c>
      <c r="J103" s="258">
        <f t="shared" ca="1" si="3"/>
        <v>10205606.58</v>
      </c>
      <c r="K103" s="259">
        <f t="shared" ca="1" si="4"/>
        <v>93.389091191932692</v>
      </c>
      <c r="L103" s="258">
        <f ca="1">IFERROR(__xludf.DUMMYFUNCTION("IMPORTRANGE(""https://docs.google.com/spreadsheets/d/1MeEWN-I1oV_STSDYn1IFDPWt_1FKiwhDph83XaGc0o0/edit?usp=sharing"",""งบพรบ!CL103"")"),10205606.58)</f>
        <v>10205606.58</v>
      </c>
      <c r="M103" s="260">
        <f t="shared" ca="1" si="5"/>
        <v>93.389091191932692</v>
      </c>
      <c r="N103" s="260">
        <f t="shared" ca="1" si="6"/>
        <v>86.966877686929323</v>
      </c>
      <c r="O103" s="261">
        <f ca="1">IFERROR(__xludf.DUMMYFUNCTION("IMPORTRANGE(""https://docs.google.com/spreadsheets/d/1MeEWN-I1oV_STSDYn1IFDPWt_1FKiwhDph83XaGc0o0/edit?usp=sharing"",""งบพรบ!CC103"")"),0)</f>
        <v>0</v>
      </c>
      <c r="P103" s="261">
        <f t="shared" ca="1" si="22"/>
        <v>0</v>
      </c>
      <c r="Q103" s="260">
        <f t="shared" ca="1" si="8"/>
        <v>0</v>
      </c>
      <c r="R103" s="273"/>
      <c r="S103" s="273"/>
      <c r="T103" s="260"/>
      <c r="U103" s="273"/>
      <c r="V103" s="273"/>
      <c r="W103" s="260"/>
      <c r="X103" s="199"/>
      <c r="Y103" s="199"/>
      <c r="Z103" s="199"/>
    </row>
    <row r="104" spans="1:26" ht="21" hidden="1" customHeight="1" x14ac:dyDescent="0.3">
      <c r="A104" s="441" t="s">
        <v>126</v>
      </c>
      <c r="B104" s="414"/>
      <c r="C104" s="230">
        <f t="shared" ca="1" si="0"/>
        <v>6135400</v>
      </c>
      <c r="D104" s="230">
        <f ca="1">SUM(D105:D116)</f>
        <v>6135400</v>
      </c>
      <c r="E104" s="230">
        <f ca="1">IFERROR(__xludf.DUMMYFUNCTION("IMPORTRANGE(""https://docs.google.com/spreadsheets/d/1MeEWN-I1oV_STSDYn1IFDPWt_1FKiwhDph83XaGc0o0/edit?usp=sharing"",""งบพรบ!CF104"")"),6135400)</f>
        <v>6135400</v>
      </c>
      <c r="F104" s="230">
        <f ca="1">IFERROR(__xludf.DUMMYFUNCTION("IMPORTRANGE(""https://docs.google.com/spreadsheets/d/1MeEWN-I1oV_STSDYn1IFDPWt_1FKiwhDph83XaGc0o0/edit?usp=sharing"",""งบพรบ!CG104"")"),0)</f>
        <v>0</v>
      </c>
      <c r="G104" s="230">
        <f ca="1">IFERROR(__xludf.DUMMYFUNCTION("IMPORTRANGE(""https://docs.google.com/spreadsheets/d/1MeEWN-I1oV_STSDYn1IFDPWt_1FKiwhDph83XaGc0o0/edit?usp=sharing"",""งบพรบ!CH104"")"),0)</f>
        <v>0</v>
      </c>
      <c r="H104" s="230">
        <f ca="1">IFERROR(__xludf.DUMMYFUNCTION("IMPORTRANGE(""https://docs.google.com/spreadsheets/d/1MeEWN-I1oV_STSDYn1IFDPWt_1FKiwhDph83XaGc0o0/edit?usp=sharing"",""งบพรบ!CJ104"")"),3060060)</f>
        <v>3060060</v>
      </c>
      <c r="I104" s="230">
        <f ca="1">IFERROR(__xludf.DUMMYFUNCTION("IMPORTRANGE(""https://docs.google.com/spreadsheets/d/1MeEWN-I1oV_STSDYn1IFDPWt_1FKiwhDph83XaGc0o0/edit?usp=sharing"",""งบพรบ!CK104"")"),0)</f>
        <v>0</v>
      </c>
      <c r="J104" s="230">
        <f t="shared" ca="1" si="3"/>
        <v>2837460</v>
      </c>
      <c r="K104" s="231">
        <f t="shared" ca="1" si="4"/>
        <v>46.247351435929197</v>
      </c>
      <c r="L104" s="230">
        <f ca="1">IFERROR(__xludf.DUMMYFUNCTION("IMPORTRANGE(""https://docs.google.com/spreadsheets/d/1MeEWN-I1oV_STSDYn1IFDPWt_1FKiwhDph83XaGc0o0/edit?usp=sharing"",""งบพรบ!CL104"")"),2837460)</f>
        <v>2837460</v>
      </c>
      <c r="M104" s="231">
        <f t="shared" ca="1" si="5"/>
        <v>46.247351435929197</v>
      </c>
      <c r="N104" s="231">
        <f t="shared" ca="1" si="6"/>
        <v>92.725632830728813</v>
      </c>
      <c r="O104" s="230">
        <f ca="1">IFERROR(__xludf.DUMMYFUNCTION("IMPORTRANGE(""https://docs.google.com/spreadsheets/d/1MeEWN-I1oV_STSDYn1IFDPWt_1FKiwhDph83XaGc0o0/edit?usp=sharing"",""งบพรบ!CC104"")"),0)</f>
        <v>0</v>
      </c>
      <c r="P104" s="230">
        <f t="shared" ca="1" si="22"/>
        <v>0</v>
      </c>
      <c r="Q104" s="230">
        <f t="shared" ca="1" si="8"/>
        <v>0</v>
      </c>
      <c r="R104" s="234"/>
      <c r="S104" s="234"/>
      <c r="T104" s="234"/>
      <c r="U104" s="234"/>
      <c r="V104" s="234"/>
      <c r="W104" s="234"/>
      <c r="X104" s="199"/>
      <c r="Y104" s="199"/>
      <c r="Z104" s="199"/>
    </row>
    <row r="105" spans="1:26" ht="24" hidden="1" customHeight="1" x14ac:dyDescent="0.3">
      <c r="A105" s="243">
        <v>1</v>
      </c>
      <c r="B105" s="275" t="s">
        <v>127</v>
      </c>
      <c r="C105" s="245">
        <f t="shared" ca="1" si="0"/>
        <v>0</v>
      </c>
      <c r="D105" s="246">
        <f t="shared" ref="D105:D116" ca="1" si="41">+E105+F105</f>
        <v>0</v>
      </c>
      <c r="E105" s="247">
        <f ca="1">IFERROR(__xludf.DUMMYFUNCTION("IMPORTRANGE(""https://docs.google.com/spreadsheets/d/1MeEWN-I1oV_STSDYn1IFDPWt_1FKiwhDph83XaGc0o0/edit?usp=sharing"",""งบพรบ!CF105"")"),0)</f>
        <v>0</v>
      </c>
      <c r="F105" s="247">
        <f ca="1">IFERROR(__xludf.DUMMYFUNCTION("IMPORTRANGE(""https://docs.google.com/spreadsheets/d/1MeEWN-I1oV_STSDYn1IFDPWt_1FKiwhDph83XaGc0o0/edit?usp=sharing"",""งบพรบ!CG105"")"),0)</f>
        <v>0</v>
      </c>
      <c r="G105" s="247">
        <f ca="1">IFERROR(__xludf.DUMMYFUNCTION("IMPORTRANGE(""https://docs.google.com/spreadsheets/d/1MeEWN-I1oV_STSDYn1IFDPWt_1FKiwhDph83XaGc0o0/edit?usp=sharing"",""งบพรบ!CH105"")"),0)</f>
        <v>0</v>
      </c>
      <c r="H105" s="247">
        <f ca="1">IFERROR(__xludf.DUMMYFUNCTION("IMPORTRANGE(""https://docs.google.com/spreadsheets/d/1MeEWN-I1oV_STSDYn1IFDPWt_1FKiwhDph83XaGc0o0/edit?usp=sharing"",""งบพรบ!CJ105"")"),0)</f>
        <v>0</v>
      </c>
      <c r="I105" s="247">
        <f ca="1">IFERROR(__xludf.DUMMYFUNCTION("IMPORTRANGE(""https://docs.google.com/spreadsheets/d/1MeEWN-I1oV_STSDYn1IFDPWt_1FKiwhDph83XaGc0o0/edit?usp=sharing"",""งบพรบ!CK105"")"),0)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IFERROR(__xludf.DUMMYFUNCTION("IMPORTRANGE(""https://docs.google.com/spreadsheets/d/1MeEWN-I1oV_STSDYn1IFDPWt_1FKiwhDph83XaGc0o0/edit?usp=sharing"",""งบพรบ!CL105"")"),0)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IFERROR(__xludf.DUMMYFUNCTION("IMPORTRANGE(""https://docs.google.com/spreadsheets/d/1MeEWN-I1oV_STSDYn1IFDPWt_1FKiwhDph83XaGc0o0/edit?usp=sharing"",""งบพรบ!CC105"")"),0)</f>
        <v>0</v>
      </c>
      <c r="P105" s="251">
        <f t="shared" ca="1" si="22"/>
        <v>0</v>
      </c>
      <c r="Q105" s="250">
        <f t="shared" ca="1" si="8"/>
        <v>0</v>
      </c>
      <c r="R105" s="271"/>
      <c r="S105" s="271"/>
      <c r="T105" s="271"/>
      <c r="U105" s="271"/>
      <c r="V105" s="271"/>
      <c r="W105" s="271"/>
      <c r="X105" s="199"/>
      <c r="Y105" s="199"/>
      <c r="Z105" s="199"/>
    </row>
    <row r="106" spans="1:26" ht="24" hidden="1" customHeight="1" x14ac:dyDescent="0.3">
      <c r="A106" s="243">
        <v>2</v>
      </c>
      <c r="B106" s="275" t="s">
        <v>128</v>
      </c>
      <c r="C106" s="245">
        <f t="shared" ca="1" si="0"/>
        <v>1635400</v>
      </c>
      <c r="D106" s="246">
        <f t="shared" ca="1" si="41"/>
        <v>1635400</v>
      </c>
      <c r="E106" s="247">
        <f ca="1">IFERROR(__xludf.DUMMYFUNCTION("IMPORTRANGE(""https://docs.google.com/spreadsheets/d/1MeEWN-I1oV_STSDYn1IFDPWt_1FKiwhDph83XaGc0o0/edit?usp=sharing"",""งบพรบ!CF106"")"),1635400)</f>
        <v>1635400</v>
      </c>
      <c r="F106" s="247">
        <f ca="1">IFERROR(__xludf.DUMMYFUNCTION("IMPORTRANGE(""https://docs.google.com/spreadsheets/d/1MeEWN-I1oV_STSDYn1IFDPWt_1FKiwhDph83XaGc0o0/edit?usp=sharing"",""งบพรบ!CG106"")"),0)</f>
        <v>0</v>
      </c>
      <c r="G106" s="247">
        <f ca="1">IFERROR(__xludf.DUMMYFUNCTION("IMPORTRANGE(""https://docs.google.com/spreadsheets/d/1MeEWN-I1oV_STSDYn1IFDPWt_1FKiwhDph83XaGc0o0/edit?usp=sharing"",""งบพรบ!CH106"")"),0)</f>
        <v>0</v>
      </c>
      <c r="H106" s="247">
        <f ca="1">IFERROR(__xludf.DUMMYFUNCTION("IMPORTRANGE(""https://docs.google.com/spreadsheets/d/1MeEWN-I1oV_STSDYn1IFDPWt_1FKiwhDph83XaGc0o0/edit?usp=sharing"",""งบพรบ!CJ106"")"),522600)</f>
        <v>522600</v>
      </c>
      <c r="I106" s="247">
        <f ca="1">IFERROR(__xludf.DUMMYFUNCTION("IMPORTRANGE(""https://docs.google.com/spreadsheets/d/1MeEWN-I1oV_STSDYn1IFDPWt_1FKiwhDph83XaGc0o0/edit?usp=sharing"",""งบพรบ!CK106"")"),0)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IFERROR(__xludf.DUMMYFUNCTION("IMPORTRANGE(""https://docs.google.com/spreadsheets/d/1MeEWN-I1oV_STSDYn1IFDPWt_1FKiwhDph83XaGc0o0/edit?usp=sharing"",""งบพรบ!CL106"")"),0)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IFERROR(__xludf.DUMMYFUNCTION("IMPORTRANGE(""https://docs.google.com/spreadsheets/d/1MeEWN-I1oV_STSDYn1IFDPWt_1FKiwhDph83XaGc0o0/edit?usp=sharing"",""งบพรบ!CC106"")"),0)</f>
        <v>0</v>
      </c>
      <c r="P106" s="251">
        <f t="shared" ca="1" si="22"/>
        <v>0</v>
      </c>
      <c r="Q106" s="250">
        <f t="shared" ca="1" si="8"/>
        <v>0</v>
      </c>
      <c r="R106" s="271"/>
      <c r="S106" s="271"/>
      <c r="T106" s="271"/>
      <c r="U106" s="271"/>
      <c r="V106" s="271"/>
      <c r="W106" s="271"/>
      <c r="X106" s="199"/>
      <c r="Y106" s="199"/>
      <c r="Z106" s="199"/>
    </row>
    <row r="107" spans="1:26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41"/>
        <v>0</v>
      </c>
      <c r="E107" s="247">
        <f ca="1">IFERROR(__xludf.DUMMYFUNCTION("IMPORTRANGE(""https://docs.google.com/spreadsheets/d/1MeEWN-I1oV_STSDYn1IFDPWt_1FKiwhDph83XaGc0o0/edit?usp=sharing"",""งบพรบ!CF107"")"),0)</f>
        <v>0</v>
      </c>
      <c r="F107" s="247">
        <f ca="1">IFERROR(__xludf.DUMMYFUNCTION("IMPORTRANGE(""https://docs.google.com/spreadsheets/d/1MeEWN-I1oV_STSDYn1IFDPWt_1FKiwhDph83XaGc0o0/edit?usp=sharing"",""งบพรบ!CG107"")"),0)</f>
        <v>0</v>
      </c>
      <c r="G107" s="247">
        <f ca="1">IFERROR(__xludf.DUMMYFUNCTION("IMPORTRANGE(""https://docs.google.com/spreadsheets/d/1MeEWN-I1oV_STSDYn1IFDPWt_1FKiwhDph83XaGc0o0/edit?usp=sharing"",""งบพรบ!CH107"")"),0)</f>
        <v>0</v>
      </c>
      <c r="H107" s="247">
        <f ca="1">IFERROR(__xludf.DUMMYFUNCTION("IMPORTRANGE(""https://docs.google.com/spreadsheets/d/1MeEWN-I1oV_STSDYn1IFDPWt_1FKiwhDph83XaGc0o0/edit?usp=sharing"",""งบพรบ!CJ107"")"),0)</f>
        <v>0</v>
      </c>
      <c r="I107" s="247">
        <f ca="1">IFERROR(__xludf.DUMMYFUNCTION("IMPORTRANGE(""https://docs.google.com/spreadsheets/d/1MeEWN-I1oV_STSDYn1IFDPWt_1FKiwhDph83XaGc0o0/edit?usp=sharing"",""งบพรบ!CK107"")"),0)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IFERROR(__xludf.DUMMYFUNCTION("IMPORTRANGE(""https://docs.google.com/spreadsheets/d/1MeEWN-I1oV_STSDYn1IFDPWt_1FKiwhDph83XaGc0o0/edit?usp=sharing"",""งบพรบ!CL107"")"),0)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IFERROR(__xludf.DUMMYFUNCTION("IMPORTRANGE(""https://docs.google.com/spreadsheets/d/1MeEWN-I1oV_STSDYn1IFDPWt_1FKiwhDph83XaGc0o0/edit?usp=sharing"",""งบพรบ!CC107"")"),0)</f>
        <v>0</v>
      </c>
      <c r="P107" s="251">
        <f t="shared" ca="1" si="22"/>
        <v>0</v>
      </c>
      <c r="Q107" s="250">
        <f t="shared" ca="1" si="8"/>
        <v>0</v>
      </c>
      <c r="R107" s="271"/>
      <c r="S107" s="271"/>
      <c r="T107" s="271"/>
      <c r="U107" s="271"/>
      <c r="V107" s="271"/>
      <c r="W107" s="271"/>
      <c r="X107" s="199"/>
      <c r="Y107" s="199"/>
      <c r="Z107" s="199"/>
    </row>
    <row r="108" spans="1:26" ht="24" hidden="1" customHeight="1" x14ac:dyDescent="0.3">
      <c r="A108" s="276">
        <v>4</v>
      </c>
      <c r="B108" s="275" t="s">
        <v>130</v>
      </c>
      <c r="C108" s="245">
        <f t="shared" ca="1" si="0"/>
        <v>2500000</v>
      </c>
      <c r="D108" s="246">
        <f t="shared" ca="1" si="41"/>
        <v>2500000</v>
      </c>
      <c r="E108" s="247">
        <f ca="1">IFERROR(__xludf.DUMMYFUNCTION("IMPORTRANGE(""https://docs.google.com/spreadsheets/d/1MeEWN-I1oV_STSDYn1IFDPWt_1FKiwhDph83XaGc0o0/edit?usp=sharing"",""งบพรบ!CF108"")"),2500000)</f>
        <v>2500000</v>
      </c>
      <c r="F108" s="247">
        <f ca="1">IFERROR(__xludf.DUMMYFUNCTION("IMPORTRANGE(""https://docs.google.com/spreadsheets/d/1MeEWN-I1oV_STSDYn1IFDPWt_1FKiwhDph83XaGc0o0/edit?usp=sharing"",""งบพรบ!CG108"")"),0)</f>
        <v>0</v>
      </c>
      <c r="G108" s="247">
        <f ca="1">IFERROR(__xludf.DUMMYFUNCTION("IMPORTRANGE(""https://docs.google.com/spreadsheets/d/1MeEWN-I1oV_STSDYn1IFDPWt_1FKiwhDph83XaGc0o0/edit?usp=sharing"",""งบพรบ!CH108"")"),0)</f>
        <v>0</v>
      </c>
      <c r="H108" s="247">
        <f ca="1">IFERROR(__xludf.DUMMYFUNCTION("IMPORTRANGE(""https://docs.google.com/spreadsheets/d/1MeEWN-I1oV_STSDYn1IFDPWt_1FKiwhDph83XaGc0o0/edit?usp=sharing"",""งบพรบ!CJ108"")"),1292000)</f>
        <v>1292000</v>
      </c>
      <c r="I108" s="247">
        <f ca="1">IFERROR(__xludf.DUMMYFUNCTION("IMPORTRANGE(""https://docs.google.com/spreadsheets/d/1MeEWN-I1oV_STSDYn1IFDPWt_1FKiwhDph83XaGc0o0/edit?usp=sharing"",""งบพรบ!CK108"")"),0)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IFERROR(__xludf.DUMMYFUNCTION("IMPORTRANGE(""https://docs.google.com/spreadsheets/d/1MeEWN-I1oV_STSDYn1IFDPWt_1FKiwhDph83XaGc0o0/edit?usp=sharing"",""งบพรบ!CL108"")"),0)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IFERROR(__xludf.DUMMYFUNCTION("IMPORTRANGE(""https://docs.google.com/spreadsheets/d/1MeEWN-I1oV_STSDYn1IFDPWt_1FKiwhDph83XaGc0o0/edit?usp=sharing"",""งบพรบ!CC108"")"),0)</f>
        <v>0</v>
      </c>
      <c r="P108" s="251">
        <f t="shared" ca="1" si="22"/>
        <v>0</v>
      </c>
      <c r="Q108" s="250">
        <f t="shared" ca="1" si="8"/>
        <v>0</v>
      </c>
      <c r="R108" s="271"/>
      <c r="S108" s="271"/>
      <c r="T108" s="271"/>
      <c r="U108" s="271"/>
      <c r="V108" s="271"/>
      <c r="W108" s="271"/>
      <c r="X108" s="199"/>
      <c r="Y108" s="199"/>
      <c r="Z108" s="199"/>
    </row>
    <row r="109" spans="1:26" ht="24" hidden="1" customHeight="1" x14ac:dyDescent="0.3">
      <c r="A109" s="276">
        <v>5</v>
      </c>
      <c r="B109" s="275" t="s">
        <v>131</v>
      </c>
      <c r="C109" s="245">
        <f t="shared" ca="1" si="0"/>
        <v>2000000</v>
      </c>
      <c r="D109" s="246">
        <f t="shared" ca="1" si="41"/>
        <v>2000000</v>
      </c>
      <c r="E109" s="247">
        <f ca="1">IFERROR(__xludf.DUMMYFUNCTION("IMPORTRANGE(""https://docs.google.com/spreadsheets/d/1MeEWN-I1oV_STSDYn1IFDPWt_1FKiwhDph83XaGc0o0/edit?usp=sharing"",""งบพรบ!CF109"")"),2000000)</f>
        <v>2000000</v>
      </c>
      <c r="F109" s="247">
        <f ca="1">IFERROR(__xludf.DUMMYFUNCTION("IMPORTRANGE(""https://docs.google.com/spreadsheets/d/1MeEWN-I1oV_STSDYn1IFDPWt_1FKiwhDph83XaGc0o0/edit?usp=sharing"",""งบพรบ!CG109"")"),0)</f>
        <v>0</v>
      </c>
      <c r="G109" s="247">
        <f ca="1">IFERROR(__xludf.DUMMYFUNCTION("IMPORTRANGE(""https://docs.google.com/spreadsheets/d/1MeEWN-I1oV_STSDYn1IFDPWt_1FKiwhDph83XaGc0o0/edit?usp=sharing"",""งบพรบ!CH109"")"),0)</f>
        <v>0</v>
      </c>
      <c r="H109" s="247">
        <f ca="1">IFERROR(__xludf.DUMMYFUNCTION("IMPORTRANGE(""https://docs.google.com/spreadsheets/d/1MeEWN-I1oV_STSDYn1IFDPWt_1FKiwhDph83XaGc0o0/edit?usp=sharing"",""งบพรบ!CJ109"")"),1245460)</f>
        <v>1245460</v>
      </c>
      <c r="I109" s="247">
        <f ca="1">IFERROR(__xludf.DUMMYFUNCTION("IMPORTRANGE(""https://docs.google.com/spreadsheets/d/1MeEWN-I1oV_STSDYn1IFDPWt_1FKiwhDph83XaGc0o0/edit?usp=sharing"",""งบพรบ!CK109"")"),0)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IFERROR(__xludf.DUMMYFUNCTION("IMPORTRANGE(""https://docs.google.com/spreadsheets/d/1MeEWN-I1oV_STSDYn1IFDPWt_1FKiwhDph83XaGc0o0/edit?usp=sharing"",""งบพรบ!CL109"")"),0)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IFERROR(__xludf.DUMMYFUNCTION("IMPORTRANGE(""https://docs.google.com/spreadsheets/d/1MeEWN-I1oV_STSDYn1IFDPWt_1FKiwhDph83XaGc0o0/edit?usp=sharing"",""งบพรบ!CC109"")"),0)</f>
        <v>0</v>
      </c>
      <c r="P109" s="251">
        <f t="shared" ca="1" si="22"/>
        <v>0</v>
      </c>
      <c r="Q109" s="250">
        <f t="shared" ca="1" si="8"/>
        <v>0</v>
      </c>
      <c r="R109" s="271"/>
      <c r="S109" s="271"/>
      <c r="T109" s="271"/>
      <c r="U109" s="271"/>
      <c r="V109" s="271"/>
      <c r="W109" s="271"/>
      <c r="X109" s="199"/>
      <c r="Y109" s="199"/>
      <c r="Z109" s="199"/>
    </row>
    <row r="110" spans="1:26" ht="24" hidden="1" customHeight="1" x14ac:dyDescent="0.3">
      <c r="A110" s="276">
        <v>6</v>
      </c>
      <c r="B110" s="275" t="s">
        <v>132</v>
      </c>
      <c r="C110" s="245">
        <f t="shared" ca="1" si="0"/>
        <v>0</v>
      </c>
      <c r="D110" s="246">
        <f t="shared" ca="1" si="41"/>
        <v>0</v>
      </c>
      <c r="E110" s="247">
        <f ca="1">IFERROR(__xludf.DUMMYFUNCTION("IMPORTRANGE(""https://docs.google.com/spreadsheets/d/1MeEWN-I1oV_STSDYn1IFDPWt_1FKiwhDph83XaGc0o0/edit?usp=sharing"",""งบพรบ!CF110"")"),0)</f>
        <v>0</v>
      </c>
      <c r="F110" s="247">
        <f ca="1">IFERROR(__xludf.DUMMYFUNCTION("IMPORTRANGE(""https://docs.google.com/spreadsheets/d/1MeEWN-I1oV_STSDYn1IFDPWt_1FKiwhDph83XaGc0o0/edit?usp=sharing"",""งบพรบ!CG110"")"),0)</f>
        <v>0</v>
      </c>
      <c r="G110" s="247">
        <f ca="1">IFERROR(__xludf.DUMMYFUNCTION("IMPORTRANGE(""https://docs.google.com/spreadsheets/d/1MeEWN-I1oV_STSDYn1IFDPWt_1FKiwhDph83XaGc0o0/edit?usp=sharing"",""งบพรบ!CH110"")"),0)</f>
        <v>0</v>
      </c>
      <c r="H110" s="247">
        <f ca="1">IFERROR(__xludf.DUMMYFUNCTION("IMPORTRANGE(""https://docs.google.com/spreadsheets/d/1MeEWN-I1oV_STSDYn1IFDPWt_1FKiwhDph83XaGc0o0/edit?usp=sharing"",""งบพรบ!CJ110"")"),0)</f>
        <v>0</v>
      </c>
      <c r="I110" s="247">
        <f ca="1">IFERROR(__xludf.DUMMYFUNCTION("IMPORTRANGE(""https://docs.google.com/spreadsheets/d/1MeEWN-I1oV_STSDYn1IFDPWt_1FKiwhDph83XaGc0o0/edit?usp=sharing"",""งบพรบ!CK110"")"),0)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IFERROR(__xludf.DUMMYFUNCTION("IMPORTRANGE(""https://docs.google.com/spreadsheets/d/1MeEWN-I1oV_STSDYn1IFDPWt_1FKiwhDph83XaGc0o0/edit?usp=sharing"",""งบพรบ!CL110"")"),0)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IFERROR(__xludf.DUMMYFUNCTION("IMPORTRANGE(""https://docs.google.com/spreadsheets/d/1MeEWN-I1oV_STSDYn1IFDPWt_1FKiwhDph83XaGc0o0/edit?usp=sharing"",""งบพรบ!CC110"")"),0)</f>
        <v>0</v>
      </c>
      <c r="P110" s="251">
        <f t="shared" ca="1" si="22"/>
        <v>0</v>
      </c>
      <c r="Q110" s="250">
        <f t="shared" ca="1" si="8"/>
        <v>0</v>
      </c>
      <c r="R110" s="271"/>
      <c r="S110" s="271"/>
      <c r="T110" s="271"/>
      <c r="U110" s="271"/>
      <c r="V110" s="271"/>
      <c r="W110" s="271"/>
      <c r="X110" s="199"/>
      <c r="Y110" s="199"/>
      <c r="Z110" s="199"/>
    </row>
    <row r="111" spans="1:26" ht="24" hidden="1" customHeight="1" x14ac:dyDescent="0.3">
      <c r="A111" s="276">
        <v>7</v>
      </c>
      <c r="B111" s="275" t="s">
        <v>133</v>
      </c>
      <c r="C111" s="245">
        <f t="shared" ca="1" si="0"/>
        <v>0</v>
      </c>
      <c r="D111" s="246">
        <f t="shared" ca="1" si="41"/>
        <v>0</v>
      </c>
      <c r="E111" s="247">
        <f ca="1">IFERROR(__xludf.DUMMYFUNCTION("IMPORTRANGE(""https://docs.google.com/spreadsheets/d/1MeEWN-I1oV_STSDYn1IFDPWt_1FKiwhDph83XaGc0o0/edit?usp=sharing"",""งบพรบ!CF111"")"),0)</f>
        <v>0</v>
      </c>
      <c r="F111" s="247">
        <f ca="1">IFERROR(__xludf.DUMMYFUNCTION("IMPORTRANGE(""https://docs.google.com/spreadsheets/d/1MeEWN-I1oV_STSDYn1IFDPWt_1FKiwhDph83XaGc0o0/edit?usp=sharing"",""งบพรบ!CG111"")"),0)</f>
        <v>0</v>
      </c>
      <c r="G111" s="247">
        <f ca="1">IFERROR(__xludf.DUMMYFUNCTION("IMPORTRANGE(""https://docs.google.com/spreadsheets/d/1MeEWN-I1oV_STSDYn1IFDPWt_1FKiwhDph83XaGc0o0/edit?usp=sharing"",""งบพรบ!CH111"")"),0)</f>
        <v>0</v>
      </c>
      <c r="H111" s="247">
        <f ca="1">IFERROR(__xludf.DUMMYFUNCTION("IMPORTRANGE(""https://docs.google.com/spreadsheets/d/1MeEWN-I1oV_STSDYn1IFDPWt_1FKiwhDph83XaGc0o0/edit?usp=sharing"",""งบพรบ!CJ111"")"),0)</f>
        <v>0</v>
      </c>
      <c r="I111" s="247">
        <f ca="1">IFERROR(__xludf.DUMMYFUNCTION("IMPORTRANGE(""https://docs.google.com/spreadsheets/d/1MeEWN-I1oV_STSDYn1IFDPWt_1FKiwhDph83XaGc0o0/edit?usp=sharing"",""งบพรบ!CK111"")"),0)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IFERROR(__xludf.DUMMYFUNCTION("IMPORTRANGE(""https://docs.google.com/spreadsheets/d/1MeEWN-I1oV_STSDYn1IFDPWt_1FKiwhDph83XaGc0o0/edit?usp=sharing"",""งบพรบ!CL111"")"),0)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IFERROR(__xludf.DUMMYFUNCTION("IMPORTRANGE(""https://docs.google.com/spreadsheets/d/1MeEWN-I1oV_STSDYn1IFDPWt_1FKiwhDph83XaGc0o0/edit?usp=sharing"",""งบพรบ!CC111"")"),0)</f>
        <v>0</v>
      </c>
      <c r="P111" s="251">
        <f t="shared" ca="1" si="22"/>
        <v>0</v>
      </c>
      <c r="Q111" s="250">
        <f t="shared" ca="1" si="8"/>
        <v>0</v>
      </c>
      <c r="R111" s="271"/>
      <c r="S111" s="271"/>
      <c r="T111" s="271"/>
      <c r="U111" s="271"/>
      <c r="V111" s="271"/>
      <c r="W111" s="271"/>
      <c r="X111" s="199"/>
      <c r="Y111" s="199"/>
      <c r="Z111" s="199"/>
    </row>
    <row r="112" spans="1:26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41"/>
        <v>0</v>
      </c>
      <c r="E112" s="247">
        <f ca="1">IFERROR(__xludf.DUMMYFUNCTION("IMPORTRANGE(""https://docs.google.com/spreadsheets/d/1MeEWN-I1oV_STSDYn1IFDPWt_1FKiwhDph83XaGc0o0/edit?usp=sharing"",""งบพรบ!CF112"")"),0)</f>
        <v>0</v>
      </c>
      <c r="F112" s="247">
        <f ca="1">IFERROR(__xludf.DUMMYFUNCTION("IMPORTRANGE(""https://docs.google.com/spreadsheets/d/1MeEWN-I1oV_STSDYn1IFDPWt_1FKiwhDph83XaGc0o0/edit?usp=sharing"",""งบพรบ!CG112"")"),0)</f>
        <v>0</v>
      </c>
      <c r="G112" s="247">
        <f ca="1">IFERROR(__xludf.DUMMYFUNCTION("IMPORTRANGE(""https://docs.google.com/spreadsheets/d/1MeEWN-I1oV_STSDYn1IFDPWt_1FKiwhDph83XaGc0o0/edit?usp=sharing"",""งบพรบ!CH112"")"),0)</f>
        <v>0</v>
      </c>
      <c r="H112" s="247">
        <f ca="1">IFERROR(__xludf.DUMMYFUNCTION("IMPORTRANGE(""https://docs.google.com/spreadsheets/d/1MeEWN-I1oV_STSDYn1IFDPWt_1FKiwhDph83XaGc0o0/edit?usp=sharing"",""งบพรบ!CJ112"")"),0)</f>
        <v>0</v>
      </c>
      <c r="I112" s="247">
        <f ca="1">IFERROR(__xludf.DUMMYFUNCTION("IMPORTRANGE(""https://docs.google.com/spreadsheets/d/1MeEWN-I1oV_STSDYn1IFDPWt_1FKiwhDph83XaGc0o0/edit?usp=sharing"",""งบพรบ!CK112"")"),0)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IFERROR(__xludf.DUMMYFUNCTION("IMPORTRANGE(""https://docs.google.com/spreadsheets/d/1MeEWN-I1oV_STSDYn1IFDPWt_1FKiwhDph83XaGc0o0/edit?usp=sharing"",""งบพรบ!CL112"")"),0)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IFERROR(__xludf.DUMMYFUNCTION("IMPORTRANGE(""https://docs.google.com/spreadsheets/d/1MeEWN-I1oV_STSDYn1IFDPWt_1FKiwhDph83XaGc0o0/edit?usp=sharing"",""งบพรบ!CC112"")"),0)</f>
        <v>0</v>
      </c>
      <c r="P112" s="251">
        <f t="shared" ca="1" si="22"/>
        <v>0</v>
      </c>
      <c r="Q112" s="250">
        <f t="shared" ca="1" si="8"/>
        <v>0</v>
      </c>
      <c r="R112" s="271"/>
      <c r="S112" s="271"/>
      <c r="T112" s="271"/>
      <c r="U112" s="271"/>
      <c r="V112" s="271"/>
      <c r="W112" s="271"/>
      <c r="X112" s="199"/>
      <c r="Y112" s="199"/>
      <c r="Z112" s="199"/>
    </row>
    <row r="113" spans="1:26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41"/>
        <v>0</v>
      </c>
      <c r="E113" s="247">
        <f ca="1">IFERROR(__xludf.DUMMYFUNCTION("IMPORTRANGE(""https://docs.google.com/spreadsheets/d/1MeEWN-I1oV_STSDYn1IFDPWt_1FKiwhDph83XaGc0o0/edit?usp=sharing"",""งบพรบ!CF113"")"),0)</f>
        <v>0</v>
      </c>
      <c r="F113" s="247">
        <f ca="1">IFERROR(__xludf.DUMMYFUNCTION("IMPORTRANGE(""https://docs.google.com/spreadsheets/d/1MeEWN-I1oV_STSDYn1IFDPWt_1FKiwhDph83XaGc0o0/edit?usp=sharing"",""งบพรบ!CG113"")"),0)</f>
        <v>0</v>
      </c>
      <c r="G113" s="247">
        <f ca="1">IFERROR(__xludf.DUMMYFUNCTION("IMPORTRANGE(""https://docs.google.com/spreadsheets/d/1MeEWN-I1oV_STSDYn1IFDPWt_1FKiwhDph83XaGc0o0/edit?usp=sharing"",""งบพรบ!CH113"")"),0)</f>
        <v>0</v>
      </c>
      <c r="H113" s="247">
        <f ca="1">IFERROR(__xludf.DUMMYFUNCTION("IMPORTRANGE(""https://docs.google.com/spreadsheets/d/1MeEWN-I1oV_STSDYn1IFDPWt_1FKiwhDph83XaGc0o0/edit?usp=sharing"",""งบพรบ!CJ113"")"),0)</f>
        <v>0</v>
      </c>
      <c r="I113" s="247">
        <f ca="1">IFERROR(__xludf.DUMMYFUNCTION("IMPORTRANGE(""https://docs.google.com/spreadsheets/d/1MeEWN-I1oV_STSDYn1IFDPWt_1FKiwhDph83XaGc0o0/edit?usp=sharing"",""งบพรบ!CK113"")"),0)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IFERROR(__xludf.DUMMYFUNCTION("IMPORTRANGE(""https://docs.google.com/spreadsheets/d/1MeEWN-I1oV_STSDYn1IFDPWt_1FKiwhDph83XaGc0o0/edit?usp=sharing"",""งบพรบ!CL113"")"),0)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IFERROR(__xludf.DUMMYFUNCTION("IMPORTRANGE(""https://docs.google.com/spreadsheets/d/1MeEWN-I1oV_STSDYn1IFDPWt_1FKiwhDph83XaGc0o0/edit?usp=sharing"",""งบพรบ!CC113"")"),0)</f>
        <v>0</v>
      </c>
      <c r="P113" s="251">
        <f t="shared" ca="1" si="22"/>
        <v>0</v>
      </c>
      <c r="Q113" s="250">
        <f t="shared" ca="1" si="8"/>
        <v>0</v>
      </c>
      <c r="R113" s="271"/>
      <c r="S113" s="271"/>
      <c r="T113" s="271"/>
      <c r="U113" s="271"/>
      <c r="V113" s="271"/>
      <c r="W113" s="271"/>
      <c r="X113" s="199"/>
      <c r="Y113" s="199"/>
      <c r="Z113" s="199"/>
    </row>
    <row r="114" spans="1:26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41"/>
        <v>0</v>
      </c>
      <c r="E114" s="247">
        <f ca="1">IFERROR(__xludf.DUMMYFUNCTION("IMPORTRANGE(""https://docs.google.com/spreadsheets/d/1MeEWN-I1oV_STSDYn1IFDPWt_1FKiwhDph83XaGc0o0/edit?usp=sharing"",""งบพรบ!CF114"")"),0)</f>
        <v>0</v>
      </c>
      <c r="F114" s="247">
        <f ca="1">IFERROR(__xludf.DUMMYFUNCTION("IMPORTRANGE(""https://docs.google.com/spreadsheets/d/1MeEWN-I1oV_STSDYn1IFDPWt_1FKiwhDph83XaGc0o0/edit?usp=sharing"",""งบพรบ!CG114"")"),0)</f>
        <v>0</v>
      </c>
      <c r="G114" s="247">
        <f ca="1">IFERROR(__xludf.DUMMYFUNCTION("IMPORTRANGE(""https://docs.google.com/spreadsheets/d/1MeEWN-I1oV_STSDYn1IFDPWt_1FKiwhDph83XaGc0o0/edit?usp=sharing"",""งบพรบ!CH114"")"),0)</f>
        <v>0</v>
      </c>
      <c r="H114" s="247">
        <f ca="1">IFERROR(__xludf.DUMMYFUNCTION("IMPORTRANGE(""https://docs.google.com/spreadsheets/d/1MeEWN-I1oV_STSDYn1IFDPWt_1FKiwhDph83XaGc0o0/edit?usp=sharing"",""งบพรบ!CJ114"")"),0)</f>
        <v>0</v>
      </c>
      <c r="I114" s="247">
        <f ca="1">IFERROR(__xludf.DUMMYFUNCTION("IMPORTRANGE(""https://docs.google.com/spreadsheets/d/1MeEWN-I1oV_STSDYn1IFDPWt_1FKiwhDph83XaGc0o0/edit?usp=sharing"",""งบพรบ!CK114"")"),0)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IFERROR(__xludf.DUMMYFUNCTION("IMPORTRANGE(""https://docs.google.com/spreadsheets/d/1MeEWN-I1oV_STSDYn1IFDPWt_1FKiwhDph83XaGc0o0/edit?usp=sharing"",""งบพรบ!CL114"")"),0)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IFERROR(__xludf.DUMMYFUNCTION("IMPORTRANGE(""https://docs.google.com/spreadsheets/d/1MeEWN-I1oV_STSDYn1IFDPWt_1FKiwhDph83XaGc0o0/edit?usp=sharing"",""งบพรบ!CC114"")"),0)</f>
        <v>0</v>
      </c>
      <c r="P114" s="251">
        <f t="shared" ca="1" si="22"/>
        <v>0</v>
      </c>
      <c r="Q114" s="250">
        <f t="shared" ca="1" si="8"/>
        <v>0</v>
      </c>
      <c r="R114" s="271"/>
      <c r="S114" s="271"/>
      <c r="T114" s="271"/>
      <c r="U114" s="271"/>
      <c r="V114" s="271"/>
      <c r="W114" s="271"/>
      <c r="X114" s="199"/>
      <c r="Y114" s="199"/>
      <c r="Z114" s="199"/>
    </row>
    <row r="115" spans="1:26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41"/>
        <v>0</v>
      </c>
      <c r="E115" s="247">
        <f ca="1">IFERROR(__xludf.DUMMYFUNCTION("IMPORTRANGE(""https://docs.google.com/spreadsheets/d/1MeEWN-I1oV_STSDYn1IFDPWt_1FKiwhDph83XaGc0o0/edit?usp=sharing"",""งบพรบ!CF115"")"),0)</f>
        <v>0</v>
      </c>
      <c r="F115" s="247">
        <f ca="1">IFERROR(__xludf.DUMMYFUNCTION("IMPORTRANGE(""https://docs.google.com/spreadsheets/d/1MeEWN-I1oV_STSDYn1IFDPWt_1FKiwhDph83XaGc0o0/edit?usp=sharing"",""งบพรบ!CG115"")"),0)</f>
        <v>0</v>
      </c>
      <c r="G115" s="247">
        <f ca="1">IFERROR(__xludf.DUMMYFUNCTION("IMPORTRANGE(""https://docs.google.com/spreadsheets/d/1MeEWN-I1oV_STSDYn1IFDPWt_1FKiwhDph83XaGc0o0/edit?usp=sharing"",""งบพรบ!CH115"")"),0)</f>
        <v>0</v>
      </c>
      <c r="H115" s="247">
        <f ca="1">IFERROR(__xludf.DUMMYFUNCTION("IMPORTRANGE(""https://docs.google.com/spreadsheets/d/1MeEWN-I1oV_STSDYn1IFDPWt_1FKiwhDph83XaGc0o0/edit?usp=sharing"",""งบพรบ!CJ115"")"),0)</f>
        <v>0</v>
      </c>
      <c r="I115" s="247">
        <f ca="1">IFERROR(__xludf.DUMMYFUNCTION("IMPORTRANGE(""https://docs.google.com/spreadsheets/d/1MeEWN-I1oV_STSDYn1IFDPWt_1FKiwhDph83XaGc0o0/edit?usp=sharing"",""งบพรบ!CK115"")"),0)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IFERROR(__xludf.DUMMYFUNCTION("IMPORTRANGE(""https://docs.google.com/spreadsheets/d/1MeEWN-I1oV_STSDYn1IFDPWt_1FKiwhDph83XaGc0o0/edit?usp=sharing"",""งบพรบ!CL115"")"),0)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IFERROR(__xludf.DUMMYFUNCTION("IMPORTRANGE(""https://docs.google.com/spreadsheets/d/1MeEWN-I1oV_STSDYn1IFDPWt_1FKiwhDph83XaGc0o0/edit?usp=sharing"",""งบพรบ!CC115"")"),0)</f>
        <v>0</v>
      </c>
      <c r="P115" s="251">
        <f t="shared" ca="1" si="22"/>
        <v>0</v>
      </c>
      <c r="Q115" s="250">
        <f t="shared" ca="1" si="8"/>
        <v>0</v>
      </c>
      <c r="R115" s="271"/>
      <c r="S115" s="271"/>
      <c r="T115" s="271"/>
      <c r="U115" s="271"/>
      <c r="V115" s="271"/>
      <c r="W115" s="271"/>
      <c r="X115" s="199"/>
      <c r="Y115" s="199"/>
      <c r="Z115" s="199"/>
    </row>
    <row r="116" spans="1:26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41"/>
        <v>0</v>
      </c>
      <c r="E116" s="247">
        <f ca="1">IFERROR(__xludf.DUMMYFUNCTION("IMPORTRANGE(""https://docs.google.com/spreadsheets/d/1MeEWN-I1oV_STSDYn1IFDPWt_1FKiwhDph83XaGc0o0/edit?usp=sharing"",""งบพรบ!CF116"")"),0)</f>
        <v>0</v>
      </c>
      <c r="F116" s="247">
        <f ca="1">IFERROR(__xludf.DUMMYFUNCTION("IMPORTRANGE(""https://docs.google.com/spreadsheets/d/1MeEWN-I1oV_STSDYn1IFDPWt_1FKiwhDph83XaGc0o0/edit?usp=sharing"",""งบพรบ!CG116"")"),0)</f>
        <v>0</v>
      </c>
      <c r="G116" s="247">
        <f ca="1">IFERROR(__xludf.DUMMYFUNCTION("IMPORTRANGE(""https://docs.google.com/spreadsheets/d/1MeEWN-I1oV_STSDYn1IFDPWt_1FKiwhDph83XaGc0o0/edit?usp=sharing"",""งบพรบ!CH116"")"),0)</f>
        <v>0</v>
      </c>
      <c r="H116" s="247">
        <f ca="1">IFERROR(__xludf.DUMMYFUNCTION("IMPORTRANGE(""https://docs.google.com/spreadsheets/d/1MeEWN-I1oV_STSDYn1IFDPWt_1FKiwhDph83XaGc0o0/edit?usp=sharing"",""งบพรบ!CJ116"")"),62100)</f>
        <v>62100</v>
      </c>
      <c r="I116" s="247">
        <f ca="1">IFERROR(__xludf.DUMMYFUNCTION("IMPORTRANGE(""https://docs.google.com/spreadsheets/d/1MeEWN-I1oV_STSDYn1IFDPWt_1FKiwhDph83XaGc0o0/edit?usp=sharing"",""งบพรบ!CK116"")"),0)</f>
        <v>0</v>
      </c>
      <c r="J116" s="247">
        <f t="shared" ca="1" si="3"/>
        <v>60356.17</v>
      </c>
      <c r="K116" s="253">
        <f t="shared" ca="1" si="4"/>
        <v>0</v>
      </c>
      <c r="L116" s="247">
        <f ca="1">IFERROR(__xludf.DUMMYFUNCTION("IMPORTRANGE(""https://docs.google.com/spreadsheets/d/1MeEWN-I1oV_STSDYn1IFDPWt_1FKiwhDph83XaGc0o0/edit?usp=sharing"",""งบพรบ!CL116"")"),60356.17)</f>
        <v>60356.17</v>
      </c>
      <c r="M116" s="250">
        <f t="shared" ca="1" si="5"/>
        <v>0</v>
      </c>
      <c r="N116" s="250">
        <f t="shared" ca="1" si="6"/>
        <v>97.191900161030603</v>
      </c>
      <c r="O116" s="251">
        <f ca="1">IFERROR(__xludf.DUMMYFUNCTION("IMPORTRANGE(""https://docs.google.com/spreadsheets/d/1MeEWN-I1oV_STSDYn1IFDPWt_1FKiwhDph83XaGc0o0/edit?usp=sharing"",""งบพรบ!CC116"")"),0)</f>
        <v>0</v>
      </c>
      <c r="P116" s="251">
        <f t="shared" ca="1" si="22"/>
        <v>0</v>
      </c>
      <c r="Q116" s="250">
        <f t="shared" ca="1" si="8"/>
        <v>0</v>
      </c>
      <c r="R116" s="271"/>
      <c r="S116" s="271"/>
      <c r="T116" s="271"/>
      <c r="U116" s="271"/>
      <c r="V116" s="271"/>
      <c r="W116" s="271"/>
      <c r="X116" s="199"/>
      <c r="Y116" s="199"/>
      <c r="Z116" s="199"/>
    </row>
    <row r="117" spans="1:26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196"/>
      <c r="S117" s="196"/>
      <c r="T117" s="278"/>
      <c r="U117" s="196"/>
      <c r="V117" s="196"/>
      <c r="W117" s="278"/>
      <c r="X117" s="199"/>
      <c r="Y117" s="199"/>
      <c r="Z117" s="199"/>
    </row>
    <row r="118" spans="1:26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196"/>
      <c r="S118" s="196"/>
      <c r="T118" s="278"/>
      <c r="U118" s="196"/>
      <c r="V118" s="196"/>
      <c r="W118" s="278"/>
      <c r="X118" s="199"/>
      <c r="Y118" s="199"/>
      <c r="Z118" s="199"/>
    </row>
    <row r="119" spans="1:26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196"/>
      <c r="S119" s="196"/>
      <c r="T119" s="278"/>
      <c r="U119" s="196"/>
      <c r="V119" s="196"/>
      <c r="W119" s="278"/>
      <c r="X119" s="199"/>
      <c r="Y119" s="199"/>
      <c r="Z119" s="199"/>
    </row>
    <row r="120" spans="1:26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196"/>
      <c r="S120" s="196"/>
      <c r="T120" s="278"/>
      <c r="U120" s="196"/>
      <c r="V120" s="196"/>
      <c r="W120" s="278"/>
      <c r="X120" s="199"/>
      <c r="Y120" s="199"/>
      <c r="Z120" s="199"/>
    </row>
    <row r="121" spans="1:26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196"/>
      <c r="S121" s="196"/>
      <c r="T121" s="278"/>
      <c r="U121" s="196"/>
      <c r="V121" s="196"/>
      <c r="W121" s="278"/>
      <c r="X121" s="199"/>
      <c r="Y121" s="199"/>
      <c r="Z121" s="199"/>
    </row>
    <row r="122" spans="1:26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196"/>
      <c r="S122" s="196"/>
      <c r="T122" s="278"/>
      <c r="U122" s="196"/>
      <c r="V122" s="196"/>
      <c r="W122" s="278"/>
      <c r="X122" s="199"/>
      <c r="Y122" s="199"/>
      <c r="Z122" s="199"/>
    </row>
    <row r="123" spans="1:26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196"/>
      <c r="S123" s="196"/>
      <c r="T123" s="278"/>
      <c r="U123" s="196"/>
      <c r="V123" s="196"/>
      <c r="W123" s="278"/>
      <c r="X123" s="199"/>
      <c r="Y123" s="199"/>
      <c r="Z123" s="199"/>
    </row>
    <row r="124" spans="1:26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196"/>
      <c r="S124" s="196"/>
      <c r="T124" s="278"/>
      <c r="U124" s="196"/>
      <c r="V124" s="196"/>
      <c r="W124" s="278"/>
      <c r="X124" s="199"/>
      <c r="Y124" s="199"/>
      <c r="Z124" s="199"/>
    </row>
    <row r="125" spans="1:26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196"/>
      <c r="S125" s="196"/>
      <c r="T125" s="278"/>
      <c r="U125" s="196"/>
      <c r="V125" s="196"/>
      <c r="W125" s="278"/>
      <c r="X125" s="199"/>
      <c r="Y125" s="199"/>
      <c r="Z125" s="199"/>
    </row>
    <row r="126" spans="1:26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196"/>
      <c r="S126" s="196"/>
      <c r="T126" s="278"/>
      <c r="U126" s="196"/>
      <c r="V126" s="196"/>
      <c r="W126" s="278"/>
      <c r="X126" s="199"/>
      <c r="Y126" s="199"/>
      <c r="Z126" s="199"/>
    </row>
    <row r="127" spans="1:26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196"/>
      <c r="S127" s="196"/>
      <c r="T127" s="278"/>
      <c r="U127" s="196"/>
      <c r="V127" s="196"/>
      <c r="W127" s="278"/>
      <c r="X127" s="199"/>
      <c r="Y127" s="199"/>
      <c r="Z127" s="199"/>
    </row>
    <row r="128" spans="1:26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196"/>
      <c r="S128" s="196"/>
      <c r="T128" s="278"/>
      <c r="U128" s="196"/>
      <c r="V128" s="196"/>
      <c r="W128" s="278"/>
      <c r="X128" s="199"/>
      <c r="Y128" s="199"/>
      <c r="Z128" s="199"/>
    </row>
    <row r="129" spans="1:26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196"/>
      <c r="S129" s="196"/>
      <c r="T129" s="278"/>
      <c r="U129" s="196"/>
      <c r="V129" s="196"/>
      <c r="W129" s="278"/>
      <c r="X129" s="199"/>
      <c r="Y129" s="199"/>
      <c r="Z129" s="199"/>
    </row>
    <row r="130" spans="1:26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196"/>
      <c r="S130" s="196"/>
      <c r="T130" s="278"/>
      <c r="U130" s="196"/>
      <c r="V130" s="196"/>
      <c r="W130" s="278"/>
      <c r="X130" s="199"/>
      <c r="Y130" s="199"/>
      <c r="Z130" s="199"/>
    </row>
    <row r="131" spans="1:26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196"/>
      <c r="S131" s="196"/>
      <c r="T131" s="278"/>
      <c r="U131" s="196"/>
      <c r="V131" s="196"/>
      <c r="W131" s="278"/>
      <c r="X131" s="199"/>
      <c r="Y131" s="199"/>
      <c r="Z131" s="199"/>
    </row>
    <row r="132" spans="1:26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196"/>
      <c r="S132" s="196"/>
      <c r="T132" s="278"/>
      <c r="U132" s="196"/>
      <c r="V132" s="196"/>
      <c r="W132" s="278"/>
      <c r="X132" s="199"/>
      <c r="Y132" s="199"/>
      <c r="Z132" s="199"/>
    </row>
    <row r="133" spans="1:26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196"/>
      <c r="S133" s="196"/>
      <c r="T133" s="278"/>
      <c r="U133" s="196"/>
      <c r="V133" s="196"/>
      <c r="W133" s="278"/>
      <c r="X133" s="199"/>
      <c r="Y133" s="199"/>
      <c r="Z133" s="199"/>
    </row>
    <row r="134" spans="1:26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196"/>
      <c r="S134" s="196"/>
      <c r="T134" s="278"/>
      <c r="U134" s="196"/>
      <c r="V134" s="196"/>
      <c r="W134" s="278"/>
      <c r="X134" s="199"/>
      <c r="Y134" s="199"/>
      <c r="Z134" s="199"/>
    </row>
    <row r="135" spans="1:26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196"/>
      <c r="S135" s="196"/>
      <c r="T135" s="278"/>
      <c r="U135" s="196"/>
      <c r="V135" s="196"/>
      <c r="W135" s="278"/>
      <c r="X135" s="199"/>
      <c r="Y135" s="199"/>
      <c r="Z135" s="199"/>
    </row>
    <row r="136" spans="1:26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196"/>
      <c r="S136" s="196"/>
      <c r="T136" s="278"/>
      <c r="U136" s="196"/>
      <c r="V136" s="196"/>
      <c r="W136" s="278"/>
      <c r="X136" s="199"/>
      <c r="Y136" s="199"/>
      <c r="Z136" s="199"/>
    </row>
    <row r="137" spans="1:26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196"/>
      <c r="S137" s="196"/>
      <c r="T137" s="278"/>
      <c r="U137" s="196"/>
      <c r="V137" s="196"/>
      <c r="W137" s="278"/>
      <c r="X137" s="199"/>
      <c r="Y137" s="199"/>
      <c r="Z137" s="199"/>
    </row>
    <row r="138" spans="1:26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196"/>
      <c r="S138" s="196"/>
      <c r="T138" s="278"/>
      <c r="U138" s="196"/>
      <c r="V138" s="196"/>
      <c r="W138" s="278"/>
      <c r="X138" s="199"/>
      <c r="Y138" s="199"/>
      <c r="Z138" s="199"/>
    </row>
    <row r="139" spans="1:26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196"/>
      <c r="S139" s="196"/>
      <c r="T139" s="278"/>
      <c r="U139" s="196"/>
      <c r="V139" s="196"/>
      <c r="W139" s="278"/>
      <c r="X139" s="199"/>
      <c r="Y139" s="199"/>
      <c r="Z139" s="199"/>
    </row>
    <row r="140" spans="1:26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196"/>
      <c r="S140" s="196"/>
      <c r="T140" s="278"/>
      <c r="U140" s="196"/>
      <c r="V140" s="196"/>
      <c r="W140" s="278"/>
      <c r="X140" s="199"/>
      <c r="Y140" s="199"/>
      <c r="Z140" s="199"/>
    </row>
    <row r="141" spans="1:26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196"/>
      <c r="S141" s="196"/>
      <c r="T141" s="278"/>
      <c r="U141" s="196"/>
      <c r="V141" s="196"/>
      <c r="W141" s="278"/>
      <c r="X141" s="199"/>
      <c r="Y141" s="199"/>
      <c r="Z141" s="199"/>
    </row>
    <row r="142" spans="1:26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196"/>
      <c r="S142" s="196"/>
      <c r="T142" s="278"/>
      <c r="U142" s="196"/>
      <c r="V142" s="196"/>
      <c r="W142" s="278"/>
      <c r="X142" s="199"/>
      <c r="Y142" s="199"/>
      <c r="Z142" s="199"/>
    </row>
    <row r="143" spans="1:26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196"/>
      <c r="S143" s="196"/>
      <c r="T143" s="278"/>
      <c r="U143" s="196"/>
      <c r="V143" s="196"/>
      <c r="W143" s="278"/>
      <c r="X143" s="199"/>
      <c r="Y143" s="199"/>
      <c r="Z143" s="199"/>
    </row>
    <row r="144" spans="1:26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196"/>
      <c r="S144" s="196"/>
      <c r="T144" s="278"/>
      <c r="U144" s="196"/>
      <c r="V144" s="196"/>
      <c r="W144" s="278"/>
      <c r="X144" s="199"/>
      <c r="Y144" s="199"/>
      <c r="Z144" s="199"/>
    </row>
    <row r="145" spans="1:26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196"/>
      <c r="S145" s="196"/>
      <c r="T145" s="278"/>
      <c r="U145" s="196"/>
      <c r="V145" s="196"/>
      <c r="W145" s="278"/>
      <c r="X145" s="199"/>
      <c r="Y145" s="199"/>
      <c r="Z145" s="199"/>
    </row>
    <row r="146" spans="1:26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196"/>
      <c r="S146" s="196"/>
      <c r="T146" s="278"/>
      <c r="U146" s="196"/>
      <c r="V146" s="196"/>
      <c r="W146" s="278"/>
      <c r="X146" s="199"/>
      <c r="Y146" s="199"/>
      <c r="Z146" s="199"/>
    </row>
    <row r="147" spans="1:26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196"/>
      <c r="S147" s="196"/>
      <c r="T147" s="278"/>
      <c r="U147" s="196"/>
      <c r="V147" s="196"/>
      <c r="W147" s="278"/>
      <c r="X147" s="199"/>
      <c r="Y147" s="199"/>
      <c r="Z147" s="199"/>
    </row>
    <row r="148" spans="1:26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196"/>
      <c r="S148" s="196"/>
      <c r="T148" s="278"/>
      <c r="U148" s="196"/>
      <c r="V148" s="196"/>
      <c r="W148" s="278"/>
      <c r="X148" s="199"/>
      <c r="Y148" s="199"/>
      <c r="Z148" s="199"/>
    </row>
    <row r="149" spans="1:26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196"/>
      <c r="S149" s="196"/>
      <c r="T149" s="278"/>
      <c r="U149" s="196"/>
      <c r="V149" s="196"/>
      <c r="W149" s="278"/>
      <c r="X149" s="199"/>
      <c r="Y149" s="199"/>
      <c r="Z149" s="199"/>
    </row>
    <row r="150" spans="1:26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196"/>
      <c r="S150" s="196"/>
      <c r="T150" s="278"/>
      <c r="U150" s="196"/>
      <c r="V150" s="196"/>
      <c r="W150" s="278"/>
      <c r="X150" s="199"/>
      <c r="Y150" s="199"/>
      <c r="Z150" s="199"/>
    </row>
    <row r="151" spans="1:26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196"/>
      <c r="S151" s="196"/>
      <c r="T151" s="278"/>
      <c r="U151" s="196"/>
      <c r="V151" s="196"/>
      <c r="W151" s="278"/>
      <c r="X151" s="199"/>
      <c r="Y151" s="199"/>
      <c r="Z151" s="199"/>
    </row>
    <row r="152" spans="1:26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196"/>
      <c r="S152" s="196"/>
      <c r="T152" s="278"/>
      <c r="U152" s="196"/>
      <c r="V152" s="196"/>
      <c r="W152" s="278"/>
      <c r="X152" s="199"/>
      <c r="Y152" s="199"/>
      <c r="Z152" s="199"/>
    </row>
    <row r="153" spans="1:26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196"/>
      <c r="S153" s="196"/>
      <c r="T153" s="278"/>
      <c r="U153" s="196"/>
      <c r="V153" s="196"/>
      <c r="W153" s="278"/>
      <c r="X153" s="199"/>
      <c r="Y153" s="199"/>
      <c r="Z153" s="199"/>
    </row>
    <row r="154" spans="1:26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196"/>
      <c r="S154" s="196"/>
      <c r="T154" s="278"/>
      <c r="U154" s="196"/>
      <c r="V154" s="196"/>
      <c r="W154" s="278"/>
      <c r="X154" s="199"/>
      <c r="Y154" s="199"/>
      <c r="Z154" s="199"/>
    </row>
    <row r="155" spans="1:26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196"/>
      <c r="S155" s="196"/>
      <c r="T155" s="278"/>
      <c r="U155" s="196"/>
      <c r="V155" s="196"/>
      <c r="W155" s="278"/>
      <c r="X155" s="199"/>
      <c r="Y155" s="199"/>
      <c r="Z155" s="199"/>
    </row>
    <row r="156" spans="1:26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196"/>
      <c r="S156" s="196"/>
      <c r="T156" s="278"/>
      <c r="U156" s="196"/>
      <c r="V156" s="196"/>
      <c r="W156" s="278"/>
      <c r="X156" s="199"/>
      <c r="Y156" s="199"/>
      <c r="Z156" s="199"/>
    </row>
    <row r="157" spans="1:26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196"/>
      <c r="S157" s="196"/>
      <c r="T157" s="278"/>
      <c r="U157" s="196"/>
      <c r="V157" s="196"/>
      <c r="W157" s="278"/>
      <c r="X157" s="199"/>
      <c r="Y157" s="199"/>
      <c r="Z157" s="199"/>
    </row>
    <row r="158" spans="1:26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196"/>
      <c r="S158" s="196"/>
      <c r="T158" s="278"/>
      <c r="U158" s="196"/>
      <c r="V158" s="196"/>
      <c r="W158" s="278"/>
      <c r="X158" s="199"/>
      <c r="Y158" s="199"/>
      <c r="Z158" s="199"/>
    </row>
    <row r="159" spans="1:26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196"/>
      <c r="S159" s="196"/>
      <c r="T159" s="278"/>
      <c r="U159" s="196"/>
      <c r="V159" s="196"/>
      <c r="W159" s="278"/>
      <c r="X159" s="199"/>
      <c r="Y159" s="199"/>
      <c r="Z159" s="199"/>
    </row>
    <row r="160" spans="1:26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196"/>
      <c r="S160" s="196"/>
      <c r="T160" s="278"/>
      <c r="U160" s="196"/>
      <c r="V160" s="196"/>
      <c r="W160" s="278"/>
      <c r="X160" s="199"/>
      <c r="Y160" s="199"/>
      <c r="Z160" s="199"/>
    </row>
    <row r="161" spans="1:26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196"/>
      <c r="S161" s="196"/>
      <c r="T161" s="278"/>
      <c r="U161" s="196"/>
      <c r="V161" s="196"/>
      <c r="W161" s="278"/>
      <c r="X161" s="199"/>
      <c r="Y161" s="199"/>
      <c r="Z161" s="199"/>
    </row>
    <row r="162" spans="1:26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196"/>
      <c r="S162" s="196"/>
      <c r="T162" s="278"/>
      <c r="U162" s="196"/>
      <c r="V162" s="196"/>
      <c r="W162" s="278"/>
      <c r="X162" s="199"/>
      <c r="Y162" s="199"/>
      <c r="Z162" s="199"/>
    </row>
    <row r="163" spans="1:26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196"/>
      <c r="S163" s="196"/>
      <c r="T163" s="278"/>
      <c r="U163" s="196"/>
      <c r="V163" s="196"/>
      <c r="W163" s="278"/>
      <c r="X163" s="199"/>
      <c r="Y163" s="199"/>
      <c r="Z163" s="199"/>
    </row>
    <row r="164" spans="1:26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196"/>
      <c r="S164" s="196"/>
      <c r="T164" s="278"/>
      <c r="U164" s="196"/>
      <c r="V164" s="196"/>
      <c r="W164" s="278"/>
      <c r="X164" s="199"/>
      <c r="Y164" s="199"/>
      <c r="Z164" s="199"/>
    </row>
    <row r="165" spans="1:26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196"/>
      <c r="S165" s="196"/>
      <c r="T165" s="278"/>
      <c r="U165" s="196"/>
      <c r="V165" s="196"/>
      <c r="W165" s="278"/>
      <c r="X165" s="199"/>
      <c r="Y165" s="199"/>
      <c r="Z165" s="199"/>
    </row>
    <row r="166" spans="1:26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196"/>
      <c r="S166" s="196"/>
      <c r="T166" s="278"/>
      <c r="U166" s="196"/>
      <c r="V166" s="196"/>
      <c r="W166" s="278"/>
      <c r="X166" s="199"/>
      <c r="Y166" s="199"/>
      <c r="Z166" s="199"/>
    </row>
    <row r="167" spans="1:26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196"/>
      <c r="S167" s="196"/>
      <c r="T167" s="278"/>
      <c r="U167" s="196"/>
      <c r="V167" s="196"/>
      <c r="W167" s="278"/>
      <c r="X167" s="199"/>
      <c r="Y167" s="199"/>
      <c r="Z167" s="199"/>
    </row>
    <row r="168" spans="1:26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196"/>
      <c r="S168" s="196"/>
      <c r="T168" s="278"/>
      <c r="U168" s="196"/>
      <c r="V168" s="196"/>
      <c r="W168" s="278"/>
      <c r="X168" s="199"/>
      <c r="Y168" s="199"/>
      <c r="Z168" s="199"/>
    </row>
    <row r="169" spans="1:26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196"/>
      <c r="S169" s="196"/>
      <c r="T169" s="278"/>
      <c r="U169" s="196"/>
      <c r="V169" s="196"/>
      <c r="W169" s="278"/>
      <c r="X169" s="199"/>
      <c r="Y169" s="199"/>
      <c r="Z169" s="199"/>
    </row>
    <row r="170" spans="1:26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196"/>
      <c r="S170" s="196"/>
      <c r="T170" s="278"/>
      <c r="U170" s="196"/>
      <c r="V170" s="196"/>
      <c r="W170" s="278"/>
      <c r="X170" s="199"/>
      <c r="Y170" s="199"/>
      <c r="Z170" s="199"/>
    </row>
    <row r="171" spans="1:26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196"/>
      <c r="S171" s="196"/>
      <c r="T171" s="278"/>
      <c r="U171" s="196"/>
      <c r="V171" s="196"/>
      <c r="W171" s="278"/>
      <c r="X171" s="199"/>
      <c r="Y171" s="199"/>
      <c r="Z171" s="199"/>
    </row>
    <row r="172" spans="1:26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196"/>
      <c r="S172" s="196"/>
      <c r="T172" s="278"/>
      <c r="U172" s="196"/>
      <c r="V172" s="196"/>
      <c r="W172" s="278"/>
      <c r="X172" s="199"/>
      <c r="Y172" s="199"/>
      <c r="Z172" s="199"/>
    </row>
    <row r="173" spans="1:26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196"/>
      <c r="S173" s="196"/>
      <c r="T173" s="278"/>
      <c r="U173" s="196"/>
      <c r="V173" s="196"/>
      <c r="W173" s="278"/>
      <c r="X173" s="199"/>
      <c r="Y173" s="199"/>
      <c r="Z173" s="199"/>
    </row>
    <row r="174" spans="1:26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196"/>
      <c r="S174" s="196"/>
      <c r="T174" s="278"/>
      <c r="U174" s="196"/>
      <c r="V174" s="196"/>
      <c r="W174" s="278"/>
      <c r="X174" s="199"/>
      <c r="Y174" s="199"/>
      <c r="Z174" s="199"/>
    </row>
    <row r="175" spans="1:26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196"/>
      <c r="S175" s="196"/>
      <c r="T175" s="278"/>
      <c r="U175" s="196"/>
      <c r="V175" s="196"/>
      <c r="W175" s="278"/>
      <c r="X175" s="199"/>
      <c r="Y175" s="199"/>
      <c r="Z175" s="199"/>
    </row>
    <row r="176" spans="1:26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196"/>
      <c r="S176" s="196"/>
      <c r="T176" s="278"/>
      <c r="U176" s="196"/>
      <c r="V176" s="196"/>
      <c r="W176" s="278"/>
      <c r="X176" s="199"/>
      <c r="Y176" s="199"/>
      <c r="Z176" s="199"/>
    </row>
    <row r="177" spans="1:26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196"/>
      <c r="S177" s="196"/>
      <c r="T177" s="278"/>
      <c r="U177" s="196"/>
      <c r="V177" s="196"/>
      <c r="W177" s="278"/>
      <c r="X177" s="199"/>
      <c r="Y177" s="199"/>
      <c r="Z177" s="199"/>
    </row>
    <row r="178" spans="1:26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196"/>
      <c r="S178" s="196"/>
      <c r="T178" s="278"/>
      <c r="U178" s="196"/>
      <c r="V178" s="196"/>
      <c r="W178" s="278"/>
      <c r="X178" s="199"/>
      <c r="Y178" s="199"/>
      <c r="Z178" s="199"/>
    </row>
    <row r="179" spans="1:26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196"/>
      <c r="S179" s="196"/>
      <c r="T179" s="278"/>
      <c r="U179" s="196"/>
      <c r="V179" s="196"/>
      <c r="W179" s="278"/>
      <c r="X179" s="199"/>
      <c r="Y179" s="199"/>
      <c r="Z179" s="199"/>
    </row>
    <row r="180" spans="1:26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196"/>
      <c r="S180" s="196"/>
      <c r="T180" s="278"/>
      <c r="U180" s="196"/>
      <c r="V180" s="196"/>
      <c r="W180" s="278"/>
      <c r="X180" s="199"/>
      <c r="Y180" s="199"/>
      <c r="Z180" s="199"/>
    </row>
    <row r="181" spans="1:26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196"/>
      <c r="S181" s="196"/>
      <c r="T181" s="278"/>
      <c r="U181" s="196"/>
      <c r="V181" s="196"/>
      <c r="W181" s="278"/>
      <c r="X181" s="199"/>
      <c r="Y181" s="199"/>
      <c r="Z181" s="199"/>
    </row>
    <row r="182" spans="1:26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196"/>
      <c r="S182" s="196"/>
      <c r="T182" s="278"/>
      <c r="U182" s="196"/>
      <c r="V182" s="196"/>
      <c r="W182" s="278"/>
      <c r="X182" s="199"/>
      <c r="Y182" s="199"/>
      <c r="Z182" s="199"/>
    </row>
    <row r="183" spans="1:26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196"/>
      <c r="S183" s="196"/>
      <c r="T183" s="278"/>
      <c r="U183" s="196"/>
      <c r="V183" s="196"/>
      <c r="W183" s="278"/>
      <c r="X183" s="199"/>
      <c r="Y183" s="199"/>
      <c r="Z183" s="199"/>
    </row>
    <row r="184" spans="1:26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196"/>
      <c r="S184" s="196"/>
      <c r="T184" s="278"/>
      <c r="U184" s="196"/>
      <c r="V184" s="196"/>
      <c r="W184" s="278"/>
      <c r="X184" s="199"/>
      <c r="Y184" s="199"/>
      <c r="Z184" s="199"/>
    </row>
    <row r="185" spans="1:26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196"/>
      <c r="S185" s="196"/>
      <c r="T185" s="278"/>
      <c r="U185" s="196"/>
      <c r="V185" s="196"/>
      <c r="W185" s="278"/>
      <c r="X185" s="199"/>
      <c r="Y185" s="199"/>
      <c r="Z185" s="199"/>
    </row>
    <row r="186" spans="1:26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196"/>
      <c r="S186" s="196"/>
      <c r="T186" s="278"/>
      <c r="U186" s="196"/>
      <c r="V186" s="196"/>
      <c r="W186" s="278"/>
      <c r="X186" s="199"/>
      <c r="Y186" s="199"/>
      <c r="Z186" s="199"/>
    </row>
    <row r="187" spans="1:26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196"/>
      <c r="S187" s="196"/>
      <c r="T187" s="278"/>
      <c r="U187" s="196"/>
      <c r="V187" s="196"/>
      <c r="W187" s="278"/>
      <c r="X187" s="199"/>
      <c r="Y187" s="199"/>
      <c r="Z187" s="199"/>
    </row>
    <row r="188" spans="1:26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196"/>
      <c r="S188" s="196"/>
      <c r="T188" s="278"/>
      <c r="U188" s="196"/>
      <c r="V188" s="196"/>
      <c r="W188" s="278"/>
      <c r="X188" s="199"/>
      <c r="Y188" s="199"/>
      <c r="Z188" s="199"/>
    </row>
    <row r="189" spans="1:26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196"/>
      <c r="S189" s="196"/>
      <c r="T189" s="278"/>
      <c r="U189" s="196"/>
      <c r="V189" s="196"/>
      <c r="W189" s="278"/>
      <c r="X189" s="199"/>
      <c r="Y189" s="199"/>
      <c r="Z189" s="199"/>
    </row>
    <row r="190" spans="1:26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196"/>
      <c r="S190" s="196"/>
      <c r="T190" s="278"/>
      <c r="U190" s="196"/>
      <c r="V190" s="196"/>
      <c r="W190" s="278"/>
      <c r="X190" s="199"/>
      <c r="Y190" s="199"/>
      <c r="Z190" s="199"/>
    </row>
    <row r="191" spans="1:26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196"/>
      <c r="S191" s="196"/>
      <c r="T191" s="278"/>
      <c r="U191" s="196"/>
      <c r="V191" s="196"/>
      <c r="W191" s="278"/>
      <c r="X191" s="199"/>
      <c r="Y191" s="199"/>
      <c r="Z191" s="199"/>
    </row>
    <row r="192" spans="1:26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196"/>
      <c r="S192" s="196"/>
      <c r="T192" s="278"/>
      <c r="U192" s="196"/>
      <c r="V192" s="196"/>
      <c r="W192" s="278"/>
      <c r="X192" s="199"/>
      <c r="Y192" s="199"/>
      <c r="Z192" s="199"/>
    </row>
    <row r="193" spans="1:26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196"/>
      <c r="S193" s="196"/>
      <c r="T193" s="278"/>
      <c r="U193" s="196"/>
      <c r="V193" s="196"/>
      <c r="W193" s="278"/>
      <c r="X193" s="199"/>
      <c r="Y193" s="199"/>
      <c r="Z193" s="199"/>
    </row>
    <row r="194" spans="1:26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196"/>
      <c r="S194" s="196"/>
      <c r="T194" s="278"/>
      <c r="U194" s="196"/>
      <c r="V194" s="196"/>
      <c r="W194" s="278"/>
      <c r="X194" s="199"/>
      <c r="Y194" s="199"/>
      <c r="Z194" s="199"/>
    </row>
    <row r="195" spans="1:26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196"/>
      <c r="S195" s="196"/>
      <c r="T195" s="278"/>
      <c r="U195" s="196"/>
      <c r="V195" s="196"/>
      <c r="W195" s="278"/>
      <c r="X195" s="199"/>
      <c r="Y195" s="199"/>
      <c r="Z195" s="199"/>
    </row>
    <row r="196" spans="1:26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196"/>
      <c r="S196" s="196"/>
      <c r="T196" s="278"/>
      <c r="U196" s="196"/>
      <c r="V196" s="196"/>
      <c r="W196" s="278"/>
      <c r="X196" s="199"/>
      <c r="Y196" s="199"/>
      <c r="Z196" s="199"/>
    </row>
    <row r="197" spans="1:26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196"/>
      <c r="S197" s="196"/>
      <c r="T197" s="278"/>
      <c r="U197" s="196"/>
      <c r="V197" s="196"/>
      <c r="W197" s="278"/>
      <c r="X197" s="199"/>
      <c r="Y197" s="199"/>
      <c r="Z197" s="199"/>
    </row>
    <row r="198" spans="1:26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196"/>
      <c r="S198" s="196"/>
      <c r="T198" s="278"/>
      <c r="U198" s="196"/>
      <c r="V198" s="196"/>
      <c r="W198" s="278"/>
      <c r="X198" s="199"/>
      <c r="Y198" s="199"/>
      <c r="Z198" s="199"/>
    </row>
    <row r="199" spans="1:26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196"/>
      <c r="S199" s="196"/>
      <c r="T199" s="278"/>
      <c r="U199" s="196"/>
      <c r="V199" s="196"/>
      <c r="W199" s="278"/>
      <c r="X199" s="199"/>
      <c r="Y199" s="199"/>
      <c r="Z199" s="199"/>
    </row>
    <row r="200" spans="1:26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196"/>
      <c r="S200" s="196"/>
      <c r="T200" s="278"/>
      <c r="U200" s="196"/>
      <c r="V200" s="196"/>
      <c r="W200" s="278"/>
      <c r="X200" s="199"/>
      <c r="Y200" s="199"/>
      <c r="Z200" s="199"/>
    </row>
    <row r="201" spans="1:26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196"/>
      <c r="S201" s="196"/>
      <c r="T201" s="278"/>
      <c r="U201" s="196"/>
      <c r="V201" s="196"/>
      <c r="W201" s="278"/>
      <c r="X201" s="199"/>
      <c r="Y201" s="199"/>
      <c r="Z201" s="199"/>
    </row>
    <row r="202" spans="1:26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196"/>
      <c r="S202" s="196"/>
      <c r="T202" s="278"/>
      <c r="U202" s="196"/>
      <c r="V202" s="196"/>
      <c r="W202" s="278"/>
      <c r="X202" s="199"/>
      <c r="Y202" s="199"/>
      <c r="Z202" s="199"/>
    </row>
    <row r="203" spans="1:26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196"/>
      <c r="S203" s="196"/>
      <c r="T203" s="278"/>
      <c r="U203" s="196"/>
      <c r="V203" s="196"/>
      <c r="W203" s="278"/>
      <c r="X203" s="199"/>
      <c r="Y203" s="199"/>
      <c r="Z203" s="199"/>
    </row>
    <row r="204" spans="1:26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196"/>
      <c r="S204" s="196"/>
      <c r="T204" s="278"/>
      <c r="U204" s="196"/>
      <c r="V204" s="196"/>
      <c r="W204" s="278"/>
      <c r="X204" s="199"/>
      <c r="Y204" s="199"/>
      <c r="Z204" s="199"/>
    </row>
    <row r="205" spans="1:26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196"/>
      <c r="S205" s="196"/>
      <c r="T205" s="278"/>
      <c r="U205" s="196"/>
      <c r="V205" s="196"/>
      <c r="W205" s="278"/>
      <c r="X205" s="199"/>
      <c r="Y205" s="199"/>
      <c r="Z205" s="199"/>
    </row>
    <row r="206" spans="1:26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196"/>
      <c r="S206" s="196"/>
      <c r="T206" s="278"/>
      <c r="U206" s="196"/>
      <c r="V206" s="196"/>
      <c r="W206" s="278"/>
      <c r="X206" s="199"/>
      <c r="Y206" s="199"/>
      <c r="Z206" s="199"/>
    </row>
    <row r="207" spans="1:26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196"/>
      <c r="S207" s="196"/>
      <c r="T207" s="278"/>
      <c r="U207" s="196"/>
      <c r="V207" s="196"/>
      <c r="W207" s="278"/>
      <c r="X207" s="199"/>
      <c r="Y207" s="199"/>
      <c r="Z207" s="199"/>
    </row>
    <row r="208" spans="1:26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196"/>
      <c r="S208" s="196"/>
      <c r="T208" s="278"/>
      <c r="U208" s="196"/>
      <c r="V208" s="196"/>
      <c r="W208" s="278"/>
      <c r="X208" s="199"/>
      <c r="Y208" s="199"/>
      <c r="Z208" s="199"/>
    </row>
    <row r="209" spans="1:26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196"/>
      <c r="S209" s="196"/>
      <c r="T209" s="278"/>
      <c r="U209" s="196"/>
      <c r="V209" s="196"/>
      <c r="W209" s="278"/>
      <c r="X209" s="199"/>
      <c r="Y209" s="199"/>
      <c r="Z209" s="199"/>
    </row>
    <row r="210" spans="1:26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196"/>
      <c r="S210" s="196"/>
      <c r="T210" s="278"/>
      <c r="U210" s="196"/>
      <c r="V210" s="196"/>
      <c r="W210" s="278"/>
      <c r="X210" s="199"/>
      <c r="Y210" s="199"/>
      <c r="Z210" s="199"/>
    </row>
    <row r="211" spans="1:26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196"/>
      <c r="S211" s="196"/>
      <c r="T211" s="278"/>
      <c r="U211" s="196"/>
      <c r="V211" s="196"/>
      <c r="W211" s="278"/>
      <c r="X211" s="199"/>
      <c r="Y211" s="199"/>
      <c r="Z211" s="199"/>
    </row>
    <row r="212" spans="1:26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196"/>
      <c r="S212" s="196"/>
      <c r="T212" s="278"/>
      <c r="U212" s="196"/>
      <c r="V212" s="196"/>
      <c r="W212" s="278"/>
      <c r="X212" s="199"/>
      <c r="Y212" s="199"/>
      <c r="Z212" s="199"/>
    </row>
    <row r="213" spans="1:26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196"/>
      <c r="S213" s="196"/>
      <c r="T213" s="278"/>
      <c r="U213" s="196"/>
      <c r="V213" s="196"/>
      <c r="W213" s="278"/>
      <c r="X213" s="199"/>
      <c r="Y213" s="199"/>
      <c r="Z213" s="199"/>
    </row>
    <row r="214" spans="1:26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196"/>
      <c r="S214" s="196"/>
      <c r="T214" s="278"/>
      <c r="U214" s="196"/>
      <c r="V214" s="196"/>
      <c r="W214" s="278"/>
      <c r="X214" s="199"/>
      <c r="Y214" s="199"/>
      <c r="Z214" s="199"/>
    </row>
    <row r="215" spans="1:26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196"/>
      <c r="S215" s="196"/>
      <c r="T215" s="278"/>
      <c r="U215" s="196"/>
      <c r="V215" s="196"/>
      <c r="W215" s="278"/>
      <c r="X215" s="199"/>
      <c r="Y215" s="199"/>
      <c r="Z215" s="199"/>
    </row>
    <row r="216" spans="1:26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196"/>
      <c r="S216" s="196"/>
      <c r="T216" s="278"/>
      <c r="U216" s="196"/>
      <c r="V216" s="196"/>
      <c r="W216" s="278"/>
      <c r="X216" s="199"/>
      <c r="Y216" s="199"/>
      <c r="Z216" s="199"/>
    </row>
    <row r="217" spans="1:26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196"/>
      <c r="S217" s="196"/>
      <c r="T217" s="278"/>
      <c r="U217" s="196"/>
      <c r="V217" s="196"/>
      <c r="W217" s="278"/>
      <c r="X217" s="199"/>
      <c r="Y217" s="199"/>
      <c r="Z217" s="199"/>
    </row>
    <row r="218" spans="1:26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196"/>
      <c r="S218" s="196"/>
      <c r="T218" s="278"/>
      <c r="U218" s="196"/>
      <c r="V218" s="196"/>
      <c r="W218" s="278"/>
      <c r="X218" s="199"/>
      <c r="Y218" s="199"/>
      <c r="Z218" s="199"/>
    </row>
    <row r="219" spans="1:26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196"/>
      <c r="S219" s="196"/>
      <c r="T219" s="278"/>
      <c r="U219" s="196"/>
      <c r="V219" s="196"/>
      <c r="W219" s="278"/>
      <c r="X219" s="199"/>
      <c r="Y219" s="199"/>
      <c r="Z219" s="199"/>
    </row>
    <row r="220" spans="1:26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196"/>
      <c r="S220" s="196"/>
      <c r="T220" s="278"/>
      <c r="U220" s="196"/>
      <c r="V220" s="196"/>
      <c r="W220" s="278"/>
      <c r="X220" s="199"/>
      <c r="Y220" s="199"/>
      <c r="Z220" s="199"/>
    </row>
    <row r="221" spans="1:26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196"/>
      <c r="S221" s="196"/>
      <c r="T221" s="278"/>
      <c r="U221" s="196"/>
      <c r="V221" s="196"/>
      <c r="W221" s="278"/>
      <c r="X221" s="199"/>
      <c r="Y221" s="199"/>
      <c r="Z221" s="199"/>
    </row>
    <row r="222" spans="1:26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196"/>
      <c r="S222" s="196"/>
      <c r="T222" s="278"/>
      <c r="U222" s="196"/>
      <c r="V222" s="196"/>
      <c r="W222" s="278"/>
      <c r="X222" s="199"/>
      <c r="Y222" s="199"/>
      <c r="Z222" s="199"/>
    </row>
    <row r="223" spans="1:26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196"/>
      <c r="S223" s="196"/>
      <c r="T223" s="278"/>
      <c r="U223" s="196"/>
      <c r="V223" s="196"/>
      <c r="W223" s="278"/>
      <c r="X223" s="199"/>
      <c r="Y223" s="199"/>
      <c r="Z223" s="199"/>
    </row>
    <row r="224" spans="1:26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196"/>
      <c r="S224" s="196"/>
      <c r="T224" s="278"/>
      <c r="U224" s="196"/>
      <c r="V224" s="196"/>
      <c r="W224" s="278"/>
      <c r="X224" s="199"/>
      <c r="Y224" s="199"/>
      <c r="Z224" s="199"/>
    </row>
    <row r="225" spans="1:26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196"/>
      <c r="S225" s="196"/>
      <c r="T225" s="278"/>
      <c r="U225" s="196"/>
      <c r="V225" s="196"/>
      <c r="W225" s="278"/>
      <c r="X225" s="199"/>
      <c r="Y225" s="199"/>
      <c r="Z225" s="199"/>
    </row>
    <row r="226" spans="1:26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196"/>
      <c r="S226" s="196"/>
      <c r="T226" s="278"/>
      <c r="U226" s="196"/>
      <c r="V226" s="196"/>
      <c r="W226" s="278"/>
      <c r="X226" s="199"/>
      <c r="Y226" s="199"/>
      <c r="Z226" s="199"/>
    </row>
    <row r="227" spans="1:26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196"/>
      <c r="S227" s="196"/>
      <c r="T227" s="278"/>
      <c r="U227" s="196"/>
      <c r="V227" s="196"/>
      <c r="W227" s="278"/>
      <c r="X227" s="199"/>
      <c r="Y227" s="199"/>
      <c r="Z227" s="199"/>
    </row>
    <row r="228" spans="1:26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196"/>
      <c r="S228" s="196"/>
      <c r="T228" s="278"/>
      <c r="U228" s="196"/>
      <c r="V228" s="196"/>
      <c r="W228" s="278"/>
      <c r="X228" s="199"/>
      <c r="Y228" s="199"/>
      <c r="Z228" s="199"/>
    </row>
    <row r="229" spans="1:26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196"/>
      <c r="S229" s="196"/>
      <c r="T229" s="278"/>
      <c r="U229" s="196"/>
      <c r="V229" s="196"/>
      <c r="W229" s="278"/>
      <c r="X229" s="199"/>
      <c r="Y229" s="199"/>
      <c r="Z229" s="199"/>
    </row>
    <row r="230" spans="1:26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196"/>
      <c r="S230" s="196"/>
      <c r="T230" s="278"/>
      <c r="U230" s="196"/>
      <c r="V230" s="196"/>
      <c r="W230" s="278"/>
      <c r="X230" s="199"/>
      <c r="Y230" s="199"/>
      <c r="Z230" s="199"/>
    </row>
    <row r="231" spans="1:26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196"/>
      <c r="S231" s="196"/>
      <c r="T231" s="278"/>
      <c r="U231" s="196"/>
      <c r="V231" s="196"/>
      <c r="W231" s="278"/>
      <c r="X231" s="199"/>
      <c r="Y231" s="199"/>
      <c r="Z231" s="199"/>
    </row>
    <row r="232" spans="1:26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196"/>
      <c r="S232" s="196"/>
      <c r="T232" s="278"/>
      <c r="U232" s="196"/>
      <c r="V232" s="196"/>
      <c r="W232" s="278"/>
      <c r="X232" s="199"/>
      <c r="Y232" s="199"/>
      <c r="Z232" s="199"/>
    </row>
    <row r="233" spans="1:26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196"/>
      <c r="S233" s="196"/>
      <c r="T233" s="278"/>
      <c r="U233" s="196"/>
      <c r="V233" s="196"/>
      <c r="W233" s="278"/>
      <c r="X233" s="199"/>
      <c r="Y233" s="199"/>
      <c r="Z233" s="199"/>
    </row>
    <row r="234" spans="1:26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196"/>
      <c r="S234" s="196"/>
      <c r="T234" s="278"/>
      <c r="U234" s="196"/>
      <c r="V234" s="196"/>
      <c r="W234" s="278"/>
      <c r="X234" s="199"/>
      <c r="Y234" s="199"/>
      <c r="Z234" s="199"/>
    </row>
    <row r="235" spans="1:26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196"/>
      <c r="S235" s="196"/>
      <c r="T235" s="278"/>
      <c r="U235" s="196"/>
      <c r="V235" s="196"/>
      <c r="W235" s="278"/>
      <c r="X235" s="199"/>
      <c r="Y235" s="199"/>
      <c r="Z235" s="199"/>
    </row>
    <row r="236" spans="1:26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196"/>
      <c r="S236" s="196"/>
      <c r="T236" s="278"/>
      <c r="U236" s="196"/>
      <c r="V236" s="196"/>
      <c r="W236" s="278"/>
      <c r="X236" s="199"/>
      <c r="Y236" s="199"/>
      <c r="Z236" s="199"/>
    </row>
    <row r="237" spans="1:26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196"/>
      <c r="S237" s="196"/>
      <c r="T237" s="278"/>
      <c r="U237" s="196"/>
      <c r="V237" s="196"/>
      <c r="W237" s="278"/>
      <c r="X237" s="199"/>
      <c r="Y237" s="199"/>
      <c r="Z237" s="199"/>
    </row>
    <row r="238" spans="1:26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196"/>
      <c r="S238" s="196"/>
      <c r="T238" s="278"/>
      <c r="U238" s="196"/>
      <c r="V238" s="196"/>
      <c r="W238" s="278"/>
      <c r="X238" s="199"/>
      <c r="Y238" s="199"/>
      <c r="Z238" s="199"/>
    </row>
    <row r="239" spans="1:26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196"/>
      <c r="S239" s="196"/>
      <c r="T239" s="278"/>
      <c r="U239" s="196"/>
      <c r="V239" s="196"/>
      <c r="W239" s="278"/>
      <c r="X239" s="199"/>
      <c r="Y239" s="199"/>
      <c r="Z239" s="199"/>
    </row>
    <row r="240" spans="1:26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196"/>
      <c r="S240" s="196"/>
      <c r="T240" s="278"/>
      <c r="U240" s="196"/>
      <c r="V240" s="196"/>
      <c r="W240" s="278"/>
      <c r="X240" s="199"/>
      <c r="Y240" s="199"/>
      <c r="Z240" s="199"/>
    </row>
    <row r="241" spans="1:26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196"/>
      <c r="S241" s="196"/>
      <c r="T241" s="278"/>
      <c r="U241" s="196"/>
      <c r="V241" s="196"/>
      <c r="W241" s="278"/>
      <c r="X241" s="199"/>
      <c r="Y241" s="199"/>
      <c r="Z241" s="199"/>
    </row>
    <row r="242" spans="1:26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196"/>
      <c r="S242" s="196"/>
      <c r="T242" s="278"/>
      <c r="U242" s="196"/>
      <c r="V242" s="196"/>
      <c r="W242" s="278"/>
      <c r="X242" s="199"/>
      <c r="Y242" s="199"/>
      <c r="Z242" s="199"/>
    </row>
    <row r="243" spans="1:26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196"/>
      <c r="S243" s="196"/>
      <c r="T243" s="278"/>
      <c r="U243" s="196"/>
      <c r="V243" s="196"/>
      <c r="W243" s="278"/>
      <c r="X243" s="199"/>
      <c r="Y243" s="199"/>
      <c r="Z243" s="199"/>
    </row>
    <row r="244" spans="1:26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196"/>
      <c r="S244" s="196"/>
      <c r="T244" s="278"/>
      <c r="U244" s="196"/>
      <c r="V244" s="196"/>
      <c r="W244" s="278"/>
      <c r="X244" s="199"/>
      <c r="Y244" s="199"/>
      <c r="Z244" s="199"/>
    </row>
    <row r="245" spans="1:26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196"/>
      <c r="S245" s="196"/>
      <c r="T245" s="278"/>
      <c r="U245" s="196"/>
      <c r="V245" s="196"/>
      <c r="W245" s="278"/>
      <c r="X245" s="199"/>
      <c r="Y245" s="199"/>
      <c r="Z245" s="199"/>
    </row>
    <row r="246" spans="1:26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196"/>
      <c r="S246" s="196"/>
      <c r="T246" s="278"/>
      <c r="U246" s="196"/>
      <c r="V246" s="196"/>
      <c r="W246" s="278"/>
      <c r="X246" s="199"/>
      <c r="Y246" s="199"/>
      <c r="Z246" s="199"/>
    </row>
    <row r="247" spans="1:26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196"/>
      <c r="S247" s="196"/>
      <c r="T247" s="278"/>
      <c r="U247" s="196"/>
      <c r="V247" s="196"/>
      <c r="W247" s="278"/>
      <c r="X247" s="199"/>
      <c r="Y247" s="199"/>
      <c r="Z247" s="199"/>
    </row>
    <row r="248" spans="1:26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196"/>
      <c r="S248" s="196"/>
      <c r="T248" s="278"/>
      <c r="U248" s="196"/>
      <c r="V248" s="196"/>
      <c r="W248" s="278"/>
      <c r="X248" s="199"/>
      <c r="Y248" s="199"/>
      <c r="Z248" s="199"/>
    </row>
    <row r="249" spans="1:26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196"/>
      <c r="S249" s="196"/>
      <c r="T249" s="278"/>
      <c r="U249" s="196"/>
      <c r="V249" s="196"/>
      <c r="W249" s="278"/>
      <c r="X249" s="199"/>
      <c r="Y249" s="199"/>
      <c r="Z249" s="199"/>
    </row>
    <row r="250" spans="1:26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196"/>
      <c r="S250" s="196"/>
      <c r="T250" s="278"/>
      <c r="U250" s="196"/>
      <c r="V250" s="196"/>
      <c r="W250" s="278"/>
      <c r="X250" s="199"/>
      <c r="Y250" s="199"/>
      <c r="Z250" s="199"/>
    </row>
    <row r="251" spans="1:26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196"/>
      <c r="S251" s="196"/>
      <c r="T251" s="278"/>
      <c r="U251" s="196"/>
      <c r="V251" s="196"/>
      <c r="W251" s="278"/>
      <c r="X251" s="199"/>
      <c r="Y251" s="199"/>
      <c r="Z251" s="199"/>
    </row>
    <row r="252" spans="1:26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196"/>
      <c r="S252" s="196"/>
      <c r="T252" s="278"/>
      <c r="U252" s="196"/>
      <c r="V252" s="196"/>
      <c r="W252" s="278"/>
      <c r="X252" s="199"/>
      <c r="Y252" s="199"/>
      <c r="Z252" s="199"/>
    </row>
    <row r="253" spans="1:26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196"/>
      <c r="S253" s="196"/>
      <c r="T253" s="278"/>
      <c r="U253" s="196"/>
      <c r="V253" s="196"/>
      <c r="W253" s="278"/>
      <c r="X253" s="199"/>
      <c r="Y253" s="199"/>
      <c r="Z253" s="199"/>
    </row>
    <row r="254" spans="1:26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196"/>
      <c r="S254" s="196"/>
      <c r="T254" s="278"/>
      <c r="U254" s="196"/>
      <c r="V254" s="196"/>
      <c r="W254" s="278"/>
      <c r="X254" s="199"/>
      <c r="Y254" s="199"/>
      <c r="Z254" s="199"/>
    </row>
    <row r="255" spans="1:26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196"/>
      <c r="S255" s="196"/>
      <c r="T255" s="278"/>
      <c r="U255" s="196"/>
      <c r="V255" s="196"/>
      <c r="W255" s="278"/>
      <c r="X255" s="199"/>
      <c r="Y255" s="199"/>
      <c r="Z255" s="199"/>
    </row>
    <row r="256" spans="1:26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196"/>
      <c r="S256" s="196"/>
      <c r="T256" s="278"/>
      <c r="U256" s="196"/>
      <c r="V256" s="196"/>
      <c r="W256" s="278"/>
      <c r="X256" s="199"/>
      <c r="Y256" s="199"/>
      <c r="Z256" s="199"/>
    </row>
    <row r="257" spans="1:26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196"/>
      <c r="S257" s="196"/>
      <c r="T257" s="278"/>
      <c r="U257" s="196"/>
      <c r="V257" s="196"/>
      <c r="W257" s="278"/>
      <c r="X257" s="199"/>
      <c r="Y257" s="199"/>
      <c r="Z257" s="199"/>
    </row>
    <row r="258" spans="1:26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196"/>
      <c r="S258" s="196"/>
      <c r="T258" s="278"/>
      <c r="U258" s="196"/>
      <c r="V258" s="196"/>
      <c r="W258" s="278"/>
      <c r="X258" s="199"/>
      <c r="Y258" s="199"/>
      <c r="Z258" s="199"/>
    </row>
    <row r="259" spans="1:26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196"/>
      <c r="S259" s="196"/>
      <c r="T259" s="278"/>
      <c r="U259" s="196"/>
      <c r="V259" s="196"/>
      <c r="W259" s="278"/>
      <c r="X259" s="199"/>
      <c r="Y259" s="199"/>
      <c r="Z259" s="199"/>
    </row>
    <row r="260" spans="1:26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196"/>
      <c r="S260" s="196"/>
      <c r="T260" s="278"/>
      <c r="U260" s="196"/>
      <c r="V260" s="196"/>
      <c r="W260" s="278"/>
      <c r="X260" s="199"/>
      <c r="Y260" s="199"/>
      <c r="Z260" s="199"/>
    </row>
    <row r="261" spans="1:26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196"/>
      <c r="S261" s="196"/>
      <c r="T261" s="278"/>
      <c r="U261" s="196"/>
      <c r="V261" s="196"/>
      <c r="W261" s="278"/>
      <c r="X261" s="199"/>
      <c r="Y261" s="199"/>
      <c r="Z261" s="199"/>
    </row>
    <row r="262" spans="1:26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196"/>
      <c r="S262" s="196"/>
      <c r="T262" s="278"/>
      <c r="U262" s="196"/>
      <c r="V262" s="196"/>
      <c r="W262" s="278"/>
      <c r="X262" s="199"/>
      <c r="Y262" s="199"/>
      <c r="Z262" s="199"/>
    </row>
    <row r="263" spans="1:26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196"/>
      <c r="S263" s="196"/>
      <c r="T263" s="278"/>
      <c r="U263" s="196"/>
      <c r="V263" s="196"/>
      <c r="W263" s="278"/>
      <c r="X263" s="199"/>
      <c r="Y263" s="199"/>
      <c r="Z263" s="199"/>
    </row>
    <row r="264" spans="1:26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196"/>
      <c r="S264" s="196"/>
      <c r="T264" s="278"/>
      <c r="U264" s="196"/>
      <c r="V264" s="196"/>
      <c r="W264" s="278"/>
      <c r="X264" s="199"/>
      <c r="Y264" s="199"/>
      <c r="Z264" s="199"/>
    </row>
    <row r="265" spans="1:26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196"/>
      <c r="S265" s="196"/>
      <c r="T265" s="278"/>
      <c r="U265" s="196"/>
      <c r="V265" s="196"/>
      <c r="W265" s="278"/>
      <c r="X265" s="199"/>
      <c r="Y265" s="199"/>
      <c r="Z265" s="199"/>
    </row>
    <row r="266" spans="1:26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196"/>
      <c r="S266" s="196"/>
      <c r="T266" s="278"/>
      <c r="U266" s="196"/>
      <c r="V266" s="196"/>
      <c r="W266" s="278"/>
      <c r="X266" s="199"/>
      <c r="Y266" s="199"/>
      <c r="Z266" s="199"/>
    </row>
    <row r="267" spans="1:26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196"/>
      <c r="S267" s="196"/>
      <c r="T267" s="278"/>
      <c r="U267" s="196"/>
      <c r="V267" s="196"/>
      <c r="W267" s="278"/>
      <c r="X267" s="199"/>
      <c r="Y267" s="199"/>
      <c r="Z267" s="199"/>
    </row>
    <row r="268" spans="1:26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196"/>
      <c r="S268" s="196"/>
      <c r="T268" s="278"/>
      <c r="U268" s="196"/>
      <c r="V268" s="196"/>
      <c r="W268" s="278"/>
      <c r="X268" s="199"/>
      <c r="Y268" s="199"/>
      <c r="Z268" s="199"/>
    </row>
    <row r="269" spans="1:26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196"/>
      <c r="S269" s="196"/>
      <c r="T269" s="278"/>
      <c r="U269" s="196"/>
      <c r="V269" s="196"/>
      <c r="W269" s="278"/>
      <c r="X269" s="199"/>
      <c r="Y269" s="199"/>
      <c r="Z269" s="199"/>
    </row>
    <row r="270" spans="1:26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196"/>
      <c r="S270" s="196"/>
      <c r="T270" s="278"/>
      <c r="U270" s="196"/>
      <c r="V270" s="196"/>
      <c r="W270" s="278"/>
      <c r="X270" s="199"/>
      <c r="Y270" s="199"/>
      <c r="Z270" s="199"/>
    </row>
    <row r="271" spans="1:26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196"/>
      <c r="S271" s="196"/>
      <c r="T271" s="278"/>
      <c r="U271" s="196"/>
      <c r="V271" s="196"/>
      <c r="W271" s="278"/>
      <c r="X271" s="199"/>
      <c r="Y271" s="199"/>
      <c r="Z271" s="199"/>
    </row>
    <row r="272" spans="1:26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196"/>
      <c r="S272" s="196"/>
      <c r="T272" s="278"/>
      <c r="U272" s="196"/>
      <c r="V272" s="196"/>
      <c r="W272" s="278"/>
      <c r="X272" s="199"/>
      <c r="Y272" s="199"/>
      <c r="Z272" s="199"/>
    </row>
    <row r="273" spans="1:26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196"/>
      <c r="S273" s="196"/>
      <c r="T273" s="278"/>
      <c r="U273" s="196"/>
      <c r="V273" s="196"/>
      <c r="W273" s="278"/>
      <c r="X273" s="199"/>
      <c r="Y273" s="199"/>
      <c r="Z273" s="199"/>
    </row>
    <row r="274" spans="1:26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196"/>
      <c r="S274" s="196"/>
      <c r="T274" s="278"/>
      <c r="U274" s="196"/>
      <c r="V274" s="196"/>
      <c r="W274" s="278"/>
      <c r="X274" s="199"/>
      <c r="Y274" s="199"/>
      <c r="Z274" s="199"/>
    </row>
    <row r="275" spans="1:26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196"/>
      <c r="S275" s="196"/>
      <c r="T275" s="278"/>
      <c r="U275" s="196"/>
      <c r="V275" s="196"/>
      <c r="W275" s="278"/>
      <c r="X275" s="199"/>
      <c r="Y275" s="199"/>
      <c r="Z275" s="199"/>
    </row>
    <row r="276" spans="1:26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196"/>
      <c r="S276" s="196"/>
      <c r="T276" s="278"/>
      <c r="U276" s="196"/>
      <c r="V276" s="196"/>
      <c r="W276" s="278"/>
      <c r="X276" s="199"/>
      <c r="Y276" s="199"/>
      <c r="Z276" s="199"/>
    </row>
    <row r="277" spans="1:26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196"/>
      <c r="S277" s="196"/>
      <c r="T277" s="278"/>
      <c r="U277" s="196"/>
      <c r="V277" s="196"/>
      <c r="W277" s="278"/>
      <c r="X277" s="199"/>
      <c r="Y277" s="199"/>
      <c r="Z277" s="199"/>
    </row>
    <row r="278" spans="1:26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196"/>
      <c r="S278" s="196"/>
      <c r="T278" s="278"/>
      <c r="U278" s="196"/>
      <c r="V278" s="196"/>
      <c r="W278" s="278"/>
      <c r="X278" s="199"/>
      <c r="Y278" s="199"/>
      <c r="Z278" s="199"/>
    </row>
    <row r="279" spans="1:26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196"/>
      <c r="S279" s="196"/>
      <c r="T279" s="278"/>
      <c r="U279" s="196"/>
      <c r="V279" s="196"/>
      <c r="W279" s="278"/>
      <c r="X279" s="199"/>
      <c r="Y279" s="199"/>
      <c r="Z279" s="199"/>
    </row>
    <row r="280" spans="1:26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196"/>
      <c r="S280" s="196"/>
      <c r="T280" s="278"/>
      <c r="U280" s="196"/>
      <c r="V280" s="196"/>
      <c r="W280" s="278"/>
      <c r="X280" s="199"/>
      <c r="Y280" s="199"/>
      <c r="Z280" s="199"/>
    </row>
    <row r="281" spans="1:26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196"/>
      <c r="S281" s="196"/>
      <c r="T281" s="278"/>
      <c r="U281" s="196"/>
      <c r="V281" s="196"/>
      <c r="W281" s="278"/>
      <c r="X281" s="199"/>
      <c r="Y281" s="199"/>
      <c r="Z281" s="199"/>
    </row>
    <row r="282" spans="1:26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196"/>
      <c r="S282" s="196"/>
      <c r="T282" s="278"/>
      <c r="U282" s="196"/>
      <c r="V282" s="196"/>
      <c r="W282" s="278"/>
      <c r="X282" s="199"/>
      <c r="Y282" s="199"/>
      <c r="Z282" s="199"/>
    </row>
    <row r="283" spans="1:26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196"/>
      <c r="S283" s="196"/>
      <c r="T283" s="278"/>
      <c r="U283" s="196"/>
      <c r="V283" s="196"/>
      <c r="W283" s="278"/>
      <c r="X283" s="199"/>
      <c r="Y283" s="199"/>
      <c r="Z283" s="199"/>
    </row>
    <row r="284" spans="1:26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196"/>
      <c r="S284" s="196"/>
      <c r="T284" s="278"/>
      <c r="U284" s="196"/>
      <c r="V284" s="196"/>
      <c r="W284" s="278"/>
      <c r="X284" s="199"/>
      <c r="Y284" s="199"/>
      <c r="Z284" s="199"/>
    </row>
    <row r="285" spans="1:26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196"/>
      <c r="S285" s="196"/>
      <c r="T285" s="278"/>
      <c r="U285" s="196"/>
      <c r="V285" s="196"/>
      <c r="W285" s="278"/>
      <c r="X285" s="199"/>
      <c r="Y285" s="199"/>
      <c r="Z285" s="199"/>
    </row>
    <row r="286" spans="1:26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196"/>
      <c r="S286" s="196"/>
      <c r="T286" s="278"/>
      <c r="U286" s="196"/>
      <c r="V286" s="196"/>
      <c r="W286" s="278"/>
      <c r="X286" s="199"/>
      <c r="Y286" s="199"/>
      <c r="Z286" s="199"/>
    </row>
    <row r="287" spans="1:26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196"/>
      <c r="S287" s="196"/>
      <c r="T287" s="278"/>
      <c r="U287" s="196"/>
      <c r="V287" s="196"/>
      <c r="W287" s="278"/>
      <c r="X287" s="199"/>
      <c r="Y287" s="199"/>
      <c r="Z287" s="199"/>
    </row>
    <row r="288" spans="1:26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196"/>
      <c r="S288" s="196"/>
      <c r="T288" s="278"/>
      <c r="U288" s="196"/>
      <c r="V288" s="196"/>
      <c r="W288" s="278"/>
      <c r="X288" s="199"/>
      <c r="Y288" s="199"/>
      <c r="Z288" s="199"/>
    </row>
    <row r="289" spans="1:26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196"/>
      <c r="S289" s="196"/>
      <c r="T289" s="278"/>
      <c r="U289" s="196"/>
      <c r="V289" s="196"/>
      <c r="W289" s="278"/>
      <c r="X289" s="199"/>
      <c r="Y289" s="199"/>
      <c r="Z289" s="199"/>
    </row>
    <row r="290" spans="1:26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196"/>
      <c r="S290" s="196"/>
      <c r="T290" s="278"/>
      <c r="U290" s="196"/>
      <c r="V290" s="196"/>
      <c r="W290" s="278"/>
      <c r="X290" s="199"/>
      <c r="Y290" s="199"/>
      <c r="Z290" s="199"/>
    </row>
    <row r="291" spans="1:26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196"/>
      <c r="S291" s="196"/>
      <c r="T291" s="278"/>
      <c r="U291" s="196"/>
      <c r="V291" s="196"/>
      <c r="W291" s="278"/>
      <c r="X291" s="199"/>
      <c r="Y291" s="199"/>
      <c r="Z291" s="199"/>
    </row>
    <row r="292" spans="1:26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196"/>
      <c r="S292" s="196"/>
      <c r="T292" s="278"/>
      <c r="U292" s="196"/>
      <c r="V292" s="196"/>
      <c r="W292" s="278"/>
      <c r="X292" s="199"/>
      <c r="Y292" s="199"/>
      <c r="Z292" s="199"/>
    </row>
    <row r="293" spans="1:26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196"/>
      <c r="S293" s="196"/>
      <c r="T293" s="278"/>
      <c r="U293" s="196"/>
      <c r="V293" s="196"/>
      <c r="W293" s="278"/>
      <c r="X293" s="199"/>
      <c r="Y293" s="199"/>
      <c r="Z293" s="199"/>
    </row>
    <row r="294" spans="1:26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196"/>
      <c r="S294" s="196"/>
      <c r="T294" s="278"/>
      <c r="U294" s="196"/>
      <c r="V294" s="196"/>
      <c r="W294" s="278"/>
      <c r="X294" s="199"/>
      <c r="Y294" s="199"/>
      <c r="Z294" s="199"/>
    </row>
    <row r="295" spans="1:26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196"/>
      <c r="S295" s="196"/>
      <c r="T295" s="278"/>
      <c r="U295" s="196"/>
      <c r="V295" s="196"/>
      <c r="W295" s="278"/>
      <c r="X295" s="199"/>
      <c r="Y295" s="199"/>
      <c r="Z295" s="199"/>
    </row>
    <row r="296" spans="1:26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196"/>
      <c r="S296" s="196"/>
      <c r="T296" s="278"/>
      <c r="U296" s="196"/>
      <c r="V296" s="196"/>
      <c r="W296" s="278"/>
      <c r="X296" s="199"/>
      <c r="Y296" s="199"/>
      <c r="Z296" s="199"/>
    </row>
    <row r="297" spans="1:26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196"/>
      <c r="S297" s="196"/>
      <c r="T297" s="278"/>
      <c r="U297" s="196"/>
      <c r="V297" s="196"/>
      <c r="W297" s="278"/>
      <c r="X297" s="199"/>
      <c r="Y297" s="199"/>
      <c r="Z297" s="199"/>
    </row>
    <row r="298" spans="1:26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196"/>
      <c r="S298" s="196"/>
      <c r="T298" s="278"/>
      <c r="U298" s="196"/>
      <c r="V298" s="196"/>
      <c r="W298" s="278"/>
      <c r="X298" s="199"/>
      <c r="Y298" s="199"/>
      <c r="Z298" s="199"/>
    </row>
    <row r="299" spans="1:26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196"/>
      <c r="S299" s="196"/>
      <c r="T299" s="278"/>
      <c r="U299" s="196"/>
      <c r="V299" s="196"/>
      <c r="W299" s="278"/>
      <c r="X299" s="199"/>
      <c r="Y299" s="199"/>
      <c r="Z299" s="199"/>
    </row>
    <row r="300" spans="1:26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196"/>
      <c r="S300" s="196"/>
      <c r="T300" s="278"/>
      <c r="U300" s="196"/>
      <c r="V300" s="196"/>
      <c r="W300" s="278"/>
      <c r="X300" s="199"/>
      <c r="Y300" s="199"/>
      <c r="Z300" s="199"/>
    </row>
    <row r="301" spans="1:26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196"/>
      <c r="S301" s="196"/>
      <c r="T301" s="278"/>
      <c r="U301" s="196"/>
      <c r="V301" s="196"/>
      <c r="W301" s="278"/>
      <c r="X301" s="199"/>
      <c r="Y301" s="199"/>
      <c r="Z301" s="199"/>
    </row>
    <row r="302" spans="1:26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196"/>
      <c r="S302" s="196"/>
      <c r="T302" s="278"/>
      <c r="U302" s="196"/>
      <c r="V302" s="196"/>
      <c r="W302" s="278"/>
      <c r="X302" s="199"/>
      <c r="Y302" s="199"/>
      <c r="Z302" s="199"/>
    </row>
    <row r="303" spans="1:26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196"/>
      <c r="S303" s="196"/>
      <c r="T303" s="278"/>
      <c r="U303" s="196"/>
      <c r="V303" s="196"/>
      <c r="W303" s="278"/>
      <c r="X303" s="199"/>
      <c r="Y303" s="199"/>
      <c r="Z303" s="199"/>
    </row>
    <row r="304" spans="1:26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196"/>
      <c r="S304" s="196"/>
      <c r="T304" s="278"/>
      <c r="U304" s="196"/>
      <c r="V304" s="196"/>
      <c r="W304" s="278"/>
      <c r="X304" s="199"/>
      <c r="Y304" s="199"/>
      <c r="Z304" s="199"/>
    </row>
    <row r="305" spans="1:26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196"/>
      <c r="S305" s="196"/>
      <c r="T305" s="278"/>
      <c r="U305" s="196"/>
      <c r="V305" s="196"/>
      <c r="W305" s="278"/>
      <c r="X305" s="199"/>
      <c r="Y305" s="199"/>
      <c r="Z305" s="199"/>
    </row>
    <row r="306" spans="1:26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196"/>
      <c r="S306" s="196"/>
      <c r="T306" s="278"/>
      <c r="U306" s="196"/>
      <c r="V306" s="196"/>
      <c r="W306" s="278"/>
      <c r="X306" s="199"/>
      <c r="Y306" s="199"/>
      <c r="Z306" s="199"/>
    </row>
    <row r="307" spans="1:26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196"/>
      <c r="S307" s="196"/>
      <c r="T307" s="278"/>
      <c r="U307" s="196"/>
      <c r="V307" s="196"/>
      <c r="W307" s="278"/>
      <c r="X307" s="199"/>
      <c r="Y307" s="199"/>
      <c r="Z307" s="199"/>
    </row>
    <row r="308" spans="1:26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196"/>
      <c r="S308" s="196"/>
      <c r="T308" s="278"/>
      <c r="U308" s="196"/>
      <c r="V308" s="196"/>
      <c r="W308" s="278"/>
      <c r="X308" s="199"/>
      <c r="Y308" s="199"/>
      <c r="Z308" s="199"/>
    </row>
    <row r="309" spans="1:26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196"/>
      <c r="S309" s="196"/>
      <c r="T309" s="278"/>
      <c r="U309" s="196"/>
      <c r="V309" s="196"/>
      <c r="W309" s="278"/>
      <c r="X309" s="199"/>
      <c r="Y309" s="199"/>
      <c r="Z309" s="199"/>
    </row>
    <row r="310" spans="1:26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196"/>
      <c r="S310" s="196"/>
      <c r="T310" s="278"/>
      <c r="U310" s="196"/>
      <c r="V310" s="196"/>
      <c r="W310" s="278"/>
      <c r="X310" s="199"/>
      <c r="Y310" s="199"/>
      <c r="Z310" s="199"/>
    </row>
    <row r="311" spans="1:26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196"/>
      <c r="S311" s="196"/>
      <c r="T311" s="278"/>
      <c r="U311" s="196"/>
      <c r="V311" s="196"/>
      <c r="W311" s="278"/>
      <c r="X311" s="199"/>
      <c r="Y311" s="199"/>
      <c r="Z311" s="199"/>
    </row>
    <row r="312" spans="1:26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196"/>
      <c r="S312" s="196"/>
      <c r="T312" s="278"/>
      <c r="U312" s="196"/>
      <c r="V312" s="196"/>
      <c r="W312" s="278"/>
      <c r="X312" s="199"/>
      <c r="Y312" s="199"/>
      <c r="Z312" s="199"/>
    </row>
    <row r="313" spans="1:26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196"/>
      <c r="S313" s="196"/>
      <c r="T313" s="278"/>
      <c r="U313" s="196"/>
      <c r="V313" s="196"/>
      <c r="W313" s="278"/>
      <c r="X313" s="199"/>
      <c r="Y313" s="199"/>
      <c r="Z313" s="199"/>
    </row>
    <row r="314" spans="1:26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196"/>
      <c r="S314" s="196"/>
      <c r="T314" s="278"/>
      <c r="U314" s="196"/>
      <c r="V314" s="196"/>
      <c r="W314" s="278"/>
      <c r="X314" s="199"/>
      <c r="Y314" s="199"/>
      <c r="Z314" s="199"/>
    </row>
    <row r="315" spans="1:26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196"/>
      <c r="S315" s="196"/>
      <c r="T315" s="278"/>
      <c r="U315" s="196"/>
      <c r="V315" s="196"/>
      <c r="W315" s="278"/>
      <c r="X315" s="199"/>
      <c r="Y315" s="199"/>
      <c r="Z315" s="199"/>
    </row>
    <row r="316" spans="1:26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196"/>
      <c r="S316" s="196"/>
      <c r="T316" s="278"/>
      <c r="U316" s="196"/>
      <c r="V316" s="196"/>
      <c r="W316" s="278"/>
      <c r="X316" s="199"/>
      <c r="Y316" s="199"/>
      <c r="Z316" s="199"/>
    </row>
    <row r="317" spans="1:26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196"/>
      <c r="S317" s="196"/>
      <c r="T317" s="278"/>
      <c r="U317" s="196"/>
      <c r="V317" s="196"/>
      <c r="W317" s="278"/>
      <c r="X317" s="199"/>
      <c r="Y317" s="199"/>
      <c r="Z317" s="199"/>
    </row>
    <row r="318" spans="1:26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196"/>
      <c r="S318" s="196"/>
      <c r="T318" s="278"/>
      <c r="U318" s="196"/>
      <c r="V318" s="196"/>
      <c r="W318" s="278"/>
      <c r="X318" s="199"/>
      <c r="Y318" s="199"/>
      <c r="Z318" s="199"/>
    </row>
    <row r="319" spans="1:26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196"/>
      <c r="S319" s="196"/>
      <c r="T319" s="278"/>
      <c r="U319" s="196"/>
      <c r="V319" s="196"/>
      <c r="W319" s="278"/>
      <c r="X319" s="199"/>
      <c r="Y319" s="199"/>
      <c r="Z319" s="199"/>
    </row>
    <row r="320" spans="1:26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196"/>
      <c r="S320" s="196"/>
      <c r="T320" s="278"/>
      <c r="U320" s="196"/>
      <c r="V320" s="196"/>
      <c r="W320" s="278"/>
      <c r="X320" s="199"/>
      <c r="Y320" s="199"/>
      <c r="Z320" s="199"/>
    </row>
    <row r="321" spans="1:26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196"/>
      <c r="S321" s="196"/>
      <c r="T321" s="278"/>
      <c r="U321" s="196"/>
      <c r="V321" s="196"/>
      <c r="W321" s="278"/>
      <c r="X321" s="199"/>
      <c r="Y321" s="199"/>
      <c r="Z321" s="199"/>
    </row>
    <row r="322" spans="1:26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196"/>
      <c r="S322" s="196"/>
      <c r="T322" s="278"/>
      <c r="U322" s="196"/>
      <c r="V322" s="196"/>
      <c r="W322" s="278"/>
      <c r="X322" s="199"/>
      <c r="Y322" s="199"/>
      <c r="Z322" s="199"/>
    </row>
    <row r="323" spans="1:26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196"/>
      <c r="S323" s="196"/>
      <c r="T323" s="278"/>
      <c r="U323" s="196"/>
      <c r="V323" s="196"/>
      <c r="W323" s="278"/>
      <c r="X323" s="199"/>
      <c r="Y323" s="199"/>
      <c r="Z323" s="199"/>
    </row>
    <row r="324" spans="1:26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196"/>
      <c r="S324" s="196"/>
      <c r="T324" s="278"/>
      <c r="U324" s="196"/>
      <c r="V324" s="196"/>
      <c r="W324" s="278"/>
      <c r="X324" s="199"/>
      <c r="Y324" s="199"/>
      <c r="Z324" s="199"/>
    </row>
    <row r="325" spans="1:26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196"/>
      <c r="S325" s="196"/>
      <c r="T325" s="278"/>
      <c r="U325" s="196"/>
      <c r="V325" s="196"/>
      <c r="W325" s="278"/>
      <c r="X325" s="199"/>
      <c r="Y325" s="199"/>
      <c r="Z325" s="199"/>
    </row>
    <row r="326" spans="1:26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196"/>
      <c r="S326" s="196"/>
      <c r="T326" s="278"/>
      <c r="U326" s="196"/>
      <c r="V326" s="196"/>
      <c r="W326" s="278"/>
      <c r="X326" s="199"/>
      <c r="Y326" s="199"/>
      <c r="Z326" s="199"/>
    </row>
    <row r="327" spans="1:26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196"/>
      <c r="S327" s="196"/>
      <c r="T327" s="278"/>
      <c r="U327" s="196"/>
      <c r="V327" s="196"/>
      <c r="W327" s="278"/>
      <c r="X327" s="199"/>
      <c r="Y327" s="199"/>
      <c r="Z327" s="199"/>
    </row>
    <row r="328" spans="1:26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196"/>
      <c r="S328" s="196"/>
      <c r="T328" s="278"/>
      <c r="U328" s="196"/>
      <c r="V328" s="196"/>
      <c r="W328" s="278"/>
      <c r="X328" s="199"/>
      <c r="Y328" s="199"/>
      <c r="Z328" s="199"/>
    </row>
    <row r="329" spans="1:26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196"/>
      <c r="S329" s="196"/>
      <c r="T329" s="278"/>
      <c r="U329" s="196"/>
      <c r="V329" s="196"/>
      <c r="W329" s="278"/>
      <c r="X329" s="199"/>
      <c r="Y329" s="199"/>
      <c r="Z329" s="199"/>
    </row>
    <row r="330" spans="1:26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196"/>
      <c r="S330" s="196"/>
      <c r="T330" s="278"/>
      <c r="U330" s="196"/>
      <c r="V330" s="196"/>
      <c r="W330" s="278"/>
      <c r="X330" s="199"/>
      <c r="Y330" s="199"/>
      <c r="Z330" s="199"/>
    </row>
    <row r="331" spans="1:26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196"/>
      <c r="S331" s="196"/>
      <c r="T331" s="278"/>
      <c r="U331" s="196"/>
      <c r="V331" s="196"/>
      <c r="W331" s="278"/>
      <c r="X331" s="199"/>
      <c r="Y331" s="199"/>
      <c r="Z331" s="199"/>
    </row>
    <row r="332" spans="1:26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196"/>
      <c r="S332" s="196"/>
      <c r="T332" s="278"/>
      <c r="U332" s="196"/>
      <c r="V332" s="196"/>
      <c r="W332" s="278"/>
      <c r="X332" s="199"/>
      <c r="Y332" s="199"/>
      <c r="Z332" s="199"/>
    </row>
    <row r="333" spans="1:26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196"/>
      <c r="S333" s="196"/>
      <c r="T333" s="278"/>
      <c r="U333" s="196"/>
      <c r="V333" s="196"/>
      <c r="W333" s="278"/>
      <c r="X333" s="199"/>
      <c r="Y333" s="199"/>
      <c r="Z333" s="199"/>
    </row>
    <row r="334" spans="1:26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196"/>
      <c r="S334" s="196"/>
      <c r="T334" s="278"/>
      <c r="U334" s="196"/>
      <c r="V334" s="196"/>
      <c r="W334" s="278"/>
      <c r="X334" s="199"/>
      <c r="Y334" s="199"/>
      <c r="Z334" s="199"/>
    </row>
    <row r="335" spans="1:26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196"/>
      <c r="S335" s="196"/>
      <c r="T335" s="278"/>
      <c r="U335" s="196"/>
      <c r="V335" s="196"/>
      <c r="W335" s="278"/>
      <c r="X335" s="199"/>
      <c r="Y335" s="199"/>
      <c r="Z335" s="199"/>
    </row>
    <row r="336" spans="1:26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196"/>
      <c r="S336" s="196"/>
      <c r="T336" s="278"/>
      <c r="U336" s="196"/>
      <c r="V336" s="196"/>
      <c r="W336" s="278"/>
      <c r="X336" s="199"/>
      <c r="Y336" s="199"/>
      <c r="Z336" s="199"/>
    </row>
    <row r="337" spans="1:26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196"/>
      <c r="S337" s="196"/>
      <c r="T337" s="278"/>
      <c r="U337" s="196"/>
      <c r="V337" s="196"/>
      <c r="W337" s="278"/>
      <c r="X337" s="199"/>
      <c r="Y337" s="199"/>
      <c r="Z337" s="199"/>
    </row>
    <row r="338" spans="1:26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196"/>
      <c r="S338" s="196"/>
      <c r="T338" s="278"/>
      <c r="U338" s="196"/>
      <c r="V338" s="196"/>
      <c r="W338" s="278"/>
      <c r="X338" s="199"/>
      <c r="Y338" s="199"/>
      <c r="Z338" s="199"/>
    </row>
    <row r="339" spans="1:26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196"/>
      <c r="S339" s="196"/>
      <c r="T339" s="278"/>
      <c r="U339" s="196"/>
      <c r="V339" s="196"/>
      <c r="W339" s="278"/>
      <c r="X339" s="199"/>
      <c r="Y339" s="199"/>
      <c r="Z339" s="199"/>
    </row>
    <row r="340" spans="1:26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196"/>
      <c r="S340" s="196"/>
      <c r="T340" s="278"/>
      <c r="U340" s="196"/>
      <c r="V340" s="196"/>
      <c r="W340" s="278"/>
      <c r="X340" s="199"/>
      <c r="Y340" s="199"/>
      <c r="Z340" s="199"/>
    </row>
    <row r="341" spans="1:26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196"/>
      <c r="S341" s="196"/>
      <c r="T341" s="278"/>
      <c r="U341" s="196"/>
      <c r="V341" s="196"/>
      <c r="W341" s="278"/>
      <c r="X341" s="199"/>
      <c r="Y341" s="199"/>
      <c r="Z341" s="199"/>
    </row>
    <row r="342" spans="1:26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196"/>
      <c r="S342" s="196"/>
      <c r="T342" s="278"/>
      <c r="U342" s="196"/>
      <c r="V342" s="196"/>
      <c r="W342" s="278"/>
      <c r="X342" s="199"/>
      <c r="Y342" s="199"/>
      <c r="Z342" s="199"/>
    </row>
    <row r="343" spans="1:26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196"/>
      <c r="S343" s="196"/>
      <c r="T343" s="278"/>
      <c r="U343" s="196"/>
      <c r="V343" s="196"/>
      <c r="W343" s="278"/>
      <c r="X343" s="199"/>
      <c r="Y343" s="199"/>
      <c r="Z343" s="199"/>
    </row>
    <row r="344" spans="1:26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196"/>
      <c r="S344" s="196"/>
      <c r="T344" s="278"/>
      <c r="U344" s="196"/>
      <c r="V344" s="196"/>
      <c r="W344" s="278"/>
      <c r="X344" s="199"/>
      <c r="Y344" s="199"/>
      <c r="Z344" s="199"/>
    </row>
    <row r="345" spans="1:26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196"/>
      <c r="S345" s="196"/>
      <c r="T345" s="278"/>
      <c r="U345" s="196"/>
      <c r="V345" s="196"/>
      <c r="W345" s="278"/>
      <c r="X345" s="199"/>
      <c r="Y345" s="199"/>
      <c r="Z345" s="199"/>
    </row>
    <row r="346" spans="1:26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196"/>
      <c r="S346" s="196"/>
      <c r="T346" s="278"/>
      <c r="U346" s="196"/>
      <c r="V346" s="196"/>
      <c r="W346" s="278"/>
      <c r="X346" s="199"/>
      <c r="Y346" s="199"/>
      <c r="Z346" s="199"/>
    </row>
    <row r="347" spans="1:26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196"/>
      <c r="S347" s="196"/>
      <c r="T347" s="278"/>
      <c r="U347" s="196"/>
      <c r="V347" s="196"/>
      <c r="W347" s="278"/>
      <c r="X347" s="199"/>
      <c r="Y347" s="199"/>
      <c r="Z347" s="199"/>
    </row>
    <row r="348" spans="1:26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196"/>
      <c r="S348" s="196"/>
      <c r="T348" s="278"/>
      <c r="U348" s="196"/>
      <c r="V348" s="196"/>
      <c r="W348" s="278"/>
      <c r="X348" s="199"/>
      <c r="Y348" s="199"/>
      <c r="Z348" s="199"/>
    </row>
    <row r="349" spans="1:26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196"/>
      <c r="S349" s="196"/>
      <c r="T349" s="278"/>
      <c r="U349" s="196"/>
      <c r="V349" s="196"/>
      <c r="W349" s="278"/>
      <c r="X349" s="199"/>
      <c r="Y349" s="199"/>
      <c r="Z349" s="199"/>
    </row>
    <row r="350" spans="1:26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196"/>
      <c r="S350" s="196"/>
      <c r="T350" s="278"/>
      <c r="U350" s="196"/>
      <c r="V350" s="196"/>
      <c r="W350" s="278"/>
      <c r="X350" s="199"/>
      <c r="Y350" s="199"/>
      <c r="Z350" s="199"/>
    </row>
    <row r="351" spans="1:26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196"/>
      <c r="S351" s="196"/>
      <c r="T351" s="278"/>
      <c r="U351" s="196"/>
      <c r="V351" s="196"/>
      <c r="W351" s="278"/>
      <c r="X351" s="199"/>
      <c r="Y351" s="199"/>
      <c r="Z351" s="199"/>
    </row>
    <row r="352" spans="1:26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196"/>
      <c r="S352" s="196"/>
      <c r="T352" s="278"/>
      <c r="U352" s="196"/>
      <c r="V352" s="196"/>
      <c r="W352" s="278"/>
      <c r="X352" s="199"/>
      <c r="Y352" s="199"/>
      <c r="Z352" s="199"/>
    </row>
    <row r="353" spans="1:26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196"/>
      <c r="S353" s="196"/>
      <c r="T353" s="278"/>
      <c r="U353" s="196"/>
      <c r="V353" s="196"/>
      <c r="W353" s="278"/>
      <c r="X353" s="199"/>
      <c r="Y353" s="199"/>
      <c r="Z353" s="199"/>
    </row>
    <row r="354" spans="1:26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196"/>
      <c r="S354" s="196"/>
      <c r="T354" s="278"/>
      <c r="U354" s="196"/>
      <c r="V354" s="196"/>
      <c r="W354" s="278"/>
      <c r="X354" s="199"/>
      <c r="Y354" s="199"/>
      <c r="Z354" s="199"/>
    </row>
    <row r="355" spans="1:26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196"/>
      <c r="S355" s="196"/>
      <c r="T355" s="278"/>
      <c r="U355" s="196"/>
      <c r="V355" s="196"/>
      <c r="W355" s="278"/>
      <c r="X355" s="199"/>
      <c r="Y355" s="199"/>
      <c r="Z355" s="199"/>
    </row>
    <row r="356" spans="1:26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196"/>
      <c r="S356" s="196"/>
      <c r="T356" s="278"/>
      <c r="U356" s="196"/>
      <c r="V356" s="196"/>
      <c r="W356" s="278"/>
      <c r="X356" s="199"/>
      <c r="Y356" s="199"/>
      <c r="Z356" s="199"/>
    </row>
    <row r="357" spans="1:26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196"/>
      <c r="S357" s="196"/>
      <c r="T357" s="278"/>
      <c r="U357" s="196"/>
      <c r="V357" s="196"/>
      <c r="W357" s="278"/>
      <c r="X357" s="199"/>
      <c r="Y357" s="199"/>
      <c r="Z357" s="199"/>
    </row>
    <row r="358" spans="1:26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196"/>
      <c r="S358" s="196"/>
      <c r="T358" s="278"/>
      <c r="U358" s="196"/>
      <c r="V358" s="196"/>
      <c r="W358" s="278"/>
      <c r="X358" s="199"/>
      <c r="Y358" s="199"/>
      <c r="Z358" s="199"/>
    </row>
    <row r="359" spans="1:26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196"/>
      <c r="S359" s="196"/>
      <c r="T359" s="278"/>
      <c r="U359" s="196"/>
      <c r="V359" s="196"/>
      <c r="W359" s="278"/>
      <c r="X359" s="199"/>
      <c r="Y359" s="199"/>
      <c r="Z359" s="199"/>
    </row>
    <row r="360" spans="1:26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196"/>
      <c r="S360" s="196"/>
      <c r="T360" s="278"/>
      <c r="U360" s="196"/>
      <c r="V360" s="196"/>
      <c r="W360" s="278"/>
      <c r="X360" s="199"/>
      <c r="Y360" s="199"/>
      <c r="Z360" s="199"/>
    </row>
    <row r="361" spans="1:26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196"/>
      <c r="S361" s="196"/>
      <c r="T361" s="278"/>
      <c r="U361" s="196"/>
      <c r="V361" s="196"/>
      <c r="W361" s="278"/>
      <c r="X361" s="199"/>
      <c r="Y361" s="199"/>
      <c r="Z361" s="199"/>
    </row>
    <row r="362" spans="1:26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196"/>
      <c r="S362" s="196"/>
      <c r="T362" s="278"/>
      <c r="U362" s="196"/>
      <c r="V362" s="196"/>
      <c r="W362" s="278"/>
      <c r="X362" s="199"/>
      <c r="Y362" s="199"/>
      <c r="Z362" s="199"/>
    </row>
    <row r="363" spans="1:26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196"/>
      <c r="S363" s="196"/>
      <c r="T363" s="278"/>
      <c r="U363" s="196"/>
      <c r="V363" s="196"/>
      <c r="W363" s="278"/>
      <c r="X363" s="199"/>
      <c r="Y363" s="199"/>
      <c r="Z363" s="199"/>
    </row>
    <row r="364" spans="1:26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196"/>
      <c r="S364" s="196"/>
      <c r="T364" s="278"/>
      <c r="U364" s="196"/>
      <c r="V364" s="196"/>
      <c r="W364" s="278"/>
      <c r="X364" s="199"/>
      <c r="Y364" s="199"/>
      <c r="Z364" s="199"/>
    </row>
    <row r="365" spans="1:26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196"/>
      <c r="S365" s="196"/>
      <c r="T365" s="278"/>
      <c r="U365" s="196"/>
      <c r="V365" s="196"/>
      <c r="W365" s="278"/>
      <c r="X365" s="199"/>
      <c r="Y365" s="199"/>
      <c r="Z365" s="199"/>
    </row>
    <row r="366" spans="1:26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196"/>
      <c r="S366" s="196"/>
      <c r="T366" s="278"/>
      <c r="U366" s="196"/>
      <c r="V366" s="196"/>
      <c r="W366" s="278"/>
      <c r="X366" s="199"/>
      <c r="Y366" s="199"/>
      <c r="Z366" s="199"/>
    </row>
    <row r="367" spans="1:26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196"/>
      <c r="S367" s="196"/>
      <c r="T367" s="278"/>
      <c r="U367" s="196"/>
      <c r="V367" s="196"/>
      <c r="W367" s="278"/>
      <c r="X367" s="199"/>
      <c r="Y367" s="199"/>
      <c r="Z367" s="199"/>
    </row>
    <row r="368" spans="1:26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196"/>
      <c r="S368" s="196"/>
      <c r="T368" s="278"/>
      <c r="U368" s="196"/>
      <c r="V368" s="196"/>
      <c r="W368" s="278"/>
      <c r="X368" s="199"/>
      <c r="Y368" s="199"/>
      <c r="Z368" s="199"/>
    </row>
    <row r="369" spans="1:26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196"/>
      <c r="S369" s="196"/>
      <c r="T369" s="278"/>
      <c r="U369" s="196"/>
      <c r="V369" s="196"/>
      <c r="W369" s="278"/>
      <c r="X369" s="199"/>
      <c r="Y369" s="199"/>
      <c r="Z369" s="199"/>
    </row>
    <row r="370" spans="1:26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196"/>
      <c r="S370" s="196"/>
      <c r="T370" s="278"/>
      <c r="U370" s="196"/>
      <c r="V370" s="196"/>
      <c r="W370" s="278"/>
      <c r="X370" s="199"/>
      <c r="Y370" s="199"/>
      <c r="Z370" s="199"/>
    </row>
    <row r="371" spans="1:26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196"/>
      <c r="S371" s="196"/>
      <c r="T371" s="278"/>
      <c r="U371" s="196"/>
      <c r="V371" s="196"/>
      <c r="W371" s="278"/>
      <c r="X371" s="199"/>
      <c r="Y371" s="199"/>
      <c r="Z371" s="199"/>
    </row>
    <row r="372" spans="1:26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196"/>
      <c r="S372" s="196"/>
      <c r="T372" s="278"/>
      <c r="U372" s="196"/>
      <c r="V372" s="196"/>
      <c r="W372" s="278"/>
      <c r="X372" s="199"/>
      <c r="Y372" s="199"/>
      <c r="Z372" s="199"/>
    </row>
    <row r="373" spans="1:26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196"/>
      <c r="S373" s="196"/>
      <c r="T373" s="278"/>
      <c r="U373" s="196"/>
      <c r="V373" s="196"/>
      <c r="W373" s="278"/>
      <c r="X373" s="199"/>
      <c r="Y373" s="199"/>
      <c r="Z373" s="199"/>
    </row>
    <row r="374" spans="1:26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196"/>
      <c r="S374" s="196"/>
      <c r="T374" s="278"/>
      <c r="U374" s="196"/>
      <c r="V374" s="196"/>
      <c r="W374" s="278"/>
      <c r="X374" s="199"/>
      <c r="Y374" s="199"/>
      <c r="Z374" s="199"/>
    </row>
    <row r="375" spans="1:26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196"/>
      <c r="S375" s="196"/>
      <c r="T375" s="278"/>
      <c r="U375" s="196"/>
      <c r="V375" s="196"/>
      <c r="W375" s="278"/>
      <c r="X375" s="199"/>
      <c r="Y375" s="199"/>
      <c r="Z375" s="199"/>
    </row>
    <row r="376" spans="1:26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196"/>
      <c r="S376" s="196"/>
      <c r="T376" s="278"/>
      <c r="U376" s="196"/>
      <c r="V376" s="196"/>
      <c r="W376" s="278"/>
      <c r="X376" s="199"/>
      <c r="Y376" s="199"/>
      <c r="Z376" s="199"/>
    </row>
    <row r="377" spans="1:26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196"/>
      <c r="S377" s="196"/>
      <c r="T377" s="278"/>
      <c r="U377" s="196"/>
      <c r="V377" s="196"/>
      <c r="W377" s="278"/>
      <c r="X377" s="199"/>
      <c r="Y377" s="199"/>
      <c r="Z377" s="199"/>
    </row>
    <row r="378" spans="1:26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196"/>
      <c r="S378" s="196"/>
      <c r="T378" s="278"/>
      <c r="U378" s="196"/>
      <c r="V378" s="196"/>
      <c r="W378" s="278"/>
      <c r="X378" s="199"/>
      <c r="Y378" s="199"/>
      <c r="Z378" s="199"/>
    </row>
    <row r="379" spans="1:26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196"/>
      <c r="S379" s="196"/>
      <c r="T379" s="278"/>
      <c r="U379" s="196"/>
      <c r="V379" s="196"/>
      <c r="W379" s="278"/>
      <c r="X379" s="199"/>
      <c r="Y379" s="199"/>
      <c r="Z379" s="199"/>
    </row>
    <row r="380" spans="1:26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196"/>
      <c r="S380" s="196"/>
      <c r="T380" s="278"/>
      <c r="U380" s="196"/>
      <c r="V380" s="196"/>
      <c r="W380" s="278"/>
      <c r="X380" s="199"/>
      <c r="Y380" s="199"/>
      <c r="Z380" s="199"/>
    </row>
    <row r="381" spans="1:26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196"/>
      <c r="S381" s="196"/>
      <c r="T381" s="278"/>
      <c r="U381" s="196"/>
      <c r="V381" s="196"/>
      <c r="W381" s="278"/>
      <c r="X381" s="199"/>
      <c r="Y381" s="199"/>
      <c r="Z381" s="199"/>
    </row>
    <row r="382" spans="1:26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196"/>
      <c r="S382" s="196"/>
      <c r="T382" s="278"/>
      <c r="U382" s="196"/>
      <c r="V382" s="196"/>
      <c r="W382" s="278"/>
      <c r="X382" s="199"/>
      <c r="Y382" s="199"/>
      <c r="Z382" s="199"/>
    </row>
    <row r="383" spans="1:26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196"/>
      <c r="S383" s="196"/>
      <c r="T383" s="278"/>
      <c r="U383" s="196"/>
      <c r="V383" s="196"/>
      <c r="W383" s="278"/>
      <c r="X383" s="199"/>
      <c r="Y383" s="199"/>
      <c r="Z383" s="199"/>
    </row>
    <row r="384" spans="1:26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196"/>
      <c r="S384" s="196"/>
      <c r="T384" s="278"/>
      <c r="U384" s="196"/>
      <c r="V384" s="196"/>
      <c r="W384" s="278"/>
      <c r="X384" s="199"/>
      <c r="Y384" s="199"/>
      <c r="Z384" s="199"/>
    </row>
    <row r="385" spans="1:26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196"/>
      <c r="S385" s="196"/>
      <c r="T385" s="278"/>
      <c r="U385" s="196"/>
      <c r="V385" s="196"/>
      <c r="W385" s="278"/>
      <c r="X385" s="199"/>
      <c r="Y385" s="199"/>
      <c r="Z385" s="199"/>
    </row>
    <row r="386" spans="1:26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196"/>
      <c r="S386" s="196"/>
      <c r="T386" s="278"/>
      <c r="U386" s="196"/>
      <c r="V386" s="196"/>
      <c r="W386" s="278"/>
      <c r="X386" s="199"/>
      <c r="Y386" s="199"/>
      <c r="Z386" s="199"/>
    </row>
    <row r="387" spans="1:26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196"/>
      <c r="S387" s="196"/>
      <c r="T387" s="278"/>
      <c r="U387" s="196"/>
      <c r="V387" s="196"/>
      <c r="W387" s="278"/>
      <c r="X387" s="199"/>
      <c r="Y387" s="199"/>
      <c r="Z387" s="199"/>
    </row>
    <row r="388" spans="1:26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196"/>
      <c r="S388" s="196"/>
      <c r="T388" s="278"/>
      <c r="U388" s="196"/>
      <c r="V388" s="196"/>
      <c r="W388" s="278"/>
      <c r="X388" s="199"/>
      <c r="Y388" s="199"/>
      <c r="Z388" s="199"/>
    </row>
    <row r="389" spans="1:26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196"/>
      <c r="S389" s="196"/>
      <c r="T389" s="278"/>
      <c r="U389" s="196"/>
      <c r="V389" s="196"/>
      <c r="W389" s="278"/>
      <c r="X389" s="199"/>
      <c r="Y389" s="199"/>
      <c r="Z389" s="199"/>
    </row>
    <row r="390" spans="1:26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196"/>
      <c r="S390" s="196"/>
      <c r="T390" s="278"/>
      <c r="U390" s="196"/>
      <c r="V390" s="196"/>
      <c r="W390" s="278"/>
      <c r="X390" s="199"/>
      <c r="Y390" s="199"/>
      <c r="Z390" s="199"/>
    </row>
    <row r="391" spans="1:26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196"/>
      <c r="S391" s="196"/>
      <c r="T391" s="278"/>
      <c r="U391" s="196"/>
      <c r="V391" s="196"/>
      <c r="W391" s="278"/>
      <c r="X391" s="199"/>
      <c r="Y391" s="199"/>
      <c r="Z391" s="199"/>
    </row>
    <row r="392" spans="1:26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196"/>
      <c r="S392" s="196"/>
      <c r="T392" s="278"/>
      <c r="U392" s="196"/>
      <c r="V392" s="196"/>
      <c r="W392" s="278"/>
      <c r="X392" s="199"/>
      <c r="Y392" s="199"/>
      <c r="Z392" s="199"/>
    </row>
    <row r="393" spans="1:26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196"/>
      <c r="S393" s="196"/>
      <c r="T393" s="278"/>
      <c r="U393" s="196"/>
      <c r="V393" s="196"/>
      <c r="W393" s="278"/>
      <c r="X393" s="199"/>
      <c r="Y393" s="199"/>
      <c r="Z393" s="199"/>
    </row>
    <row r="394" spans="1:26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196"/>
      <c r="S394" s="196"/>
      <c r="T394" s="278"/>
      <c r="U394" s="196"/>
      <c r="V394" s="196"/>
      <c r="W394" s="278"/>
      <c r="X394" s="199"/>
      <c r="Y394" s="199"/>
      <c r="Z394" s="199"/>
    </row>
    <row r="395" spans="1:26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196"/>
      <c r="S395" s="196"/>
      <c r="T395" s="278"/>
      <c r="U395" s="196"/>
      <c r="V395" s="196"/>
      <c r="W395" s="278"/>
      <c r="X395" s="199"/>
      <c r="Y395" s="199"/>
      <c r="Z395" s="199"/>
    </row>
    <row r="396" spans="1:26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196"/>
      <c r="S396" s="196"/>
      <c r="T396" s="278"/>
      <c r="U396" s="196"/>
      <c r="V396" s="196"/>
      <c r="W396" s="278"/>
      <c r="X396" s="199"/>
      <c r="Y396" s="199"/>
      <c r="Z396" s="199"/>
    </row>
    <row r="397" spans="1:26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196"/>
      <c r="S397" s="196"/>
      <c r="T397" s="278"/>
      <c r="U397" s="196"/>
      <c r="V397" s="196"/>
      <c r="W397" s="278"/>
      <c r="X397" s="199"/>
      <c r="Y397" s="199"/>
      <c r="Z397" s="199"/>
    </row>
    <row r="398" spans="1:26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196"/>
      <c r="S398" s="196"/>
      <c r="T398" s="278"/>
      <c r="U398" s="196"/>
      <c r="V398" s="196"/>
      <c r="W398" s="278"/>
      <c r="X398" s="199"/>
      <c r="Y398" s="199"/>
      <c r="Z398" s="199"/>
    </row>
    <row r="399" spans="1:26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196"/>
      <c r="S399" s="196"/>
      <c r="T399" s="278"/>
      <c r="U399" s="196"/>
      <c r="V399" s="196"/>
      <c r="W399" s="278"/>
      <c r="X399" s="199"/>
      <c r="Y399" s="199"/>
      <c r="Z399" s="199"/>
    </row>
    <row r="400" spans="1:26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196"/>
      <c r="S400" s="196"/>
      <c r="T400" s="278"/>
      <c r="U400" s="196"/>
      <c r="V400" s="196"/>
      <c r="W400" s="278"/>
      <c r="X400" s="199"/>
      <c r="Y400" s="199"/>
      <c r="Z400" s="199"/>
    </row>
    <row r="401" spans="1:26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196"/>
      <c r="S401" s="196"/>
      <c r="T401" s="278"/>
      <c r="U401" s="196"/>
      <c r="V401" s="196"/>
      <c r="W401" s="278"/>
      <c r="X401" s="199"/>
      <c r="Y401" s="199"/>
      <c r="Z401" s="199"/>
    </row>
    <row r="402" spans="1:26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196"/>
      <c r="S402" s="196"/>
      <c r="T402" s="278"/>
      <c r="U402" s="196"/>
      <c r="V402" s="196"/>
      <c r="W402" s="278"/>
      <c r="X402" s="199"/>
      <c r="Y402" s="199"/>
      <c r="Z402" s="199"/>
    </row>
    <row r="403" spans="1:26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196"/>
      <c r="S403" s="196"/>
      <c r="T403" s="278"/>
      <c r="U403" s="196"/>
      <c r="V403" s="196"/>
      <c r="W403" s="278"/>
      <c r="X403" s="199"/>
      <c r="Y403" s="199"/>
      <c r="Z403" s="199"/>
    </row>
    <row r="404" spans="1:26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196"/>
      <c r="S404" s="196"/>
      <c r="T404" s="278"/>
      <c r="U404" s="196"/>
      <c r="V404" s="196"/>
      <c r="W404" s="278"/>
      <c r="X404" s="199"/>
      <c r="Y404" s="199"/>
      <c r="Z404" s="199"/>
    </row>
    <row r="405" spans="1:26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196"/>
      <c r="S405" s="196"/>
      <c r="T405" s="278"/>
      <c r="U405" s="196"/>
      <c r="V405" s="196"/>
      <c r="W405" s="278"/>
      <c r="X405" s="199"/>
      <c r="Y405" s="199"/>
      <c r="Z405" s="199"/>
    </row>
    <row r="406" spans="1:26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196"/>
      <c r="S406" s="196"/>
      <c r="T406" s="278"/>
      <c r="U406" s="196"/>
      <c r="V406" s="196"/>
      <c r="W406" s="278"/>
      <c r="X406" s="199"/>
      <c r="Y406" s="199"/>
      <c r="Z406" s="199"/>
    </row>
    <row r="407" spans="1:26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196"/>
      <c r="S407" s="196"/>
      <c r="T407" s="278"/>
      <c r="U407" s="196"/>
      <c r="V407" s="196"/>
      <c r="W407" s="278"/>
      <c r="X407" s="199"/>
      <c r="Y407" s="199"/>
      <c r="Z407" s="199"/>
    </row>
    <row r="408" spans="1:26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196"/>
      <c r="S408" s="196"/>
      <c r="T408" s="278"/>
      <c r="U408" s="196"/>
      <c r="V408" s="196"/>
      <c r="W408" s="278"/>
      <c r="X408" s="199"/>
      <c r="Y408" s="199"/>
      <c r="Z408" s="199"/>
    </row>
    <row r="409" spans="1:26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196"/>
      <c r="S409" s="196"/>
      <c r="T409" s="278"/>
      <c r="U409" s="196"/>
      <c r="V409" s="196"/>
      <c r="W409" s="278"/>
      <c r="X409" s="199"/>
      <c r="Y409" s="199"/>
      <c r="Z409" s="199"/>
    </row>
    <row r="410" spans="1:26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196"/>
      <c r="S410" s="196"/>
      <c r="T410" s="278"/>
      <c r="U410" s="196"/>
      <c r="V410" s="196"/>
      <c r="W410" s="278"/>
      <c r="X410" s="199"/>
      <c r="Y410" s="199"/>
      <c r="Z410" s="199"/>
    </row>
    <row r="411" spans="1:26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196"/>
      <c r="S411" s="196"/>
      <c r="T411" s="278"/>
      <c r="U411" s="196"/>
      <c r="V411" s="196"/>
      <c r="W411" s="278"/>
      <c r="X411" s="199"/>
      <c r="Y411" s="199"/>
      <c r="Z411" s="199"/>
    </row>
    <row r="412" spans="1:26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196"/>
      <c r="S412" s="196"/>
      <c r="T412" s="278"/>
      <c r="U412" s="196"/>
      <c r="V412" s="196"/>
      <c r="W412" s="278"/>
      <c r="X412" s="199"/>
      <c r="Y412" s="199"/>
      <c r="Z412" s="199"/>
    </row>
    <row r="413" spans="1:26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196"/>
      <c r="S413" s="196"/>
      <c r="T413" s="278"/>
      <c r="U413" s="196"/>
      <c r="V413" s="196"/>
      <c r="W413" s="278"/>
      <c r="X413" s="199"/>
      <c r="Y413" s="199"/>
      <c r="Z413" s="199"/>
    </row>
    <row r="414" spans="1:26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196"/>
      <c r="S414" s="196"/>
      <c r="T414" s="278"/>
      <c r="U414" s="196"/>
      <c r="V414" s="196"/>
      <c r="W414" s="278"/>
      <c r="X414" s="199"/>
      <c r="Y414" s="199"/>
      <c r="Z414" s="199"/>
    </row>
    <row r="415" spans="1:26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196"/>
      <c r="S415" s="196"/>
      <c r="T415" s="278"/>
      <c r="U415" s="196"/>
      <c r="V415" s="196"/>
      <c r="W415" s="278"/>
      <c r="X415" s="199"/>
      <c r="Y415" s="199"/>
      <c r="Z415" s="199"/>
    </row>
    <row r="416" spans="1:26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196"/>
      <c r="S416" s="196"/>
      <c r="T416" s="278"/>
      <c r="U416" s="196"/>
      <c r="V416" s="196"/>
      <c r="W416" s="278"/>
      <c r="X416" s="199"/>
      <c r="Y416" s="199"/>
      <c r="Z416" s="199"/>
    </row>
    <row r="417" spans="1:26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196"/>
      <c r="S417" s="196"/>
      <c r="T417" s="278"/>
      <c r="U417" s="196"/>
      <c r="V417" s="196"/>
      <c r="W417" s="278"/>
      <c r="X417" s="199"/>
      <c r="Y417" s="199"/>
      <c r="Z417" s="199"/>
    </row>
    <row r="418" spans="1:26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196"/>
      <c r="S418" s="196"/>
      <c r="T418" s="278"/>
      <c r="U418" s="196"/>
      <c r="V418" s="196"/>
      <c r="W418" s="278"/>
      <c r="X418" s="199"/>
      <c r="Y418" s="199"/>
      <c r="Z418" s="199"/>
    </row>
    <row r="419" spans="1:26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196"/>
      <c r="S419" s="196"/>
      <c r="T419" s="278"/>
      <c r="U419" s="196"/>
      <c r="V419" s="196"/>
      <c r="W419" s="278"/>
      <c r="X419" s="199"/>
      <c r="Y419" s="199"/>
      <c r="Z419" s="199"/>
    </row>
    <row r="420" spans="1:26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196"/>
      <c r="S420" s="196"/>
      <c r="T420" s="278"/>
      <c r="U420" s="196"/>
      <c r="V420" s="196"/>
      <c r="W420" s="278"/>
      <c r="X420" s="199"/>
      <c r="Y420" s="199"/>
      <c r="Z420" s="199"/>
    </row>
    <row r="421" spans="1:26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196"/>
      <c r="S421" s="196"/>
      <c r="T421" s="278"/>
      <c r="U421" s="196"/>
      <c r="V421" s="196"/>
      <c r="W421" s="278"/>
      <c r="X421" s="199"/>
      <c r="Y421" s="199"/>
      <c r="Z421" s="199"/>
    </row>
    <row r="422" spans="1:26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196"/>
      <c r="S422" s="196"/>
      <c r="T422" s="278"/>
      <c r="U422" s="196"/>
      <c r="V422" s="196"/>
      <c r="W422" s="278"/>
      <c r="X422" s="199"/>
      <c r="Y422" s="199"/>
      <c r="Z422" s="199"/>
    </row>
    <row r="423" spans="1:26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196"/>
      <c r="S423" s="196"/>
      <c r="T423" s="278"/>
      <c r="U423" s="196"/>
      <c r="V423" s="196"/>
      <c r="W423" s="278"/>
      <c r="X423" s="199"/>
      <c r="Y423" s="199"/>
      <c r="Z423" s="199"/>
    </row>
    <row r="424" spans="1:26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196"/>
      <c r="S424" s="196"/>
      <c r="T424" s="278"/>
      <c r="U424" s="196"/>
      <c r="V424" s="196"/>
      <c r="W424" s="278"/>
      <c r="X424" s="199"/>
      <c r="Y424" s="199"/>
      <c r="Z424" s="199"/>
    </row>
    <row r="425" spans="1:26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196"/>
      <c r="S425" s="196"/>
      <c r="T425" s="278"/>
      <c r="U425" s="196"/>
      <c r="V425" s="196"/>
      <c r="W425" s="278"/>
      <c r="X425" s="199"/>
      <c r="Y425" s="199"/>
      <c r="Z425" s="199"/>
    </row>
    <row r="426" spans="1:26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196"/>
      <c r="S426" s="196"/>
      <c r="T426" s="278"/>
      <c r="U426" s="196"/>
      <c r="V426" s="196"/>
      <c r="W426" s="278"/>
      <c r="X426" s="199"/>
      <c r="Y426" s="199"/>
      <c r="Z426" s="199"/>
    </row>
    <row r="427" spans="1:26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196"/>
      <c r="S427" s="196"/>
      <c r="T427" s="278"/>
      <c r="U427" s="196"/>
      <c r="V427" s="196"/>
      <c r="W427" s="278"/>
      <c r="X427" s="199"/>
      <c r="Y427" s="199"/>
      <c r="Z427" s="199"/>
    </row>
    <row r="428" spans="1:26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196"/>
      <c r="S428" s="196"/>
      <c r="T428" s="278"/>
      <c r="U428" s="196"/>
      <c r="V428" s="196"/>
      <c r="W428" s="278"/>
      <c r="X428" s="199"/>
      <c r="Y428" s="199"/>
      <c r="Z428" s="199"/>
    </row>
    <row r="429" spans="1:26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196"/>
      <c r="S429" s="196"/>
      <c r="T429" s="278"/>
      <c r="U429" s="196"/>
      <c r="V429" s="196"/>
      <c r="W429" s="278"/>
      <c r="X429" s="199"/>
      <c r="Y429" s="199"/>
      <c r="Z429" s="199"/>
    </row>
    <row r="430" spans="1:26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196"/>
      <c r="S430" s="196"/>
      <c r="T430" s="278"/>
      <c r="U430" s="196"/>
      <c r="V430" s="196"/>
      <c r="W430" s="278"/>
      <c r="X430" s="199"/>
      <c r="Y430" s="199"/>
      <c r="Z430" s="199"/>
    </row>
    <row r="431" spans="1:26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196"/>
      <c r="S431" s="196"/>
      <c r="T431" s="278"/>
      <c r="U431" s="196"/>
      <c r="V431" s="196"/>
      <c r="W431" s="278"/>
      <c r="X431" s="199"/>
      <c r="Y431" s="199"/>
      <c r="Z431" s="199"/>
    </row>
    <row r="432" spans="1:26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196"/>
      <c r="S432" s="196"/>
      <c r="T432" s="278"/>
      <c r="U432" s="196"/>
      <c r="V432" s="196"/>
      <c r="W432" s="278"/>
      <c r="X432" s="199"/>
      <c r="Y432" s="199"/>
      <c r="Z432" s="199"/>
    </row>
    <row r="433" spans="1:26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196"/>
      <c r="S433" s="196"/>
      <c r="T433" s="278"/>
      <c r="U433" s="196"/>
      <c r="V433" s="196"/>
      <c r="W433" s="278"/>
      <c r="X433" s="199"/>
      <c r="Y433" s="199"/>
      <c r="Z433" s="199"/>
    </row>
    <row r="434" spans="1:26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196"/>
      <c r="S434" s="196"/>
      <c r="T434" s="278"/>
      <c r="U434" s="196"/>
      <c r="V434" s="196"/>
      <c r="W434" s="278"/>
      <c r="X434" s="199"/>
      <c r="Y434" s="199"/>
      <c r="Z434" s="199"/>
    </row>
    <row r="435" spans="1:26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196"/>
      <c r="S435" s="196"/>
      <c r="T435" s="278"/>
      <c r="U435" s="196"/>
      <c r="V435" s="196"/>
      <c r="W435" s="278"/>
      <c r="X435" s="199"/>
      <c r="Y435" s="199"/>
      <c r="Z435" s="199"/>
    </row>
    <row r="436" spans="1:26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196"/>
      <c r="S436" s="196"/>
      <c r="T436" s="278"/>
      <c r="U436" s="196"/>
      <c r="V436" s="196"/>
      <c r="W436" s="278"/>
      <c r="X436" s="199"/>
      <c r="Y436" s="199"/>
      <c r="Z436" s="199"/>
    </row>
    <row r="437" spans="1:26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196"/>
      <c r="S437" s="196"/>
      <c r="T437" s="278"/>
      <c r="U437" s="196"/>
      <c r="V437" s="196"/>
      <c r="W437" s="278"/>
      <c r="X437" s="199"/>
      <c r="Y437" s="199"/>
      <c r="Z437" s="199"/>
    </row>
    <row r="438" spans="1:26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196"/>
      <c r="S438" s="196"/>
      <c r="T438" s="278"/>
      <c r="U438" s="196"/>
      <c r="V438" s="196"/>
      <c r="W438" s="278"/>
      <c r="X438" s="199"/>
      <c r="Y438" s="199"/>
      <c r="Z438" s="199"/>
    </row>
    <row r="439" spans="1:26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196"/>
      <c r="S439" s="196"/>
      <c r="T439" s="278"/>
      <c r="U439" s="196"/>
      <c r="V439" s="196"/>
      <c r="W439" s="278"/>
      <c r="X439" s="199"/>
      <c r="Y439" s="199"/>
      <c r="Z439" s="199"/>
    </row>
    <row r="440" spans="1:26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196"/>
      <c r="S440" s="196"/>
      <c r="T440" s="278"/>
      <c r="U440" s="196"/>
      <c r="V440" s="196"/>
      <c r="W440" s="278"/>
      <c r="X440" s="199"/>
      <c r="Y440" s="199"/>
      <c r="Z440" s="199"/>
    </row>
    <row r="441" spans="1:26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196"/>
      <c r="S441" s="196"/>
      <c r="T441" s="278"/>
      <c r="U441" s="196"/>
      <c r="V441" s="196"/>
      <c r="W441" s="278"/>
      <c r="X441" s="199"/>
      <c r="Y441" s="199"/>
      <c r="Z441" s="199"/>
    </row>
    <row r="442" spans="1:26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196"/>
      <c r="S442" s="196"/>
      <c r="T442" s="278"/>
      <c r="U442" s="196"/>
      <c r="V442" s="196"/>
      <c r="W442" s="278"/>
      <c r="X442" s="199"/>
      <c r="Y442" s="199"/>
      <c r="Z442" s="199"/>
    </row>
    <row r="443" spans="1:26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196"/>
      <c r="S443" s="196"/>
      <c r="T443" s="278"/>
      <c r="U443" s="196"/>
      <c r="V443" s="196"/>
      <c r="W443" s="278"/>
      <c r="X443" s="199"/>
      <c r="Y443" s="199"/>
      <c r="Z443" s="199"/>
    </row>
    <row r="444" spans="1:26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196"/>
      <c r="S444" s="196"/>
      <c r="T444" s="278"/>
      <c r="U444" s="196"/>
      <c r="V444" s="196"/>
      <c r="W444" s="278"/>
      <c r="X444" s="199"/>
      <c r="Y444" s="199"/>
      <c r="Z444" s="199"/>
    </row>
    <row r="445" spans="1:26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196"/>
      <c r="S445" s="196"/>
      <c r="T445" s="278"/>
      <c r="U445" s="196"/>
      <c r="V445" s="196"/>
      <c r="W445" s="278"/>
      <c r="X445" s="199"/>
      <c r="Y445" s="199"/>
      <c r="Z445" s="199"/>
    </row>
    <row r="446" spans="1:26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196"/>
      <c r="S446" s="196"/>
      <c r="T446" s="278"/>
      <c r="U446" s="196"/>
      <c r="V446" s="196"/>
      <c r="W446" s="278"/>
      <c r="X446" s="199"/>
      <c r="Y446" s="199"/>
      <c r="Z446" s="199"/>
    </row>
    <row r="447" spans="1:26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196"/>
      <c r="S447" s="196"/>
      <c r="T447" s="278"/>
      <c r="U447" s="196"/>
      <c r="V447" s="196"/>
      <c r="W447" s="278"/>
      <c r="X447" s="199"/>
      <c r="Y447" s="199"/>
      <c r="Z447" s="199"/>
    </row>
    <row r="448" spans="1:26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196"/>
      <c r="S448" s="196"/>
      <c r="T448" s="278"/>
      <c r="U448" s="196"/>
      <c r="V448" s="196"/>
      <c r="W448" s="278"/>
      <c r="X448" s="199"/>
      <c r="Y448" s="199"/>
      <c r="Z448" s="199"/>
    </row>
    <row r="449" spans="1:26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196"/>
      <c r="S449" s="196"/>
      <c r="T449" s="278"/>
      <c r="U449" s="196"/>
      <c r="V449" s="196"/>
      <c r="W449" s="278"/>
      <c r="X449" s="199"/>
      <c r="Y449" s="199"/>
      <c r="Z449" s="199"/>
    </row>
    <row r="450" spans="1:26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196"/>
      <c r="S450" s="196"/>
      <c r="T450" s="278"/>
      <c r="U450" s="196"/>
      <c r="V450" s="196"/>
      <c r="W450" s="278"/>
      <c r="X450" s="199"/>
      <c r="Y450" s="199"/>
      <c r="Z450" s="199"/>
    </row>
    <row r="451" spans="1:26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196"/>
      <c r="S451" s="196"/>
      <c r="T451" s="278"/>
      <c r="U451" s="196"/>
      <c r="V451" s="196"/>
      <c r="W451" s="278"/>
      <c r="X451" s="199"/>
      <c r="Y451" s="199"/>
      <c r="Z451" s="199"/>
    </row>
    <row r="452" spans="1:26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196"/>
      <c r="S452" s="196"/>
      <c r="T452" s="278"/>
      <c r="U452" s="196"/>
      <c r="V452" s="196"/>
      <c r="W452" s="278"/>
      <c r="X452" s="199"/>
      <c r="Y452" s="199"/>
      <c r="Z452" s="199"/>
    </row>
    <row r="453" spans="1:26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196"/>
      <c r="S453" s="196"/>
      <c r="T453" s="278"/>
      <c r="U453" s="196"/>
      <c r="V453" s="196"/>
      <c r="W453" s="278"/>
      <c r="X453" s="199"/>
      <c r="Y453" s="199"/>
      <c r="Z453" s="199"/>
    </row>
    <row r="454" spans="1:26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196"/>
      <c r="S454" s="196"/>
      <c r="T454" s="278"/>
      <c r="U454" s="196"/>
      <c r="V454" s="196"/>
      <c r="W454" s="278"/>
      <c r="X454" s="199"/>
      <c r="Y454" s="199"/>
      <c r="Z454" s="199"/>
    </row>
    <row r="455" spans="1:26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196"/>
      <c r="S455" s="196"/>
      <c r="T455" s="278"/>
      <c r="U455" s="196"/>
      <c r="V455" s="196"/>
      <c r="W455" s="278"/>
      <c r="X455" s="199"/>
      <c r="Y455" s="199"/>
      <c r="Z455" s="199"/>
    </row>
    <row r="456" spans="1:26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196"/>
      <c r="S456" s="196"/>
      <c r="T456" s="278"/>
      <c r="U456" s="196"/>
      <c r="V456" s="196"/>
      <c r="W456" s="278"/>
      <c r="X456" s="199"/>
      <c r="Y456" s="199"/>
      <c r="Z456" s="199"/>
    </row>
    <row r="457" spans="1:26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196"/>
      <c r="S457" s="196"/>
      <c r="T457" s="278"/>
      <c r="U457" s="196"/>
      <c r="V457" s="196"/>
      <c r="W457" s="278"/>
      <c r="X457" s="199"/>
      <c r="Y457" s="199"/>
      <c r="Z457" s="199"/>
    </row>
    <row r="458" spans="1:26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196"/>
      <c r="S458" s="196"/>
      <c r="T458" s="278"/>
      <c r="U458" s="196"/>
      <c r="V458" s="196"/>
      <c r="W458" s="278"/>
      <c r="X458" s="199"/>
      <c r="Y458" s="199"/>
      <c r="Z458" s="199"/>
    </row>
    <row r="459" spans="1:26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196"/>
      <c r="S459" s="196"/>
      <c r="T459" s="278"/>
      <c r="U459" s="196"/>
      <c r="V459" s="196"/>
      <c r="W459" s="278"/>
      <c r="X459" s="199"/>
      <c r="Y459" s="199"/>
      <c r="Z459" s="199"/>
    </row>
    <row r="460" spans="1:26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196"/>
      <c r="S460" s="196"/>
      <c r="T460" s="278"/>
      <c r="U460" s="196"/>
      <c r="V460" s="196"/>
      <c r="W460" s="278"/>
      <c r="X460" s="199"/>
      <c r="Y460" s="199"/>
      <c r="Z460" s="199"/>
    </row>
    <row r="461" spans="1:26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196"/>
      <c r="S461" s="196"/>
      <c r="T461" s="278"/>
      <c r="U461" s="196"/>
      <c r="V461" s="196"/>
      <c r="W461" s="278"/>
      <c r="X461" s="199"/>
      <c r="Y461" s="199"/>
      <c r="Z461" s="199"/>
    </row>
    <row r="462" spans="1:26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196"/>
      <c r="S462" s="196"/>
      <c r="T462" s="278"/>
      <c r="U462" s="196"/>
      <c r="V462" s="196"/>
      <c r="W462" s="278"/>
      <c r="X462" s="199"/>
      <c r="Y462" s="199"/>
      <c r="Z462" s="199"/>
    </row>
    <row r="463" spans="1:26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196"/>
      <c r="S463" s="196"/>
      <c r="T463" s="278"/>
      <c r="U463" s="196"/>
      <c r="V463" s="196"/>
      <c r="W463" s="278"/>
      <c r="X463" s="199"/>
      <c r="Y463" s="199"/>
      <c r="Z463" s="199"/>
    </row>
    <row r="464" spans="1:26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196"/>
      <c r="S464" s="196"/>
      <c r="T464" s="278"/>
      <c r="U464" s="196"/>
      <c r="V464" s="196"/>
      <c r="W464" s="278"/>
      <c r="X464" s="199"/>
      <c r="Y464" s="199"/>
      <c r="Z464" s="199"/>
    </row>
    <row r="465" spans="1:26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196"/>
      <c r="S465" s="196"/>
      <c r="T465" s="278"/>
      <c r="U465" s="196"/>
      <c r="V465" s="196"/>
      <c r="W465" s="278"/>
      <c r="X465" s="199"/>
      <c r="Y465" s="199"/>
      <c r="Z465" s="199"/>
    </row>
    <row r="466" spans="1:26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196"/>
      <c r="S466" s="196"/>
      <c r="T466" s="278"/>
      <c r="U466" s="196"/>
      <c r="V466" s="196"/>
      <c r="W466" s="278"/>
      <c r="X466" s="199"/>
      <c r="Y466" s="199"/>
      <c r="Z466" s="199"/>
    </row>
    <row r="467" spans="1:26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196"/>
      <c r="S467" s="196"/>
      <c r="T467" s="278"/>
      <c r="U467" s="196"/>
      <c r="V467" s="196"/>
      <c r="W467" s="278"/>
      <c r="X467" s="199"/>
      <c r="Y467" s="199"/>
      <c r="Z467" s="199"/>
    </row>
    <row r="468" spans="1:26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196"/>
      <c r="S468" s="196"/>
      <c r="T468" s="278"/>
      <c r="U468" s="196"/>
      <c r="V468" s="196"/>
      <c r="W468" s="278"/>
      <c r="X468" s="199"/>
      <c r="Y468" s="199"/>
      <c r="Z468" s="199"/>
    </row>
    <row r="469" spans="1:26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196"/>
      <c r="S469" s="196"/>
      <c r="T469" s="278"/>
      <c r="U469" s="196"/>
      <c r="V469" s="196"/>
      <c r="W469" s="278"/>
      <c r="X469" s="199"/>
      <c r="Y469" s="199"/>
      <c r="Z469" s="199"/>
    </row>
    <row r="470" spans="1:26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196"/>
      <c r="S470" s="196"/>
      <c r="T470" s="278"/>
      <c r="U470" s="196"/>
      <c r="V470" s="196"/>
      <c r="W470" s="278"/>
      <c r="X470" s="199"/>
      <c r="Y470" s="199"/>
      <c r="Z470" s="199"/>
    </row>
    <row r="471" spans="1:26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196"/>
      <c r="S471" s="196"/>
      <c r="T471" s="278"/>
      <c r="U471" s="196"/>
      <c r="V471" s="196"/>
      <c r="W471" s="278"/>
      <c r="X471" s="199"/>
      <c r="Y471" s="199"/>
      <c r="Z471" s="199"/>
    </row>
    <row r="472" spans="1:26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196"/>
      <c r="S472" s="196"/>
      <c r="T472" s="278"/>
      <c r="U472" s="196"/>
      <c r="V472" s="196"/>
      <c r="W472" s="278"/>
      <c r="X472" s="199"/>
      <c r="Y472" s="199"/>
      <c r="Z472" s="199"/>
    </row>
    <row r="473" spans="1:26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196"/>
      <c r="S473" s="196"/>
      <c r="T473" s="278"/>
      <c r="U473" s="196"/>
      <c r="V473" s="196"/>
      <c r="W473" s="278"/>
      <c r="X473" s="199"/>
      <c r="Y473" s="199"/>
      <c r="Z473" s="199"/>
    </row>
    <row r="474" spans="1:26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196"/>
      <c r="S474" s="196"/>
      <c r="T474" s="278"/>
      <c r="U474" s="196"/>
      <c r="V474" s="196"/>
      <c r="W474" s="278"/>
      <c r="X474" s="199"/>
      <c r="Y474" s="199"/>
      <c r="Z474" s="199"/>
    </row>
    <row r="475" spans="1:26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196"/>
      <c r="S475" s="196"/>
      <c r="T475" s="278"/>
      <c r="U475" s="196"/>
      <c r="V475" s="196"/>
      <c r="W475" s="278"/>
      <c r="X475" s="199"/>
      <c r="Y475" s="199"/>
      <c r="Z475" s="199"/>
    </row>
    <row r="476" spans="1:26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196"/>
      <c r="S476" s="196"/>
      <c r="T476" s="278"/>
      <c r="U476" s="196"/>
      <c r="V476" s="196"/>
      <c r="W476" s="278"/>
      <c r="X476" s="199"/>
      <c r="Y476" s="199"/>
      <c r="Z476" s="199"/>
    </row>
    <row r="477" spans="1:26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196"/>
      <c r="S477" s="196"/>
      <c r="T477" s="278"/>
      <c r="U477" s="196"/>
      <c r="V477" s="196"/>
      <c r="W477" s="278"/>
      <c r="X477" s="199"/>
      <c r="Y477" s="199"/>
      <c r="Z477" s="199"/>
    </row>
    <row r="478" spans="1:26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196"/>
      <c r="S478" s="196"/>
      <c r="T478" s="278"/>
      <c r="U478" s="196"/>
      <c r="V478" s="196"/>
      <c r="W478" s="278"/>
      <c r="X478" s="199"/>
      <c r="Y478" s="199"/>
      <c r="Z478" s="199"/>
    </row>
    <row r="479" spans="1:26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196"/>
      <c r="S479" s="196"/>
      <c r="T479" s="278"/>
      <c r="U479" s="196"/>
      <c r="V479" s="196"/>
      <c r="W479" s="278"/>
      <c r="X479" s="199"/>
      <c r="Y479" s="199"/>
      <c r="Z479" s="199"/>
    </row>
    <row r="480" spans="1:26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196"/>
      <c r="S480" s="196"/>
      <c r="T480" s="278"/>
      <c r="U480" s="196"/>
      <c r="V480" s="196"/>
      <c r="W480" s="278"/>
      <c r="X480" s="199"/>
      <c r="Y480" s="199"/>
      <c r="Z480" s="199"/>
    </row>
    <row r="481" spans="1:26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196"/>
      <c r="S481" s="196"/>
      <c r="T481" s="278"/>
      <c r="U481" s="196"/>
      <c r="V481" s="196"/>
      <c r="W481" s="278"/>
      <c r="X481" s="199"/>
      <c r="Y481" s="199"/>
      <c r="Z481" s="199"/>
    </row>
    <row r="482" spans="1:26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196"/>
      <c r="S482" s="196"/>
      <c r="T482" s="278"/>
      <c r="U482" s="196"/>
      <c r="V482" s="196"/>
      <c r="W482" s="278"/>
      <c r="X482" s="199"/>
      <c r="Y482" s="199"/>
      <c r="Z482" s="199"/>
    </row>
    <row r="483" spans="1:26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196"/>
      <c r="S483" s="196"/>
      <c r="T483" s="278"/>
      <c r="U483" s="196"/>
      <c r="V483" s="196"/>
      <c r="W483" s="278"/>
      <c r="X483" s="199"/>
      <c r="Y483" s="199"/>
      <c r="Z483" s="199"/>
    </row>
    <row r="484" spans="1:26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196"/>
      <c r="S484" s="196"/>
      <c r="T484" s="278"/>
      <c r="U484" s="196"/>
      <c r="V484" s="196"/>
      <c r="W484" s="278"/>
      <c r="X484" s="199"/>
      <c r="Y484" s="199"/>
      <c r="Z484" s="199"/>
    </row>
    <row r="485" spans="1:26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196"/>
      <c r="S485" s="196"/>
      <c r="T485" s="278"/>
      <c r="U485" s="196"/>
      <c r="V485" s="196"/>
      <c r="W485" s="278"/>
      <c r="X485" s="199"/>
      <c r="Y485" s="199"/>
      <c r="Z485" s="199"/>
    </row>
    <row r="486" spans="1:26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196"/>
      <c r="S486" s="196"/>
      <c r="T486" s="278"/>
      <c r="U486" s="196"/>
      <c r="V486" s="196"/>
      <c r="W486" s="278"/>
      <c r="X486" s="199"/>
      <c r="Y486" s="199"/>
      <c r="Z486" s="199"/>
    </row>
    <row r="487" spans="1:26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196"/>
      <c r="S487" s="196"/>
      <c r="T487" s="278"/>
      <c r="U487" s="196"/>
      <c r="V487" s="196"/>
      <c r="W487" s="278"/>
      <c r="X487" s="199"/>
      <c r="Y487" s="199"/>
      <c r="Z487" s="199"/>
    </row>
    <row r="488" spans="1:26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196"/>
      <c r="S488" s="196"/>
      <c r="T488" s="278"/>
      <c r="U488" s="196"/>
      <c r="V488" s="196"/>
      <c r="W488" s="278"/>
      <c r="X488" s="199"/>
      <c r="Y488" s="199"/>
      <c r="Z488" s="199"/>
    </row>
    <row r="489" spans="1:26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196"/>
      <c r="S489" s="196"/>
      <c r="T489" s="278"/>
      <c r="U489" s="196"/>
      <c r="V489" s="196"/>
      <c r="W489" s="278"/>
      <c r="X489" s="199"/>
      <c r="Y489" s="199"/>
      <c r="Z489" s="199"/>
    </row>
    <row r="490" spans="1:26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196"/>
      <c r="S490" s="196"/>
      <c r="T490" s="278"/>
      <c r="U490" s="196"/>
      <c r="V490" s="196"/>
      <c r="W490" s="278"/>
      <c r="X490" s="199"/>
      <c r="Y490" s="199"/>
      <c r="Z490" s="199"/>
    </row>
    <row r="491" spans="1:26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196"/>
      <c r="S491" s="196"/>
      <c r="T491" s="278"/>
      <c r="U491" s="196"/>
      <c r="V491" s="196"/>
      <c r="W491" s="278"/>
      <c r="X491" s="199"/>
      <c r="Y491" s="199"/>
      <c r="Z491" s="199"/>
    </row>
    <row r="492" spans="1:26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196"/>
      <c r="S492" s="196"/>
      <c r="T492" s="278"/>
      <c r="U492" s="196"/>
      <c r="V492" s="196"/>
      <c r="W492" s="278"/>
      <c r="X492" s="199"/>
      <c r="Y492" s="199"/>
      <c r="Z492" s="199"/>
    </row>
    <row r="493" spans="1:26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196"/>
      <c r="S493" s="196"/>
      <c r="T493" s="278"/>
      <c r="U493" s="196"/>
      <c r="V493" s="196"/>
      <c r="W493" s="278"/>
      <c r="X493" s="199"/>
      <c r="Y493" s="199"/>
      <c r="Z493" s="199"/>
    </row>
    <row r="494" spans="1:26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196"/>
      <c r="S494" s="196"/>
      <c r="T494" s="278"/>
      <c r="U494" s="196"/>
      <c r="V494" s="196"/>
      <c r="W494" s="278"/>
      <c r="X494" s="199"/>
      <c r="Y494" s="199"/>
      <c r="Z494" s="199"/>
    </row>
    <row r="495" spans="1:26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196"/>
      <c r="S495" s="196"/>
      <c r="T495" s="278"/>
      <c r="U495" s="196"/>
      <c r="V495" s="196"/>
      <c r="W495" s="278"/>
      <c r="X495" s="199"/>
      <c r="Y495" s="199"/>
      <c r="Z495" s="199"/>
    </row>
    <row r="496" spans="1:26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196"/>
      <c r="S496" s="196"/>
      <c r="T496" s="278"/>
      <c r="U496" s="196"/>
      <c r="V496" s="196"/>
      <c r="W496" s="278"/>
      <c r="X496" s="199"/>
      <c r="Y496" s="199"/>
      <c r="Z496" s="199"/>
    </row>
    <row r="497" spans="1:26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196"/>
      <c r="S497" s="196"/>
      <c r="T497" s="278"/>
      <c r="U497" s="196"/>
      <c r="V497" s="196"/>
      <c r="W497" s="278"/>
      <c r="X497" s="199"/>
      <c r="Y497" s="199"/>
      <c r="Z497" s="199"/>
    </row>
    <row r="498" spans="1:26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196"/>
      <c r="S498" s="196"/>
      <c r="T498" s="278"/>
      <c r="U498" s="196"/>
      <c r="V498" s="196"/>
      <c r="W498" s="278"/>
      <c r="X498" s="199"/>
      <c r="Y498" s="199"/>
      <c r="Z498" s="199"/>
    </row>
    <row r="499" spans="1:26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196"/>
      <c r="S499" s="196"/>
      <c r="T499" s="278"/>
      <c r="U499" s="196"/>
      <c r="V499" s="196"/>
      <c r="W499" s="278"/>
      <c r="X499" s="199"/>
      <c r="Y499" s="199"/>
      <c r="Z499" s="199"/>
    </row>
    <row r="500" spans="1:26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196"/>
      <c r="S500" s="196"/>
      <c r="T500" s="278"/>
      <c r="U500" s="196"/>
      <c r="V500" s="196"/>
      <c r="W500" s="278"/>
      <c r="X500" s="199"/>
      <c r="Y500" s="199"/>
      <c r="Z500" s="199"/>
    </row>
    <row r="501" spans="1:26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196"/>
      <c r="S501" s="196"/>
      <c r="T501" s="278"/>
      <c r="U501" s="196"/>
      <c r="V501" s="196"/>
      <c r="W501" s="278"/>
      <c r="X501" s="199"/>
      <c r="Y501" s="199"/>
      <c r="Z501" s="199"/>
    </row>
    <row r="502" spans="1:26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196"/>
      <c r="S502" s="196"/>
      <c r="T502" s="278"/>
      <c r="U502" s="196"/>
      <c r="V502" s="196"/>
      <c r="W502" s="278"/>
      <c r="X502" s="199"/>
      <c r="Y502" s="199"/>
      <c r="Z502" s="199"/>
    </row>
    <row r="503" spans="1:26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196"/>
      <c r="S503" s="196"/>
      <c r="T503" s="278"/>
      <c r="U503" s="196"/>
      <c r="V503" s="196"/>
      <c r="W503" s="278"/>
      <c r="X503" s="199"/>
      <c r="Y503" s="199"/>
      <c r="Z503" s="199"/>
    </row>
    <row r="504" spans="1:26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196"/>
      <c r="S504" s="196"/>
      <c r="T504" s="278"/>
      <c r="U504" s="196"/>
      <c r="V504" s="196"/>
      <c r="W504" s="278"/>
      <c r="X504" s="199"/>
      <c r="Y504" s="199"/>
      <c r="Z504" s="199"/>
    </row>
    <row r="505" spans="1:26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196"/>
      <c r="S505" s="196"/>
      <c r="T505" s="278"/>
      <c r="U505" s="196"/>
      <c r="V505" s="196"/>
      <c r="W505" s="278"/>
      <c r="X505" s="199"/>
      <c r="Y505" s="199"/>
      <c r="Z505" s="199"/>
    </row>
    <row r="506" spans="1:26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196"/>
      <c r="S506" s="196"/>
      <c r="T506" s="278"/>
      <c r="U506" s="196"/>
      <c r="V506" s="196"/>
      <c r="W506" s="278"/>
      <c r="X506" s="199"/>
      <c r="Y506" s="199"/>
      <c r="Z506" s="199"/>
    </row>
    <row r="507" spans="1:26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196"/>
      <c r="S507" s="196"/>
      <c r="T507" s="278"/>
      <c r="U507" s="196"/>
      <c r="V507" s="196"/>
      <c r="W507" s="278"/>
      <c r="X507" s="199"/>
      <c r="Y507" s="199"/>
      <c r="Z507" s="199"/>
    </row>
    <row r="508" spans="1:26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196"/>
      <c r="S508" s="196"/>
      <c r="T508" s="278"/>
      <c r="U508" s="196"/>
      <c r="V508" s="196"/>
      <c r="W508" s="278"/>
      <c r="X508" s="199"/>
      <c r="Y508" s="199"/>
      <c r="Z508" s="199"/>
    </row>
    <row r="509" spans="1:26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196"/>
      <c r="S509" s="196"/>
      <c r="T509" s="278"/>
      <c r="U509" s="196"/>
      <c r="V509" s="196"/>
      <c r="W509" s="278"/>
      <c r="X509" s="199"/>
      <c r="Y509" s="199"/>
      <c r="Z509" s="199"/>
    </row>
    <row r="510" spans="1:26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196"/>
      <c r="S510" s="196"/>
      <c r="T510" s="278"/>
      <c r="U510" s="196"/>
      <c r="V510" s="196"/>
      <c r="W510" s="278"/>
      <c r="X510" s="199"/>
      <c r="Y510" s="199"/>
      <c r="Z510" s="199"/>
    </row>
    <row r="511" spans="1:26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196"/>
      <c r="S511" s="196"/>
      <c r="T511" s="278"/>
      <c r="U511" s="196"/>
      <c r="V511" s="196"/>
      <c r="W511" s="278"/>
      <c r="X511" s="199"/>
      <c r="Y511" s="199"/>
      <c r="Z511" s="199"/>
    </row>
    <row r="512" spans="1:26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196"/>
      <c r="S512" s="196"/>
      <c r="T512" s="278"/>
      <c r="U512" s="196"/>
      <c r="V512" s="196"/>
      <c r="W512" s="278"/>
      <c r="X512" s="199"/>
      <c r="Y512" s="199"/>
      <c r="Z512" s="199"/>
    </row>
    <row r="513" spans="1:26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196"/>
      <c r="S513" s="196"/>
      <c r="T513" s="278"/>
      <c r="U513" s="196"/>
      <c r="V513" s="196"/>
      <c r="W513" s="278"/>
      <c r="X513" s="199"/>
      <c r="Y513" s="199"/>
      <c r="Z513" s="199"/>
    </row>
    <row r="514" spans="1:26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196"/>
      <c r="S514" s="196"/>
      <c r="T514" s="278"/>
      <c r="U514" s="196"/>
      <c r="V514" s="196"/>
      <c r="W514" s="278"/>
      <c r="X514" s="199"/>
      <c r="Y514" s="199"/>
      <c r="Z514" s="199"/>
    </row>
    <row r="515" spans="1:26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196"/>
      <c r="S515" s="196"/>
      <c r="T515" s="278"/>
      <c r="U515" s="196"/>
      <c r="V515" s="196"/>
      <c r="W515" s="278"/>
      <c r="X515" s="199"/>
      <c r="Y515" s="199"/>
      <c r="Z515" s="199"/>
    </row>
    <row r="516" spans="1:26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196"/>
      <c r="S516" s="196"/>
      <c r="T516" s="278"/>
      <c r="U516" s="196"/>
      <c r="V516" s="196"/>
      <c r="W516" s="278"/>
      <c r="X516" s="199"/>
      <c r="Y516" s="199"/>
      <c r="Z516" s="199"/>
    </row>
    <row r="517" spans="1:26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196"/>
      <c r="S517" s="196"/>
      <c r="T517" s="278"/>
      <c r="U517" s="196"/>
      <c r="V517" s="196"/>
      <c r="W517" s="278"/>
      <c r="X517" s="199"/>
      <c r="Y517" s="199"/>
      <c r="Z517" s="199"/>
    </row>
    <row r="518" spans="1:26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196"/>
      <c r="S518" s="196"/>
      <c r="T518" s="278"/>
      <c r="U518" s="196"/>
      <c r="V518" s="196"/>
      <c r="W518" s="278"/>
      <c r="X518" s="199"/>
      <c r="Y518" s="199"/>
      <c r="Z518" s="199"/>
    </row>
    <row r="519" spans="1:26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196"/>
      <c r="S519" s="196"/>
      <c r="T519" s="278"/>
      <c r="U519" s="196"/>
      <c r="V519" s="196"/>
      <c r="W519" s="278"/>
      <c r="X519" s="199"/>
      <c r="Y519" s="199"/>
      <c r="Z519" s="199"/>
    </row>
    <row r="520" spans="1:26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196"/>
      <c r="S520" s="196"/>
      <c r="T520" s="278"/>
      <c r="U520" s="196"/>
      <c r="V520" s="196"/>
      <c r="W520" s="278"/>
      <c r="X520" s="199"/>
      <c r="Y520" s="199"/>
      <c r="Z520" s="199"/>
    </row>
    <row r="521" spans="1:26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196"/>
      <c r="S521" s="196"/>
      <c r="T521" s="278"/>
      <c r="U521" s="196"/>
      <c r="V521" s="196"/>
      <c r="W521" s="278"/>
      <c r="X521" s="199"/>
      <c r="Y521" s="199"/>
      <c r="Z521" s="199"/>
    </row>
    <row r="522" spans="1:26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196"/>
      <c r="S522" s="196"/>
      <c r="T522" s="278"/>
      <c r="U522" s="196"/>
      <c r="V522" s="196"/>
      <c r="W522" s="278"/>
      <c r="X522" s="199"/>
      <c r="Y522" s="199"/>
      <c r="Z522" s="199"/>
    </row>
    <row r="523" spans="1:26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196"/>
      <c r="S523" s="196"/>
      <c r="T523" s="278"/>
      <c r="U523" s="196"/>
      <c r="V523" s="196"/>
      <c r="W523" s="278"/>
      <c r="X523" s="199"/>
      <c r="Y523" s="199"/>
      <c r="Z523" s="199"/>
    </row>
    <row r="524" spans="1:26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196"/>
      <c r="S524" s="196"/>
      <c r="T524" s="278"/>
      <c r="U524" s="196"/>
      <c r="V524" s="196"/>
      <c r="W524" s="278"/>
      <c r="X524" s="199"/>
      <c r="Y524" s="199"/>
      <c r="Z524" s="199"/>
    </row>
    <row r="525" spans="1:26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196"/>
      <c r="S525" s="196"/>
      <c r="T525" s="278"/>
      <c r="U525" s="196"/>
      <c r="V525" s="196"/>
      <c r="W525" s="278"/>
      <c r="X525" s="199"/>
      <c r="Y525" s="199"/>
      <c r="Z525" s="199"/>
    </row>
    <row r="526" spans="1:26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196"/>
      <c r="S526" s="196"/>
      <c r="T526" s="278"/>
      <c r="U526" s="196"/>
      <c r="V526" s="196"/>
      <c r="W526" s="278"/>
      <c r="X526" s="199"/>
      <c r="Y526" s="199"/>
      <c r="Z526" s="199"/>
    </row>
    <row r="527" spans="1:26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196"/>
      <c r="S527" s="196"/>
      <c r="T527" s="278"/>
      <c r="U527" s="196"/>
      <c r="V527" s="196"/>
      <c r="W527" s="278"/>
      <c r="X527" s="199"/>
      <c r="Y527" s="199"/>
      <c r="Z527" s="199"/>
    </row>
    <row r="528" spans="1:26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196"/>
      <c r="S528" s="196"/>
      <c r="T528" s="278"/>
      <c r="U528" s="196"/>
      <c r="V528" s="196"/>
      <c r="W528" s="278"/>
      <c r="X528" s="199"/>
      <c r="Y528" s="199"/>
      <c r="Z528" s="199"/>
    </row>
    <row r="529" spans="1:26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196"/>
      <c r="S529" s="196"/>
      <c r="T529" s="278"/>
      <c r="U529" s="196"/>
      <c r="V529" s="196"/>
      <c r="W529" s="278"/>
      <c r="X529" s="199"/>
      <c r="Y529" s="199"/>
      <c r="Z529" s="199"/>
    </row>
    <row r="530" spans="1:26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196"/>
      <c r="S530" s="196"/>
      <c r="T530" s="278"/>
      <c r="U530" s="196"/>
      <c r="V530" s="196"/>
      <c r="W530" s="278"/>
      <c r="X530" s="199"/>
      <c r="Y530" s="199"/>
      <c r="Z530" s="199"/>
    </row>
    <row r="531" spans="1:26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196"/>
      <c r="S531" s="196"/>
      <c r="T531" s="278"/>
      <c r="U531" s="196"/>
      <c r="V531" s="196"/>
      <c r="W531" s="278"/>
      <c r="X531" s="199"/>
      <c r="Y531" s="199"/>
      <c r="Z531" s="199"/>
    </row>
    <row r="532" spans="1:26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196"/>
      <c r="S532" s="196"/>
      <c r="T532" s="278"/>
      <c r="U532" s="196"/>
      <c r="V532" s="196"/>
      <c r="W532" s="278"/>
      <c r="X532" s="199"/>
      <c r="Y532" s="199"/>
      <c r="Z532" s="199"/>
    </row>
    <row r="533" spans="1:26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196"/>
      <c r="S533" s="196"/>
      <c r="T533" s="278"/>
      <c r="U533" s="196"/>
      <c r="V533" s="196"/>
      <c r="W533" s="278"/>
      <c r="X533" s="199"/>
      <c r="Y533" s="199"/>
      <c r="Z533" s="199"/>
    </row>
    <row r="534" spans="1:26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196"/>
      <c r="S534" s="196"/>
      <c r="T534" s="278"/>
      <c r="U534" s="196"/>
      <c r="V534" s="196"/>
      <c r="W534" s="278"/>
      <c r="X534" s="199"/>
      <c r="Y534" s="199"/>
      <c r="Z534" s="199"/>
    </row>
    <row r="535" spans="1:26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196"/>
      <c r="S535" s="196"/>
      <c r="T535" s="278"/>
      <c r="U535" s="196"/>
      <c r="V535" s="196"/>
      <c r="W535" s="278"/>
      <c r="X535" s="199"/>
      <c r="Y535" s="199"/>
      <c r="Z535" s="199"/>
    </row>
    <row r="536" spans="1:26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196"/>
      <c r="S536" s="196"/>
      <c r="T536" s="278"/>
      <c r="U536" s="196"/>
      <c r="V536" s="196"/>
      <c r="W536" s="278"/>
      <c r="X536" s="199"/>
      <c r="Y536" s="199"/>
      <c r="Z536" s="199"/>
    </row>
    <row r="537" spans="1:26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196"/>
      <c r="S537" s="196"/>
      <c r="T537" s="278"/>
      <c r="U537" s="196"/>
      <c r="V537" s="196"/>
      <c r="W537" s="278"/>
      <c r="X537" s="199"/>
      <c r="Y537" s="199"/>
      <c r="Z537" s="199"/>
    </row>
    <row r="538" spans="1:26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196"/>
      <c r="S538" s="196"/>
      <c r="T538" s="278"/>
      <c r="U538" s="196"/>
      <c r="V538" s="196"/>
      <c r="W538" s="278"/>
      <c r="X538" s="199"/>
      <c r="Y538" s="199"/>
      <c r="Z538" s="199"/>
    </row>
    <row r="539" spans="1:26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196"/>
      <c r="S539" s="196"/>
      <c r="T539" s="278"/>
      <c r="U539" s="196"/>
      <c r="V539" s="196"/>
      <c r="W539" s="278"/>
      <c r="X539" s="199"/>
      <c r="Y539" s="199"/>
      <c r="Z539" s="199"/>
    </row>
    <row r="540" spans="1:26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196"/>
      <c r="S540" s="196"/>
      <c r="T540" s="278"/>
      <c r="U540" s="196"/>
      <c r="V540" s="196"/>
      <c r="W540" s="278"/>
      <c r="X540" s="199"/>
      <c r="Y540" s="199"/>
      <c r="Z540" s="199"/>
    </row>
    <row r="541" spans="1:26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196"/>
      <c r="S541" s="196"/>
      <c r="T541" s="278"/>
      <c r="U541" s="196"/>
      <c r="V541" s="196"/>
      <c r="W541" s="278"/>
      <c r="X541" s="199"/>
      <c r="Y541" s="199"/>
      <c r="Z541" s="199"/>
    </row>
    <row r="542" spans="1:26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196"/>
      <c r="S542" s="196"/>
      <c r="T542" s="278"/>
      <c r="U542" s="196"/>
      <c r="V542" s="196"/>
      <c r="W542" s="278"/>
      <c r="X542" s="199"/>
      <c r="Y542" s="199"/>
      <c r="Z542" s="199"/>
    </row>
    <row r="543" spans="1:26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196"/>
      <c r="S543" s="196"/>
      <c r="T543" s="278"/>
      <c r="U543" s="196"/>
      <c r="V543" s="196"/>
      <c r="W543" s="278"/>
      <c r="X543" s="199"/>
      <c r="Y543" s="199"/>
      <c r="Z543" s="199"/>
    </row>
    <row r="544" spans="1:26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196"/>
      <c r="S544" s="196"/>
      <c r="T544" s="278"/>
      <c r="U544" s="196"/>
      <c r="V544" s="196"/>
      <c r="W544" s="278"/>
      <c r="X544" s="199"/>
      <c r="Y544" s="199"/>
      <c r="Z544" s="199"/>
    </row>
    <row r="545" spans="1:26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196"/>
      <c r="S545" s="196"/>
      <c r="T545" s="278"/>
      <c r="U545" s="196"/>
      <c r="V545" s="196"/>
      <c r="W545" s="278"/>
      <c r="X545" s="199"/>
      <c r="Y545" s="199"/>
      <c r="Z545" s="199"/>
    </row>
    <row r="546" spans="1:26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196"/>
      <c r="S546" s="196"/>
      <c r="T546" s="278"/>
      <c r="U546" s="196"/>
      <c r="V546" s="196"/>
      <c r="W546" s="278"/>
      <c r="X546" s="199"/>
      <c r="Y546" s="199"/>
      <c r="Z546" s="199"/>
    </row>
    <row r="547" spans="1:26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196"/>
      <c r="S547" s="196"/>
      <c r="T547" s="278"/>
      <c r="U547" s="196"/>
      <c r="V547" s="196"/>
      <c r="W547" s="278"/>
      <c r="X547" s="199"/>
      <c r="Y547" s="199"/>
      <c r="Z547" s="199"/>
    </row>
    <row r="548" spans="1:26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196"/>
      <c r="S548" s="196"/>
      <c r="T548" s="278"/>
      <c r="U548" s="196"/>
      <c r="V548" s="196"/>
      <c r="W548" s="278"/>
      <c r="X548" s="199"/>
      <c r="Y548" s="199"/>
      <c r="Z548" s="199"/>
    </row>
    <row r="549" spans="1:26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196"/>
      <c r="S549" s="196"/>
      <c r="T549" s="278"/>
      <c r="U549" s="196"/>
      <c r="V549" s="196"/>
      <c r="W549" s="278"/>
      <c r="X549" s="199"/>
      <c r="Y549" s="199"/>
      <c r="Z549" s="199"/>
    </row>
    <row r="550" spans="1:26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196"/>
      <c r="S550" s="196"/>
      <c r="T550" s="278"/>
      <c r="U550" s="196"/>
      <c r="V550" s="196"/>
      <c r="W550" s="278"/>
      <c r="X550" s="199"/>
      <c r="Y550" s="199"/>
      <c r="Z550" s="199"/>
    </row>
    <row r="551" spans="1:26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196"/>
      <c r="S551" s="196"/>
      <c r="T551" s="278"/>
      <c r="U551" s="196"/>
      <c r="V551" s="196"/>
      <c r="W551" s="278"/>
      <c r="X551" s="199"/>
      <c r="Y551" s="199"/>
      <c r="Z551" s="199"/>
    </row>
    <row r="552" spans="1:26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196"/>
      <c r="S552" s="196"/>
      <c r="T552" s="278"/>
      <c r="U552" s="196"/>
      <c r="V552" s="196"/>
      <c r="W552" s="278"/>
      <c r="X552" s="199"/>
      <c r="Y552" s="199"/>
      <c r="Z552" s="199"/>
    </row>
    <row r="553" spans="1:26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196"/>
      <c r="S553" s="196"/>
      <c r="T553" s="278"/>
      <c r="U553" s="196"/>
      <c r="V553" s="196"/>
      <c r="W553" s="278"/>
      <c r="X553" s="199"/>
      <c r="Y553" s="199"/>
      <c r="Z553" s="199"/>
    </row>
    <row r="554" spans="1:26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196"/>
      <c r="S554" s="196"/>
      <c r="T554" s="278"/>
      <c r="U554" s="196"/>
      <c r="V554" s="196"/>
      <c r="W554" s="278"/>
      <c r="X554" s="199"/>
      <c r="Y554" s="199"/>
      <c r="Z554" s="199"/>
    </row>
    <row r="555" spans="1:26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196"/>
      <c r="S555" s="196"/>
      <c r="T555" s="278"/>
      <c r="U555" s="196"/>
      <c r="V555" s="196"/>
      <c r="W555" s="278"/>
      <c r="X555" s="199"/>
      <c r="Y555" s="199"/>
      <c r="Z555" s="199"/>
    </row>
    <row r="556" spans="1:26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196"/>
      <c r="S556" s="196"/>
      <c r="T556" s="278"/>
      <c r="U556" s="196"/>
      <c r="V556" s="196"/>
      <c r="W556" s="278"/>
      <c r="X556" s="199"/>
      <c r="Y556" s="199"/>
      <c r="Z556" s="199"/>
    </row>
    <row r="557" spans="1:26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196"/>
      <c r="S557" s="196"/>
      <c r="T557" s="278"/>
      <c r="U557" s="196"/>
      <c r="V557" s="196"/>
      <c r="W557" s="278"/>
      <c r="X557" s="199"/>
      <c r="Y557" s="199"/>
      <c r="Z557" s="199"/>
    </row>
    <row r="558" spans="1:26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196"/>
      <c r="S558" s="196"/>
      <c r="T558" s="278"/>
      <c r="U558" s="196"/>
      <c r="V558" s="196"/>
      <c r="W558" s="278"/>
      <c r="X558" s="199"/>
      <c r="Y558" s="199"/>
      <c r="Z558" s="199"/>
    </row>
    <row r="559" spans="1:26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196"/>
      <c r="S559" s="196"/>
      <c r="T559" s="278"/>
      <c r="U559" s="196"/>
      <c r="V559" s="196"/>
      <c r="W559" s="278"/>
      <c r="X559" s="199"/>
      <c r="Y559" s="199"/>
      <c r="Z559" s="199"/>
    </row>
    <row r="560" spans="1:26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196"/>
      <c r="S560" s="196"/>
      <c r="T560" s="278"/>
      <c r="U560" s="196"/>
      <c r="V560" s="196"/>
      <c r="W560" s="278"/>
      <c r="X560" s="199"/>
      <c r="Y560" s="199"/>
      <c r="Z560" s="199"/>
    </row>
    <row r="561" spans="1:26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196"/>
      <c r="S561" s="196"/>
      <c r="T561" s="278"/>
      <c r="U561" s="196"/>
      <c r="V561" s="196"/>
      <c r="W561" s="278"/>
      <c r="X561" s="199"/>
      <c r="Y561" s="199"/>
      <c r="Z561" s="199"/>
    </row>
    <row r="562" spans="1:26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196"/>
      <c r="S562" s="196"/>
      <c r="T562" s="278"/>
      <c r="U562" s="196"/>
      <c r="V562" s="196"/>
      <c r="W562" s="278"/>
      <c r="X562" s="199"/>
      <c r="Y562" s="199"/>
      <c r="Z562" s="199"/>
    </row>
    <row r="563" spans="1:26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196"/>
      <c r="S563" s="196"/>
      <c r="T563" s="278"/>
      <c r="U563" s="196"/>
      <c r="V563" s="196"/>
      <c r="W563" s="278"/>
      <c r="X563" s="199"/>
      <c r="Y563" s="199"/>
      <c r="Z563" s="199"/>
    </row>
    <row r="564" spans="1:26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196"/>
      <c r="S564" s="196"/>
      <c r="T564" s="278"/>
      <c r="U564" s="196"/>
      <c r="V564" s="196"/>
      <c r="W564" s="278"/>
      <c r="X564" s="199"/>
      <c r="Y564" s="199"/>
      <c r="Z564" s="199"/>
    </row>
    <row r="565" spans="1:26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196"/>
      <c r="S565" s="196"/>
      <c r="T565" s="278"/>
      <c r="U565" s="196"/>
      <c r="V565" s="196"/>
      <c r="W565" s="278"/>
      <c r="X565" s="199"/>
      <c r="Y565" s="199"/>
      <c r="Z565" s="199"/>
    </row>
    <row r="566" spans="1:26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196"/>
      <c r="S566" s="196"/>
      <c r="T566" s="278"/>
      <c r="U566" s="196"/>
      <c r="V566" s="196"/>
      <c r="W566" s="278"/>
      <c r="X566" s="199"/>
      <c r="Y566" s="199"/>
      <c r="Z566" s="199"/>
    </row>
    <row r="567" spans="1:26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196"/>
      <c r="S567" s="196"/>
      <c r="T567" s="278"/>
      <c r="U567" s="196"/>
      <c r="V567" s="196"/>
      <c r="W567" s="278"/>
      <c r="X567" s="199"/>
      <c r="Y567" s="199"/>
      <c r="Z567" s="199"/>
    </row>
    <row r="568" spans="1:26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196"/>
      <c r="S568" s="196"/>
      <c r="T568" s="278"/>
      <c r="U568" s="196"/>
      <c r="V568" s="196"/>
      <c r="W568" s="278"/>
      <c r="X568" s="199"/>
      <c r="Y568" s="199"/>
      <c r="Z568" s="199"/>
    </row>
    <row r="569" spans="1:26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196"/>
      <c r="S569" s="196"/>
      <c r="T569" s="278"/>
      <c r="U569" s="196"/>
      <c r="V569" s="196"/>
      <c r="W569" s="278"/>
      <c r="X569" s="199"/>
      <c r="Y569" s="199"/>
      <c r="Z569" s="199"/>
    </row>
    <row r="570" spans="1:26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196"/>
      <c r="S570" s="196"/>
      <c r="T570" s="278"/>
      <c r="U570" s="196"/>
      <c r="V570" s="196"/>
      <c r="W570" s="278"/>
      <c r="X570" s="199"/>
      <c r="Y570" s="199"/>
      <c r="Z570" s="199"/>
    </row>
    <row r="571" spans="1:26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196"/>
      <c r="S571" s="196"/>
      <c r="T571" s="278"/>
      <c r="U571" s="196"/>
      <c r="V571" s="196"/>
      <c r="W571" s="278"/>
      <c r="X571" s="199"/>
      <c r="Y571" s="199"/>
      <c r="Z571" s="199"/>
    </row>
    <row r="572" spans="1:26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196"/>
      <c r="S572" s="196"/>
      <c r="T572" s="278"/>
      <c r="U572" s="196"/>
      <c r="V572" s="196"/>
      <c r="W572" s="278"/>
      <c r="X572" s="199"/>
      <c r="Y572" s="199"/>
      <c r="Z572" s="199"/>
    </row>
    <row r="573" spans="1:26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196"/>
      <c r="S573" s="196"/>
      <c r="T573" s="278"/>
      <c r="U573" s="196"/>
      <c r="V573" s="196"/>
      <c r="W573" s="278"/>
      <c r="X573" s="199"/>
      <c r="Y573" s="199"/>
      <c r="Z573" s="199"/>
    </row>
    <row r="574" spans="1:26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196"/>
      <c r="S574" s="196"/>
      <c r="T574" s="278"/>
      <c r="U574" s="196"/>
      <c r="V574" s="196"/>
      <c r="W574" s="278"/>
      <c r="X574" s="199"/>
      <c r="Y574" s="199"/>
      <c r="Z574" s="199"/>
    </row>
    <row r="575" spans="1:26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196"/>
      <c r="S575" s="196"/>
      <c r="T575" s="278"/>
      <c r="U575" s="196"/>
      <c r="V575" s="196"/>
      <c r="W575" s="278"/>
      <c r="X575" s="199"/>
      <c r="Y575" s="199"/>
      <c r="Z575" s="199"/>
    </row>
    <row r="576" spans="1:26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196"/>
      <c r="S576" s="196"/>
      <c r="T576" s="278"/>
      <c r="U576" s="196"/>
      <c r="V576" s="196"/>
      <c r="W576" s="278"/>
      <c r="X576" s="199"/>
      <c r="Y576" s="199"/>
      <c r="Z576" s="199"/>
    </row>
    <row r="577" spans="1:26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196"/>
      <c r="S577" s="196"/>
      <c r="T577" s="278"/>
      <c r="U577" s="196"/>
      <c r="V577" s="196"/>
      <c r="W577" s="278"/>
      <c r="X577" s="199"/>
      <c r="Y577" s="199"/>
      <c r="Z577" s="199"/>
    </row>
    <row r="578" spans="1:26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196"/>
      <c r="S578" s="196"/>
      <c r="T578" s="278"/>
      <c r="U578" s="196"/>
      <c r="V578" s="196"/>
      <c r="W578" s="278"/>
      <c r="X578" s="199"/>
      <c r="Y578" s="199"/>
      <c r="Z578" s="199"/>
    </row>
    <row r="579" spans="1:26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196"/>
      <c r="S579" s="196"/>
      <c r="T579" s="278"/>
      <c r="U579" s="196"/>
      <c r="V579" s="196"/>
      <c r="W579" s="278"/>
      <c r="X579" s="199"/>
      <c r="Y579" s="199"/>
      <c r="Z579" s="199"/>
    </row>
    <row r="580" spans="1:26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196"/>
      <c r="S580" s="196"/>
      <c r="T580" s="278"/>
      <c r="U580" s="196"/>
      <c r="V580" s="196"/>
      <c r="W580" s="278"/>
      <c r="X580" s="199"/>
      <c r="Y580" s="199"/>
      <c r="Z580" s="199"/>
    </row>
    <row r="581" spans="1:26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196"/>
      <c r="S581" s="196"/>
      <c r="T581" s="278"/>
      <c r="U581" s="196"/>
      <c r="V581" s="196"/>
      <c r="W581" s="278"/>
      <c r="X581" s="199"/>
      <c r="Y581" s="199"/>
      <c r="Z581" s="199"/>
    </row>
    <row r="582" spans="1:26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196"/>
      <c r="S582" s="196"/>
      <c r="T582" s="278"/>
      <c r="U582" s="196"/>
      <c r="V582" s="196"/>
      <c r="W582" s="278"/>
      <c r="X582" s="199"/>
      <c r="Y582" s="199"/>
      <c r="Z582" s="199"/>
    </row>
    <row r="583" spans="1:26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196"/>
      <c r="S583" s="196"/>
      <c r="T583" s="278"/>
      <c r="U583" s="196"/>
      <c r="V583" s="196"/>
      <c r="W583" s="278"/>
      <c r="X583" s="199"/>
      <c r="Y583" s="199"/>
      <c r="Z583" s="199"/>
    </row>
    <row r="584" spans="1:26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196"/>
      <c r="S584" s="196"/>
      <c r="T584" s="278"/>
      <c r="U584" s="196"/>
      <c r="V584" s="196"/>
      <c r="W584" s="278"/>
      <c r="X584" s="199"/>
      <c r="Y584" s="199"/>
      <c r="Z584" s="199"/>
    </row>
    <row r="585" spans="1:26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196"/>
      <c r="S585" s="196"/>
      <c r="T585" s="278"/>
      <c r="U585" s="196"/>
      <c r="V585" s="196"/>
      <c r="W585" s="278"/>
      <c r="X585" s="199"/>
      <c r="Y585" s="199"/>
      <c r="Z585" s="199"/>
    </row>
    <row r="586" spans="1:26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196"/>
      <c r="S586" s="196"/>
      <c r="T586" s="278"/>
      <c r="U586" s="196"/>
      <c r="V586" s="196"/>
      <c r="W586" s="278"/>
      <c r="X586" s="199"/>
      <c r="Y586" s="199"/>
      <c r="Z586" s="199"/>
    </row>
    <row r="587" spans="1:26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196"/>
      <c r="S587" s="196"/>
      <c r="T587" s="278"/>
      <c r="U587" s="196"/>
      <c r="V587" s="196"/>
      <c r="W587" s="278"/>
      <c r="X587" s="199"/>
      <c r="Y587" s="199"/>
      <c r="Z587" s="199"/>
    </row>
    <row r="588" spans="1:26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196"/>
      <c r="S588" s="196"/>
      <c r="T588" s="278"/>
      <c r="U588" s="196"/>
      <c r="V588" s="196"/>
      <c r="W588" s="278"/>
      <c r="X588" s="199"/>
      <c r="Y588" s="199"/>
      <c r="Z588" s="199"/>
    </row>
    <row r="589" spans="1:26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196"/>
      <c r="S589" s="196"/>
      <c r="T589" s="278"/>
      <c r="U589" s="196"/>
      <c r="V589" s="196"/>
      <c r="W589" s="278"/>
      <c r="X589" s="199"/>
      <c r="Y589" s="199"/>
      <c r="Z589" s="199"/>
    </row>
    <row r="590" spans="1:26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196"/>
      <c r="S590" s="196"/>
      <c r="T590" s="278"/>
      <c r="U590" s="196"/>
      <c r="V590" s="196"/>
      <c r="W590" s="278"/>
      <c r="X590" s="199"/>
      <c r="Y590" s="199"/>
      <c r="Z590" s="199"/>
    </row>
    <row r="591" spans="1:26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196"/>
      <c r="S591" s="196"/>
      <c r="T591" s="278"/>
      <c r="U591" s="196"/>
      <c r="V591" s="196"/>
      <c r="W591" s="278"/>
      <c r="X591" s="199"/>
      <c r="Y591" s="199"/>
      <c r="Z591" s="199"/>
    </row>
    <row r="592" spans="1:26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196"/>
      <c r="S592" s="196"/>
      <c r="T592" s="278"/>
      <c r="U592" s="196"/>
      <c r="V592" s="196"/>
      <c r="W592" s="278"/>
      <c r="X592" s="199"/>
      <c r="Y592" s="199"/>
      <c r="Z592" s="199"/>
    </row>
    <row r="593" spans="1:26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196"/>
      <c r="S593" s="196"/>
      <c r="T593" s="278"/>
      <c r="U593" s="196"/>
      <c r="V593" s="196"/>
      <c r="W593" s="278"/>
      <c r="X593" s="199"/>
      <c r="Y593" s="199"/>
      <c r="Z593" s="199"/>
    </row>
    <row r="594" spans="1:26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196"/>
      <c r="S594" s="196"/>
      <c r="T594" s="278"/>
      <c r="U594" s="196"/>
      <c r="V594" s="196"/>
      <c r="W594" s="278"/>
      <c r="X594" s="199"/>
      <c r="Y594" s="199"/>
      <c r="Z594" s="199"/>
    </row>
    <row r="595" spans="1:26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196"/>
      <c r="S595" s="196"/>
      <c r="T595" s="278"/>
      <c r="U595" s="196"/>
      <c r="V595" s="196"/>
      <c r="W595" s="278"/>
      <c r="X595" s="199"/>
      <c r="Y595" s="199"/>
      <c r="Z595" s="199"/>
    </row>
    <row r="596" spans="1:26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196"/>
      <c r="S596" s="196"/>
      <c r="T596" s="278"/>
      <c r="U596" s="196"/>
      <c r="V596" s="196"/>
      <c r="W596" s="278"/>
      <c r="X596" s="199"/>
      <c r="Y596" s="199"/>
      <c r="Z596" s="199"/>
    </row>
    <row r="597" spans="1:26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196"/>
      <c r="S597" s="196"/>
      <c r="T597" s="278"/>
      <c r="U597" s="196"/>
      <c r="V597" s="196"/>
      <c r="W597" s="278"/>
      <c r="X597" s="199"/>
      <c r="Y597" s="199"/>
      <c r="Z597" s="199"/>
    </row>
    <row r="598" spans="1:26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196"/>
      <c r="S598" s="196"/>
      <c r="T598" s="278"/>
      <c r="U598" s="196"/>
      <c r="V598" s="196"/>
      <c r="W598" s="278"/>
      <c r="X598" s="199"/>
      <c r="Y598" s="199"/>
      <c r="Z598" s="199"/>
    </row>
    <row r="599" spans="1:26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196"/>
      <c r="S599" s="196"/>
      <c r="T599" s="278"/>
      <c r="U599" s="196"/>
      <c r="V599" s="196"/>
      <c r="W599" s="278"/>
      <c r="X599" s="199"/>
      <c r="Y599" s="199"/>
      <c r="Z599" s="199"/>
    </row>
    <row r="600" spans="1:26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196"/>
      <c r="S600" s="196"/>
      <c r="T600" s="278"/>
      <c r="U600" s="196"/>
      <c r="V600" s="196"/>
      <c r="W600" s="278"/>
      <c r="X600" s="199"/>
      <c r="Y600" s="199"/>
      <c r="Z600" s="199"/>
    </row>
    <row r="601" spans="1:26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196"/>
      <c r="S601" s="196"/>
      <c r="T601" s="278"/>
      <c r="U601" s="196"/>
      <c r="V601" s="196"/>
      <c r="W601" s="278"/>
      <c r="X601" s="199"/>
      <c r="Y601" s="199"/>
      <c r="Z601" s="199"/>
    </row>
    <row r="602" spans="1:26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196"/>
      <c r="S602" s="196"/>
      <c r="T602" s="278"/>
      <c r="U602" s="196"/>
      <c r="V602" s="196"/>
      <c r="W602" s="278"/>
      <c r="X602" s="199"/>
      <c r="Y602" s="199"/>
      <c r="Z602" s="199"/>
    </row>
    <row r="603" spans="1:26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196"/>
      <c r="S603" s="196"/>
      <c r="T603" s="278"/>
      <c r="U603" s="196"/>
      <c r="V603" s="196"/>
      <c r="W603" s="278"/>
      <c r="X603" s="199"/>
      <c r="Y603" s="199"/>
      <c r="Z603" s="199"/>
    </row>
    <row r="604" spans="1:26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196"/>
      <c r="S604" s="196"/>
      <c r="T604" s="278"/>
      <c r="U604" s="196"/>
      <c r="V604" s="196"/>
      <c r="W604" s="278"/>
      <c r="X604" s="199"/>
      <c r="Y604" s="199"/>
      <c r="Z604" s="199"/>
    </row>
    <row r="605" spans="1:26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196"/>
      <c r="S605" s="196"/>
      <c r="T605" s="278"/>
      <c r="U605" s="196"/>
      <c r="V605" s="196"/>
      <c r="W605" s="278"/>
      <c r="X605" s="199"/>
      <c r="Y605" s="199"/>
      <c r="Z605" s="199"/>
    </row>
    <row r="606" spans="1:26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196"/>
      <c r="S606" s="196"/>
      <c r="T606" s="278"/>
      <c r="U606" s="196"/>
      <c r="V606" s="196"/>
      <c r="W606" s="278"/>
      <c r="X606" s="199"/>
      <c r="Y606" s="199"/>
      <c r="Z606" s="199"/>
    </row>
    <row r="607" spans="1:26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196"/>
      <c r="S607" s="196"/>
      <c r="T607" s="278"/>
      <c r="U607" s="196"/>
      <c r="V607" s="196"/>
      <c r="W607" s="278"/>
      <c r="X607" s="199"/>
      <c r="Y607" s="199"/>
      <c r="Z607" s="199"/>
    </row>
    <row r="608" spans="1:26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196"/>
      <c r="S608" s="196"/>
      <c r="T608" s="278"/>
      <c r="U608" s="196"/>
      <c r="V608" s="196"/>
      <c r="W608" s="278"/>
      <c r="X608" s="199"/>
      <c r="Y608" s="199"/>
      <c r="Z608" s="199"/>
    </row>
    <row r="609" spans="1:26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196"/>
      <c r="S609" s="196"/>
      <c r="T609" s="278"/>
      <c r="U609" s="196"/>
      <c r="V609" s="196"/>
      <c r="W609" s="278"/>
      <c r="X609" s="199"/>
      <c r="Y609" s="199"/>
      <c r="Z609" s="199"/>
    </row>
    <row r="610" spans="1:26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196"/>
      <c r="S610" s="196"/>
      <c r="T610" s="278"/>
      <c r="U610" s="196"/>
      <c r="V610" s="196"/>
      <c r="W610" s="278"/>
      <c r="X610" s="199"/>
      <c r="Y610" s="199"/>
      <c r="Z610" s="199"/>
    </row>
    <row r="611" spans="1:26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196"/>
      <c r="S611" s="196"/>
      <c r="T611" s="278"/>
      <c r="U611" s="196"/>
      <c r="V611" s="196"/>
      <c r="W611" s="278"/>
      <c r="X611" s="199"/>
      <c r="Y611" s="199"/>
      <c r="Z611" s="199"/>
    </row>
    <row r="612" spans="1:26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196"/>
      <c r="S612" s="196"/>
      <c r="T612" s="278"/>
      <c r="U612" s="196"/>
      <c r="V612" s="196"/>
      <c r="W612" s="278"/>
      <c r="X612" s="199"/>
      <c r="Y612" s="199"/>
      <c r="Z612" s="199"/>
    </row>
    <row r="613" spans="1:26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196"/>
      <c r="S613" s="196"/>
      <c r="T613" s="278"/>
      <c r="U613" s="196"/>
      <c r="V613" s="196"/>
      <c r="W613" s="278"/>
      <c r="X613" s="199"/>
      <c r="Y613" s="199"/>
      <c r="Z613" s="199"/>
    </row>
    <row r="614" spans="1:26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196"/>
      <c r="S614" s="196"/>
      <c r="T614" s="278"/>
      <c r="U614" s="196"/>
      <c r="V614" s="196"/>
      <c r="W614" s="278"/>
      <c r="X614" s="199"/>
      <c r="Y614" s="199"/>
      <c r="Z614" s="199"/>
    </row>
    <row r="615" spans="1:26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196"/>
      <c r="S615" s="196"/>
      <c r="T615" s="278"/>
      <c r="U615" s="196"/>
      <c r="V615" s="196"/>
      <c r="W615" s="278"/>
      <c r="X615" s="199"/>
      <c r="Y615" s="199"/>
      <c r="Z615" s="199"/>
    </row>
    <row r="616" spans="1:26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196"/>
      <c r="S616" s="196"/>
      <c r="T616" s="278"/>
      <c r="U616" s="196"/>
      <c r="V616" s="196"/>
      <c r="W616" s="278"/>
      <c r="X616" s="199"/>
      <c r="Y616" s="199"/>
      <c r="Z616" s="199"/>
    </row>
    <row r="617" spans="1:26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196"/>
      <c r="S617" s="196"/>
      <c r="T617" s="278"/>
      <c r="U617" s="196"/>
      <c r="V617" s="196"/>
      <c r="W617" s="278"/>
      <c r="X617" s="199"/>
      <c r="Y617" s="199"/>
      <c r="Z617" s="199"/>
    </row>
    <row r="618" spans="1:26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196"/>
      <c r="S618" s="196"/>
      <c r="T618" s="278"/>
      <c r="U618" s="196"/>
      <c r="V618" s="196"/>
      <c r="W618" s="278"/>
      <c r="X618" s="199"/>
      <c r="Y618" s="199"/>
      <c r="Z618" s="199"/>
    </row>
    <row r="619" spans="1:26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196"/>
      <c r="S619" s="196"/>
      <c r="T619" s="278"/>
      <c r="U619" s="196"/>
      <c r="V619" s="196"/>
      <c r="W619" s="278"/>
      <c r="X619" s="199"/>
      <c r="Y619" s="199"/>
      <c r="Z619" s="199"/>
    </row>
    <row r="620" spans="1:26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196"/>
      <c r="S620" s="196"/>
      <c r="T620" s="278"/>
      <c r="U620" s="196"/>
      <c r="V620" s="196"/>
      <c r="W620" s="278"/>
      <c r="X620" s="199"/>
      <c r="Y620" s="199"/>
      <c r="Z620" s="199"/>
    </row>
    <row r="621" spans="1:26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196"/>
      <c r="S621" s="196"/>
      <c r="T621" s="278"/>
      <c r="U621" s="196"/>
      <c r="V621" s="196"/>
      <c r="W621" s="278"/>
      <c r="X621" s="199"/>
      <c r="Y621" s="199"/>
      <c r="Z621" s="199"/>
    </row>
    <row r="622" spans="1:26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196"/>
      <c r="S622" s="196"/>
      <c r="T622" s="278"/>
      <c r="U622" s="196"/>
      <c r="V622" s="196"/>
      <c r="W622" s="278"/>
      <c r="X622" s="199"/>
      <c r="Y622" s="199"/>
      <c r="Z622" s="199"/>
    </row>
    <row r="623" spans="1:26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196"/>
      <c r="S623" s="196"/>
      <c r="T623" s="278"/>
      <c r="U623" s="196"/>
      <c r="V623" s="196"/>
      <c r="W623" s="278"/>
      <c r="X623" s="199"/>
      <c r="Y623" s="199"/>
      <c r="Z623" s="199"/>
    </row>
    <row r="624" spans="1:26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196"/>
      <c r="S624" s="196"/>
      <c r="T624" s="278"/>
      <c r="U624" s="196"/>
      <c r="V624" s="196"/>
      <c r="W624" s="278"/>
      <c r="X624" s="199"/>
      <c r="Y624" s="199"/>
      <c r="Z624" s="199"/>
    </row>
    <row r="625" spans="1:26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196"/>
      <c r="S625" s="196"/>
      <c r="T625" s="278"/>
      <c r="U625" s="196"/>
      <c r="V625" s="196"/>
      <c r="W625" s="278"/>
      <c r="X625" s="199"/>
      <c r="Y625" s="199"/>
      <c r="Z625" s="199"/>
    </row>
    <row r="626" spans="1:26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196"/>
      <c r="S626" s="196"/>
      <c r="T626" s="278"/>
      <c r="U626" s="196"/>
      <c r="V626" s="196"/>
      <c r="W626" s="278"/>
      <c r="X626" s="199"/>
      <c r="Y626" s="199"/>
      <c r="Z626" s="199"/>
    </row>
    <row r="627" spans="1:26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196"/>
      <c r="S627" s="196"/>
      <c r="T627" s="278"/>
      <c r="U627" s="196"/>
      <c r="V627" s="196"/>
      <c r="W627" s="278"/>
      <c r="X627" s="199"/>
      <c r="Y627" s="199"/>
      <c r="Z627" s="199"/>
    </row>
    <row r="628" spans="1:26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196"/>
      <c r="S628" s="196"/>
      <c r="T628" s="278"/>
      <c r="U628" s="196"/>
      <c r="V628" s="196"/>
      <c r="W628" s="278"/>
      <c r="X628" s="199"/>
      <c r="Y628" s="199"/>
      <c r="Z628" s="199"/>
    </row>
    <row r="629" spans="1:26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196"/>
      <c r="S629" s="196"/>
      <c r="T629" s="278"/>
      <c r="U629" s="196"/>
      <c r="V629" s="196"/>
      <c r="W629" s="278"/>
      <c r="X629" s="199"/>
      <c r="Y629" s="199"/>
      <c r="Z629" s="199"/>
    </row>
    <row r="630" spans="1:26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196"/>
      <c r="S630" s="196"/>
      <c r="T630" s="278"/>
      <c r="U630" s="196"/>
      <c r="V630" s="196"/>
      <c r="W630" s="278"/>
      <c r="X630" s="199"/>
      <c r="Y630" s="199"/>
      <c r="Z630" s="199"/>
    </row>
    <row r="631" spans="1:26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196"/>
      <c r="S631" s="196"/>
      <c r="T631" s="278"/>
      <c r="U631" s="196"/>
      <c r="V631" s="196"/>
      <c r="W631" s="278"/>
      <c r="X631" s="199"/>
      <c r="Y631" s="199"/>
      <c r="Z631" s="199"/>
    </row>
    <row r="632" spans="1:26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196"/>
      <c r="S632" s="196"/>
      <c r="T632" s="278"/>
      <c r="U632" s="196"/>
      <c r="V632" s="196"/>
      <c r="W632" s="278"/>
      <c r="X632" s="199"/>
      <c r="Y632" s="199"/>
      <c r="Z632" s="199"/>
    </row>
    <row r="633" spans="1:26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196"/>
      <c r="S633" s="196"/>
      <c r="T633" s="278"/>
      <c r="U633" s="196"/>
      <c r="V633" s="196"/>
      <c r="W633" s="278"/>
      <c r="X633" s="199"/>
      <c r="Y633" s="199"/>
      <c r="Z633" s="199"/>
    </row>
    <row r="634" spans="1:26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196"/>
      <c r="S634" s="196"/>
      <c r="T634" s="278"/>
      <c r="U634" s="196"/>
      <c r="V634" s="196"/>
      <c r="W634" s="278"/>
      <c r="X634" s="199"/>
      <c r="Y634" s="199"/>
      <c r="Z634" s="199"/>
    </row>
    <row r="635" spans="1:26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196"/>
      <c r="S635" s="196"/>
      <c r="T635" s="278"/>
      <c r="U635" s="196"/>
      <c r="V635" s="196"/>
      <c r="W635" s="278"/>
      <c r="X635" s="199"/>
      <c r="Y635" s="199"/>
      <c r="Z635" s="199"/>
    </row>
    <row r="636" spans="1:26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196"/>
      <c r="S636" s="196"/>
      <c r="T636" s="278"/>
      <c r="U636" s="196"/>
      <c r="V636" s="196"/>
      <c r="W636" s="278"/>
      <c r="X636" s="199"/>
      <c r="Y636" s="199"/>
      <c r="Z636" s="199"/>
    </row>
    <row r="637" spans="1:26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196"/>
      <c r="S637" s="196"/>
      <c r="T637" s="278"/>
      <c r="U637" s="196"/>
      <c r="V637" s="196"/>
      <c r="W637" s="278"/>
      <c r="X637" s="199"/>
      <c r="Y637" s="199"/>
      <c r="Z637" s="199"/>
    </row>
    <row r="638" spans="1:26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196"/>
      <c r="S638" s="196"/>
      <c r="T638" s="278"/>
      <c r="U638" s="196"/>
      <c r="V638" s="196"/>
      <c r="W638" s="278"/>
      <c r="X638" s="199"/>
      <c r="Y638" s="199"/>
      <c r="Z638" s="199"/>
    </row>
    <row r="639" spans="1:26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196"/>
      <c r="S639" s="196"/>
      <c r="T639" s="278"/>
      <c r="U639" s="196"/>
      <c r="V639" s="196"/>
      <c r="W639" s="278"/>
      <c r="X639" s="199"/>
      <c r="Y639" s="199"/>
      <c r="Z639" s="199"/>
    </row>
    <row r="640" spans="1:26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196"/>
      <c r="S640" s="196"/>
      <c r="T640" s="278"/>
      <c r="U640" s="196"/>
      <c r="V640" s="196"/>
      <c r="W640" s="278"/>
      <c r="X640" s="199"/>
      <c r="Y640" s="199"/>
      <c r="Z640" s="199"/>
    </row>
    <row r="641" spans="1:26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196"/>
      <c r="S641" s="196"/>
      <c r="T641" s="278"/>
      <c r="U641" s="196"/>
      <c r="V641" s="196"/>
      <c r="W641" s="278"/>
      <c r="X641" s="199"/>
      <c r="Y641" s="199"/>
      <c r="Z641" s="199"/>
    </row>
    <row r="642" spans="1:26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196"/>
      <c r="S642" s="196"/>
      <c r="T642" s="278"/>
      <c r="U642" s="196"/>
      <c r="V642" s="196"/>
      <c r="W642" s="278"/>
      <c r="X642" s="199"/>
      <c r="Y642" s="199"/>
      <c r="Z642" s="199"/>
    </row>
    <row r="643" spans="1:26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196"/>
      <c r="S643" s="196"/>
      <c r="T643" s="278"/>
      <c r="U643" s="196"/>
      <c r="V643" s="196"/>
      <c r="W643" s="278"/>
      <c r="X643" s="199"/>
      <c r="Y643" s="199"/>
      <c r="Z643" s="199"/>
    </row>
    <row r="644" spans="1:26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196"/>
      <c r="S644" s="196"/>
      <c r="T644" s="278"/>
      <c r="U644" s="196"/>
      <c r="V644" s="196"/>
      <c r="W644" s="278"/>
      <c r="X644" s="199"/>
      <c r="Y644" s="199"/>
      <c r="Z644" s="199"/>
    </row>
    <row r="645" spans="1:26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196"/>
      <c r="S645" s="196"/>
      <c r="T645" s="278"/>
      <c r="U645" s="196"/>
      <c r="V645" s="196"/>
      <c r="W645" s="278"/>
      <c r="X645" s="199"/>
      <c r="Y645" s="199"/>
      <c r="Z645" s="199"/>
    </row>
    <row r="646" spans="1:26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196"/>
      <c r="S646" s="196"/>
      <c r="T646" s="278"/>
      <c r="U646" s="196"/>
      <c r="V646" s="196"/>
      <c r="W646" s="278"/>
      <c r="X646" s="199"/>
      <c r="Y646" s="199"/>
      <c r="Z646" s="199"/>
    </row>
    <row r="647" spans="1:26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196"/>
      <c r="S647" s="196"/>
      <c r="T647" s="278"/>
      <c r="U647" s="196"/>
      <c r="V647" s="196"/>
      <c r="W647" s="278"/>
      <c r="X647" s="199"/>
      <c r="Y647" s="199"/>
      <c r="Z647" s="199"/>
    </row>
    <row r="648" spans="1:26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196"/>
      <c r="S648" s="196"/>
      <c r="T648" s="278"/>
      <c r="U648" s="196"/>
      <c r="V648" s="196"/>
      <c r="W648" s="278"/>
      <c r="X648" s="199"/>
      <c r="Y648" s="199"/>
      <c r="Z648" s="199"/>
    </row>
    <row r="649" spans="1:26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196"/>
      <c r="S649" s="196"/>
      <c r="T649" s="278"/>
      <c r="U649" s="196"/>
      <c r="V649" s="196"/>
      <c r="W649" s="278"/>
      <c r="X649" s="199"/>
      <c r="Y649" s="199"/>
      <c r="Z649" s="199"/>
    </row>
    <row r="650" spans="1:26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196"/>
      <c r="S650" s="196"/>
      <c r="T650" s="278"/>
      <c r="U650" s="196"/>
      <c r="V650" s="196"/>
      <c r="W650" s="278"/>
      <c r="X650" s="199"/>
      <c r="Y650" s="199"/>
      <c r="Z650" s="199"/>
    </row>
    <row r="651" spans="1:26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196"/>
      <c r="S651" s="196"/>
      <c r="T651" s="278"/>
      <c r="U651" s="196"/>
      <c r="V651" s="196"/>
      <c r="W651" s="278"/>
      <c r="X651" s="199"/>
      <c r="Y651" s="199"/>
      <c r="Z651" s="199"/>
    </row>
    <row r="652" spans="1:26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196"/>
      <c r="S652" s="196"/>
      <c r="T652" s="278"/>
      <c r="U652" s="196"/>
      <c r="V652" s="196"/>
      <c r="W652" s="278"/>
      <c r="X652" s="199"/>
      <c r="Y652" s="199"/>
      <c r="Z652" s="199"/>
    </row>
    <row r="653" spans="1:26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196"/>
      <c r="S653" s="196"/>
      <c r="T653" s="278"/>
      <c r="U653" s="196"/>
      <c r="V653" s="196"/>
      <c r="W653" s="278"/>
      <c r="X653" s="199"/>
      <c r="Y653" s="199"/>
      <c r="Z653" s="199"/>
    </row>
    <row r="654" spans="1:26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196"/>
      <c r="S654" s="196"/>
      <c r="T654" s="278"/>
      <c r="U654" s="196"/>
      <c r="V654" s="196"/>
      <c r="W654" s="278"/>
      <c r="X654" s="199"/>
      <c r="Y654" s="199"/>
      <c r="Z654" s="199"/>
    </row>
    <row r="655" spans="1:26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196"/>
      <c r="S655" s="196"/>
      <c r="T655" s="278"/>
      <c r="U655" s="196"/>
      <c r="V655" s="196"/>
      <c r="W655" s="278"/>
      <c r="X655" s="199"/>
      <c r="Y655" s="199"/>
      <c r="Z655" s="199"/>
    </row>
    <row r="656" spans="1:26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196"/>
      <c r="S656" s="196"/>
      <c r="T656" s="278"/>
      <c r="U656" s="196"/>
      <c r="V656" s="196"/>
      <c r="W656" s="278"/>
      <c r="X656" s="199"/>
      <c r="Y656" s="199"/>
      <c r="Z656" s="199"/>
    </row>
    <row r="657" spans="1:26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196"/>
      <c r="S657" s="196"/>
      <c r="T657" s="278"/>
      <c r="U657" s="196"/>
      <c r="V657" s="196"/>
      <c r="W657" s="278"/>
      <c r="X657" s="199"/>
      <c r="Y657" s="199"/>
      <c r="Z657" s="199"/>
    </row>
    <row r="658" spans="1:26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196"/>
      <c r="S658" s="196"/>
      <c r="T658" s="278"/>
      <c r="U658" s="196"/>
      <c r="V658" s="196"/>
      <c r="W658" s="278"/>
      <c r="X658" s="199"/>
      <c r="Y658" s="199"/>
      <c r="Z658" s="199"/>
    </row>
    <row r="659" spans="1:26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196"/>
      <c r="S659" s="196"/>
      <c r="T659" s="278"/>
      <c r="U659" s="196"/>
      <c r="V659" s="196"/>
      <c r="W659" s="278"/>
      <c r="X659" s="199"/>
      <c r="Y659" s="199"/>
      <c r="Z659" s="199"/>
    </row>
    <row r="660" spans="1:26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196"/>
      <c r="S660" s="196"/>
      <c r="T660" s="278"/>
      <c r="U660" s="196"/>
      <c r="V660" s="196"/>
      <c r="W660" s="278"/>
      <c r="X660" s="199"/>
      <c r="Y660" s="199"/>
      <c r="Z660" s="199"/>
    </row>
    <row r="661" spans="1:26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196"/>
      <c r="S661" s="196"/>
      <c r="T661" s="278"/>
      <c r="U661" s="196"/>
      <c r="V661" s="196"/>
      <c r="W661" s="278"/>
      <c r="X661" s="199"/>
      <c r="Y661" s="199"/>
      <c r="Z661" s="199"/>
    </row>
    <row r="662" spans="1:26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196"/>
      <c r="S662" s="196"/>
      <c r="T662" s="278"/>
      <c r="U662" s="196"/>
      <c r="V662" s="196"/>
      <c r="W662" s="278"/>
      <c r="X662" s="199"/>
      <c r="Y662" s="199"/>
      <c r="Z662" s="199"/>
    </row>
    <row r="663" spans="1:26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196"/>
      <c r="S663" s="196"/>
      <c r="T663" s="278"/>
      <c r="U663" s="196"/>
      <c r="V663" s="196"/>
      <c r="W663" s="278"/>
      <c r="X663" s="199"/>
      <c r="Y663" s="199"/>
      <c r="Z663" s="199"/>
    </row>
    <row r="664" spans="1:26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196"/>
      <c r="S664" s="196"/>
      <c r="T664" s="278"/>
      <c r="U664" s="196"/>
      <c r="V664" s="196"/>
      <c r="W664" s="278"/>
      <c r="X664" s="199"/>
      <c r="Y664" s="199"/>
      <c r="Z664" s="199"/>
    </row>
    <row r="665" spans="1:26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196"/>
      <c r="S665" s="196"/>
      <c r="T665" s="278"/>
      <c r="U665" s="196"/>
      <c r="V665" s="196"/>
      <c r="W665" s="278"/>
      <c r="X665" s="199"/>
      <c r="Y665" s="199"/>
      <c r="Z665" s="199"/>
    </row>
    <row r="666" spans="1:26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196"/>
      <c r="S666" s="196"/>
      <c r="T666" s="278"/>
      <c r="U666" s="196"/>
      <c r="V666" s="196"/>
      <c r="W666" s="278"/>
      <c r="X666" s="199"/>
      <c r="Y666" s="199"/>
      <c r="Z666" s="199"/>
    </row>
    <row r="667" spans="1:26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196"/>
      <c r="S667" s="196"/>
      <c r="T667" s="278"/>
      <c r="U667" s="196"/>
      <c r="V667" s="196"/>
      <c r="W667" s="278"/>
      <c r="X667" s="199"/>
      <c r="Y667" s="199"/>
      <c r="Z667" s="199"/>
    </row>
    <row r="668" spans="1:26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196"/>
      <c r="S668" s="196"/>
      <c r="T668" s="278"/>
      <c r="U668" s="196"/>
      <c r="V668" s="196"/>
      <c r="W668" s="278"/>
      <c r="X668" s="199"/>
      <c r="Y668" s="199"/>
      <c r="Z668" s="199"/>
    </row>
    <row r="669" spans="1:26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196"/>
      <c r="S669" s="196"/>
      <c r="T669" s="278"/>
      <c r="U669" s="196"/>
      <c r="V669" s="196"/>
      <c r="W669" s="278"/>
      <c r="X669" s="199"/>
      <c r="Y669" s="199"/>
      <c r="Z669" s="199"/>
    </row>
    <row r="670" spans="1:26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196"/>
      <c r="S670" s="196"/>
      <c r="T670" s="278"/>
      <c r="U670" s="196"/>
      <c r="V670" s="196"/>
      <c r="W670" s="278"/>
      <c r="X670" s="199"/>
      <c r="Y670" s="199"/>
      <c r="Z670" s="199"/>
    </row>
    <row r="671" spans="1:26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196"/>
      <c r="S671" s="196"/>
      <c r="T671" s="278"/>
      <c r="U671" s="196"/>
      <c r="V671" s="196"/>
      <c r="W671" s="278"/>
      <c r="X671" s="199"/>
      <c r="Y671" s="199"/>
      <c r="Z671" s="199"/>
    </row>
    <row r="672" spans="1:26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196"/>
      <c r="S672" s="196"/>
      <c r="T672" s="278"/>
      <c r="U672" s="196"/>
      <c r="V672" s="196"/>
      <c r="W672" s="278"/>
      <c r="X672" s="199"/>
      <c r="Y672" s="199"/>
      <c r="Z672" s="199"/>
    </row>
    <row r="673" spans="1:26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196"/>
      <c r="S673" s="196"/>
      <c r="T673" s="278"/>
      <c r="U673" s="196"/>
      <c r="V673" s="196"/>
      <c r="W673" s="278"/>
      <c r="X673" s="199"/>
      <c r="Y673" s="199"/>
      <c r="Z673" s="199"/>
    </row>
    <row r="674" spans="1:26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196"/>
      <c r="S674" s="196"/>
      <c r="T674" s="278"/>
      <c r="U674" s="196"/>
      <c r="V674" s="196"/>
      <c r="W674" s="278"/>
      <c r="X674" s="199"/>
      <c r="Y674" s="199"/>
      <c r="Z674" s="199"/>
    </row>
    <row r="675" spans="1:26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196"/>
      <c r="S675" s="196"/>
      <c r="T675" s="278"/>
      <c r="U675" s="196"/>
      <c r="V675" s="196"/>
      <c r="W675" s="278"/>
      <c r="X675" s="199"/>
      <c r="Y675" s="199"/>
      <c r="Z675" s="199"/>
    </row>
    <row r="676" spans="1:26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196"/>
      <c r="S676" s="196"/>
      <c r="T676" s="278"/>
      <c r="U676" s="196"/>
      <c r="V676" s="196"/>
      <c r="W676" s="278"/>
      <c r="X676" s="199"/>
      <c r="Y676" s="199"/>
      <c r="Z676" s="199"/>
    </row>
    <row r="677" spans="1:26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196"/>
      <c r="S677" s="196"/>
      <c r="T677" s="278"/>
      <c r="U677" s="196"/>
      <c r="V677" s="196"/>
      <c r="W677" s="278"/>
      <c r="X677" s="199"/>
      <c r="Y677" s="199"/>
      <c r="Z677" s="199"/>
    </row>
    <row r="678" spans="1:26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196"/>
      <c r="S678" s="196"/>
      <c r="T678" s="278"/>
      <c r="U678" s="196"/>
      <c r="V678" s="196"/>
      <c r="W678" s="278"/>
      <c r="X678" s="199"/>
      <c r="Y678" s="199"/>
      <c r="Z678" s="199"/>
    </row>
    <row r="679" spans="1:26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196"/>
      <c r="S679" s="196"/>
      <c r="T679" s="278"/>
      <c r="U679" s="196"/>
      <c r="V679" s="196"/>
      <c r="W679" s="278"/>
      <c r="X679" s="199"/>
      <c r="Y679" s="199"/>
      <c r="Z679" s="199"/>
    </row>
    <row r="680" spans="1:26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196"/>
      <c r="S680" s="196"/>
      <c r="T680" s="278"/>
      <c r="U680" s="196"/>
      <c r="V680" s="196"/>
      <c r="W680" s="278"/>
      <c r="X680" s="199"/>
      <c r="Y680" s="199"/>
      <c r="Z680" s="199"/>
    </row>
    <row r="681" spans="1:26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196"/>
      <c r="S681" s="196"/>
      <c r="T681" s="278"/>
      <c r="U681" s="196"/>
      <c r="V681" s="196"/>
      <c r="W681" s="278"/>
      <c r="X681" s="199"/>
      <c r="Y681" s="199"/>
      <c r="Z681" s="199"/>
    </row>
    <row r="682" spans="1:26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196"/>
      <c r="S682" s="196"/>
      <c r="T682" s="278"/>
      <c r="U682" s="196"/>
      <c r="V682" s="196"/>
      <c r="W682" s="278"/>
      <c r="X682" s="199"/>
      <c r="Y682" s="199"/>
      <c r="Z682" s="199"/>
    </row>
    <row r="683" spans="1:26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196"/>
      <c r="S683" s="196"/>
      <c r="T683" s="278"/>
      <c r="U683" s="196"/>
      <c r="V683" s="196"/>
      <c r="W683" s="278"/>
      <c r="X683" s="199"/>
      <c r="Y683" s="199"/>
      <c r="Z683" s="199"/>
    </row>
    <row r="684" spans="1:26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196"/>
      <c r="S684" s="196"/>
      <c r="T684" s="278"/>
      <c r="U684" s="196"/>
      <c r="V684" s="196"/>
      <c r="W684" s="278"/>
      <c r="X684" s="199"/>
      <c r="Y684" s="199"/>
      <c r="Z684" s="199"/>
    </row>
    <row r="685" spans="1:26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196"/>
      <c r="S685" s="196"/>
      <c r="T685" s="278"/>
      <c r="U685" s="196"/>
      <c r="V685" s="196"/>
      <c r="W685" s="278"/>
      <c r="X685" s="199"/>
      <c r="Y685" s="199"/>
      <c r="Z685" s="199"/>
    </row>
    <row r="686" spans="1:26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196"/>
      <c r="S686" s="196"/>
      <c r="T686" s="278"/>
      <c r="U686" s="196"/>
      <c r="V686" s="196"/>
      <c r="W686" s="278"/>
      <c r="X686" s="199"/>
      <c r="Y686" s="199"/>
      <c r="Z686" s="199"/>
    </row>
    <row r="687" spans="1:26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196"/>
      <c r="S687" s="196"/>
      <c r="T687" s="278"/>
      <c r="U687" s="196"/>
      <c r="V687" s="196"/>
      <c r="W687" s="278"/>
      <c r="X687" s="199"/>
      <c r="Y687" s="199"/>
      <c r="Z687" s="199"/>
    </row>
    <row r="688" spans="1:26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196"/>
      <c r="S688" s="196"/>
      <c r="T688" s="278"/>
      <c r="U688" s="196"/>
      <c r="V688" s="196"/>
      <c r="W688" s="278"/>
      <c r="X688" s="199"/>
      <c r="Y688" s="199"/>
      <c r="Z688" s="199"/>
    </row>
    <row r="689" spans="1:26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196"/>
      <c r="S689" s="196"/>
      <c r="T689" s="278"/>
      <c r="U689" s="196"/>
      <c r="V689" s="196"/>
      <c r="W689" s="278"/>
      <c r="X689" s="199"/>
      <c r="Y689" s="199"/>
      <c r="Z689" s="199"/>
    </row>
    <row r="690" spans="1:26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196"/>
      <c r="S690" s="196"/>
      <c r="T690" s="278"/>
      <c r="U690" s="196"/>
      <c r="V690" s="196"/>
      <c r="W690" s="278"/>
      <c r="X690" s="199"/>
      <c r="Y690" s="199"/>
      <c r="Z690" s="199"/>
    </row>
    <row r="691" spans="1:26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196"/>
      <c r="S691" s="196"/>
      <c r="T691" s="278"/>
      <c r="U691" s="196"/>
      <c r="V691" s="196"/>
      <c r="W691" s="278"/>
      <c r="X691" s="199"/>
      <c r="Y691" s="199"/>
      <c r="Z691" s="199"/>
    </row>
    <row r="692" spans="1:26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196"/>
      <c r="S692" s="196"/>
      <c r="T692" s="278"/>
      <c r="U692" s="196"/>
      <c r="V692" s="196"/>
      <c r="W692" s="278"/>
      <c r="X692" s="199"/>
      <c r="Y692" s="199"/>
      <c r="Z692" s="199"/>
    </row>
    <row r="693" spans="1:26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196"/>
      <c r="S693" s="196"/>
      <c r="T693" s="278"/>
      <c r="U693" s="196"/>
      <c r="V693" s="196"/>
      <c r="W693" s="278"/>
      <c r="X693" s="199"/>
      <c r="Y693" s="199"/>
      <c r="Z693" s="199"/>
    </row>
    <row r="694" spans="1:26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196"/>
      <c r="S694" s="196"/>
      <c r="T694" s="278"/>
      <c r="U694" s="196"/>
      <c r="V694" s="196"/>
      <c r="W694" s="278"/>
      <c r="X694" s="199"/>
      <c r="Y694" s="199"/>
      <c r="Z694" s="199"/>
    </row>
    <row r="695" spans="1:26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196"/>
      <c r="S695" s="196"/>
      <c r="T695" s="278"/>
      <c r="U695" s="196"/>
      <c r="V695" s="196"/>
      <c r="W695" s="278"/>
      <c r="X695" s="199"/>
      <c r="Y695" s="199"/>
      <c r="Z695" s="199"/>
    </row>
    <row r="696" spans="1:26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196"/>
      <c r="S696" s="196"/>
      <c r="T696" s="278"/>
      <c r="U696" s="196"/>
      <c r="V696" s="196"/>
      <c r="W696" s="278"/>
      <c r="X696" s="199"/>
      <c r="Y696" s="199"/>
      <c r="Z696" s="199"/>
    </row>
    <row r="697" spans="1:26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196"/>
      <c r="S697" s="196"/>
      <c r="T697" s="278"/>
      <c r="U697" s="196"/>
      <c r="V697" s="196"/>
      <c r="W697" s="278"/>
      <c r="X697" s="199"/>
      <c r="Y697" s="199"/>
      <c r="Z697" s="199"/>
    </row>
    <row r="698" spans="1:26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196"/>
      <c r="S698" s="196"/>
      <c r="T698" s="278"/>
      <c r="U698" s="196"/>
      <c r="V698" s="196"/>
      <c r="W698" s="278"/>
      <c r="X698" s="199"/>
      <c r="Y698" s="199"/>
      <c r="Z698" s="199"/>
    </row>
    <row r="699" spans="1:26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196"/>
      <c r="S699" s="196"/>
      <c r="T699" s="278"/>
      <c r="U699" s="196"/>
      <c r="V699" s="196"/>
      <c r="W699" s="278"/>
      <c r="X699" s="199"/>
      <c r="Y699" s="199"/>
      <c r="Z699" s="199"/>
    </row>
    <row r="700" spans="1:26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196"/>
      <c r="S700" s="196"/>
      <c r="T700" s="278"/>
      <c r="U700" s="196"/>
      <c r="V700" s="196"/>
      <c r="W700" s="278"/>
      <c r="X700" s="199"/>
      <c r="Y700" s="199"/>
      <c r="Z700" s="199"/>
    </row>
    <row r="701" spans="1:26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196"/>
      <c r="S701" s="196"/>
      <c r="T701" s="278"/>
      <c r="U701" s="196"/>
      <c r="V701" s="196"/>
      <c r="W701" s="278"/>
      <c r="X701" s="199"/>
      <c r="Y701" s="199"/>
      <c r="Z701" s="199"/>
    </row>
    <row r="702" spans="1:26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196"/>
      <c r="S702" s="196"/>
      <c r="T702" s="278"/>
      <c r="U702" s="196"/>
      <c r="V702" s="196"/>
      <c r="W702" s="278"/>
      <c r="X702" s="199"/>
      <c r="Y702" s="199"/>
      <c r="Z702" s="199"/>
    </row>
    <row r="703" spans="1:26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196"/>
      <c r="S703" s="196"/>
      <c r="T703" s="278"/>
      <c r="U703" s="196"/>
      <c r="V703" s="196"/>
      <c r="W703" s="278"/>
      <c r="X703" s="199"/>
      <c r="Y703" s="199"/>
      <c r="Z703" s="199"/>
    </row>
    <row r="704" spans="1:26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196"/>
      <c r="S704" s="196"/>
      <c r="T704" s="278"/>
      <c r="U704" s="196"/>
      <c r="V704" s="196"/>
      <c r="W704" s="278"/>
      <c r="X704" s="199"/>
      <c r="Y704" s="199"/>
      <c r="Z704" s="199"/>
    </row>
    <row r="705" spans="1:26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196"/>
      <c r="S705" s="196"/>
      <c r="T705" s="278"/>
      <c r="U705" s="196"/>
      <c r="V705" s="196"/>
      <c r="W705" s="278"/>
      <c r="X705" s="199"/>
      <c r="Y705" s="199"/>
      <c r="Z705" s="199"/>
    </row>
    <row r="706" spans="1:26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196"/>
      <c r="S706" s="196"/>
      <c r="T706" s="278"/>
      <c r="U706" s="196"/>
      <c r="V706" s="196"/>
      <c r="W706" s="278"/>
      <c r="X706" s="199"/>
      <c r="Y706" s="199"/>
      <c r="Z706" s="199"/>
    </row>
    <row r="707" spans="1:26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196"/>
      <c r="S707" s="196"/>
      <c r="T707" s="278"/>
      <c r="U707" s="196"/>
      <c r="V707" s="196"/>
      <c r="W707" s="278"/>
      <c r="X707" s="199"/>
      <c r="Y707" s="199"/>
      <c r="Z707" s="199"/>
    </row>
    <row r="708" spans="1:26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196"/>
      <c r="S708" s="196"/>
      <c r="T708" s="278"/>
      <c r="U708" s="196"/>
      <c r="V708" s="196"/>
      <c r="W708" s="278"/>
      <c r="X708" s="199"/>
      <c r="Y708" s="199"/>
      <c r="Z708" s="199"/>
    </row>
    <row r="709" spans="1:26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196"/>
      <c r="S709" s="196"/>
      <c r="T709" s="278"/>
      <c r="U709" s="196"/>
      <c r="V709" s="196"/>
      <c r="W709" s="278"/>
      <c r="X709" s="199"/>
      <c r="Y709" s="199"/>
      <c r="Z709" s="199"/>
    </row>
    <row r="710" spans="1:26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196"/>
      <c r="S710" s="196"/>
      <c r="T710" s="278"/>
      <c r="U710" s="196"/>
      <c r="V710" s="196"/>
      <c r="W710" s="278"/>
      <c r="X710" s="199"/>
      <c r="Y710" s="199"/>
      <c r="Z710" s="199"/>
    </row>
    <row r="711" spans="1:26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196"/>
      <c r="S711" s="196"/>
      <c r="T711" s="278"/>
      <c r="U711" s="196"/>
      <c r="V711" s="196"/>
      <c r="W711" s="278"/>
      <c r="X711" s="199"/>
      <c r="Y711" s="199"/>
      <c r="Z711" s="199"/>
    </row>
    <row r="712" spans="1:26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196"/>
      <c r="S712" s="196"/>
      <c r="T712" s="278"/>
      <c r="U712" s="196"/>
      <c r="V712" s="196"/>
      <c r="W712" s="278"/>
      <c r="X712" s="199"/>
      <c r="Y712" s="199"/>
      <c r="Z712" s="199"/>
    </row>
    <row r="713" spans="1:26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196"/>
      <c r="S713" s="196"/>
      <c r="T713" s="278"/>
      <c r="U713" s="196"/>
      <c r="V713" s="196"/>
      <c r="W713" s="278"/>
      <c r="X713" s="199"/>
      <c r="Y713" s="199"/>
      <c r="Z713" s="199"/>
    </row>
    <row r="714" spans="1:26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196"/>
      <c r="S714" s="196"/>
      <c r="T714" s="278"/>
      <c r="U714" s="196"/>
      <c r="V714" s="196"/>
      <c r="W714" s="278"/>
      <c r="X714" s="199"/>
      <c r="Y714" s="199"/>
      <c r="Z714" s="199"/>
    </row>
    <row r="715" spans="1:26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196"/>
      <c r="S715" s="196"/>
      <c r="T715" s="278"/>
      <c r="U715" s="196"/>
      <c r="V715" s="196"/>
      <c r="W715" s="278"/>
      <c r="X715" s="199"/>
      <c r="Y715" s="199"/>
      <c r="Z715" s="199"/>
    </row>
    <row r="716" spans="1:26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196"/>
      <c r="S716" s="196"/>
      <c r="T716" s="278"/>
      <c r="U716" s="196"/>
      <c r="V716" s="196"/>
      <c r="W716" s="278"/>
      <c r="X716" s="199"/>
      <c r="Y716" s="199"/>
      <c r="Z716" s="199"/>
    </row>
    <row r="717" spans="1:26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196"/>
      <c r="S717" s="196"/>
      <c r="T717" s="278"/>
      <c r="U717" s="196"/>
      <c r="V717" s="196"/>
      <c r="W717" s="278"/>
      <c r="X717" s="199"/>
      <c r="Y717" s="199"/>
      <c r="Z717" s="199"/>
    </row>
    <row r="718" spans="1:26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196"/>
      <c r="S718" s="196"/>
      <c r="T718" s="278"/>
      <c r="U718" s="196"/>
      <c r="V718" s="196"/>
      <c r="W718" s="278"/>
      <c r="X718" s="199"/>
      <c r="Y718" s="199"/>
      <c r="Z718" s="199"/>
    </row>
    <row r="719" spans="1:26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196"/>
      <c r="S719" s="196"/>
      <c r="T719" s="278"/>
      <c r="U719" s="196"/>
      <c r="V719" s="196"/>
      <c r="W719" s="278"/>
      <c r="X719" s="199"/>
      <c r="Y719" s="199"/>
      <c r="Z719" s="199"/>
    </row>
    <row r="720" spans="1:26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196"/>
      <c r="S720" s="196"/>
      <c r="T720" s="278"/>
      <c r="U720" s="196"/>
      <c r="V720" s="196"/>
      <c r="W720" s="278"/>
      <c r="X720" s="199"/>
      <c r="Y720" s="199"/>
      <c r="Z720" s="199"/>
    </row>
    <row r="721" spans="1:26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196"/>
      <c r="S721" s="196"/>
      <c r="T721" s="278"/>
      <c r="U721" s="196"/>
      <c r="V721" s="196"/>
      <c r="W721" s="278"/>
      <c r="X721" s="199"/>
      <c r="Y721" s="199"/>
      <c r="Z721" s="199"/>
    </row>
    <row r="722" spans="1:26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196"/>
      <c r="S722" s="196"/>
      <c r="T722" s="278"/>
      <c r="U722" s="196"/>
      <c r="V722" s="196"/>
      <c r="W722" s="278"/>
      <c r="X722" s="199"/>
      <c r="Y722" s="199"/>
      <c r="Z722" s="199"/>
    </row>
    <row r="723" spans="1:26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196"/>
      <c r="S723" s="196"/>
      <c r="T723" s="278"/>
      <c r="U723" s="196"/>
      <c r="V723" s="196"/>
      <c r="W723" s="278"/>
      <c r="X723" s="199"/>
      <c r="Y723" s="199"/>
      <c r="Z723" s="199"/>
    </row>
    <row r="724" spans="1:26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196"/>
      <c r="S724" s="196"/>
      <c r="T724" s="278"/>
      <c r="U724" s="196"/>
      <c r="V724" s="196"/>
      <c r="W724" s="278"/>
      <c r="X724" s="199"/>
      <c r="Y724" s="199"/>
      <c r="Z724" s="199"/>
    </row>
    <row r="725" spans="1:26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196"/>
      <c r="S725" s="196"/>
      <c r="T725" s="278"/>
      <c r="U725" s="196"/>
      <c r="V725" s="196"/>
      <c r="W725" s="278"/>
      <c r="X725" s="199"/>
      <c r="Y725" s="199"/>
      <c r="Z725" s="199"/>
    </row>
    <row r="726" spans="1:26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196"/>
      <c r="S726" s="196"/>
      <c r="T726" s="278"/>
      <c r="U726" s="196"/>
      <c r="V726" s="196"/>
      <c r="W726" s="278"/>
      <c r="X726" s="199"/>
      <c r="Y726" s="199"/>
      <c r="Z726" s="199"/>
    </row>
    <row r="727" spans="1:26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196"/>
      <c r="S727" s="196"/>
      <c r="T727" s="278"/>
      <c r="U727" s="196"/>
      <c r="V727" s="196"/>
      <c r="W727" s="278"/>
      <c r="X727" s="199"/>
      <c r="Y727" s="199"/>
      <c r="Z727" s="199"/>
    </row>
    <row r="728" spans="1:26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196"/>
      <c r="S728" s="196"/>
      <c r="T728" s="278"/>
      <c r="U728" s="196"/>
      <c r="V728" s="196"/>
      <c r="W728" s="278"/>
      <c r="X728" s="199"/>
      <c r="Y728" s="199"/>
      <c r="Z728" s="199"/>
    </row>
    <row r="729" spans="1:26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196"/>
      <c r="S729" s="196"/>
      <c r="T729" s="278"/>
      <c r="U729" s="196"/>
      <c r="V729" s="196"/>
      <c r="W729" s="278"/>
      <c r="X729" s="199"/>
      <c r="Y729" s="199"/>
      <c r="Z729" s="199"/>
    </row>
    <row r="730" spans="1:26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196"/>
      <c r="S730" s="196"/>
      <c r="T730" s="278"/>
      <c r="U730" s="196"/>
      <c r="V730" s="196"/>
      <c r="W730" s="278"/>
      <c r="X730" s="199"/>
      <c r="Y730" s="199"/>
      <c r="Z730" s="199"/>
    </row>
    <row r="731" spans="1:26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196"/>
      <c r="S731" s="196"/>
      <c r="T731" s="278"/>
      <c r="U731" s="196"/>
      <c r="V731" s="196"/>
      <c r="W731" s="278"/>
      <c r="X731" s="199"/>
      <c r="Y731" s="199"/>
      <c r="Z731" s="199"/>
    </row>
    <row r="732" spans="1:26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196"/>
      <c r="S732" s="196"/>
      <c r="T732" s="278"/>
      <c r="U732" s="196"/>
      <c r="V732" s="196"/>
      <c r="W732" s="278"/>
      <c r="X732" s="199"/>
      <c r="Y732" s="199"/>
      <c r="Z732" s="199"/>
    </row>
    <row r="733" spans="1:26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196"/>
      <c r="S733" s="196"/>
      <c r="T733" s="278"/>
      <c r="U733" s="196"/>
      <c r="V733" s="196"/>
      <c r="W733" s="278"/>
      <c r="X733" s="199"/>
      <c r="Y733" s="199"/>
      <c r="Z733" s="199"/>
    </row>
    <row r="734" spans="1:26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196"/>
      <c r="S734" s="196"/>
      <c r="T734" s="278"/>
      <c r="U734" s="196"/>
      <c r="V734" s="196"/>
      <c r="W734" s="278"/>
      <c r="X734" s="199"/>
      <c r="Y734" s="199"/>
      <c r="Z734" s="199"/>
    </row>
    <row r="735" spans="1:26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196"/>
      <c r="S735" s="196"/>
      <c r="T735" s="278"/>
      <c r="U735" s="196"/>
      <c r="V735" s="196"/>
      <c r="W735" s="278"/>
      <c r="X735" s="199"/>
      <c r="Y735" s="199"/>
      <c r="Z735" s="199"/>
    </row>
    <row r="736" spans="1:26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196"/>
      <c r="S736" s="196"/>
      <c r="T736" s="278"/>
      <c r="U736" s="196"/>
      <c r="V736" s="196"/>
      <c r="W736" s="278"/>
      <c r="X736" s="199"/>
      <c r="Y736" s="199"/>
      <c r="Z736" s="199"/>
    </row>
    <row r="737" spans="1:26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196"/>
      <c r="S737" s="196"/>
      <c r="T737" s="278"/>
      <c r="U737" s="196"/>
      <c r="V737" s="196"/>
      <c r="W737" s="278"/>
      <c r="X737" s="199"/>
      <c r="Y737" s="199"/>
      <c r="Z737" s="199"/>
    </row>
    <row r="738" spans="1:26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196"/>
      <c r="S738" s="196"/>
      <c r="T738" s="278"/>
      <c r="U738" s="196"/>
      <c r="V738" s="196"/>
      <c r="W738" s="278"/>
      <c r="X738" s="199"/>
      <c r="Y738" s="199"/>
      <c r="Z738" s="199"/>
    </row>
    <row r="739" spans="1:26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196"/>
      <c r="S739" s="196"/>
      <c r="T739" s="278"/>
      <c r="U739" s="196"/>
      <c r="V739" s="196"/>
      <c r="W739" s="278"/>
      <c r="X739" s="199"/>
      <c r="Y739" s="199"/>
      <c r="Z739" s="199"/>
    </row>
    <row r="740" spans="1:26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196"/>
      <c r="S740" s="196"/>
      <c r="T740" s="278"/>
      <c r="U740" s="196"/>
      <c r="V740" s="196"/>
      <c r="W740" s="278"/>
      <c r="X740" s="199"/>
      <c r="Y740" s="199"/>
      <c r="Z740" s="199"/>
    </row>
    <row r="741" spans="1:26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196"/>
      <c r="S741" s="196"/>
      <c r="T741" s="278"/>
      <c r="U741" s="196"/>
      <c r="V741" s="196"/>
      <c r="W741" s="278"/>
      <c r="X741" s="199"/>
      <c r="Y741" s="199"/>
      <c r="Z741" s="199"/>
    </row>
    <row r="742" spans="1:26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196"/>
      <c r="S742" s="196"/>
      <c r="T742" s="278"/>
      <c r="U742" s="196"/>
      <c r="V742" s="196"/>
      <c r="W742" s="278"/>
      <c r="X742" s="199"/>
      <c r="Y742" s="199"/>
      <c r="Z742" s="199"/>
    </row>
    <row r="743" spans="1:26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196"/>
      <c r="S743" s="196"/>
      <c r="T743" s="278"/>
      <c r="U743" s="196"/>
      <c r="V743" s="196"/>
      <c r="W743" s="278"/>
      <c r="X743" s="199"/>
      <c r="Y743" s="199"/>
      <c r="Z743" s="199"/>
    </row>
    <row r="744" spans="1:26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196"/>
      <c r="S744" s="196"/>
      <c r="T744" s="278"/>
      <c r="U744" s="196"/>
      <c r="V744" s="196"/>
      <c r="W744" s="278"/>
      <c r="X744" s="199"/>
      <c r="Y744" s="199"/>
      <c r="Z744" s="199"/>
    </row>
    <row r="745" spans="1:26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196"/>
      <c r="S745" s="196"/>
      <c r="T745" s="278"/>
      <c r="U745" s="196"/>
      <c r="V745" s="196"/>
      <c r="W745" s="278"/>
      <c r="X745" s="199"/>
      <c r="Y745" s="199"/>
      <c r="Z745" s="199"/>
    </row>
    <row r="746" spans="1:26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196"/>
      <c r="S746" s="196"/>
      <c r="T746" s="278"/>
      <c r="U746" s="196"/>
      <c r="V746" s="196"/>
      <c r="W746" s="278"/>
      <c r="X746" s="199"/>
      <c r="Y746" s="199"/>
      <c r="Z746" s="199"/>
    </row>
    <row r="747" spans="1:26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196"/>
      <c r="S747" s="196"/>
      <c r="T747" s="278"/>
      <c r="U747" s="196"/>
      <c r="V747" s="196"/>
      <c r="W747" s="278"/>
      <c r="X747" s="199"/>
      <c r="Y747" s="199"/>
      <c r="Z747" s="199"/>
    </row>
    <row r="748" spans="1:26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196"/>
      <c r="S748" s="196"/>
      <c r="T748" s="278"/>
      <c r="U748" s="196"/>
      <c r="V748" s="196"/>
      <c r="W748" s="278"/>
      <c r="X748" s="199"/>
      <c r="Y748" s="199"/>
      <c r="Z748" s="199"/>
    </row>
    <row r="749" spans="1:26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196"/>
      <c r="S749" s="196"/>
      <c r="T749" s="278"/>
      <c r="U749" s="196"/>
      <c r="V749" s="196"/>
      <c r="W749" s="278"/>
      <c r="X749" s="199"/>
      <c r="Y749" s="199"/>
      <c r="Z749" s="199"/>
    </row>
    <row r="750" spans="1:26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196"/>
      <c r="S750" s="196"/>
      <c r="T750" s="278"/>
      <c r="U750" s="196"/>
      <c r="V750" s="196"/>
      <c r="W750" s="278"/>
      <c r="X750" s="199"/>
      <c r="Y750" s="199"/>
      <c r="Z750" s="199"/>
    </row>
    <row r="751" spans="1:26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196"/>
      <c r="S751" s="196"/>
      <c r="T751" s="278"/>
      <c r="U751" s="196"/>
      <c r="V751" s="196"/>
      <c r="W751" s="278"/>
      <c r="X751" s="199"/>
      <c r="Y751" s="199"/>
      <c r="Z751" s="199"/>
    </row>
    <row r="752" spans="1:26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196"/>
      <c r="S752" s="196"/>
      <c r="T752" s="278"/>
      <c r="U752" s="196"/>
      <c r="V752" s="196"/>
      <c r="W752" s="278"/>
      <c r="X752" s="199"/>
      <c r="Y752" s="199"/>
      <c r="Z752" s="199"/>
    </row>
    <row r="753" spans="1:26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196"/>
      <c r="S753" s="196"/>
      <c r="T753" s="278"/>
      <c r="U753" s="196"/>
      <c r="V753" s="196"/>
      <c r="W753" s="278"/>
      <c r="X753" s="199"/>
      <c r="Y753" s="199"/>
      <c r="Z753" s="199"/>
    </row>
    <row r="754" spans="1:26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196"/>
      <c r="S754" s="196"/>
      <c r="T754" s="278"/>
      <c r="U754" s="196"/>
      <c r="V754" s="196"/>
      <c r="W754" s="278"/>
      <c r="X754" s="199"/>
      <c r="Y754" s="199"/>
      <c r="Z754" s="199"/>
    </row>
    <row r="755" spans="1:26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196"/>
      <c r="S755" s="196"/>
      <c r="T755" s="278"/>
      <c r="U755" s="196"/>
      <c r="V755" s="196"/>
      <c r="W755" s="278"/>
      <c r="X755" s="199"/>
      <c r="Y755" s="199"/>
      <c r="Z755" s="199"/>
    </row>
    <row r="756" spans="1:26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196"/>
      <c r="S756" s="196"/>
      <c r="T756" s="278"/>
      <c r="U756" s="196"/>
      <c r="V756" s="196"/>
      <c r="W756" s="278"/>
      <c r="X756" s="199"/>
      <c r="Y756" s="199"/>
      <c r="Z756" s="199"/>
    </row>
    <row r="757" spans="1:26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196"/>
      <c r="S757" s="196"/>
      <c r="T757" s="278"/>
      <c r="U757" s="196"/>
      <c r="V757" s="196"/>
      <c r="W757" s="278"/>
      <c r="X757" s="199"/>
      <c r="Y757" s="199"/>
      <c r="Z757" s="199"/>
    </row>
    <row r="758" spans="1:26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196"/>
      <c r="S758" s="196"/>
      <c r="T758" s="278"/>
      <c r="U758" s="196"/>
      <c r="V758" s="196"/>
      <c r="W758" s="278"/>
      <c r="X758" s="199"/>
      <c r="Y758" s="199"/>
      <c r="Z758" s="199"/>
    </row>
    <row r="759" spans="1:26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196"/>
      <c r="S759" s="196"/>
      <c r="T759" s="278"/>
      <c r="U759" s="196"/>
      <c r="V759" s="196"/>
      <c r="W759" s="278"/>
      <c r="X759" s="199"/>
      <c r="Y759" s="199"/>
      <c r="Z759" s="199"/>
    </row>
    <row r="760" spans="1:26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196"/>
      <c r="S760" s="196"/>
      <c r="T760" s="278"/>
      <c r="U760" s="196"/>
      <c r="V760" s="196"/>
      <c r="W760" s="278"/>
      <c r="X760" s="199"/>
      <c r="Y760" s="199"/>
      <c r="Z760" s="199"/>
    </row>
    <row r="761" spans="1:26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196"/>
      <c r="S761" s="196"/>
      <c r="T761" s="278"/>
      <c r="U761" s="196"/>
      <c r="V761" s="196"/>
      <c r="W761" s="278"/>
      <c r="X761" s="199"/>
      <c r="Y761" s="199"/>
      <c r="Z761" s="199"/>
    </row>
    <row r="762" spans="1:26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196"/>
      <c r="S762" s="196"/>
      <c r="T762" s="278"/>
      <c r="U762" s="196"/>
      <c r="V762" s="196"/>
      <c r="W762" s="278"/>
      <c r="X762" s="199"/>
      <c r="Y762" s="199"/>
      <c r="Z762" s="199"/>
    </row>
    <row r="763" spans="1:26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196"/>
      <c r="S763" s="196"/>
      <c r="T763" s="278"/>
      <c r="U763" s="196"/>
      <c r="V763" s="196"/>
      <c r="W763" s="278"/>
      <c r="X763" s="199"/>
      <c r="Y763" s="199"/>
      <c r="Z763" s="199"/>
    </row>
    <row r="764" spans="1:26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196"/>
      <c r="S764" s="196"/>
      <c r="T764" s="278"/>
      <c r="U764" s="196"/>
      <c r="V764" s="196"/>
      <c r="W764" s="278"/>
      <c r="X764" s="199"/>
      <c r="Y764" s="199"/>
      <c r="Z764" s="199"/>
    </row>
    <row r="765" spans="1:26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196"/>
      <c r="S765" s="196"/>
      <c r="T765" s="278"/>
      <c r="U765" s="196"/>
      <c r="V765" s="196"/>
      <c r="W765" s="278"/>
      <c r="X765" s="199"/>
      <c r="Y765" s="199"/>
      <c r="Z765" s="199"/>
    </row>
    <row r="766" spans="1:26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196"/>
      <c r="S766" s="196"/>
      <c r="T766" s="278"/>
      <c r="U766" s="196"/>
      <c r="V766" s="196"/>
      <c r="W766" s="278"/>
      <c r="X766" s="199"/>
      <c r="Y766" s="199"/>
      <c r="Z766" s="199"/>
    </row>
    <row r="767" spans="1:26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196"/>
      <c r="S767" s="196"/>
      <c r="T767" s="278"/>
      <c r="U767" s="196"/>
      <c r="V767" s="196"/>
      <c r="W767" s="278"/>
      <c r="X767" s="199"/>
      <c r="Y767" s="199"/>
      <c r="Z767" s="199"/>
    </row>
    <row r="768" spans="1:26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196"/>
      <c r="S768" s="196"/>
      <c r="T768" s="278"/>
      <c r="U768" s="196"/>
      <c r="V768" s="196"/>
      <c r="W768" s="278"/>
      <c r="X768" s="199"/>
      <c r="Y768" s="199"/>
      <c r="Z768" s="199"/>
    </row>
    <row r="769" spans="1:26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196"/>
      <c r="S769" s="196"/>
      <c r="T769" s="278"/>
      <c r="U769" s="196"/>
      <c r="V769" s="196"/>
      <c r="W769" s="278"/>
      <c r="X769" s="199"/>
      <c r="Y769" s="199"/>
      <c r="Z769" s="199"/>
    </row>
    <row r="770" spans="1:26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196"/>
      <c r="S770" s="196"/>
      <c r="T770" s="278"/>
      <c r="U770" s="196"/>
      <c r="V770" s="196"/>
      <c r="W770" s="278"/>
      <c r="X770" s="199"/>
      <c r="Y770" s="199"/>
      <c r="Z770" s="199"/>
    </row>
    <row r="771" spans="1:26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196"/>
      <c r="S771" s="196"/>
      <c r="T771" s="278"/>
      <c r="U771" s="196"/>
      <c r="V771" s="196"/>
      <c r="W771" s="278"/>
      <c r="X771" s="199"/>
      <c r="Y771" s="199"/>
      <c r="Z771" s="199"/>
    </row>
    <row r="772" spans="1:26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196"/>
      <c r="S772" s="196"/>
      <c r="T772" s="278"/>
      <c r="U772" s="196"/>
      <c r="V772" s="196"/>
      <c r="W772" s="278"/>
      <c r="X772" s="199"/>
      <c r="Y772" s="199"/>
      <c r="Z772" s="199"/>
    </row>
    <row r="773" spans="1:26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196"/>
      <c r="S773" s="196"/>
      <c r="T773" s="278"/>
      <c r="U773" s="196"/>
      <c r="V773" s="196"/>
      <c r="W773" s="278"/>
      <c r="X773" s="199"/>
      <c r="Y773" s="199"/>
      <c r="Z773" s="199"/>
    </row>
    <row r="774" spans="1:26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196"/>
      <c r="S774" s="196"/>
      <c r="T774" s="278"/>
      <c r="U774" s="196"/>
      <c r="V774" s="196"/>
      <c r="W774" s="278"/>
      <c r="X774" s="199"/>
      <c r="Y774" s="199"/>
      <c r="Z774" s="199"/>
    </row>
    <row r="775" spans="1:26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196"/>
      <c r="S775" s="196"/>
      <c r="T775" s="278"/>
      <c r="U775" s="196"/>
      <c r="V775" s="196"/>
      <c r="W775" s="278"/>
      <c r="X775" s="199"/>
      <c r="Y775" s="199"/>
      <c r="Z775" s="199"/>
    </row>
    <row r="776" spans="1:26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196"/>
      <c r="S776" s="196"/>
      <c r="T776" s="278"/>
      <c r="U776" s="196"/>
      <c r="V776" s="196"/>
      <c r="W776" s="278"/>
      <c r="X776" s="199"/>
      <c r="Y776" s="199"/>
      <c r="Z776" s="199"/>
    </row>
    <row r="777" spans="1:26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196"/>
      <c r="S777" s="196"/>
      <c r="T777" s="278"/>
      <c r="U777" s="196"/>
      <c r="V777" s="196"/>
      <c r="W777" s="278"/>
      <c r="X777" s="199"/>
      <c r="Y777" s="199"/>
      <c r="Z777" s="199"/>
    </row>
    <row r="778" spans="1:26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196"/>
      <c r="S778" s="196"/>
      <c r="T778" s="278"/>
      <c r="U778" s="196"/>
      <c r="V778" s="196"/>
      <c r="W778" s="278"/>
      <c r="X778" s="199"/>
      <c r="Y778" s="199"/>
      <c r="Z778" s="199"/>
    </row>
    <row r="779" spans="1:26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196"/>
      <c r="S779" s="196"/>
      <c r="T779" s="278"/>
      <c r="U779" s="196"/>
      <c r="V779" s="196"/>
      <c r="W779" s="278"/>
      <c r="X779" s="199"/>
      <c r="Y779" s="199"/>
      <c r="Z779" s="199"/>
    </row>
    <row r="780" spans="1:26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196"/>
      <c r="S780" s="196"/>
      <c r="T780" s="278"/>
      <c r="U780" s="196"/>
      <c r="V780" s="196"/>
      <c r="W780" s="278"/>
      <c r="X780" s="199"/>
      <c r="Y780" s="199"/>
      <c r="Z780" s="199"/>
    </row>
    <row r="781" spans="1:26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196"/>
      <c r="S781" s="196"/>
      <c r="T781" s="278"/>
      <c r="U781" s="196"/>
      <c r="V781" s="196"/>
      <c r="W781" s="278"/>
      <c r="X781" s="199"/>
      <c r="Y781" s="199"/>
      <c r="Z781" s="199"/>
    </row>
    <row r="782" spans="1:26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196"/>
      <c r="S782" s="196"/>
      <c r="T782" s="278"/>
      <c r="U782" s="196"/>
      <c r="V782" s="196"/>
      <c r="W782" s="278"/>
      <c r="X782" s="199"/>
      <c r="Y782" s="199"/>
      <c r="Z782" s="199"/>
    </row>
    <row r="783" spans="1:26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196"/>
      <c r="S783" s="196"/>
      <c r="T783" s="278"/>
      <c r="U783" s="196"/>
      <c r="V783" s="196"/>
      <c r="W783" s="278"/>
      <c r="X783" s="199"/>
      <c r="Y783" s="199"/>
      <c r="Z783" s="199"/>
    </row>
    <row r="784" spans="1:26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196"/>
      <c r="S784" s="196"/>
      <c r="T784" s="278"/>
      <c r="U784" s="196"/>
      <c r="V784" s="196"/>
      <c r="W784" s="278"/>
      <c r="X784" s="199"/>
      <c r="Y784" s="199"/>
      <c r="Z784" s="199"/>
    </row>
    <row r="785" spans="1:26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196"/>
      <c r="S785" s="196"/>
      <c r="T785" s="278"/>
      <c r="U785" s="196"/>
      <c r="V785" s="196"/>
      <c r="W785" s="278"/>
      <c r="X785" s="199"/>
      <c r="Y785" s="199"/>
      <c r="Z785" s="199"/>
    </row>
    <row r="786" spans="1:26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196"/>
      <c r="S786" s="196"/>
      <c r="T786" s="278"/>
      <c r="U786" s="196"/>
      <c r="V786" s="196"/>
      <c r="W786" s="278"/>
      <c r="X786" s="199"/>
      <c r="Y786" s="199"/>
      <c r="Z786" s="199"/>
    </row>
    <row r="787" spans="1:26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196"/>
      <c r="S787" s="196"/>
      <c r="T787" s="278"/>
      <c r="U787" s="196"/>
      <c r="V787" s="196"/>
      <c r="W787" s="278"/>
      <c r="X787" s="199"/>
      <c r="Y787" s="199"/>
      <c r="Z787" s="199"/>
    </row>
    <row r="788" spans="1:26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196"/>
      <c r="S788" s="196"/>
      <c r="T788" s="278"/>
      <c r="U788" s="196"/>
      <c r="V788" s="196"/>
      <c r="W788" s="278"/>
      <c r="X788" s="199"/>
      <c r="Y788" s="199"/>
      <c r="Z788" s="199"/>
    </row>
    <row r="789" spans="1:26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196"/>
      <c r="S789" s="196"/>
      <c r="T789" s="278"/>
      <c r="U789" s="196"/>
      <c r="V789" s="196"/>
      <c r="W789" s="278"/>
      <c r="X789" s="199"/>
      <c r="Y789" s="199"/>
      <c r="Z789" s="199"/>
    </row>
    <row r="790" spans="1:26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196"/>
      <c r="S790" s="196"/>
      <c r="T790" s="278"/>
      <c r="U790" s="196"/>
      <c r="V790" s="196"/>
      <c r="W790" s="278"/>
      <c r="X790" s="199"/>
      <c r="Y790" s="199"/>
      <c r="Z790" s="199"/>
    </row>
    <row r="791" spans="1:26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196"/>
      <c r="S791" s="196"/>
      <c r="T791" s="278"/>
      <c r="U791" s="196"/>
      <c r="V791" s="196"/>
      <c r="W791" s="278"/>
      <c r="X791" s="199"/>
      <c r="Y791" s="199"/>
      <c r="Z791" s="199"/>
    </row>
    <row r="792" spans="1:26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196"/>
      <c r="S792" s="196"/>
      <c r="T792" s="278"/>
      <c r="U792" s="196"/>
      <c r="V792" s="196"/>
      <c r="W792" s="278"/>
      <c r="X792" s="199"/>
      <c r="Y792" s="199"/>
      <c r="Z792" s="199"/>
    </row>
    <row r="793" spans="1:26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196"/>
      <c r="S793" s="196"/>
      <c r="T793" s="278"/>
      <c r="U793" s="196"/>
      <c r="V793" s="196"/>
      <c r="W793" s="278"/>
      <c r="X793" s="199"/>
      <c r="Y793" s="199"/>
      <c r="Z793" s="199"/>
    </row>
    <row r="794" spans="1:26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196"/>
      <c r="S794" s="196"/>
      <c r="T794" s="278"/>
      <c r="U794" s="196"/>
      <c r="V794" s="196"/>
      <c r="W794" s="278"/>
      <c r="X794" s="199"/>
      <c r="Y794" s="199"/>
      <c r="Z794" s="199"/>
    </row>
    <row r="795" spans="1:26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196"/>
      <c r="S795" s="196"/>
      <c r="T795" s="278"/>
      <c r="U795" s="196"/>
      <c r="V795" s="196"/>
      <c r="W795" s="278"/>
      <c r="X795" s="199"/>
      <c r="Y795" s="199"/>
      <c r="Z795" s="199"/>
    </row>
    <row r="796" spans="1:26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196"/>
      <c r="S796" s="196"/>
      <c r="T796" s="278"/>
      <c r="U796" s="196"/>
      <c r="V796" s="196"/>
      <c r="W796" s="278"/>
      <c r="X796" s="199"/>
      <c r="Y796" s="199"/>
      <c r="Z796" s="199"/>
    </row>
    <row r="797" spans="1:26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196"/>
      <c r="S797" s="196"/>
      <c r="T797" s="278"/>
      <c r="U797" s="196"/>
      <c r="V797" s="196"/>
      <c r="W797" s="278"/>
      <c r="X797" s="199"/>
      <c r="Y797" s="199"/>
      <c r="Z797" s="199"/>
    </row>
    <row r="798" spans="1:26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196"/>
      <c r="S798" s="196"/>
      <c r="T798" s="278"/>
      <c r="U798" s="196"/>
      <c r="V798" s="196"/>
      <c r="W798" s="278"/>
      <c r="X798" s="199"/>
      <c r="Y798" s="199"/>
      <c r="Z798" s="199"/>
    </row>
    <row r="799" spans="1:26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196"/>
      <c r="S799" s="196"/>
      <c r="T799" s="278"/>
      <c r="U799" s="196"/>
      <c r="V799" s="196"/>
      <c r="W799" s="278"/>
      <c r="X799" s="199"/>
      <c r="Y799" s="199"/>
      <c r="Z799" s="199"/>
    </row>
    <row r="800" spans="1:26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196"/>
      <c r="S800" s="196"/>
      <c r="T800" s="278"/>
      <c r="U800" s="196"/>
      <c r="V800" s="196"/>
      <c r="W800" s="278"/>
      <c r="X800" s="199"/>
      <c r="Y800" s="199"/>
      <c r="Z800" s="199"/>
    </row>
    <row r="801" spans="1:26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196"/>
      <c r="S801" s="196"/>
      <c r="T801" s="278"/>
      <c r="U801" s="196"/>
      <c r="V801" s="196"/>
      <c r="W801" s="278"/>
      <c r="X801" s="199"/>
      <c r="Y801" s="199"/>
      <c r="Z801" s="199"/>
    </row>
    <row r="802" spans="1:26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196"/>
      <c r="S802" s="196"/>
      <c r="T802" s="278"/>
      <c r="U802" s="196"/>
      <c r="V802" s="196"/>
      <c r="W802" s="278"/>
      <c r="X802" s="199"/>
      <c r="Y802" s="199"/>
      <c r="Z802" s="199"/>
    </row>
    <row r="803" spans="1:26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196"/>
      <c r="S803" s="196"/>
      <c r="T803" s="278"/>
      <c r="U803" s="196"/>
      <c r="V803" s="196"/>
      <c r="W803" s="278"/>
      <c r="X803" s="199"/>
      <c r="Y803" s="199"/>
      <c r="Z803" s="199"/>
    </row>
    <row r="804" spans="1:26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196"/>
      <c r="S804" s="196"/>
      <c r="T804" s="278"/>
      <c r="U804" s="196"/>
      <c r="V804" s="196"/>
      <c r="W804" s="278"/>
      <c r="X804" s="199"/>
      <c r="Y804" s="199"/>
      <c r="Z804" s="199"/>
    </row>
    <row r="805" spans="1:26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196"/>
      <c r="S805" s="196"/>
      <c r="T805" s="278"/>
      <c r="U805" s="196"/>
      <c r="V805" s="196"/>
      <c r="W805" s="278"/>
      <c r="X805" s="199"/>
      <c r="Y805" s="199"/>
      <c r="Z805" s="199"/>
    </row>
    <row r="806" spans="1:26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196"/>
      <c r="S806" s="196"/>
      <c r="T806" s="278"/>
      <c r="U806" s="196"/>
      <c r="V806" s="196"/>
      <c r="W806" s="278"/>
      <c r="X806" s="199"/>
      <c r="Y806" s="199"/>
      <c r="Z806" s="199"/>
    </row>
    <row r="807" spans="1:26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196"/>
      <c r="S807" s="196"/>
      <c r="T807" s="278"/>
      <c r="U807" s="196"/>
      <c r="V807" s="196"/>
      <c r="W807" s="278"/>
      <c r="X807" s="199"/>
      <c r="Y807" s="199"/>
      <c r="Z807" s="199"/>
    </row>
    <row r="808" spans="1:26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196"/>
      <c r="S808" s="196"/>
      <c r="T808" s="278"/>
      <c r="U808" s="196"/>
      <c r="V808" s="196"/>
      <c r="W808" s="278"/>
      <c r="X808" s="199"/>
      <c r="Y808" s="199"/>
      <c r="Z808" s="199"/>
    </row>
    <row r="809" spans="1:26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196"/>
      <c r="S809" s="196"/>
      <c r="T809" s="278"/>
      <c r="U809" s="196"/>
      <c r="V809" s="196"/>
      <c r="W809" s="278"/>
      <c r="X809" s="199"/>
      <c r="Y809" s="199"/>
      <c r="Z809" s="199"/>
    </row>
    <row r="810" spans="1:26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196"/>
      <c r="S810" s="196"/>
      <c r="T810" s="278"/>
      <c r="U810" s="196"/>
      <c r="V810" s="196"/>
      <c r="W810" s="278"/>
      <c r="X810" s="199"/>
      <c r="Y810" s="199"/>
      <c r="Z810" s="199"/>
    </row>
    <row r="811" spans="1:26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196"/>
      <c r="S811" s="196"/>
      <c r="T811" s="278"/>
      <c r="U811" s="196"/>
      <c r="V811" s="196"/>
      <c r="W811" s="278"/>
      <c r="X811" s="199"/>
      <c r="Y811" s="199"/>
      <c r="Z811" s="199"/>
    </row>
    <row r="812" spans="1:26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196"/>
      <c r="S812" s="196"/>
      <c r="T812" s="278"/>
      <c r="U812" s="196"/>
      <c r="V812" s="196"/>
      <c r="W812" s="278"/>
      <c r="X812" s="199"/>
      <c r="Y812" s="199"/>
      <c r="Z812" s="199"/>
    </row>
    <row r="813" spans="1:26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196"/>
      <c r="S813" s="196"/>
      <c r="T813" s="278"/>
      <c r="U813" s="196"/>
      <c r="V813" s="196"/>
      <c r="W813" s="278"/>
      <c r="X813" s="199"/>
      <c r="Y813" s="199"/>
      <c r="Z813" s="199"/>
    </row>
    <row r="814" spans="1:26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196"/>
      <c r="S814" s="196"/>
      <c r="T814" s="278"/>
      <c r="U814" s="196"/>
      <c r="V814" s="196"/>
      <c r="W814" s="278"/>
      <c r="X814" s="199"/>
      <c r="Y814" s="199"/>
      <c r="Z814" s="199"/>
    </row>
    <row r="815" spans="1:26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196"/>
      <c r="S815" s="196"/>
      <c r="T815" s="278"/>
      <c r="U815" s="196"/>
      <c r="V815" s="196"/>
      <c r="W815" s="278"/>
      <c r="X815" s="199"/>
      <c r="Y815" s="199"/>
      <c r="Z815" s="199"/>
    </row>
    <row r="816" spans="1:26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196"/>
      <c r="S816" s="196"/>
      <c r="T816" s="278"/>
      <c r="U816" s="196"/>
      <c r="V816" s="196"/>
      <c r="W816" s="278"/>
      <c r="X816" s="199"/>
      <c r="Y816" s="199"/>
      <c r="Z816" s="199"/>
    </row>
    <row r="817" spans="1:26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196"/>
      <c r="S817" s="196"/>
      <c r="T817" s="278"/>
      <c r="U817" s="196"/>
      <c r="V817" s="196"/>
      <c r="W817" s="278"/>
      <c r="X817" s="199"/>
      <c r="Y817" s="199"/>
      <c r="Z817" s="199"/>
    </row>
    <row r="818" spans="1:26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196"/>
      <c r="S818" s="196"/>
      <c r="T818" s="278"/>
      <c r="U818" s="196"/>
      <c r="V818" s="196"/>
      <c r="W818" s="278"/>
      <c r="X818" s="199"/>
      <c r="Y818" s="199"/>
      <c r="Z818" s="199"/>
    </row>
    <row r="819" spans="1:26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196"/>
      <c r="S819" s="196"/>
      <c r="T819" s="278"/>
      <c r="U819" s="196"/>
      <c r="V819" s="196"/>
      <c r="W819" s="278"/>
      <c r="X819" s="199"/>
      <c r="Y819" s="199"/>
      <c r="Z819" s="199"/>
    </row>
    <row r="820" spans="1:26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196"/>
      <c r="S820" s="196"/>
      <c r="T820" s="278"/>
      <c r="U820" s="196"/>
      <c r="V820" s="196"/>
      <c r="W820" s="278"/>
      <c r="X820" s="199"/>
      <c r="Y820" s="199"/>
      <c r="Z820" s="199"/>
    </row>
    <row r="821" spans="1:26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196"/>
      <c r="S821" s="196"/>
      <c r="T821" s="278"/>
      <c r="U821" s="196"/>
      <c r="V821" s="196"/>
      <c r="W821" s="278"/>
      <c r="X821" s="199"/>
      <c r="Y821" s="199"/>
      <c r="Z821" s="199"/>
    </row>
    <row r="822" spans="1:26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196"/>
      <c r="S822" s="196"/>
      <c r="T822" s="278"/>
      <c r="U822" s="196"/>
      <c r="V822" s="196"/>
      <c r="W822" s="278"/>
      <c r="X822" s="199"/>
      <c r="Y822" s="199"/>
      <c r="Z822" s="199"/>
    </row>
    <row r="823" spans="1:26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196"/>
      <c r="S823" s="196"/>
      <c r="T823" s="278"/>
      <c r="U823" s="196"/>
      <c r="V823" s="196"/>
      <c r="W823" s="278"/>
      <c r="X823" s="199"/>
      <c r="Y823" s="199"/>
      <c r="Z823" s="199"/>
    </row>
    <row r="824" spans="1:26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196"/>
      <c r="S824" s="196"/>
      <c r="T824" s="278"/>
      <c r="U824" s="196"/>
      <c r="V824" s="196"/>
      <c r="W824" s="278"/>
      <c r="X824" s="199"/>
      <c r="Y824" s="199"/>
      <c r="Z824" s="199"/>
    </row>
    <row r="825" spans="1:26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196"/>
      <c r="S825" s="196"/>
      <c r="T825" s="278"/>
      <c r="U825" s="196"/>
      <c r="V825" s="196"/>
      <c r="W825" s="278"/>
      <c r="X825" s="199"/>
      <c r="Y825" s="199"/>
      <c r="Z825" s="199"/>
    </row>
    <row r="826" spans="1:26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196"/>
      <c r="S826" s="196"/>
      <c r="T826" s="278"/>
      <c r="U826" s="196"/>
      <c r="V826" s="196"/>
      <c r="W826" s="278"/>
      <c r="X826" s="199"/>
      <c r="Y826" s="199"/>
      <c r="Z826" s="199"/>
    </row>
    <row r="827" spans="1:26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196"/>
      <c r="S827" s="196"/>
      <c r="T827" s="278"/>
      <c r="U827" s="196"/>
      <c r="V827" s="196"/>
      <c r="W827" s="278"/>
      <c r="X827" s="199"/>
      <c r="Y827" s="199"/>
      <c r="Z827" s="199"/>
    </row>
    <row r="828" spans="1:26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196"/>
      <c r="S828" s="196"/>
      <c r="T828" s="278"/>
      <c r="U828" s="196"/>
      <c r="V828" s="196"/>
      <c r="W828" s="278"/>
      <c r="X828" s="199"/>
      <c r="Y828" s="199"/>
      <c r="Z828" s="199"/>
    </row>
    <row r="829" spans="1:26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196"/>
      <c r="S829" s="196"/>
      <c r="T829" s="278"/>
      <c r="U829" s="196"/>
      <c r="V829" s="196"/>
      <c r="W829" s="278"/>
      <c r="X829" s="199"/>
      <c r="Y829" s="199"/>
      <c r="Z829" s="199"/>
    </row>
    <row r="830" spans="1:26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196"/>
      <c r="S830" s="196"/>
      <c r="T830" s="278"/>
      <c r="U830" s="196"/>
      <c r="V830" s="196"/>
      <c r="W830" s="278"/>
      <c r="X830" s="199"/>
      <c r="Y830" s="199"/>
      <c r="Z830" s="199"/>
    </row>
    <row r="831" spans="1:26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196"/>
      <c r="S831" s="196"/>
      <c r="T831" s="278"/>
      <c r="U831" s="196"/>
      <c r="V831" s="196"/>
      <c r="W831" s="278"/>
      <c r="X831" s="199"/>
      <c r="Y831" s="199"/>
      <c r="Z831" s="199"/>
    </row>
    <row r="832" spans="1:26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196"/>
      <c r="S832" s="196"/>
      <c r="T832" s="278"/>
      <c r="U832" s="196"/>
      <c r="V832" s="196"/>
      <c r="W832" s="278"/>
      <c r="X832" s="199"/>
      <c r="Y832" s="199"/>
      <c r="Z832" s="199"/>
    </row>
    <row r="833" spans="1:26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196"/>
      <c r="S833" s="196"/>
      <c r="T833" s="278"/>
      <c r="U833" s="196"/>
      <c r="V833" s="196"/>
      <c r="W833" s="278"/>
      <c r="X833" s="199"/>
      <c r="Y833" s="199"/>
      <c r="Z833" s="199"/>
    </row>
    <row r="834" spans="1:26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196"/>
      <c r="S834" s="196"/>
      <c r="T834" s="278"/>
      <c r="U834" s="196"/>
      <c r="V834" s="196"/>
      <c r="W834" s="278"/>
      <c r="X834" s="199"/>
      <c r="Y834" s="199"/>
      <c r="Z834" s="199"/>
    </row>
    <row r="835" spans="1:26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196"/>
      <c r="S835" s="196"/>
      <c r="T835" s="278"/>
      <c r="U835" s="196"/>
      <c r="V835" s="196"/>
      <c r="W835" s="278"/>
      <c r="X835" s="199"/>
      <c r="Y835" s="199"/>
      <c r="Z835" s="199"/>
    </row>
    <row r="836" spans="1:26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196"/>
      <c r="S836" s="196"/>
      <c r="T836" s="278"/>
      <c r="U836" s="196"/>
      <c r="V836" s="196"/>
      <c r="W836" s="278"/>
      <c r="X836" s="199"/>
      <c r="Y836" s="199"/>
      <c r="Z836" s="199"/>
    </row>
    <row r="837" spans="1:26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196"/>
      <c r="S837" s="196"/>
      <c r="T837" s="278"/>
      <c r="U837" s="196"/>
      <c r="V837" s="196"/>
      <c r="W837" s="278"/>
      <c r="X837" s="199"/>
      <c r="Y837" s="199"/>
      <c r="Z837" s="199"/>
    </row>
    <row r="838" spans="1:26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196"/>
      <c r="S838" s="196"/>
      <c r="T838" s="278"/>
      <c r="U838" s="196"/>
      <c r="V838" s="196"/>
      <c r="W838" s="278"/>
      <c r="X838" s="199"/>
      <c r="Y838" s="199"/>
      <c r="Z838" s="199"/>
    </row>
    <row r="839" spans="1:26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196"/>
      <c r="S839" s="196"/>
      <c r="T839" s="278"/>
      <c r="U839" s="196"/>
      <c r="V839" s="196"/>
      <c r="W839" s="278"/>
      <c r="X839" s="199"/>
      <c r="Y839" s="199"/>
      <c r="Z839" s="199"/>
    </row>
    <row r="840" spans="1:26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196"/>
      <c r="S840" s="196"/>
      <c r="T840" s="278"/>
      <c r="U840" s="196"/>
      <c r="V840" s="196"/>
      <c r="W840" s="278"/>
      <c r="X840" s="199"/>
      <c r="Y840" s="199"/>
      <c r="Z840" s="199"/>
    </row>
    <row r="841" spans="1:26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196"/>
      <c r="S841" s="196"/>
      <c r="T841" s="278"/>
      <c r="U841" s="196"/>
      <c r="V841" s="196"/>
      <c r="W841" s="278"/>
      <c r="X841" s="199"/>
      <c r="Y841" s="199"/>
      <c r="Z841" s="199"/>
    </row>
    <row r="842" spans="1:26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196"/>
      <c r="S842" s="196"/>
      <c r="T842" s="278"/>
      <c r="U842" s="196"/>
      <c r="V842" s="196"/>
      <c r="W842" s="278"/>
      <c r="X842" s="199"/>
      <c r="Y842" s="199"/>
      <c r="Z842" s="199"/>
    </row>
    <row r="843" spans="1:26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196"/>
      <c r="S843" s="196"/>
      <c r="T843" s="278"/>
      <c r="U843" s="196"/>
      <c r="V843" s="196"/>
      <c r="W843" s="278"/>
      <c r="X843" s="199"/>
      <c r="Y843" s="199"/>
      <c r="Z843" s="199"/>
    </row>
    <row r="844" spans="1:26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196"/>
      <c r="S844" s="196"/>
      <c r="T844" s="278"/>
      <c r="U844" s="196"/>
      <c r="V844" s="196"/>
      <c r="W844" s="278"/>
      <c r="X844" s="199"/>
      <c r="Y844" s="199"/>
      <c r="Z844" s="199"/>
    </row>
    <row r="845" spans="1:26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196"/>
      <c r="S845" s="196"/>
      <c r="T845" s="278"/>
      <c r="U845" s="196"/>
      <c r="V845" s="196"/>
      <c r="W845" s="278"/>
      <c r="X845" s="199"/>
      <c r="Y845" s="199"/>
      <c r="Z845" s="199"/>
    </row>
    <row r="846" spans="1:26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196"/>
      <c r="S846" s="196"/>
      <c r="T846" s="278"/>
      <c r="U846" s="196"/>
      <c r="V846" s="196"/>
      <c r="W846" s="278"/>
      <c r="X846" s="199"/>
      <c r="Y846" s="199"/>
      <c r="Z846" s="199"/>
    </row>
    <row r="847" spans="1:26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196"/>
      <c r="S847" s="196"/>
      <c r="T847" s="278"/>
      <c r="U847" s="196"/>
      <c r="V847" s="196"/>
      <c r="W847" s="278"/>
      <c r="X847" s="199"/>
      <c r="Y847" s="199"/>
      <c r="Z847" s="199"/>
    </row>
    <row r="848" spans="1:26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196"/>
      <c r="S848" s="196"/>
      <c r="T848" s="278"/>
      <c r="U848" s="196"/>
      <c r="V848" s="196"/>
      <c r="W848" s="278"/>
      <c r="X848" s="199"/>
      <c r="Y848" s="199"/>
      <c r="Z848" s="199"/>
    </row>
    <row r="849" spans="1:26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196"/>
      <c r="S849" s="196"/>
      <c r="T849" s="278"/>
      <c r="U849" s="196"/>
      <c r="V849" s="196"/>
      <c r="W849" s="278"/>
      <c r="X849" s="199"/>
      <c r="Y849" s="199"/>
      <c r="Z849" s="199"/>
    </row>
    <row r="850" spans="1:26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196"/>
      <c r="S850" s="196"/>
      <c r="T850" s="278"/>
      <c r="U850" s="196"/>
      <c r="V850" s="196"/>
      <c r="W850" s="278"/>
      <c r="X850" s="199"/>
      <c r="Y850" s="199"/>
      <c r="Z850" s="199"/>
    </row>
    <row r="851" spans="1:26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196"/>
      <c r="S851" s="196"/>
      <c r="T851" s="278"/>
      <c r="U851" s="196"/>
      <c r="V851" s="196"/>
      <c r="W851" s="278"/>
      <c r="X851" s="199"/>
      <c r="Y851" s="199"/>
      <c r="Z851" s="199"/>
    </row>
    <row r="852" spans="1:26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196"/>
      <c r="S852" s="196"/>
      <c r="T852" s="278"/>
      <c r="U852" s="196"/>
      <c r="V852" s="196"/>
      <c r="W852" s="278"/>
      <c r="X852" s="199"/>
      <c r="Y852" s="199"/>
      <c r="Z852" s="199"/>
    </row>
    <row r="853" spans="1:26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196"/>
      <c r="S853" s="196"/>
      <c r="T853" s="278"/>
      <c r="U853" s="196"/>
      <c r="V853" s="196"/>
      <c r="W853" s="278"/>
      <c r="X853" s="199"/>
      <c r="Y853" s="199"/>
      <c r="Z853" s="199"/>
    </row>
    <row r="854" spans="1:26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196"/>
      <c r="S854" s="196"/>
      <c r="T854" s="278"/>
      <c r="U854" s="196"/>
      <c r="V854" s="196"/>
      <c r="W854" s="278"/>
      <c r="X854" s="199"/>
      <c r="Y854" s="199"/>
      <c r="Z854" s="199"/>
    </row>
    <row r="855" spans="1:26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196"/>
      <c r="S855" s="196"/>
      <c r="T855" s="278"/>
      <c r="U855" s="196"/>
      <c r="V855" s="196"/>
      <c r="W855" s="278"/>
      <c r="X855" s="199"/>
      <c r="Y855" s="199"/>
      <c r="Z855" s="199"/>
    </row>
    <row r="856" spans="1:26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196"/>
      <c r="S856" s="196"/>
      <c r="T856" s="278"/>
      <c r="U856" s="196"/>
      <c r="V856" s="196"/>
      <c r="W856" s="278"/>
      <c r="X856" s="199"/>
      <c r="Y856" s="199"/>
      <c r="Z856" s="199"/>
    </row>
    <row r="857" spans="1:26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196"/>
      <c r="S857" s="196"/>
      <c r="T857" s="278"/>
      <c r="U857" s="196"/>
      <c r="V857" s="196"/>
      <c r="W857" s="278"/>
      <c r="X857" s="199"/>
      <c r="Y857" s="199"/>
      <c r="Z857" s="199"/>
    </row>
    <row r="858" spans="1:26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196"/>
      <c r="S858" s="196"/>
      <c r="T858" s="278"/>
      <c r="U858" s="196"/>
      <c r="V858" s="196"/>
      <c r="W858" s="278"/>
      <c r="X858" s="199"/>
      <c r="Y858" s="199"/>
      <c r="Z858" s="199"/>
    </row>
    <row r="859" spans="1:26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196"/>
      <c r="S859" s="196"/>
      <c r="T859" s="278"/>
      <c r="U859" s="196"/>
      <c r="V859" s="196"/>
      <c r="W859" s="278"/>
      <c r="X859" s="199"/>
      <c r="Y859" s="199"/>
      <c r="Z859" s="199"/>
    </row>
    <row r="860" spans="1:26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196"/>
      <c r="S860" s="196"/>
      <c r="T860" s="278"/>
      <c r="U860" s="196"/>
      <c r="V860" s="196"/>
      <c r="W860" s="278"/>
      <c r="X860" s="199"/>
      <c r="Y860" s="199"/>
      <c r="Z860" s="199"/>
    </row>
    <row r="861" spans="1:26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196"/>
      <c r="S861" s="196"/>
      <c r="T861" s="278"/>
      <c r="U861" s="196"/>
      <c r="V861" s="196"/>
      <c r="W861" s="278"/>
      <c r="X861" s="199"/>
      <c r="Y861" s="199"/>
      <c r="Z861" s="199"/>
    </row>
    <row r="862" spans="1:26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196"/>
      <c r="S862" s="196"/>
      <c r="T862" s="278"/>
      <c r="U862" s="196"/>
      <c r="V862" s="196"/>
      <c r="W862" s="278"/>
      <c r="X862" s="199"/>
      <c r="Y862" s="199"/>
      <c r="Z862" s="199"/>
    </row>
    <row r="863" spans="1:26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196"/>
      <c r="S863" s="196"/>
      <c r="T863" s="278"/>
      <c r="U863" s="196"/>
      <c r="V863" s="196"/>
      <c r="W863" s="278"/>
      <c r="X863" s="199"/>
      <c r="Y863" s="199"/>
      <c r="Z863" s="199"/>
    </row>
    <row r="864" spans="1:26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196"/>
      <c r="S864" s="196"/>
      <c r="T864" s="278"/>
      <c r="U864" s="196"/>
      <c r="V864" s="196"/>
      <c r="W864" s="278"/>
      <c r="X864" s="199"/>
      <c r="Y864" s="199"/>
      <c r="Z864" s="199"/>
    </row>
    <row r="865" spans="1:26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196"/>
      <c r="S865" s="196"/>
      <c r="T865" s="278"/>
      <c r="U865" s="196"/>
      <c r="V865" s="196"/>
      <c r="W865" s="278"/>
      <c r="X865" s="199"/>
      <c r="Y865" s="199"/>
      <c r="Z865" s="199"/>
    </row>
    <row r="866" spans="1:26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196"/>
      <c r="S866" s="196"/>
      <c r="T866" s="278"/>
      <c r="U866" s="196"/>
      <c r="V866" s="196"/>
      <c r="W866" s="278"/>
      <c r="X866" s="199"/>
      <c r="Y866" s="199"/>
      <c r="Z866" s="199"/>
    </row>
    <row r="867" spans="1:26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196"/>
      <c r="S867" s="196"/>
      <c r="T867" s="278"/>
      <c r="U867" s="196"/>
      <c r="V867" s="196"/>
      <c r="W867" s="278"/>
      <c r="X867" s="199"/>
      <c r="Y867" s="199"/>
      <c r="Z867" s="199"/>
    </row>
    <row r="868" spans="1:26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196"/>
      <c r="S868" s="196"/>
      <c r="T868" s="278"/>
      <c r="U868" s="196"/>
      <c r="V868" s="196"/>
      <c r="W868" s="278"/>
      <c r="X868" s="199"/>
      <c r="Y868" s="199"/>
      <c r="Z868" s="199"/>
    </row>
    <row r="869" spans="1:26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196"/>
      <c r="S869" s="196"/>
      <c r="T869" s="278"/>
      <c r="U869" s="196"/>
      <c r="V869" s="196"/>
      <c r="W869" s="278"/>
      <c r="X869" s="199"/>
      <c r="Y869" s="199"/>
      <c r="Z869" s="199"/>
    </row>
    <row r="870" spans="1:26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196"/>
      <c r="S870" s="196"/>
      <c r="T870" s="278"/>
      <c r="U870" s="196"/>
      <c r="V870" s="196"/>
      <c r="W870" s="278"/>
      <c r="X870" s="199"/>
      <c r="Y870" s="199"/>
      <c r="Z870" s="199"/>
    </row>
    <row r="871" spans="1:26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196"/>
      <c r="S871" s="196"/>
      <c r="T871" s="278"/>
      <c r="U871" s="196"/>
      <c r="V871" s="196"/>
      <c r="W871" s="278"/>
      <c r="X871" s="199"/>
      <c r="Y871" s="199"/>
      <c r="Z871" s="199"/>
    </row>
    <row r="872" spans="1:26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196"/>
      <c r="S872" s="196"/>
      <c r="T872" s="278"/>
      <c r="U872" s="196"/>
      <c r="V872" s="196"/>
      <c r="W872" s="278"/>
      <c r="X872" s="199"/>
      <c r="Y872" s="199"/>
      <c r="Z872" s="199"/>
    </row>
    <row r="873" spans="1:26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196"/>
      <c r="S873" s="196"/>
      <c r="T873" s="278"/>
      <c r="U873" s="196"/>
      <c r="V873" s="196"/>
      <c r="W873" s="278"/>
      <c r="X873" s="199"/>
      <c r="Y873" s="199"/>
      <c r="Z873" s="199"/>
    </row>
    <row r="874" spans="1:26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196"/>
      <c r="S874" s="196"/>
      <c r="T874" s="278"/>
      <c r="U874" s="196"/>
      <c r="V874" s="196"/>
      <c r="W874" s="278"/>
      <c r="X874" s="199"/>
      <c r="Y874" s="199"/>
      <c r="Z874" s="199"/>
    </row>
    <row r="875" spans="1:26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196"/>
      <c r="S875" s="196"/>
      <c r="T875" s="278"/>
      <c r="U875" s="196"/>
      <c r="V875" s="196"/>
      <c r="W875" s="278"/>
      <c r="X875" s="199"/>
      <c r="Y875" s="199"/>
      <c r="Z875" s="199"/>
    </row>
    <row r="876" spans="1:26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196"/>
      <c r="S876" s="196"/>
      <c r="T876" s="278"/>
      <c r="U876" s="196"/>
      <c r="V876" s="196"/>
      <c r="W876" s="278"/>
      <c r="X876" s="199"/>
      <c r="Y876" s="199"/>
      <c r="Z876" s="199"/>
    </row>
    <row r="877" spans="1:26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196"/>
      <c r="S877" s="196"/>
      <c r="T877" s="278"/>
      <c r="U877" s="196"/>
      <c r="V877" s="196"/>
      <c r="W877" s="278"/>
      <c r="X877" s="199"/>
      <c r="Y877" s="199"/>
      <c r="Z877" s="199"/>
    </row>
    <row r="878" spans="1:26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196"/>
      <c r="S878" s="196"/>
      <c r="T878" s="278"/>
      <c r="U878" s="196"/>
      <c r="V878" s="196"/>
      <c r="W878" s="278"/>
      <c r="X878" s="199"/>
      <c r="Y878" s="199"/>
      <c r="Z878" s="199"/>
    </row>
    <row r="879" spans="1:26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196"/>
      <c r="S879" s="196"/>
      <c r="T879" s="278"/>
      <c r="U879" s="196"/>
      <c r="V879" s="196"/>
      <c r="W879" s="278"/>
      <c r="X879" s="199"/>
      <c r="Y879" s="199"/>
      <c r="Z879" s="199"/>
    </row>
    <row r="880" spans="1:26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196"/>
      <c r="S880" s="196"/>
      <c r="T880" s="278"/>
      <c r="U880" s="196"/>
      <c r="V880" s="196"/>
      <c r="W880" s="278"/>
      <c r="X880" s="199"/>
      <c r="Y880" s="199"/>
      <c r="Z880" s="199"/>
    </row>
    <row r="881" spans="1:26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196"/>
      <c r="S881" s="196"/>
      <c r="T881" s="278"/>
      <c r="U881" s="196"/>
      <c r="V881" s="196"/>
      <c r="W881" s="278"/>
      <c r="X881" s="199"/>
      <c r="Y881" s="199"/>
      <c r="Z881" s="199"/>
    </row>
    <row r="882" spans="1:26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196"/>
      <c r="S882" s="196"/>
      <c r="T882" s="278"/>
      <c r="U882" s="196"/>
      <c r="V882" s="196"/>
      <c r="W882" s="278"/>
      <c r="X882" s="199"/>
      <c r="Y882" s="199"/>
      <c r="Z882" s="199"/>
    </row>
    <row r="883" spans="1:26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196"/>
      <c r="S883" s="196"/>
      <c r="T883" s="278"/>
      <c r="U883" s="196"/>
      <c r="V883" s="196"/>
      <c r="W883" s="278"/>
      <c r="X883" s="199"/>
      <c r="Y883" s="199"/>
      <c r="Z883" s="199"/>
    </row>
    <row r="884" spans="1:26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196"/>
      <c r="S884" s="196"/>
      <c r="T884" s="278"/>
      <c r="U884" s="196"/>
      <c r="V884" s="196"/>
      <c r="W884" s="278"/>
      <c r="X884" s="199"/>
      <c r="Y884" s="199"/>
      <c r="Z884" s="199"/>
    </row>
    <row r="885" spans="1:26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196"/>
      <c r="S885" s="196"/>
      <c r="T885" s="278"/>
      <c r="U885" s="196"/>
      <c r="V885" s="196"/>
      <c r="W885" s="278"/>
      <c r="X885" s="199"/>
      <c r="Y885" s="199"/>
      <c r="Z885" s="199"/>
    </row>
    <row r="886" spans="1:26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196"/>
      <c r="S886" s="196"/>
      <c r="T886" s="278"/>
      <c r="U886" s="196"/>
      <c r="V886" s="196"/>
      <c r="W886" s="278"/>
      <c r="X886" s="199"/>
      <c r="Y886" s="199"/>
      <c r="Z886" s="199"/>
    </row>
    <row r="887" spans="1:26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196"/>
      <c r="S887" s="196"/>
      <c r="T887" s="278"/>
      <c r="U887" s="196"/>
      <c r="V887" s="196"/>
      <c r="W887" s="278"/>
      <c r="X887" s="199"/>
      <c r="Y887" s="199"/>
      <c r="Z887" s="199"/>
    </row>
    <row r="888" spans="1:26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196"/>
      <c r="S888" s="196"/>
      <c r="T888" s="278"/>
      <c r="U888" s="196"/>
      <c r="V888" s="196"/>
      <c r="W888" s="278"/>
      <c r="X888" s="199"/>
      <c r="Y888" s="199"/>
      <c r="Z888" s="199"/>
    </row>
    <row r="889" spans="1:26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196"/>
      <c r="S889" s="196"/>
      <c r="T889" s="278"/>
      <c r="U889" s="196"/>
      <c r="V889" s="196"/>
      <c r="W889" s="278"/>
      <c r="X889" s="199"/>
      <c r="Y889" s="199"/>
      <c r="Z889" s="199"/>
    </row>
    <row r="890" spans="1:26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196"/>
      <c r="S890" s="196"/>
      <c r="T890" s="278"/>
      <c r="U890" s="196"/>
      <c r="V890" s="196"/>
      <c r="W890" s="278"/>
      <c r="X890" s="199"/>
      <c r="Y890" s="199"/>
      <c r="Z890" s="199"/>
    </row>
    <row r="891" spans="1:26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196"/>
      <c r="S891" s="196"/>
      <c r="T891" s="278"/>
      <c r="U891" s="196"/>
      <c r="V891" s="196"/>
      <c r="W891" s="278"/>
      <c r="X891" s="199"/>
      <c r="Y891" s="199"/>
      <c r="Z891" s="199"/>
    </row>
    <row r="892" spans="1:26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196"/>
      <c r="S892" s="196"/>
      <c r="T892" s="278"/>
      <c r="U892" s="196"/>
      <c r="V892" s="196"/>
      <c r="W892" s="278"/>
      <c r="X892" s="199"/>
      <c r="Y892" s="199"/>
      <c r="Z892" s="199"/>
    </row>
    <row r="893" spans="1:26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196"/>
      <c r="S893" s="196"/>
      <c r="T893" s="278"/>
      <c r="U893" s="196"/>
      <c r="V893" s="196"/>
      <c r="W893" s="278"/>
      <c r="X893" s="199"/>
      <c r="Y893" s="199"/>
      <c r="Z893" s="199"/>
    </row>
    <row r="894" spans="1:26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196"/>
      <c r="S894" s="196"/>
      <c r="T894" s="278"/>
      <c r="U894" s="196"/>
      <c r="V894" s="196"/>
      <c r="W894" s="278"/>
      <c r="X894" s="199"/>
      <c r="Y894" s="199"/>
      <c r="Z894" s="199"/>
    </row>
    <row r="895" spans="1:26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196"/>
      <c r="S895" s="196"/>
      <c r="T895" s="278"/>
      <c r="U895" s="196"/>
      <c r="V895" s="196"/>
      <c r="W895" s="278"/>
      <c r="X895" s="199"/>
      <c r="Y895" s="199"/>
      <c r="Z895" s="199"/>
    </row>
    <row r="896" spans="1:26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196"/>
      <c r="S896" s="196"/>
      <c r="T896" s="278"/>
      <c r="U896" s="196"/>
      <c r="V896" s="196"/>
      <c r="W896" s="278"/>
      <c r="X896" s="199"/>
      <c r="Y896" s="199"/>
      <c r="Z896" s="199"/>
    </row>
    <row r="897" spans="1:26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196"/>
      <c r="S897" s="196"/>
      <c r="T897" s="278"/>
      <c r="U897" s="196"/>
      <c r="V897" s="196"/>
      <c r="W897" s="278"/>
      <c r="X897" s="199"/>
      <c r="Y897" s="199"/>
      <c r="Z897" s="199"/>
    </row>
    <row r="898" spans="1:26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196"/>
      <c r="S898" s="196"/>
      <c r="T898" s="278"/>
      <c r="U898" s="196"/>
      <c r="V898" s="196"/>
      <c r="W898" s="278"/>
      <c r="X898" s="199"/>
      <c r="Y898" s="199"/>
      <c r="Z898" s="199"/>
    </row>
    <row r="899" spans="1:26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196"/>
      <c r="S899" s="196"/>
      <c r="T899" s="278"/>
      <c r="U899" s="196"/>
      <c r="V899" s="196"/>
      <c r="W899" s="278"/>
      <c r="X899" s="199"/>
      <c r="Y899" s="199"/>
      <c r="Z899" s="199"/>
    </row>
    <row r="900" spans="1:26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196"/>
      <c r="S900" s="196"/>
      <c r="T900" s="278"/>
      <c r="U900" s="196"/>
      <c r="V900" s="196"/>
      <c r="W900" s="278"/>
      <c r="X900" s="199"/>
      <c r="Y900" s="199"/>
      <c r="Z900" s="199"/>
    </row>
    <row r="901" spans="1:26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196"/>
      <c r="S901" s="196"/>
      <c r="T901" s="278"/>
      <c r="U901" s="196"/>
      <c r="V901" s="196"/>
      <c r="W901" s="278"/>
      <c r="X901" s="199"/>
      <c r="Y901" s="199"/>
      <c r="Z901" s="199"/>
    </row>
    <row r="902" spans="1:26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196"/>
      <c r="S902" s="196"/>
      <c r="T902" s="278"/>
      <c r="U902" s="196"/>
      <c r="V902" s="196"/>
      <c r="W902" s="278"/>
      <c r="X902" s="199"/>
      <c r="Y902" s="199"/>
      <c r="Z902" s="199"/>
    </row>
    <row r="903" spans="1:26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196"/>
      <c r="S903" s="196"/>
      <c r="T903" s="278"/>
      <c r="U903" s="196"/>
      <c r="V903" s="196"/>
      <c r="W903" s="278"/>
      <c r="X903" s="199"/>
      <c r="Y903" s="199"/>
      <c r="Z903" s="199"/>
    </row>
    <row r="904" spans="1:26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196"/>
      <c r="S904" s="196"/>
      <c r="T904" s="278"/>
      <c r="U904" s="196"/>
      <c r="V904" s="196"/>
      <c r="W904" s="278"/>
      <c r="X904" s="199"/>
      <c r="Y904" s="199"/>
      <c r="Z904" s="199"/>
    </row>
    <row r="905" spans="1:26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196"/>
      <c r="S905" s="196"/>
      <c r="T905" s="278"/>
      <c r="U905" s="196"/>
      <c r="V905" s="196"/>
      <c r="W905" s="278"/>
      <c r="X905" s="199"/>
      <c r="Y905" s="199"/>
      <c r="Z905" s="199"/>
    </row>
    <row r="906" spans="1:26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196"/>
      <c r="S906" s="196"/>
      <c r="T906" s="278"/>
      <c r="U906" s="196"/>
      <c r="V906" s="196"/>
      <c r="W906" s="278"/>
      <c r="X906" s="199"/>
      <c r="Y906" s="199"/>
      <c r="Z906" s="199"/>
    </row>
    <row r="907" spans="1:26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196"/>
      <c r="S907" s="196"/>
      <c r="T907" s="278"/>
      <c r="U907" s="196"/>
      <c r="V907" s="196"/>
      <c r="W907" s="278"/>
      <c r="X907" s="199"/>
      <c r="Y907" s="199"/>
      <c r="Z907" s="199"/>
    </row>
    <row r="908" spans="1:26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196"/>
      <c r="S908" s="196"/>
      <c r="T908" s="278"/>
      <c r="U908" s="196"/>
      <c r="V908" s="196"/>
      <c r="W908" s="278"/>
      <c r="X908" s="199"/>
      <c r="Y908" s="199"/>
      <c r="Z908" s="199"/>
    </row>
    <row r="909" spans="1:26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196"/>
      <c r="S909" s="196"/>
      <c r="T909" s="278"/>
      <c r="U909" s="196"/>
      <c r="V909" s="196"/>
      <c r="W909" s="278"/>
      <c r="X909" s="199"/>
      <c r="Y909" s="199"/>
      <c r="Z909" s="199"/>
    </row>
    <row r="910" spans="1:26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196"/>
      <c r="S910" s="196"/>
      <c r="T910" s="278"/>
      <c r="U910" s="196"/>
      <c r="V910" s="196"/>
      <c r="W910" s="278"/>
      <c r="X910" s="199"/>
      <c r="Y910" s="199"/>
      <c r="Z910" s="199"/>
    </row>
    <row r="911" spans="1:26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196"/>
      <c r="S911" s="196"/>
      <c r="T911" s="278"/>
      <c r="U911" s="196"/>
      <c r="V911" s="196"/>
      <c r="W911" s="278"/>
      <c r="X911" s="199"/>
      <c r="Y911" s="199"/>
      <c r="Z911" s="199"/>
    </row>
    <row r="912" spans="1:26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196"/>
      <c r="S912" s="196"/>
      <c r="T912" s="278"/>
      <c r="U912" s="196"/>
      <c r="V912" s="196"/>
      <c r="W912" s="278"/>
      <c r="X912" s="199"/>
      <c r="Y912" s="199"/>
      <c r="Z912" s="199"/>
    </row>
    <row r="913" spans="1:26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196"/>
      <c r="S913" s="196"/>
      <c r="T913" s="278"/>
      <c r="U913" s="196"/>
      <c r="V913" s="196"/>
      <c r="W913" s="278"/>
      <c r="X913" s="199"/>
      <c r="Y913" s="199"/>
      <c r="Z913" s="199"/>
    </row>
    <row r="914" spans="1:26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196"/>
      <c r="S914" s="196"/>
      <c r="T914" s="278"/>
      <c r="U914" s="196"/>
      <c r="V914" s="196"/>
      <c r="W914" s="278"/>
      <c r="X914" s="199"/>
      <c r="Y914" s="199"/>
      <c r="Z914" s="199"/>
    </row>
    <row r="915" spans="1:26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196"/>
      <c r="S915" s="196"/>
      <c r="T915" s="278"/>
      <c r="U915" s="196"/>
      <c r="V915" s="196"/>
      <c r="W915" s="278"/>
      <c r="X915" s="199"/>
      <c r="Y915" s="199"/>
      <c r="Z915" s="199"/>
    </row>
    <row r="916" spans="1:26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196"/>
      <c r="S916" s="196"/>
      <c r="T916" s="278"/>
      <c r="U916" s="196"/>
      <c r="V916" s="196"/>
      <c r="W916" s="278"/>
      <c r="X916" s="199"/>
      <c r="Y916" s="199"/>
      <c r="Z916" s="199"/>
    </row>
    <row r="917" spans="1:26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196"/>
      <c r="S917" s="196"/>
      <c r="T917" s="278"/>
      <c r="U917" s="196"/>
      <c r="V917" s="196"/>
      <c r="W917" s="278"/>
      <c r="X917" s="199"/>
      <c r="Y917" s="199"/>
      <c r="Z917" s="199"/>
    </row>
    <row r="918" spans="1:26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196"/>
      <c r="S918" s="196"/>
      <c r="T918" s="278"/>
      <c r="U918" s="196"/>
      <c r="V918" s="196"/>
      <c r="W918" s="278"/>
      <c r="X918" s="199"/>
      <c r="Y918" s="199"/>
      <c r="Z918" s="199"/>
    </row>
    <row r="919" spans="1:26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196"/>
      <c r="S919" s="196"/>
      <c r="T919" s="278"/>
      <c r="U919" s="196"/>
      <c r="V919" s="196"/>
      <c r="W919" s="278"/>
      <c r="X919" s="199"/>
      <c r="Y919" s="199"/>
      <c r="Z919" s="199"/>
    </row>
    <row r="920" spans="1:26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196"/>
      <c r="S920" s="196"/>
      <c r="T920" s="278"/>
      <c r="U920" s="196"/>
      <c r="V920" s="196"/>
      <c r="W920" s="278"/>
      <c r="X920" s="199"/>
      <c r="Y920" s="199"/>
      <c r="Z920" s="199"/>
    </row>
    <row r="921" spans="1:26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196"/>
      <c r="S921" s="196"/>
      <c r="T921" s="278"/>
      <c r="U921" s="196"/>
      <c r="V921" s="196"/>
      <c r="W921" s="278"/>
      <c r="X921" s="199"/>
      <c r="Y921" s="199"/>
      <c r="Z921" s="199"/>
    </row>
    <row r="922" spans="1:26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196"/>
      <c r="S922" s="196"/>
      <c r="T922" s="278"/>
      <c r="U922" s="196"/>
      <c r="V922" s="196"/>
      <c r="W922" s="278"/>
      <c r="X922" s="199"/>
      <c r="Y922" s="199"/>
      <c r="Z922" s="199"/>
    </row>
    <row r="923" spans="1:26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196"/>
      <c r="S923" s="196"/>
      <c r="T923" s="278"/>
      <c r="U923" s="196"/>
      <c r="V923" s="196"/>
      <c r="W923" s="278"/>
      <c r="X923" s="199"/>
      <c r="Y923" s="199"/>
      <c r="Z923" s="199"/>
    </row>
    <row r="924" spans="1:26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196"/>
      <c r="S924" s="196"/>
      <c r="T924" s="278"/>
      <c r="U924" s="196"/>
      <c r="V924" s="196"/>
      <c r="W924" s="278"/>
      <c r="X924" s="199"/>
      <c r="Y924" s="199"/>
      <c r="Z924" s="199"/>
    </row>
    <row r="925" spans="1:26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196"/>
      <c r="S925" s="196"/>
      <c r="T925" s="278"/>
      <c r="U925" s="196"/>
      <c r="V925" s="196"/>
      <c r="W925" s="278"/>
      <c r="X925" s="199"/>
      <c r="Y925" s="199"/>
      <c r="Z925" s="199"/>
    </row>
    <row r="926" spans="1:26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196"/>
      <c r="S926" s="196"/>
      <c r="T926" s="278"/>
      <c r="U926" s="196"/>
      <c r="V926" s="196"/>
      <c r="W926" s="278"/>
      <c r="X926" s="199"/>
      <c r="Y926" s="199"/>
      <c r="Z926" s="199"/>
    </row>
    <row r="927" spans="1:26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196"/>
      <c r="S927" s="196"/>
      <c r="T927" s="278"/>
      <c r="U927" s="196"/>
      <c r="V927" s="196"/>
      <c r="W927" s="278"/>
      <c r="X927" s="199"/>
      <c r="Y927" s="199"/>
      <c r="Z927" s="199"/>
    </row>
    <row r="928" spans="1:26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196"/>
      <c r="S928" s="196"/>
      <c r="T928" s="278"/>
      <c r="U928" s="196"/>
      <c r="V928" s="196"/>
      <c r="W928" s="278"/>
      <c r="X928" s="199"/>
      <c r="Y928" s="199"/>
      <c r="Z928" s="199"/>
    </row>
    <row r="929" spans="1:26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196"/>
      <c r="S929" s="196"/>
      <c r="T929" s="278"/>
      <c r="U929" s="196"/>
      <c r="V929" s="196"/>
      <c r="W929" s="278"/>
      <c r="X929" s="199"/>
      <c r="Y929" s="199"/>
      <c r="Z929" s="199"/>
    </row>
    <row r="930" spans="1:26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196"/>
      <c r="S930" s="196"/>
      <c r="T930" s="278"/>
      <c r="U930" s="196"/>
      <c r="V930" s="196"/>
      <c r="W930" s="278"/>
      <c r="X930" s="199"/>
      <c r="Y930" s="199"/>
      <c r="Z930" s="199"/>
    </row>
    <row r="931" spans="1:26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196"/>
      <c r="S931" s="196"/>
      <c r="T931" s="278"/>
      <c r="U931" s="196"/>
      <c r="V931" s="196"/>
      <c r="W931" s="278"/>
      <c r="X931" s="199"/>
      <c r="Y931" s="199"/>
      <c r="Z931" s="199"/>
    </row>
    <row r="932" spans="1:26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196"/>
      <c r="S932" s="196"/>
      <c r="T932" s="278"/>
      <c r="U932" s="196"/>
      <c r="V932" s="196"/>
      <c r="W932" s="278"/>
      <c r="X932" s="199"/>
      <c r="Y932" s="199"/>
      <c r="Z932" s="199"/>
    </row>
    <row r="933" spans="1:26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196"/>
      <c r="S933" s="196"/>
      <c r="T933" s="278"/>
      <c r="U933" s="196"/>
      <c r="V933" s="196"/>
      <c r="W933" s="278"/>
      <c r="X933" s="199"/>
      <c r="Y933" s="199"/>
      <c r="Z933" s="199"/>
    </row>
    <row r="934" spans="1:26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196"/>
      <c r="S934" s="196"/>
      <c r="T934" s="278"/>
      <c r="U934" s="196"/>
      <c r="V934" s="196"/>
      <c r="W934" s="278"/>
      <c r="X934" s="199"/>
      <c r="Y934" s="199"/>
      <c r="Z934" s="199"/>
    </row>
    <row r="935" spans="1:26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196"/>
      <c r="S935" s="196"/>
      <c r="T935" s="278"/>
      <c r="U935" s="196"/>
      <c r="V935" s="196"/>
      <c r="W935" s="278"/>
      <c r="X935" s="199"/>
      <c r="Y935" s="199"/>
      <c r="Z935" s="199"/>
    </row>
    <row r="936" spans="1:26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196"/>
      <c r="S936" s="196"/>
      <c r="T936" s="278"/>
      <c r="U936" s="196"/>
      <c r="V936" s="196"/>
      <c r="W936" s="278"/>
      <c r="X936" s="199"/>
      <c r="Y936" s="199"/>
      <c r="Z936" s="199"/>
    </row>
    <row r="937" spans="1:26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196"/>
      <c r="S937" s="196"/>
      <c r="T937" s="278"/>
      <c r="U937" s="196"/>
      <c r="V937" s="196"/>
      <c r="W937" s="278"/>
      <c r="X937" s="199"/>
      <c r="Y937" s="199"/>
      <c r="Z937" s="199"/>
    </row>
    <row r="938" spans="1:26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196"/>
      <c r="S938" s="196"/>
      <c r="T938" s="278"/>
      <c r="U938" s="196"/>
      <c r="V938" s="196"/>
      <c r="W938" s="278"/>
      <c r="X938" s="199"/>
      <c r="Y938" s="199"/>
      <c r="Z938" s="199"/>
    </row>
    <row r="939" spans="1:26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196"/>
      <c r="S939" s="196"/>
      <c r="T939" s="278"/>
      <c r="U939" s="196"/>
      <c r="V939" s="196"/>
      <c r="W939" s="278"/>
      <c r="X939" s="199"/>
      <c r="Y939" s="199"/>
      <c r="Z939" s="199"/>
    </row>
    <row r="940" spans="1:26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196"/>
      <c r="S940" s="196"/>
      <c r="T940" s="278"/>
      <c r="U940" s="196"/>
      <c r="V940" s="196"/>
      <c r="W940" s="278"/>
      <c r="X940" s="199"/>
      <c r="Y940" s="199"/>
      <c r="Z940" s="199"/>
    </row>
    <row r="941" spans="1:26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196"/>
      <c r="S941" s="196"/>
      <c r="T941" s="278"/>
      <c r="U941" s="196"/>
      <c r="V941" s="196"/>
      <c r="W941" s="278"/>
      <c r="X941" s="199"/>
      <c r="Y941" s="199"/>
      <c r="Z941" s="199"/>
    </row>
    <row r="942" spans="1:26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196"/>
      <c r="S942" s="196"/>
      <c r="T942" s="278"/>
      <c r="U942" s="196"/>
      <c r="V942" s="196"/>
      <c r="W942" s="278"/>
      <c r="X942" s="199"/>
      <c r="Y942" s="199"/>
      <c r="Z942" s="199"/>
    </row>
    <row r="943" spans="1:26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196"/>
      <c r="S943" s="196"/>
      <c r="T943" s="278"/>
      <c r="U943" s="196"/>
      <c r="V943" s="196"/>
      <c r="W943" s="278"/>
      <c r="X943" s="199"/>
      <c r="Y943" s="199"/>
      <c r="Z943" s="199"/>
    </row>
    <row r="944" spans="1:26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196"/>
      <c r="S944" s="196"/>
      <c r="T944" s="278"/>
      <c r="U944" s="196"/>
      <c r="V944" s="196"/>
      <c r="W944" s="278"/>
      <c r="X944" s="199"/>
      <c r="Y944" s="199"/>
      <c r="Z944" s="199"/>
    </row>
    <row r="945" spans="1:26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196"/>
      <c r="S945" s="196"/>
      <c r="T945" s="278"/>
      <c r="U945" s="196"/>
      <c r="V945" s="196"/>
      <c r="W945" s="278"/>
      <c r="X945" s="199"/>
      <c r="Y945" s="199"/>
      <c r="Z945" s="199"/>
    </row>
    <row r="946" spans="1:26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196"/>
      <c r="S946" s="196"/>
      <c r="T946" s="278"/>
      <c r="U946" s="196"/>
      <c r="V946" s="196"/>
      <c r="W946" s="278"/>
      <c r="X946" s="199"/>
      <c r="Y946" s="199"/>
      <c r="Z946" s="199"/>
    </row>
    <row r="947" spans="1:26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196"/>
      <c r="S947" s="196"/>
      <c r="T947" s="278"/>
      <c r="U947" s="196"/>
      <c r="V947" s="196"/>
      <c r="W947" s="278"/>
      <c r="X947" s="199"/>
      <c r="Y947" s="199"/>
      <c r="Z947" s="199"/>
    </row>
    <row r="948" spans="1:26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196"/>
      <c r="S948" s="196"/>
      <c r="T948" s="278"/>
      <c r="U948" s="196"/>
      <c r="V948" s="196"/>
      <c r="W948" s="278"/>
      <c r="X948" s="199"/>
      <c r="Y948" s="199"/>
      <c r="Z948" s="199"/>
    </row>
    <row r="949" spans="1:26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196"/>
      <c r="S949" s="196"/>
      <c r="T949" s="278"/>
      <c r="U949" s="196"/>
      <c r="V949" s="196"/>
      <c r="W949" s="278"/>
      <c r="X949" s="199"/>
      <c r="Y949" s="199"/>
      <c r="Z949" s="199"/>
    </row>
    <row r="950" spans="1:26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196"/>
      <c r="S950" s="196"/>
      <c r="T950" s="278"/>
      <c r="U950" s="196"/>
      <c r="V950" s="196"/>
      <c r="W950" s="278"/>
      <c r="X950" s="199"/>
      <c r="Y950" s="199"/>
      <c r="Z950" s="199"/>
    </row>
    <row r="951" spans="1:26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196"/>
      <c r="S951" s="196"/>
      <c r="T951" s="278"/>
      <c r="U951" s="196"/>
      <c r="V951" s="196"/>
      <c r="W951" s="278"/>
      <c r="X951" s="199"/>
      <c r="Y951" s="199"/>
      <c r="Z951" s="199"/>
    </row>
    <row r="952" spans="1:26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196"/>
      <c r="S952" s="196"/>
      <c r="T952" s="278"/>
      <c r="U952" s="196"/>
      <c r="V952" s="196"/>
      <c r="W952" s="278"/>
      <c r="X952" s="199"/>
      <c r="Y952" s="199"/>
      <c r="Z952" s="199"/>
    </row>
    <row r="953" spans="1:26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196"/>
      <c r="S953" s="196"/>
      <c r="T953" s="278"/>
      <c r="U953" s="196"/>
      <c r="V953" s="196"/>
      <c r="W953" s="278"/>
      <c r="X953" s="199"/>
      <c r="Y953" s="199"/>
      <c r="Z953" s="199"/>
    </row>
    <row r="954" spans="1:26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196"/>
      <c r="S954" s="196"/>
      <c r="T954" s="278"/>
      <c r="U954" s="196"/>
      <c r="V954" s="196"/>
      <c r="W954" s="278"/>
      <c r="X954" s="199"/>
      <c r="Y954" s="199"/>
      <c r="Z954" s="199"/>
    </row>
    <row r="955" spans="1:26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196"/>
      <c r="S955" s="196"/>
      <c r="T955" s="278"/>
      <c r="U955" s="196"/>
      <c r="V955" s="196"/>
      <c r="W955" s="278"/>
      <c r="X955" s="199"/>
      <c r="Y955" s="199"/>
      <c r="Z955" s="199"/>
    </row>
    <row r="956" spans="1:26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196"/>
      <c r="S956" s="196"/>
      <c r="T956" s="278"/>
      <c r="U956" s="196"/>
      <c r="V956" s="196"/>
      <c r="W956" s="278"/>
      <c r="X956" s="199"/>
      <c r="Y956" s="199"/>
      <c r="Z956" s="199"/>
    </row>
    <row r="957" spans="1:26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196"/>
      <c r="S957" s="196"/>
      <c r="T957" s="278"/>
      <c r="U957" s="196"/>
      <c r="V957" s="196"/>
      <c r="W957" s="278"/>
      <c r="X957" s="199"/>
      <c r="Y957" s="199"/>
      <c r="Z957" s="199"/>
    </row>
    <row r="958" spans="1:26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196"/>
      <c r="S958" s="196"/>
      <c r="T958" s="278"/>
      <c r="U958" s="196"/>
      <c r="V958" s="196"/>
      <c r="W958" s="278"/>
      <c r="X958" s="199"/>
      <c r="Y958" s="199"/>
      <c r="Z958" s="199"/>
    </row>
    <row r="959" spans="1:26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196"/>
      <c r="S959" s="196"/>
      <c r="T959" s="278"/>
      <c r="U959" s="196"/>
      <c r="V959" s="196"/>
      <c r="W959" s="278"/>
      <c r="X959" s="199"/>
      <c r="Y959" s="199"/>
      <c r="Z959" s="199"/>
    </row>
    <row r="960" spans="1:26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196"/>
      <c r="S960" s="196"/>
      <c r="T960" s="278"/>
      <c r="U960" s="196"/>
      <c r="V960" s="196"/>
      <c r="W960" s="278"/>
      <c r="X960" s="199"/>
      <c r="Y960" s="199"/>
      <c r="Z960" s="199"/>
    </row>
    <row r="961" spans="1:26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196"/>
      <c r="S961" s="196"/>
      <c r="T961" s="278"/>
      <c r="U961" s="196"/>
      <c r="V961" s="196"/>
      <c r="W961" s="278"/>
      <c r="X961" s="199"/>
      <c r="Y961" s="199"/>
      <c r="Z961" s="199"/>
    </row>
    <row r="962" spans="1:26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196"/>
      <c r="S962" s="196"/>
      <c r="T962" s="278"/>
      <c r="U962" s="196"/>
      <c r="V962" s="196"/>
      <c r="W962" s="278"/>
      <c r="X962" s="199"/>
      <c r="Y962" s="199"/>
      <c r="Z962" s="199"/>
    </row>
    <row r="963" spans="1:26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196"/>
      <c r="S963" s="196"/>
      <c r="T963" s="278"/>
      <c r="U963" s="196"/>
      <c r="V963" s="196"/>
      <c r="W963" s="278"/>
      <c r="X963" s="199"/>
      <c r="Y963" s="199"/>
      <c r="Z963" s="199"/>
    </row>
    <row r="964" spans="1:26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196"/>
      <c r="S964" s="196"/>
      <c r="T964" s="278"/>
      <c r="U964" s="196"/>
      <c r="V964" s="196"/>
      <c r="W964" s="278"/>
      <c r="X964" s="199"/>
      <c r="Y964" s="199"/>
      <c r="Z964" s="199"/>
    </row>
    <row r="965" spans="1:26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196"/>
      <c r="S965" s="196"/>
      <c r="T965" s="278"/>
      <c r="U965" s="196"/>
      <c r="V965" s="196"/>
      <c r="W965" s="278"/>
      <c r="X965" s="199"/>
      <c r="Y965" s="199"/>
      <c r="Z965" s="199"/>
    </row>
    <row r="966" spans="1:26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196"/>
      <c r="S966" s="196"/>
      <c r="T966" s="278"/>
      <c r="U966" s="196"/>
      <c r="V966" s="196"/>
      <c r="W966" s="278"/>
      <c r="X966" s="199"/>
      <c r="Y966" s="199"/>
      <c r="Z966" s="199"/>
    </row>
    <row r="967" spans="1:26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196"/>
      <c r="S967" s="196"/>
      <c r="T967" s="278"/>
      <c r="U967" s="196"/>
      <c r="V967" s="196"/>
      <c r="W967" s="278"/>
      <c r="X967" s="199"/>
      <c r="Y967" s="199"/>
      <c r="Z967" s="199"/>
    </row>
    <row r="968" spans="1:26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196"/>
      <c r="S968" s="196"/>
      <c r="T968" s="278"/>
      <c r="U968" s="196"/>
      <c r="V968" s="196"/>
      <c r="W968" s="278"/>
      <c r="X968" s="199"/>
      <c r="Y968" s="199"/>
      <c r="Z968" s="199"/>
    </row>
    <row r="969" spans="1:26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196"/>
      <c r="S969" s="196"/>
      <c r="T969" s="278"/>
      <c r="U969" s="196"/>
      <c r="V969" s="196"/>
      <c r="W969" s="278"/>
      <c r="X969" s="199"/>
      <c r="Y969" s="199"/>
      <c r="Z969" s="199"/>
    </row>
    <row r="970" spans="1:26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196"/>
      <c r="S970" s="196"/>
      <c r="T970" s="278"/>
      <c r="U970" s="196"/>
      <c r="V970" s="196"/>
      <c r="W970" s="278"/>
      <c r="X970" s="199"/>
      <c r="Y970" s="199"/>
      <c r="Z970" s="199"/>
    </row>
    <row r="971" spans="1:26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196"/>
      <c r="S971" s="196"/>
      <c r="T971" s="278"/>
      <c r="U971" s="196"/>
      <c r="V971" s="196"/>
      <c r="W971" s="278"/>
      <c r="X971" s="199"/>
      <c r="Y971" s="199"/>
      <c r="Z971" s="199"/>
    </row>
    <row r="972" spans="1:26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196"/>
      <c r="S972" s="196"/>
      <c r="T972" s="278"/>
      <c r="U972" s="196"/>
      <c r="V972" s="196"/>
      <c r="W972" s="278"/>
      <c r="X972" s="199"/>
      <c r="Y972" s="199"/>
      <c r="Z972" s="199"/>
    </row>
    <row r="973" spans="1:26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196"/>
      <c r="S973" s="196"/>
      <c r="T973" s="278"/>
      <c r="U973" s="196"/>
      <c r="V973" s="196"/>
      <c r="W973" s="278"/>
      <c r="X973" s="199"/>
      <c r="Y973" s="199"/>
      <c r="Z973" s="199"/>
    </row>
    <row r="974" spans="1:26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196"/>
      <c r="S974" s="196"/>
      <c r="T974" s="278"/>
      <c r="U974" s="196"/>
      <c r="V974" s="196"/>
      <c r="W974" s="278"/>
      <c r="X974" s="199"/>
      <c r="Y974" s="199"/>
      <c r="Z974" s="199"/>
    </row>
    <row r="975" spans="1:26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196"/>
      <c r="S975" s="196"/>
      <c r="T975" s="278"/>
      <c r="U975" s="196"/>
      <c r="V975" s="196"/>
      <c r="W975" s="278"/>
      <c r="X975" s="199"/>
      <c r="Y975" s="199"/>
      <c r="Z975" s="199"/>
    </row>
    <row r="976" spans="1:26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196"/>
      <c r="S976" s="196"/>
      <c r="T976" s="278"/>
      <c r="U976" s="196"/>
      <c r="V976" s="196"/>
      <c r="W976" s="278"/>
      <c r="X976" s="199"/>
      <c r="Y976" s="199"/>
      <c r="Z976" s="199"/>
    </row>
    <row r="977" spans="1:26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196"/>
      <c r="S977" s="196"/>
      <c r="T977" s="278"/>
      <c r="U977" s="196"/>
      <c r="V977" s="196"/>
      <c r="W977" s="278"/>
      <c r="X977" s="199"/>
      <c r="Y977" s="199"/>
      <c r="Z977" s="199"/>
    </row>
    <row r="978" spans="1:26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196"/>
      <c r="S978" s="196"/>
      <c r="T978" s="278"/>
      <c r="U978" s="196"/>
      <c r="V978" s="196"/>
      <c r="W978" s="278"/>
      <c r="X978" s="199"/>
      <c r="Y978" s="199"/>
      <c r="Z978" s="199"/>
    </row>
    <row r="979" spans="1:26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196"/>
      <c r="S979" s="196"/>
      <c r="T979" s="278"/>
      <c r="U979" s="196"/>
      <c r="V979" s="196"/>
      <c r="W979" s="278"/>
      <c r="X979" s="199"/>
      <c r="Y979" s="199"/>
      <c r="Z979" s="199"/>
    </row>
    <row r="980" spans="1:26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196"/>
      <c r="S980" s="196"/>
      <c r="T980" s="278"/>
      <c r="U980" s="196"/>
      <c r="V980" s="196"/>
      <c r="W980" s="278"/>
      <c r="X980" s="199"/>
      <c r="Y980" s="199"/>
      <c r="Z980" s="199"/>
    </row>
    <row r="981" spans="1:26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196"/>
      <c r="S981" s="196"/>
      <c r="T981" s="278"/>
      <c r="U981" s="196"/>
      <c r="V981" s="196"/>
      <c r="W981" s="278"/>
      <c r="X981" s="199"/>
      <c r="Y981" s="199"/>
      <c r="Z981" s="199"/>
    </row>
    <row r="982" spans="1:26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196"/>
      <c r="S982" s="196"/>
      <c r="T982" s="278"/>
      <c r="U982" s="196"/>
      <c r="V982" s="196"/>
      <c r="W982" s="278"/>
      <c r="X982" s="199"/>
      <c r="Y982" s="199"/>
      <c r="Z982" s="199"/>
    </row>
    <row r="983" spans="1:26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196"/>
      <c r="S983" s="196"/>
      <c r="T983" s="278"/>
      <c r="U983" s="196"/>
      <c r="V983" s="196"/>
      <c r="W983" s="278"/>
      <c r="X983" s="199"/>
      <c r="Y983" s="199"/>
      <c r="Z983" s="199"/>
    </row>
    <row r="984" spans="1:26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196"/>
      <c r="S984" s="196"/>
      <c r="T984" s="278"/>
      <c r="U984" s="196"/>
      <c r="V984" s="196"/>
      <c r="W984" s="278"/>
      <c r="X984" s="199"/>
      <c r="Y984" s="199"/>
      <c r="Z984" s="199"/>
    </row>
    <row r="985" spans="1:26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196"/>
      <c r="S985" s="196"/>
      <c r="T985" s="278"/>
      <c r="U985" s="196"/>
      <c r="V985" s="196"/>
      <c r="W985" s="278"/>
      <c r="X985" s="199"/>
      <c r="Y985" s="199"/>
      <c r="Z985" s="199"/>
    </row>
    <row r="986" spans="1:26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196"/>
      <c r="S986" s="196"/>
      <c r="T986" s="278"/>
      <c r="U986" s="196"/>
      <c r="V986" s="196"/>
      <c r="W986" s="278"/>
      <c r="X986" s="199"/>
      <c r="Y986" s="199"/>
      <c r="Z986" s="199"/>
    </row>
    <row r="987" spans="1:26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196"/>
      <c r="S987" s="196"/>
      <c r="T987" s="278"/>
      <c r="U987" s="196"/>
      <c r="V987" s="196"/>
      <c r="W987" s="278"/>
      <c r="X987" s="199"/>
      <c r="Y987" s="199"/>
      <c r="Z987" s="199"/>
    </row>
    <row r="988" spans="1:26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196"/>
      <c r="S988" s="196"/>
      <c r="T988" s="278"/>
      <c r="U988" s="196"/>
      <c r="V988" s="196"/>
      <c r="W988" s="278"/>
      <c r="X988" s="199"/>
      <c r="Y988" s="199"/>
      <c r="Z988" s="199"/>
    </row>
    <row r="989" spans="1:26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196"/>
      <c r="S989" s="196"/>
      <c r="T989" s="278"/>
      <c r="U989" s="196"/>
      <c r="V989" s="196"/>
      <c r="W989" s="278"/>
      <c r="X989" s="199"/>
      <c r="Y989" s="199"/>
      <c r="Z989" s="199"/>
    </row>
    <row r="990" spans="1:26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196"/>
      <c r="S990" s="196"/>
      <c r="T990" s="278"/>
      <c r="U990" s="196"/>
      <c r="V990" s="196"/>
      <c r="W990" s="278"/>
      <c r="X990" s="199"/>
      <c r="Y990" s="199"/>
      <c r="Z990" s="199"/>
    </row>
    <row r="991" spans="1:26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196"/>
      <c r="S991" s="196"/>
      <c r="T991" s="278"/>
      <c r="U991" s="196"/>
      <c r="V991" s="196"/>
      <c r="W991" s="278"/>
      <c r="X991" s="199"/>
      <c r="Y991" s="199"/>
      <c r="Z991" s="199"/>
    </row>
    <row r="992" spans="1:26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196"/>
      <c r="S992" s="196"/>
      <c r="T992" s="278"/>
      <c r="U992" s="196"/>
      <c r="V992" s="196"/>
      <c r="W992" s="278"/>
      <c r="X992" s="199"/>
      <c r="Y992" s="199"/>
      <c r="Z992" s="199"/>
    </row>
    <row r="993" spans="1:26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196"/>
      <c r="S993" s="196"/>
      <c r="T993" s="278"/>
      <c r="U993" s="196"/>
      <c r="V993" s="196"/>
      <c r="W993" s="278"/>
      <c r="X993" s="199"/>
      <c r="Y993" s="199"/>
      <c r="Z993" s="199"/>
    </row>
    <row r="994" spans="1:26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196"/>
      <c r="S994" s="196"/>
      <c r="T994" s="278"/>
      <c r="U994" s="196"/>
      <c r="V994" s="196"/>
      <c r="W994" s="278"/>
      <c r="X994" s="199"/>
      <c r="Y994" s="199"/>
      <c r="Z994" s="199"/>
    </row>
    <row r="995" spans="1:26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196"/>
      <c r="S995" s="196"/>
      <c r="T995" s="278"/>
      <c r="U995" s="196"/>
      <c r="V995" s="196"/>
      <c r="W995" s="278"/>
      <c r="X995" s="199"/>
      <c r="Y995" s="199"/>
      <c r="Z995" s="199"/>
    </row>
    <row r="996" spans="1:26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196"/>
      <c r="S996" s="196"/>
      <c r="T996" s="278"/>
      <c r="U996" s="196"/>
      <c r="V996" s="196"/>
      <c r="W996" s="278"/>
      <c r="X996" s="199"/>
      <c r="Y996" s="199"/>
      <c r="Z996" s="199"/>
    </row>
    <row r="997" spans="1:26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196"/>
      <c r="S997" s="196"/>
      <c r="T997" s="278"/>
      <c r="U997" s="196"/>
      <c r="V997" s="196"/>
      <c r="W997" s="278"/>
      <c r="X997" s="199"/>
      <c r="Y997" s="199"/>
      <c r="Z997" s="199"/>
    </row>
    <row r="998" spans="1:26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196"/>
      <c r="S998" s="196"/>
      <c r="T998" s="278"/>
      <c r="U998" s="196"/>
      <c r="V998" s="196"/>
      <c r="W998" s="278"/>
      <c r="X998" s="199"/>
      <c r="Y998" s="199"/>
      <c r="Z998" s="199"/>
    </row>
    <row r="999" spans="1:26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196"/>
      <c r="S999" s="196"/>
      <c r="T999" s="278"/>
      <c r="U999" s="196"/>
      <c r="V999" s="196"/>
      <c r="W999" s="278"/>
      <c r="X999" s="199"/>
      <c r="Y999" s="199"/>
      <c r="Z999" s="199"/>
    </row>
    <row r="1000" spans="1:26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</row>
  </sheetData>
  <mergeCells count="25">
    <mergeCell ref="J4:Q4"/>
    <mergeCell ref="L5:N5"/>
    <mergeCell ref="O5:Q5"/>
    <mergeCell ref="S5:T5"/>
    <mergeCell ref="V5:W5"/>
    <mergeCell ref="A7:B7"/>
    <mergeCell ref="F5:F6"/>
    <mergeCell ref="G5:G6"/>
    <mergeCell ref="J5:K5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W2"/>
    <mergeCell ref="C3:Q3"/>
    <mergeCell ref="R3:T4"/>
    <mergeCell ref="U3:W4"/>
    <mergeCell ref="C4:G4"/>
    <mergeCell ref="H4:I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2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1.28515625" customWidth="1"/>
    <col min="16" max="17" width="13" customWidth="1"/>
    <col min="18" max="19" width="14.42578125" bestFit="1" customWidth="1"/>
    <col min="20" max="20" width="12.5703125" bestFit="1" customWidth="1"/>
    <col min="21" max="21" width="13.42578125" bestFit="1" customWidth="1"/>
    <col min="22" max="22" width="8.42578125" bestFit="1" customWidth="1"/>
    <col min="23" max="23" width="12.5703125" bestFit="1" customWidth="1"/>
    <col min="24" max="24" width="10.85546875" bestFit="1" customWidth="1"/>
    <col min="25" max="25" width="12.42578125" bestFit="1" customWidth="1"/>
    <col min="26" max="26" width="11.5703125" bestFit="1" customWidth="1"/>
    <col min="27" max="28" width="14.42578125" bestFit="1" customWidth="1"/>
    <col min="29" max="29" width="12.5703125" bestFit="1" customWidth="1"/>
    <col min="30" max="31" width="16.85546875" bestFit="1" customWidth="1"/>
    <col min="32" max="32" width="12.5703125" bestFit="1" customWidth="1"/>
    <col min="33" max="34" width="14.42578125" bestFit="1" customWidth="1"/>
    <col min="35" max="38" width="12.5703125" bestFit="1" customWidth="1"/>
    <col min="39" max="40" width="13.42578125" bestFit="1" customWidth="1"/>
    <col min="41" max="41" width="12.5703125" bestFit="1" customWidth="1"/>
    <col min="42" max="42" width="13.42578125" bestFit="1" customWidth="1"/>
    <col min="43" max="43" width="7.28515625" bestFit="1" customWidth="1"/>
    <col min="44" max="46" width="12.5703125" bestFit="1" customWidth="1"/>
    <col min="47" max="48" width="14.42578125" bestFit="1" customWidth="1"/>
    <col min="49" max="49" width="12.5703125" bestFit="1" customWidth="1"/>
    <col min="50" max="51" width="14.42578125" bestFit="1" customWidth="1"/>
    <col min="52" max="52" width="12.5703125" bestFit="1" customWidth="1"/>
    <col min="53" max="54" width="13.42578125" bestFit="1" customWidth="1"/>
    <col min="55" max="55" width="12.5703125" bestFit="1" customWidth="1"/>
    <col min="56" max="57" width="13.42578125" bestFit="1" customWidth="1"/>
    <col min="58" max="58" width="12.5703125" bestFit="1" customWidth="1"/>
    <col min="59" max="59" width="19.42578125" customWidth="1"/>
    <col min="60" max="60" width="18.7109375" customWidth="1"/>
    <col min="61" max="61" width="12.5703125" bestFit="1" customWidth="1"/>
    <col min="62" max="62" width="19.85546875" customWidth="1"/>
    <col min="63" max="63" width="17.7109375" customWidth="1"/>
    <col min="64" max="64" width="12.5703125" bestFit="1" customWidth="1"/>
    <col min="65" max="65" width="14.42578125" bestFit="1" customWidth="1"/>
    <col min="66" max="66" width="18" customWidth="1"/>
    <col min="67" max="67" width="12.5703125" bestFit="1" customWidth="1"/>
    <col min="68" max="68" width="20.140625" customWidth="1"/>
    <col min="69" max="69" width="19.7109375" customWidth="1"/>
    <col min="70" max="70" width="12.5703125" bestFit="1" customWidth="1"/>
    <col min="71" max="71" width="18.5703125" customWidth="1"/>
    <col min="72" max="72" width="18.7109375" customWidth="1"/>
    <col min="73" max="73" width="12.5703125" bestFit="1" customWidth="1"/>
    <col min="74" max="74" width="13.42578125" bestFit="1" customWidth="1"/>
    <col min="75" max="75" width="8.42578125" bestFit="1" customWidth="1"/>
    <col min="76" max="76" width="12.5703125" bestFit="1" customWidth="1"/>
    <col min="77" max="78" width="16.85546875" bestFit="1" customWidth="1"/>
    <col min="79" max="79" width="12.5703125" bestFit="1" customWidth="1"/>
    <col min="80" max="81" width="16.85546875" bestFit="1" customWidth="1"/>
    <col min="82" max="82" width="12.5703125" bestFit="1" customWidth="1"/>
    <col min="83" max="84" width="14.42578125" bestFit="1" customWidth="1"/>
    <col min="85" max="85" width="12.5703125" bestFit="1" customWidth="1"/>
    <col min="86" max="87" width="14.42578125" bestFit="1" customWidth="1"/>
    <col min="88" max="88" width="12.5703125" bestFit="1" customWidth="1"/>
    <col min="89" max="89" width="13.42578125" bestFit="1" customWidth="1"/>
    <col min="90" max="90" width="8.42578125" bestFit="1" customWidth="1"/>
    <col min="91" max="91" width="12.5703125" bestFit="1" customWidth="1"/>
    <col min="92" max="93" width="10.42578125" bestFit="1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371" t="s">
        <v>1</v>
      </c>
      <c r="B2" s="372"/>
      <c r="C2" s="400" t="s">
        <v>170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401"/>
      <c r="AN2" s="401"/>
      <c r="AO2" s="401"/>
      <c r="AP2" s="401"/>
      <c r="AQ2" s="401"/>
      <c r="AR2" s="401"/>
      <c r="AS2" s="401"/>
      <c r="AT2" s="401"/>
      <c r="AU2" s="401"/>
      <c r="AV2" s="401"/>
      <c r="AW2" s="401"/>
      <c r="AX2" s="401"/>
      <c r="AY2" s="401"/>
      <c r="AZ2" s="401"/>
      <c r="BA2" s="401"/>
      <c r="BB2" s="401"/>
      <c r="BC2" s="401"/>
      <c r="BD2" s="401"/>
      <c r="BE2" s="401"/>
      <c r="BF2" s="401"/>
      <c r="BG2" s="401"/>
      <c r="BH2" s="401"/>
      <c r="BI2" s="401"/>
      <c r="BJ2" s="401"/>
      <c r="BK2" s="401"/>
      <c r="BL2" s="401"/>
      <c r="BM2" s="401"/>
      <c r="BN2" s="401"/>
      <c r="BO2" s="401"/>
      <c r="BP2" s="401"/>
      <c r="BQ2" s="401"/>
      <c r="BR2" s="401"/>
      <c r="BS2" s="401"/>
      <c r="BT2" s="401"/>
      <c r="BU2" s="401"/>
      <c r="BV2" s="401"/>
      <c r="BW2" s="401"/>
      <c r="BX2" s="401"/>
      <c r="BY2" s="401"/>
      <c r="BZ2" s="401"/>
      <c r="CA2" s="401"/>
      <c r="CB2" s="401"/>
      <c r="CC2" s="401"/>
      <c r="CD2" s="401"/>
      <c r="CE2" s="401"/>
      <c r="CF2" s="401"/>
      <c r="CG2" s="401"/>
      <c r="CH2" s="401"/>
      <c r="CI2" s="401"/>
      <c r="CJ2" s="401"/>
      <c r="CK2" s="401"/>
      <c r="CL2" s="401"/>
      <c r="CM2" s="401"/>
      <c r="CN2" s="401"/>
      <c r="CO2" s="402"/>
    </row>
    <row r="3" spans="1:93" ht="30" customHeight="1" x14ac:dyDescent="0.2">
      <c r="A3" s="373"/>
      <c r="B3" s="374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450" t="s">
        <v>171</v>
      </c>
      <c r="S3" s="406"/>
      <c r="T3" s="406"/>
      <c r="U3" s="406"/>
      <c r="V3" s="406"/>
      <c r="W3" s="406"/>
      <c r="X3" s="406"/>
      <c r="Y3" s="406"/>
      <c r="Z3" s="407"/>
      <c r="AA3" s="450" t="s">
        <v>172</v>
      </c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7"/>
      <c r="AR3" s="404" t="s">
        <v>173</v>
      </c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2"/>
      <c r="BG3" s="404" t="s">
        <v>174</v>
      </c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2"/>
      <c r="BY3" s="404" t="s">
        <v>175</v>
      </c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2"/>
    </row>
    <row r="4" spans="1:93" ht="60" customHeight="1" x14ac:dyDescent="0.2">
      <c r="A4" s="373"/>
      <c r="B4" s="374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404" t="s">
        <v>176</v>
      </c>
      <c r="S4" s="388"/>
      <c r="T4" s="382"/>
      <c r="U4" s="404" t="s">
        <v>177</v>
      </c>
      <c r="V4" s="388"/>
      <c r="W4" s="382"/>
      <c r="X4" s="404" t="s">
        <v>178</v>
      </c>
      <c r="Y4" s="388"/>
      <c r="Z4" s="382"/>
      <c r="AA4" s="404" t="s">
        <v>179</v>
      </c>
      <c r="AB4" s="388"/>
      <c r="AC4" s="382"/>
      <c r="AD4" s="404" t="s">
        <v>180</v>
      </c>
      <c r="AE4" s="388"/>
      <c r="AF4" s="382"/>
      <c r="AG4" s="404" t="s">
        <v>181</v>
      </c>
      <c r="AH4" s="388"/>
      <c r="AI4" s="382"/>
      <c r="AJ4" s="404" t="s">
        <v>182</v>
      </c>
      <c r="AK4" s="388"/>
      <c r="AL4" s="382"/>
      <c r="AM4" s="404" t="s">
        <v>183</v>
      </c>
      <c r="AN4" s="388"/>
      <c r="AO4" s="382"/>
      <c r="AP4" s="404" t="s">
        <v>5</v>
      </c>
      <c r="AQ4" s="382"/>
      <c r="AR4" s="404" t="s">
        <v>179</v>
      </c>
      <c r="AS4" s="388"/>
      <c r="AT4" s="382"/>
      <c r="AU4" s="404" t="s">
        <v>181</v>
      </c>
      <c r="AV4" s="388"/>
      <c r="AW4" s="382"/>
      <c r="AX4" s="404" t="s">
        <v>180</v>
      </c>
      <c r="AY4" s="388"/>
      <c r="AZ4" s="382"/>
      <c r="BA4" s="404" t="s">
        <v>184</v>
      </c>
      <c r="BB4" s="388"/>
      <c r="BC4" s="382"/>
      <c r="BD4" s="404" t="s">
        <v>185</v>
      </c>
      <c r="BE4" s="388"/>
      <c r="BF4" s="382"/>
      <c r="BG4" s="404" t="s">
        <v>179</v>
      </c>
      <c r="BH4" s="388"/>
      <c r="BI4" s="382"/>
      <c r="BJ4" s="404" t="s">
        <v>186</v>
      </c>
      <c r="BK4" s="388"/>
      <c r="BL4" s="382"/>
      <c r="BM4" s="404" t="s">
        <v>180</v>
      </c>
      <c r="BN4" s="388"/>
      <c r="BO4" s="382"/>
      <c r="BP4" s="404" t="s">
        <v>187</v>
      </c>
      <c r="BQ4" s="388"/>
      <c r="BR4" s="382"/>
      <c r="BS4" s="404" t="s">
        <v>188</v>
      </c>
      <c r="BT4" s="388"/>
      <c r="BU4" s="382"/>
      <c r="BV4" s="404" t="s">
        <v>189</v>
      </c>
      <c r="BW4" s="388"/>
      <c r="BX4" s="382"/>
      <c r="BY4" s="404" t="s">
        <v>179</v>
      </c>
      <c r="BZ4" s="388"/>
      <c r="CA4" s="382"/>
      <c r="CB4" s="404" t="s">
        <v>180</v>
      </c>
      <c r="CC4" s="388"/>
      <c r="CD4" s="382"/>
      <c r="CE4" s="404" t="s">
        <v>190</v>
      </c>
      <c r="CF4" s="388"/>
      <c r="CG4" s="382"/>
      <c r="CH4" s="404" t="s">
        <v>182</v>
      </c>
      <c r="CI4" s="388"/>
      <c r="CJ4" s="382"/>
      <c r="CK4" s="404" t="s">
        <v>191</v>
      </c>
      <c r="CL4" s="388"/>
      <c r="CM4" s="382"/>
      <c r="CN4" s="455" t="s">
        <v>5</v>
      </c>
      <c r="CO4" s="421"/>
    </row>
    <row r="5" spans="1:93" ht="24" customHeight="1" x14ac:dyDescent="0.3">
      <c r="A5" s="373"/>
      <c r="B5" s="374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281" t="s">
        <v>192</v>
      </c>
      <c r="S5" s="399" t="s">
        <v>193</v>
      </c>
      <c r="T5" s="382"/>
      <c r="U5" s="281" t="s">
        <v>21</v>
      </c>
      <c r="V5" s="399" t="s">
        <v>22</v>
      </c>
      <c r="W5" s="382"/>
      <c r="X5" s="289" t="s">
        <v>142</v>
      </c>
      <c r="Y5" s="289" t="s">
        <v>194</v>
      </c>
      <c r="Z5" s="289" t="s">
        <v>195</v>
      </c>
      <c r="AA5" s="281" t="s">
        <v>192</v>
      </c>
      <c r="AB5" s="399" t="s">
        <v>193</v>
      </c>
      <c r="AC5" s="382"/>
      <c r="AD5" s="281" t="s">
        <v>192</v>
      </c>
      <c r="AE5" s="399" t="s">
        <v>193</v>
      </c>
      <c r="AF5" s="382"/>
      <c r="AG5" s="281" t="s">
        <v>192</v>
      </c>
      <c r="AH5" s="399" t="s">
        <v>193</v>
      </c>
      <c r="AI5" s="382"/>
      <c r="AJ5" s="281" t="s">
        <v>192</v>
      </c>
      <c r="AK5" s="399" t="s">
        <v>193</v>
      </c>
      <c r="AL5" s="382"/>
      <c r="AM5" s="281" t="s">
        <v>21</v>
      </c>
      <c r="AN5" s="386" t="s">
        <v>22</v>
      </c>
      <c r="AO5" s="382"/>
      <c r="AP5" s="456" t="s">
        <v>22</v>
      </c>
      <c r="AQ5" s="382"/>
      <c r="AR5" s="281" t="s">
        <v>192</v>
      </c>
      <c r="AS5" s="399" t="s">
        <v>193</v>
      </c>
      <c r="AT5" s="382"/>
      <c r="AU5" s="281" t="s">
        <v>192</v>
      </c>
      <c r="AV5" s="399" t="s">
        <v>193</v>
      </c>
      <c r="AW5" s="382"/>
      <c r="AX5" s="281" t="s">
        <v>192</v>
      </c>
      <c r="AY5" s="399" t="s">
        <v>193</v>
      </c>
      <c r="AZ5" s="382"/>
      <c r="BA5" s="281" t="s">
        <v>21</v>
      </c>
      <c r="BB5" s="386" t="s">
        <v>22</v>
      </c>
      <c r="BC5" s="382"/>
      <c r="BD5" s="281" t="s">
        <v>21</v>
      </c>
      <c r="BE5" s="386" t="s">
        <v>22</v>
      </c>
      <c r="BF5" s="382"/>
      <c r="BG5" s="281" t="s">
        <v>192</v>
      </c>
      <c r="BH5" s="399" t="s">
        <v>193</v>
      </c>
      <c r="BI5" s="382"/>
      <c r="BJ5" s="281" t="s">
        <v>192</v>
      </c>
      <c r="BK5" s="399" t="s">
        <v>193</v>
      </c>
      <c r="BL5" s="382"/>
      <c r="BM5" s="281" t="s">
        <v>192</v>
      </c>
      <c r="BN5" s="399" t="s">
        <v>193</v>
      </c>
      <c r="BO5" s="382"/>
      <c r="BP5" s="281" t="s">
        <v>21</v>
      </c>
      <c r="BQ5" s="386" t="s">
        <v>22</v>
      </c>
      <c r="BR5" s="382"/>
      <c r="BS5" s="281" t="s">
        <v>21</v>
      </c>
      <c r="BT5" s="386" t="s">
        <v>22</v>
      </c>
      <c r="BU5" s="382"/>
      <c r="BV5" s="281" t="s">
        <v>21</v>
      </c>
      <c r="BW5" s="386" t="s">
        <v>22</v>
      </c>
      <c r="BX5" s="382"/>
      <c r="BY5" s="281" t="s">
        <v>192</v>
      </c>
      <c r="BZ5" s="399" t="s">
        <v>193</v>
      </c>
      <c r="CA5" s="382"/>
      <c r="CB5" s="281" t="s">
        <v>192</v>
      </c>
      <c r="CC5" s="399" t="s">
        <v>193</v>
      </c>
      <c r="CD5" s="382"/>
      <c r="CE5" s="281" t="s">
        <v>192</v>
      </c>
      <c r="CF5" s="399" t="s">
        <v>193</v>
      </c>
      <c r="CG5" s="382"/>
      <c r="CH5" s="281" t="s">
        <v>192</v>
      </c>
      <c r="CI5" s="399" t="s">
        <v>193</v>
      </c>
      <c r="CJ5" s="382"/>
      <c r="CK5" s="281" t="s">
        <v>21</v>
      </c>
      <c r="CL5" s="386" t="s">
        <v>22</v>
      </c>
      <c r="CM5" s="382"/>
      <c r="CN5" s="290" t="s">
        <v>22</v>
      </c>
      <c r="CO5" s="290" t="s">
        <v>22</v>
      </c>
    </row>
    <row r="6" spans="1:93" ht="41.25" customHeight="1" thickBot="1" x14ac:dyDescent="0.25">
      <c r="A6" s="375"/>
      <c r="B6" s="37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13" t="s">
        <v>23</v>
      </c>
      <c r="S6" s="282" t="s">
        <v>23</v>
      </c>
      <c r="T6" s="11" t="s">
        <v>24</v>
      </c>
      <c r="U6" s="13" t="s">
        <v>196</v>
      </c>
      <c r="V6" s="282" t="s">
        <v>196</v>
      </c>
      <c r="W6" s="11" t="s">
        <v>24</v>
      </c>
      <c r="X6" s="282" t="s">
        <v>28</v>
      </c>
      <c r="Y6" s="282" t="s">
        <v>28</v>
      </c>
      <c r="Z6" s="282" t="s">
        <v>28</v>
      </c>
      <c r="AA6" s="13" t="s">
        <v>23</v>
      </c>
      <c r="AB6" s="282" t="s">
        <v>23</v>
      </c>
      <c r="AC6" s="11" t="s">
        <v>24</v>
      </c>
      <c r="AD6" s="13" t="s">
        <v>23</v>
      </c>
      <c r="AE6" s="282" t="s">
        <v>23</v>
      </c>
      <c r="AF6" s="11" t="s">
        <v>24</v>
      </c>
      <c r="AG6" s="13" t="s">
        <v>23</v>
      </c>
      <c r="AH6" s="282" t="s">
        <v>23</v>
      </c>
      <c r="AI6" s="11" t="s">
        <v>24</v>
      </c>
      <c r="AJ6" s="13" t="s">
        <v>23</v>
      </c>
      <c r="AK6" s="282" t="s">
        <v>23</v>
      </c>
      <c r="AL6" s="11" t="s">
        <v>24</v>
      </c>
      <c r="AM6" s="291" t="s">
        <v>197</v>
      </c>
      <c r="AN6" s="14" t="s">
        <v>197</v>
      </c>
      <c r="AO6" s="11" t="s">
        <v>24</v>
      </c>
      <c r="AP6" s="14" t="s">
        <v>197</v>
      </c>
      <c r="AQ6" s="11" t="s">
        <v>164</v>
      </c>
      <c r="AR6" s="13" t="s">
        <v>23</v>
      </c>
      <c r="AS6" s="282" t="s">
        <v>23</v>
      </c>
      <c r="AT6" s="11" t="s">
        <v>24</v>
      </c>
      <c r="AU6" s="13" t="s">
        <v>23</v>
      </c>
      <c r="AV6" s="282" t="s">
        <v>23</v>
      </c>
      <c r="AW6" s="11" t="s">
        <v>24</v>
      </c>
      <c r="AX6" s="13" t="s">
        <v>23</v>
      </c>
      <c r="AY6" s="282" t="s">
        <v>23</v>
      </c>
      <c r="AZ6" s="11" t="s">
        <v>24</v>
      </c>
      <c r="BA6" s="292" t="s">
        <v>197</v>
      </c>
      <c r="BB6" s="14" t="s">
        <v>197</v>
      </c>
      <c r="BC6" s="11" t="s">
        <v>24</v>
      </c>
      <c r="BD6" s="292" t="s">
        <v>197</v>
      </c>
      <c r="BE6" s="14" t="s">
        <v>197</v>
      </c>
      <c r="BF6" s="11" t="s">
        <v>24</v>
      </c>
      <c r="BG6" s="13" t="s">
        <v>23</v>
      </c>
      <c r="BH6" s="282" t="s">
        <v>23</v>
      </c>
      <c r="BI6" s="11" t="s">
        <v>24</v>
      </c>
      <c r="BJ6" s="13" t="s">
        <v>23</v>
      </c>
      <c r="BK6" s="282" t="s">
        <v>23</v>
      </c>
      <c r="BL6" s="11" t="s">
        <v>24</v>
      </c>
      <c r="BM6" s="13" t="s">
        <v>23</v>
      </c>
      <c r="BN6" s="282" t="s">
        <v>23</v>
      </c>
      <c r="BO6" s="11" t="s">
        <v>24</v>
      </c>
      <c r="BP6" s="292" t="s">
        <v>198</v>
      </c>
      <c r="BQ6" s="14" t="s">
        <v>198</v>
      </c>
      <c r="BR6" s="11" t="s">
        <v>24</v>
      </c>
      <c r="BS6" s="292" t="s">
        <v>198</v>
      </c>
      <c r="BT6" s="14" t="s">
        <v>198</v>
      </c>
      <c r="BU6" s="11" t="s">
        <v>24</v>
      </c>
      <c r="BV6" s="292" t="s">
        <v>28</v>
      </c>
      <c r="BW6" s="14" t="s">
        <v>28</v>
      </c>
      <c r="BX6" s="11" t="s">
        <v>24</v>
      </c>
      <c r="BY6" s="13" t="s">
        <v>23</v>
      </c>
      <c r="BZ6" s="282" t="s">
        <v>23</v>
      </c>
      <c r="CA6" s="11" t="s">
        <v>24</v>
      </c>
      <c r="CB6" s="13" t="s">
        <v>23</v>
      </c>
      <c r="CC6" s="282" t="s">
        <v>23</v>
      </c>
      <c r="CD6" s="11" t="s">
        <v>24</v>
      </c>
      <c r="CE6" s="13" t="s">
        <v>23</v>
      </c>
      <c r="CF6" s="282" t="s">
        <v>23</v>
      </c>
      <c r="CG6" s="11" t="s">
        <v>24</v>
      </c>
      <c r="CH6" s="13" t="s">
        <v>23</v>
      </c>
      <c r="CI6" s="282" t="s">
        <v>23</v>
      </c>
      <c r="CJ6" s="11" t="s">
        <v>24</v>
      </c>
      <c r="CK6" s="292" t="s">
        <v>28</v>
      </c>
      <c r="CL6" s="14" t="s">
        <v>28</v>
      </c>
      <c r="CM6" s="11" t="s">
        <v>24</v>
      </c>
      <c r="CN6" s="14" t="s">
        <v>28</v>
      </c>
      <c r="CO6" s="14" t="s">
        <v>164</v>
      </c>
    </row>
    <row r="7" spans="1:93" ht="24" customHeight="1" thickBot="1" x14ac:dyDescent="0.35">
      <c r="A7" s="367" t="s">
        <v>239</v>
      </c>
      <c r="B7" s="368"/>
      <c r="C7" s="283">
        <f t="shared" ref="C7:C116" ca="1" si="0">D7+G7</f>
        <v>21292200</v>
      </c>
      <c r="D7" s="284">
        <f t="shared" ref="D7:E7" ca="1" si="1">D8+D9+D12</f>
        <v>21292200</v>
      </c>
      <c r="E7" s="18">
        <f t="shared" ca="1" si="1"/>
        <v>9581500</v>
      </c>
      <c r="F7" s="19">
        <f ca="1">F8+F9</f>
        <v>11710700</v>
      </c>
      <c r="G7" s="20">
        <f t="shared" ref="G7:I7" ca="1" si="2">G8+G9+G12</f>
        <v>0</v>
      </c>
      <c r="H7" s="21">
        <f t="shared" ca="1" si="2"/>
        <v>21292200</v>
      </c>
      <c r="I7" s="21">
        <f t="shared" ca="1" si="2"/>
        <v>0</v>
      </c>
      <c r="J7" s="22">
        <f t="shared" ref="J7:J116" ca="1" si="3">L7+O7</f>
        <v>18460039.960000001</v>
      </c>
      <c r="K7" s="23">
        <f t="shared" ref="K7:K116" ca="1" si="4">IF(C7&gt;0,J7*100/C7,0)</f>
        <v>86.698603056518351</v>
      </c>
      <c r="L7" s="22">
        <f ca="1">L8+L9+L12</f>
        <v>18460039.960000001</v>
      </c>
      <c r="M7" s="24">
        <f t="shared" ref="M7:M116" ca="1" si="5">IF(D7&gt;0,L7*100/D7,0)</f>
        <v>86.698603056518351</v>
      </c>
      <c r="N7" s="24">
        <f t="shared" ref="N7:N116" ca="1" si="6">IF(H7&gt;0,L7*100/H7,0)</f>
        <v>86.698603056518351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432000</v>
      </c>
      <c r="S7" s="27">
        <f t="shared" ca="1" si="9"/>
        <v>341867.83999999997</v>
      </c>
      <c r="T7" s="28">
        <f t="shared" ref="T7:T8" ca="1" si="10">IF(R7&gt;0,S7*100/R7,0)</f>
        <v>79.136074074074074</v>
      </c>
      <c r="U7" s="26">
        <f t="shared" ref="U7:V7" ca="1" si="11">U8</f>
        <v>288</v>
      </c>
      <c r="V7" s="27">
        <f t="shared" ca="1" si="11"/>
        <v>281</v>
      </c>
      <c r="W7" s="28">
        <f t="shared" ref="W7:W8" ca="1" si="12">IF(U7&gt;0,V7*100/U7,0)</f>
        <v>97.569444444444443</v>
      </c>
      <c r="X7" s="27">
        <f t="shared" ref="X7:AB7" ca="1" si="13">X8</f>
        <v>9569</v>
      </c>
      <c r="Y7" s="27">
        <f t="shared" ca="1" si="13"/>
        <v>9547</v>
      </c>
      <c r="Z7" s="27">
        <f t="shared" ca="1" si="13"/>
        <v>22</v>
      </c>
      <c r="AA7" s="26">
        <f t="shared" ca="1" si="13"/>
        <v>175000</v>
      </c>
      <c r="AB7" s="27">
        <f t="shared" ca="1" si="13"/>
        <v>175413</v>
      </c>
      <c r="AC7" s="28">
        <f t="shared" ref="AC7:AC8" ca="1" si="14">IF(AA7&gt;0,AB7*100/AA7,0)</f>
        <v>100.236</v>
      </c>
      <c r="AD7" s="26">
        <f t="shared" ref="AD7:AE7" ca="1" si="15">AD8</f>
        <v>1400000</v>
      </c>
      <c r="AE7" s="27">
        <f t="shared" ca="1" si="15"/>
        <v>1408681.62</v>
      </c>
      <c r="AF7" s="28">
        <f t="shared" ref="AF7:AF8" ca="1" si="16">IF(AD7&gt;0,AE7*100/AD7,0)</f>
        <v>100.62011571428572</v>
      </c>
      <c r="AG7" s="26">
        <f t="shared" ref="AG7:AH7" ca="1" si="17">AG8</f>
        <v>700000</v>
      </c>
      <c r="AH7" s="27">
        <f t="shared" ca="1" si="17"/>
        <v>668344</v>
      </c>
      <c r="AI7" s="28">
        <f t="shared" ref="AI7:AI8" ca="1" si="18">IF(AG7&gt;0,AH7*100/AG7,0)</f>
        <v>95.477714285714285</v>
      </c>
      <c r="AJ7" s="26">
        <f t="shared" ref="AJ7:AK7" ca="1" si="19">AJ8</f>
        <v>70000</v>
      </c>
      <c r="AK7" s="27">
        <f t="shared" ca="1" si="19"/>
        <v>60000</v>
      </c>
      <c r="AL7" s="28">
        <f t="shared" ref="AL7:AL8" ca="1" si="20">IF(AJ7&gt;0,AK7*100/AJ7,0)</f>
        <v>85.714285714285708</v>
      </c>
      <c r="AM7" s="26">
        <f t="shared" ref="AM7:AN7" ca="1" si="21">AM8</f>
        <v>175</v>
      </c>
      <c r="AN7" s="27">
        <f t="shared" ca="1" si="21"/>
        <v>175</v>
      </c>
      <c r="AO7" s="28">
        <f t="shared" ref="AO7:AO8" ca="1" si="22">IF(AM7&gt;0,AN7*100/AM7,0)</f>
        <v>100</v>
      </c>
      <c r="AP7" s="293">
        <f t="shared" ref="AP7:AS7" ca="1" si="23">AP8</f>
        <v>170</v>
      </c>
      <c r="AQ7" s="293">
        <f t="shared" ca="1" si="23"/>
        <v>12</v>
      </c>
      <c r="AR7" s="26">
        <f t="shared" ca="1" si="23"/>
        <v>58000</v>
      </c>
      <c r="AS7" s="27">
        <f t="shared" ca="1" si="23"/>
        <v>54443.25</v>
      </c>
      <c r="AT7" s="28">
        <f t="shared" ref="AT7:AT8" ca="1" si="24">IF(AR7&gt;0,AS7*100/AR7,0)</f>
        <v>93.867672413793102</v>
      </c>
      <c r="AU7" s="26">
        <f t="shared" ref="AU7:AV7" ca="1" si="25">AU8</f>
        <v>290000</v>
      </c>
      <c r="AV7" s="27">
        <f t="shared" ca="1" si="25"/>
        <v>280000</v>
      </c>
      <c r="AW7" s="28">
        <f t="shared" ref="AW7:AW8" ca="1" si="26">IF(AU7&gt;0,AV7*100/AU7,0)</f>
        <v>96.551724137931032</v>
      </c>
      <c r="AX7" s="26">
        <f t="shared" ref="AX7:AY7" ca="1" si="27">AX8</f>
        <v>464000</v>
      </c>
      <c r="AY7" s="27">
        <f t="shared" ca="1" si="27"/>
        <v>461957</v>
      </c>
      <c r="AZ7" s="28">
        <f t="shared" ref="AZ7:AZ8" ca="1" si="28">IF(AX7&gt;0,AY7*100/AX7,0)</f>
        <v>99.559698275862075</v>
      </c>
      <c r="BA7" s="26">
        <f t="shared" ref="BA7:BB7" ca="1" si="29">BA8</f>
        <v>58</v>
      </c>
      <c r="BB7" s="27">
        <f t="shared" ca="1" si="29"/>
        <v>58</v>
      </c>
      <c r="BC7" s="28">
        <f t="shared" ref="BC7:BC8" ca="1" si="30">IF(BA7&gt;0,BB7*100/BA7,0)</f>
        <v>100</v>
      </c>
      <c r="BD7" s="26">
        <f t="shared" ref="BD7:BE7" ca="1" si="31">BD8</f>
        <v>58</v>
      </c>
      <c r="BE7" s="27">
        <f t="shared" ca="1" si="31"/>
        <v>58</v>
      </c>
      <c r="BF7" s="28">
        <f t="shared" ref="BF7:BF8" ca="1" si="32">IF(BD7&gt;0,BE7*100/BD7,0)</f>
        <v>100</v>
      </c>
      <c r="BG7" s="26">
        <f t="shared" ref="BG7:BH7" ca="1" si="33">BG8</f>
        <v>296000</v>
      </c>
      <c r="BH7" s="27">
        <f t="shared" ca="1" si="33"/>
        <v>226892</v>
      </c>
      <c r="BI7" s="28">
        <f t="shared" ref="BI7:BI8" ca="1" si="34">IF(BG7&gt;0,BH7*100/BG7,0)</f>
        <v>76.652702702702697</v>
      </c>
      <c r="BJ7" s="26">
        <f t="shared" ref="BJ7:BK7" ca="1" si="35">BJ8</f>
        <v>697900</v>
      </c>
      <c r="BK7" s="27">
        <f t="shared" ca="1" si="35"/>
        <v>547490</v>
      </c>
      <c r="BL7" s="28">
        <f t="shared" ref="BL7:BL8" ca="1" si="36">IF(BJ7&gt;0,BK7*100/BJ7,0)</f>
        <v>78.448201748101454</v>
      </c>
      <c r="BM7" s="26">
        <f t="shared" ref="BM7:BN7" ca="1" si="37">BM8</f>
        <v>160000</v>
      </c>
      <c r="BN7" s="27">
        <f t="shared" ca="1" si="37"/>
        <v>153401.70000000001</v>
      </c>
      <c r="BO7" s="28">
        <f t="shared" ref="BO7:BO8" ca="1" si="38">IF(BM7&gt;0,BN7*100/BM7,0)</f>
        <v>95.876062500000018</v>
      </c>
      <c r="BP7" s="26">
        <f t="shared" ref="BP7:BQ7" ca="1" si="39">BP8</f>
        <v>2549000</v>
      </c>
      <c r="BQ7" s="27">
        <f t="shared" ca="1" si="39"/>
        <v>2499000</v>
      </c>
      <c r="BR7" s="28">
        <f t="shared" ref="BR7:BR8" ca="1" si="40">IF(BP7&gt;0,BQ7*100/BP7,0)</f>
        <v>98.038446449588079</v>
      </c>
      <c r="BS7" s="26">
        <f t="shared" ref="BS7:BT7" ca="1" si="41">BS8</f>
        <v>2549000</v>
      </c>
      <c r="BT7" s="27">
        <f t="shared" ca="1" si="41"/>
        <v>2524000</v>
      </c>
      <c r="BU7" s="28">
        <f t="shared" ref="BU7:BU8" ca="1" si="42">IF(BS7&gt;0,BT7*100/BS7,0)</f>
        <v>99.019223224794032</v>
      </c>
      <c r="BV7" s="26">
        <f t="shared" ref="BV7:BW7" ca="1" si="43">BV8</f>
        <v>160</v>
      </c>
      <c r="BW7" s="27">
        <f t="shared" ca="1" si="43"/>
        <v>160</v>
      </c>
      <c r="BX7" s="28">
        <f t="shared" ref="BX7:BX8" ca="1" si="44">IF(BV7&gt;0,BW7*100/BV7,0)</f>
        <v>100</v>
      </c>
      <c r="BY7" s="26">
        <f t="shared" ref="BY7:BZ7" ca="1" si="45">BY8</f>
        <v>2275900</v>
      </c>
      <c r="BZ7" s="27">
        <f t="shared" ca="1" si="45"/>
        <v>1918083.57</v>
      </c>
      <c r="CA7" s="28">
        <f t="shared" ref="CA7:CA8" ca="1" si="46">IF(BY7&gt;0,BZ7*100/BY7,0)</f>
        <v>84.278024957159801</v>
      </c>
      <c r="CB7" s="26">
        <f t="shared" ref="CB7:CC7" ca="1" si="47">CB8</f>
        <v>1263830</v>
      </c>
      <c r="CC7" s="27">
        <f t="shared" ca="1" si="47"/>
        <v>1220716.27</v>
      </c>
      <c r="CD7" s="28">
        <f t="shared" ref="CD7:CD8" ca="1" si="48">IF(CB7&gt;0,CC7*100/CB7,0)</f>
        <v>96.588644833561474</v>
      </c>
      <c r="CE7" s="26">
        <f t="shared" ref="CE7:CF7" ca="1" si="49">CE8</f>
        <v>357500</v>
      </c>
      <c r="CF7" s="27">
        <f t="shared" ca="1" si="49"/>
        <v>307500</v>
      </c>
      <c r="CG7" s="28">
        <f t="shared" ref="CG7:CG8" ca="1" si="50">IF(CE7&gt;0,CF7*100/CE7,0)</f>
        <v>86.013986013986013</v>
      </c>
      <c r="CH7" s="26">
        <f t="shared" ref="CH7:CI7" ca="1" si="51">CH8</f>
        <v>380000</v>
      </c>
      <c r="CI7" s="27">
        <f t="shared" ca="1" si="51"/>
        <v>377350</v>
      </c>
      <c r="CJ7" s="28">
        <f t="shared" ref="CJ7:CJ8" ca="1" si="52">IF(CH7&gt;0,CI7*100/CH7,0)</f>
        <v>99.30263157894737</v>
      </c>
      <c r="CK7" s="26">
        <f t="shared" ref="CK7:CL7" ca="1" si="53">CK8</f>
        <v>840</v>
      </c>
      <c r="CL7" s="27">
        <f t="shared" ca="1" si="53"/>
        <v>851</v>
      </c>
      <c r="CM7" s="28">
        <f t="shared" ref="CM7:CM8" ca="1" si="54">IF(CK7&gt;0,CL7*100/CK7,0)</f>
        <v>101.30952380952381</v>
      </c>
      <c r="CN7" s="27">
        <f t="shared" ref="CN7:CO7" ca="1" si="55">CN8</f>
        <v>441</v>
      </c>
      <c r="CO7" s="27">
        <f t="shared" ca="1" si="55"/>
        <v>29</v>
      </c>
    </row>
    <row r="8" spans="1:93" ht="28.5" customHeight="1" x14ac:dyDescent="0.3">
      <c r="A8" s="29" t="s">
        <v>31</v>
      </c>
      <c r="B8" s="30"/>
      <c r="C8" s="31">
        <f t="shared" ca="1" si="0"/>
        <v>15280330</v>
      </c>
      <c r="D8" s="32">
        <f t="shared" ref="D8:I8" ca="1" si="56">+D13+D31+D52+D74</f>
        <v>15280330</v>
      </c>
      <c r="E8" s="33">
        <f t="shared" ca="1" si="56"/>
        <v>6260200</v>
      </c>
      <c r="F8" s="33">
        <f t="shared" ca="1" si="56"/>
        <v>9020130</v>
      </c>
      <c r="G8" s="33">
        <f t="shared" ca="1" si="56"/>
        <v>0</v>
      </c>
      <c r="H8" s="33">
        <f t="shared" ca="1" si="56"/>
        <v>16233740</v>
      </c>
      <c r="I8" s="33">
        <f t="shared" ca="1" si="56"/>
        <v>0</v>
      </c>
      <c r="J8" s="33">
        <f t="shared" ca="1" si="3"/>
        <v>14996793.350000001</v>
      </c>
      <c r="K8" s="34">
        <f t="shared" ca="1" si="4"/>
        <v>98.144433726234979</v>
      </c>
      <c r="L8" s="33">
        <f ca="1">+L13+L31+L52+L74</f>
        <v>14996793.350000001</v>
      </c>
      <c r="M8" s="35">
        <f t="shared" ca="1" si="5"/>
        <v>98.144433726234979</v>
      </c>
      <c r="N8" s="35">
        <f t="shared" ca="1" si="6"/>
        <v>92.380396322720472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57">+R13+R31+R52+R74</f>
        <v>432000</v>
      </c>
      <c r="S8" s="33">
        <f t="shared" ca="1" si="57"/>
        <v>341867.83999999997</v>
      </c>
      <c r="T8" s="35">
        <f t="shared" ca="1" si="10"/>
        <v>79.136074074074074</v>
      </c>
      <c r="U8" s="33">
        <f t="shared" ref="U8:V8" ca="1" si="58">+U13+U31+U52+U74</f>
        <v>288</v>
      </c>
      <c r="V8" s="33">
        <f t="shared" ca="1" si="58"/>
        <v>281</v>
      </c>
      <c r="W8" s="35">
        <f t="shared" ca="1" si="12"/>
        <v>97.569444444444443</v>
      </c>
      <c r="X8" s="33">
        <f t="shared" ref="X8:AB8" ca="1" si="59">+X13+X31+X52+X74</f>
        <v>9569</v>
      </c>
      <c r="Y8" s="33">
        <f t="shared" ca="1" si="59"/>
        <v>9547</v>
      </c>
      <c r="Z8" s="33">
        <f t="shared" ca="1" si="59"/>
        <v>22</v>
      </c>
      <c r="AA8" s="33">
        <f t="shared" ca="1" si="59"/>
        <v>175000</v>
      </c>
      <c r="AB8" s="33">
        <f t="shared" ca="1" si="59"/>
        <v>175413</v>
      </c>
      <c r="AC8" s="35">
        <f t="shared" ca="1" si="14"/>
        <v>100.236</v>
      </c>
      <c r="AD8" s="33">
        <f t="shared" ref="AD8:AE8" ca="1" si="60">+AD13+AD31+AD52+AD74</f>
        <v>1400000</v>
      </c>
      <c r="AE8" s="33">
        <f t="shared" ca="1" si="60"/>
        <v>1408681.62</v>
      </c>
      <c r="AF8" s="35">
        <f t="shared" ca="1" si="16"/>
        <v>100.62011571428572</v>
      </c>
      <c r="AG8" s="33">
        <f t="shared" ref="AG8:AH8" ca="1" si="61">+AG13+AG31+AG52+AG74</f>
        <v>700000</v>
      </c>
      <c r="AH8" s="33">
        <f t="shared" ca="1" si="61"/>
        <v>668344</v>
      </c>
      <c r="AI8" s="35">
        <f t="shared" ca="1" si="18"/>
        <v>95.477714285714285</v>
      </c>
      <c r="AJ8" s="33">
        <f t="shared" ref="AJ8:AK8" ca="1" si="62">+AJ13+AJ31+AJ52+AJ74</f>
        <v>70000</v>
      </c>
      <c r="AK8" s="33">
        <f t="shared" ca="1" si="62"/>
        <v>60000</v>
      </c>
      <c r="AL8" s="35">
        <f t="shared" ca="1" si="20"/>
        <v>85.714285714285708</v>
      </c>
      <c r="AM8" s="33">
        <f t="shared" ref="AM8:AN8" ca="1" si="63">+AM13+AM31+AM52+AM74</f>
        <v>175</v>
      </c>
      <c r="AN8" s="33">
        <f t="shared" ca="1" si="63"/>
        <v>175</v>
      </c>
      <c r="AO8" s="35">
        <f t="shared" ca="1" si="22"/>
        <v>100</v>
      </c>
      <c r="AP8" s="294">
        <f t="shared" ref="AP8:AS8" ca="1" si="64">+AP13+AP31+AP52+AP74</f>
        <v>170</v>
      </c>
      <c r="AQ8" s="294">
        <f t="shared" ca="1" si="64"/>
        <v>12</v>
      </c>
      <c r="AR8" s="33">
        <f t="shared" ca="1" si="64"/>
        <v>58000</v>
      </c>
      <c r="AS8" s="33">
        <f t="shared" ca="1" si="64"/>
        <v>54443.25</v>
      </c>
      <c r="AT8" s="35">
        <f t="shared" ca="1" si="24"/>
        <v>93.867672413793102</v>
      </c>
      <c r="AU8" s="33">
        <f t="shared" ref="AU8:AV8" ca="1" si="65">+AU13+AU31+AU52+AU74</f>
        <v>290000</v>
      </c>
      <c r="AV8" s="33">
        <f t="shared" ca="1" si="65"/>
        <v>280000</v>
      </c>
      <c r="AW8" s="35">
        <f t="shared" ca="1" si="26"/>
        <v>96.551724137931032</v>
      </c>
      <c r="AX8" s="33">
        <f t="shared" ref="AX8:AY8" ca="1" si="66">+AX13+AX31+AX52+AX74</f>
        <v>464000</v>
      </c>
      <c r="AY8" s="33">
        <f t="shared" ca="1" si="66"/>
        <v>461957</v>
      </c>
      <c r="AZ8" s="35">
        <f t="shared" ca="1" si="28"/>
        <v>99.559698275862075</v>
      </c>
      <c r="BA8" s="33">
        <f t="shared" ref="BA8:BB8" ca="1" si="67">+BA13+BA31+BA52+BA74</f>
        <v>58</v>
      </c>
      <c r="BB8" s="33">
        <f t="shared" ca="1" si="67"/>
        <v>58</v>
      </c>
      <c r="BC8" s="35">
        <f t="shared" ca="1" si="30"/>
        <v>100</v>
      </c>
      <c r="BD8" s="33">
        <f t="shared" ref="BD8:BE8" ca="1" si="68">+BD13+BD31+BD52+BD74</f>
        <v>58</v>
      </c>
      <c r="BE8" s="33">
        <f t="shared" ca="1" si="68"/>
        <v>58</v>
      </c>
      <c r="BF8" s="35">
        <f t="shared" ca="1" si="32"/>
        <v>100</v>
      </c>
      <c r="BG8" s="33">
        <f t="shared" ref="BG8:BH8" ca="1" si="69">+BG13+BG31+BG52+BG74</f>
        <v>296000</v>
      </c>
      <c r="BH8" s="33">
        <f t="shared" ca="1" si="69"/>
        <v>226892</v>
      </c>
      <c r="BI8" s="35">
        <f t="shared" ca="1" si="34"/>
        <v>76.652702702702697</v>
      </c>
      <c r="BJ8" s="33">
        <f t="shared" ref="BJ8:BK8" ca="1" si="70">+BJ13+BJ31+BJ52+BJ74</f>
        <v>697900</v>
      </c>
      <c r="BK8" s="33">
        <f t="shared" ca="1" si="70"/>
        <v>547490</v>
      </c>
      <c r="BL8" s="35">
        <f t="shared" ca="1" si="36"/>
        <v>78.448201748101454</v>
      </c>
      <c r="BM8" s="33">
        <f t="shared" ref="BM8:BN8" ca="1" si="71">+BM13+BM31+BM52+BM74</f>
        <v>160000</v>
      </c>
      <c r="BN8" s="33">
        <f t="shared" ca="1" si="71"/>
        <v>153401.70000000001</v>
      </c>
      <c r="BO8" s="35">
        <f t="shared" ca="1" si="38"/>
        <v>95.876062500000018</v>
      </c>
      <c r="BP8" s="33">
        <f t="shared" ref="BP8:BQ8" ca="1" si="72">+BP13+BP31+BP52+BP74</f>
        <v>2549000</v>
      </c>
      <c r="BQ8" s="33">
        <f t="shared" ca="1" si="72"/>
        <v>2499000</v>
      </c>
      <c r="BR8" s="35">
        <f t="shared" ca="1" si="40"/>
        <v>98.038446449588079</v>
      </c>
      <c r="BS8" s="33">
        <f t="shared" ref="BS8:BT8" ca="1" si="73">+BS13+BS31+BS52+BS74</f>
        <v>2549000</v>
      </c>
      <c r="BT8" s="33">
        <f t="shared" ca="1" si="73"/>
        <v>2524000</v>
      </c>
      <c r="BU8" s="35">
        <f t="shared" ca="1" si="42"/>
        <v>99.019223224794032</v>
      </c>
      <c r="BV8" s="33">
        <f t="shared" ref="BV8:BW8" ca="1" si="74">+BV13+BV31+BV52+BV74</f>
        <v>160</v>
      </c>
      <c r="BW8" s="33">
        <f t="shared" ca="1" si="74"/>
        <v>160</v>
      </c>
      <c r="BX8" s="35">
        <f t="shared" ca="1" si="44"/>
        <v>100</v>
      </c>
      <c r="BY8" s="33">
        <f t="shared" ref="BY8:BZ8" ca="1" si="75">+BY13+BY31+BY52+BY74</f>
        <v>2275900</v>
      </c>
      <c r="BZ8" s="33">
        <f t="shared" ca="1" si="75"/>
        <v>1918083.57</v>
      </c>
      <c r="CA8" s="35">
        <f t="shared" ca="1" si="46"/>
        <v>84.278024957159801</v>
      </c>
      <c r="CB8" s="33">
        <f t="shared" ref="CB8:CC8" ca="1" si="76">+CB13+CB31+CB52+CB74</f>
        <v>1263830</v>
      </c>
      <c r="CC8" s="33">
        <f t="shared" ca="1" si="76"/>
        <v>1220716.27</v>
      </c>
      <c r="CD8" s="35">
        <f t="shared" ca="1" si="48"/>
        <v>96.588644833561474</v>
      </c>
      <c r="CE8" s="33">
        <f t="shared" ref="CE8:CF8" ca="1" si="77">+CE13+CE31+CE52+CE74</f>
        <v>357500</v>
      </c>
      <c r="CF8" s="33">
        <f t="shared" ca="1" si="77"/>
        <v>307500</v>
      </c>
      <c r="CG8" s="35">
        <f t="shared" ca="1" si="50"/>
        <v>86.013986013986013</v>
      </c>
      <c r="CH8" s="33">
        <f t="shared" ref="CH8:CI8" ca="1" si="78">+CH13+CH31+CH52+CH74</f>
        <v>380000</v>
      </c>
      <c r="CI8" s="33">
        <f t="shared" ca="1" si="78"/>
        <v>377350</v>
      </c>
      <c r="CJ8" s="35">
        <f t="shared" ca="1" si="52"/>
        <v>99.30263157894737</v>
      </c>
      <c r="CK8" s="33">
        <f t="shared" ref="CK8:CL8" ca="1" si="79">+CK13+CK31+CK52+CK74</f>
        <v>840</v>
      </c>
      <c r="CL8" s="33">
        <f t="shared" ca="1" si="79"/>
        <v>851</v>
      </c>
      <c r="CM8" s="35">
        <f t="shared" ca="1" si="54"/>
        <v>101.30952380952381</v>
      </c>
      <c r="CN8" s="33">
        <f t="shared" ref="CN8:CO8" ca="1" si="80">+CN13+CN31+CN52+CN74</f>
        <v>441</v>
      </c>
      <c r="CO8" s="33">
        <f t="shared" ca="1" si="80"/>
        <v>29</v>
      </c>
    </row>
    <row r="9" spans="1:93" ht="28.5" customHeight="1" x14ac:dyDescent="0.2">
      <c r="A9" s="39" t="s">
        <v>240</v>
      </c>
      <c r="B9" s="40"/>
      <c r="C9" s="41">
        <f t="shared" ca="1" si="0"/>
        <v>6011870</v>
      </c>
      <c r="D9" s="42">
        <f t="shared" ref="D9:I9" ca="1" si="81">+D10+D11</f>
        <v>6011870</v>
      </c>
      <c r="E9" s="41">
        <f t="shared" ca="1" si="81"/>
        <v>3321300</v>
      </c>
      <c r="F9" s="41">
        <f t="shared" ca="1" si="81"/>
        <v>2690570</v>
      </c>
      <c r="G9" s="41">
        <f t="shared" ca="1" si="81"/>
        <v>0</v>
      </c>
      <c r="H9" s="41">
        <f t="shared" ca="1" si="81"/>
        <v>5058460</v>
      </c>
      <c r="I9" s="41">
        <f t="shared" ca="1" si="81"/>
        <v>0</v>
      </c>
      <c r="J9" s="41">
        <f t="shared" ca="1" si="3"/>
        <v>3463246.61</v>
      </c>
      <c r="K9" s="43">
        <f t="shared" ca="1" si="4"/>
        <v>57.606811358196367</v>
      </c>
      <c r="L9" s="41">
        <f ca="1">+L10+L11</f>
        <v>3463246.61</v>
      </c>
      <c r="M9" s="44">
        <f t="shared" ca="1" si="5"/>
        <v>57.606811358196367</v>
      </c>
      <c r="N9" s="44">
        <f t="shared" ca="1" si="6"/>
        <v>68.464445898554104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  <c r="U9" s="41"/>
      <c r="V9" s="41"/>
      <c r="W9" s="44"/>
      <c r="X9" s="41"/>
      <c r="Y9" s="41"/>
      <c r="Z9" s="41"/>
      <c r="AA9" s="41"/>
      <c r="AB9" s="41"/>
      <c r="AC9" s="44"/>
      <c r="AD9" s="41"/>
      <c r="AE9" s="41"/>
      <c r="AF9" s="44"/>
      <c r="AG9" s="41"/>
      <c r="AH9" s="41"/>
      <c r="AI9" s="44"/>
      <c r="AJ9" s="41"/>
      <c r="AK9" s="41"/>
      <c r="AL9" s="44"/>
      <c r="AM9" s="41"/>
      <c r="AN9" s="41"/>
      <c r="AO9" s="44"/>
      <c r="AP9" s="295"/>
      <c r="AQ9" s="295"/>
      <c r="AR9" s="41"/>
      <c r="AS9" s="41"/>
      <c r="AT9" s="44"/>
      <c r="AU9" s="41"/>
      <c r="AV9" s="41"/>
      <c r="AW9" s="44"/>
      <c r="AX9" s="41"/>
      <c r="AY9" s="41"/>
      <c r="AZ9" s="44"/>
      <c r="BA9" s="41"/>
      <c r="BB9" s="41"/>
      <c r="BC9" s="44"/>
      <c r="BD9" s="41"/>
      <c r="BE9" s="41"/>
      <c r="BF9" s="44"/>
      <c r="BG9" s="41"/>
      <c r="BH9" s="41"/>
      <c r="BI9" s="44"/>
      <c r="BJ9" s="41"/>
      <c r="BK9" s="41"/>
      <c r="BL9" s="44"/>
      <c r="BM9" s="41"/>
      <c r="BN9" s="41"/>
      <c r="BO9" s="44"/>
      <c r="BP9" s="41"/>
      <c r="BQ9" s="41"/>
      <c r="BR9" s="44"/>
      <c r="BS9" s="41"/>
      <c r="BT9" s="41"/>
      <c r="BU9" s="44"/>
      <c r="BV9" s="41"/>
      <c r="BW9" s="41"/>
      <c r="BX9" s="44"/>
      <c r="BY9" s="41"/>
      <c r="BZ9" s="41"/>
      <c r="CA9" s="44"/>
      <c r="CB9" s="41"/>
      <c r="CC9" s="41"/>
      <c r="CD9" s="44"/>
      <c r="CE9" s="41"/>
      <c r="CF9" s="41"/>
      <c r="CG9" s="44"/>
      <c r="CH9" s="41"/>
      <c r="CI9" s="41"/>
      <c r="CJ9" s="44"/>
      <c r="CK9" s="41"/>
      <c r="CL9" s="41"/>
      <c r="CM9" s="44"/>
      <c r="CN9" s="41"/>
      <c r="CO9" s="41"/>
    </row>
    <row r="10" spans="1:93" ht="28.5" hidden="1" customHeight="1" x14ac:dyDescent="0.2">
      <c r="A10" s="39" t="s">
        <v>32</v>
      </c>
      <c r="B10" s="40"/>
      <c r="C10" s="41">
        <f t="shared" ca="1" si="0"/>
        <v>3310370</v>
      </c>
      <c r="D10" s="42">
        <f t="shared" ref="D10:I10" ca="1" si="82">+D89</f>
        <v>3310370</v>
      </c>
      <c r="E10" s="41">
        <f t="shared" ca="1" si="82"/>
        <v>619800</v>
      </c>
      <c r="F10" s="41">
        <f t="shared" ca="1" si="82"/>
        <v>2690570</v>
      </c>
      <c r="G10" s="41">
        <f t="shared" ca="1" si="82"/>
        <v>0</v>
      </c>
      <c r="H10" s="41">
        <f t="shared" ca="1" si="82"/>
        <v>2425380</v>
      </c>
      <c r="I10" s="41">
        <f t="shared" ca="1" si="82"/>
        <v>0</v>
      </c>
      <c r="J10" s="41">
        <f t="shared" ca="1" si="3"/>
        <v>1818439.98</v>
      </c>
      <c r="K10" s="43">
        <f t="shared" ca="1" si="4"/>
        <v>54.931623353280749</v>
      </c>
      <c r="L10" s="41">
        <f ca="1">+L89</f>
        <v>1818439.98</v>
      </c>
      <c r="M10" s="44">
        <f t="shared" ca="1" si="5"/>
        <v>54.931623353280749</v>
      </c>
      <c r="N10" s="44">
        <f t="shared" ca="1" si="6"/>
        <v>74.975466937139743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  <c r="U10" s="41"/>
      <c r="V10" s="41"/>
      <c r="W10" s="44"/>
      <c r="X10" s="41"/>
      <c r="Y10" s="41"/>
      <c r="Z10" s="41"/>
      <c r="AA10" s="41"/>
      <c r="AB10" s="41"/>
      <c r="AC10" s="44"/>
      <c r="AD10" s="41"/>
      <c r="AE10" s="41"/>
      <c r="AF10" s="44"/>
      <c r="AG10" s="41"/>
      <c r="AH10" s="41"/>
      <c r="AI10" s="44"/>
      <c r="AJ10" s="41"/>
      <c r="AK10" s="41"/>
      <c r="AL10" s="44"/>
      <c r="AM10" s="41"/>
      <c r="AN10" s="41"/>
      <c r="AO10" s="44"/>
      <c r="AP10" s="295"/>
      <c r="AQ10" s="295"/>
      <c r="AR10" s="41"/>
      <c r="AS10" s="41"/>
      <c r="AT10" s="44"/>
      <c r="AU10" s="41"/>
      <c r="AV10" s="41"/>
      <c r="AW10" s="44"/>
      <c r="AX10" s="41"/>
      <c r="AY10" s="41"/>
      <c r="AZ10" s="44"/>
      <c r="BA10" s="41"/>
      <c r="BB10" s="41"/>
      <c r="BC10" s="44"/>
      <c r="BD10" s="41"/>
      <c r="BE10" s="41"/>
      <c r="BF10" s="44"/>
      <c r="BG10" s="41"/>
      <c r="BH10" s="41"/>
      <c r="BI10" s="44"/>
      <c r="BJ10" s="41"/>
      <c r="BK10" s="41"/>
      <c r="BL10" s="44"/>
      <c r="BM10" s="41"/>
      <c r="BN10" s="41"/>
      <c r="BO10" s="44"/>
      <c r="BP10" s="41"/>
      <c r="BQ10" s="41"/>
      <c r="BR10" s="44"/>
      <c r="BS10" s="41"/>
      <c r="BT10" s="41"/>
      <c r="BU10" s="44"/>
      <c r="BV10" s="41"/>
      <c r="BW10" s="41"/>
      <c r="BX10" s="44"/>
      <c r="BY10" s="41"/>
      <c r="BZ10" s="41"/>
      <c r="CA10" s="44"/>
      <c r="CB10" s="41"/>
      <c r="CC10" s="41"/>
      <c r="CD10" s="44"/>
      <c r="CE10" s="41"/>
      <c r="CF10" s="41"/>
      <c r="CG10" s="44"/>
      <c r="CH10" s="41"/>
      <c r="CI10" s="41"/>
      <c r="CJ10" s="44"/>
      <c r="CK10" s="41"/>
      <c r="CL10" s="41"/>
      <c r="CM10" s="44"/>
      <c r="CN10" s="41"/>
      <c r="CO10" s="41"/>
    </row>
    <row r="11" spans="1:93" ht="28.5" hidden="1" customHeight="1" x14ac:dyDescent="0.2">
      <c r="A11" s="48" t="s">
        <v>33</v>
      </c>
      <c r="B11" s="40"/>
      <c r="C11" s="41">
        <f t="shared" ca="1" si="0"/>
        <v>2701500</v>
      </c>
      <c r="D11" s="42">
        <f t="shared" ref="D11:I11" ca="1" si="83">+D104</f>
        <v>2701500</v>
      </c>
      <c r="E11" s="41">
        <f t="shared" ca="1" si="83"/>
        <v>2701500</v>
      </c>
      <c r="F11" s="41">
        <f t="shared" ca="1" si="83"/>
        <v>0</v>
      </c>
      <c r="G11" s="41">
        <f t="shared" ca="1" si="83"/>
        <v>0</v>
      </c>
      <c r="H11" s="41">
        <f t="shared" ca="1" si="83"/>
        <v>2633080</v>
      </c>
      <c r="I11" s="41">
        <f t="shared" ca="1" si="83"/>
        <v>0</v>
      </c>
      <c r="J11" s="41">
        <f t="shared" ca="1" si="3"/>
        <v>1644806.63</v>
      </c>
      <c r="K11" s="43">
        <f t="shared" ca="1" si="4"/>
        <v>60.884939107903016</v>
      </c>
      <c r="L11" s="41">
        <f ca="1">+L104</f>
        <v>1644806.63</v>
      </c>
      <c r="M11" s="44">
        <f t="shared" ca="1" si="5"/>
        <v>60.884939107903016</v>
      </c>
      <c r="N11" s="44">
        <f t="shared" ca="1" si="6"/>
        <v>62.467020751363421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  <c r="U11" s="41"/>
      <c r="V11" s="41"/>
      <c r="W11" s="44"/>
      <c r="X11" s="41"/>
      <c r="Y11" s="41"/>
      <c r="Z11" s="41"/>
      <c r="AA11" s="41"/>
      <c r="AB11" s="41"/>
      <c r="AC11" s="44"/>
      <c r="AD11" s="41"/>
      <c r="AE11" s="41"/>
      <c r="AF11" s="44"/>
      <c r="AG11" s="41"/>
      <c r="AH11" s="41"/>
      <c r="AI11" s="44"/>
      <c r="AJ11" s="41"/>
      <c r="AK11" s="41"/>
      <c r="AL11" s="44"/>
      <c r="AM11" s="41"/>
      <c r="AN11" s="41"/>
      <c r="AO11" s="44"/>
      <c r="AP11" s="295"/>
      <c r="AQ11" s="295"/>
      <c r="AR11" s="41"/>
      <c r="AS11" s="41"/>
      <c r="AT11" s="44"/>
      <c r="AU11" s="41"/>
      <c r="AV11" s="41"/>
      <c r="AW11" s="44"/>
      <c r="AX11" s="41"/>
      <c r="AY11" s="41"/>
      <c r="AZ11" s="44"/>
      <c r="BA11" s="41"/>
      <c r="BB11" s="41"/>
      <c r="BC11" s="44"/>
      <c r="BD11" s="41"/>
      <c r="BE11" s="41"/>
      <c r="BF11" s="44"/>
      <c r="BG11" s="41"/>
      <c r="BH11" s="41"/>
      <c r="BI11" s="44"/>
      <c r="BJ11" s="41"/>
      <c r="BK11" s="41"/>
      <c r="BL11" s="44"/>
      <c r="BM11" s="41"/>
      <c r="BN11" s="41"/>
      <c r="BO11" s="44"/>
      <c r="BP11" s="41"/>
      <c r="BQ11" s="41"/>
      <c r="BR11" s="44"/>
      <c r="BS11" s="41"/>
      <c r="BT11" s="41"/>
      <c r="BU11" s="44"/>
      <c r="BV11" s="41"/>
      <c r="BW11" s="41"/>
      <c r="BX11" s="44"/>
      <c r="BY11" s="41"/>
      <c r="BZ11" s="41"/>
      <c r="CA11" s="44"/>
      <c r="CB11" s="41"/>
      <c r="CC11" s="41"/>
      <c r="CD11" s="44"/>
      <c r="CE11" s="41"/>
      <c r="CF11" s="41"/>
      <c r="CG11" s="44"/>
      <c r="CH11" s="41"/>
      <c r="CI11" s="41"/>
      <c r="CJ11" s="44"/>
      <c r="CK11" s="41"/>
      <c r="CL11" s="41"/>
      <c r="CM11" s="44"/>
      <c r="CN11" s="41"/>
      <c r="CO11" s="41"/>
    </row>
    <row r="12" spans="1:93" ht="28.5" hidden="1" customHeight="1" x14ac:dyDescent="0.3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84">IF(R12&gt;0,S12*100/R12,0)</f>
        <v>0</v>
      </c>
      <c r="U12" s="53">
        <v>0</v>
      </c>
      <c r="V12" s="53">
        <v>0</v>
      </c>
      <c r="W12" s="55">
        <f t="shared" ref="W12:W88" si="85">IF(U12&gt;0,V12*100/U12,0)</f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5">
        <f t="shared" ref="AC12:AC88" si="86">IF(AA12&gt;0,AB12*100/AA12,0)</f>
        <v>0</v>
      </c>
      <c r="AD12" s="53">
        <v>0</v>
      </c>
      <c r="AE12" s="53">
        <v>0</v>
      </c>
      <c r="AF12" s="55">
        <f t="shared" ref="AF12:AF88" si="87">IF(AD12&gt;0,AE12*100/AD12,0)</f>
        <v>0</v>
      </c>
      <c r="AG12" s="53">
        <v>0</v>
      </c>
      <c r="AH12" s="53">
        <v>0</v>
      </c>
      <c r="AI12" s="55">
        <f t="shared" ref="AI12:AI88" si="88">IF(AG12&gt;0,AH12*100/AG12,0)</f>
        <v>0</v>
      </c>
      <c r="AJ12" s="53">
        <v>0</v>
      </c>
      <c r="AK12" s="53">
        <v>0</v>
      </c>
      <c r="AL12" s="55">
        <f t="shared" ref="AL12:AL88" si="89">IF(AJ12&gt;0,AK12*100/AJ12,0)</f>
        <v>0</v>
      </c>
      <c r="AM12" s="53">
        <v>0</v>
      </c>
      <c r="AN12" s="53">
        <v>0</v>
      </c>
      <c r="AO12" s="55">
        <f t="shared" ref="AO12:AO88" si="90">IF(AM12&gt;0,AN12*100/AM12,0)</f>
        <v>0</v>
      </c>
      <c r="AP12" s="296">
        <v>0</v>
      </c>
      <c r="AQ12" s="296">
        <v>0</v>
      </c>
      <c r="AR12" s="53">
        <v>0</v>
      </c>
      <c r="AS12" s="53">
        <v>0</v>
      </c>
      <c r="AT12" s="55">
        <f t="shared" ref="AT12:AT88" si="91">IF(AR12&gt;0,AS12*100/AR12,0)</f>
        <v>0</v>
      </c>
      <c r="AU12" s="53">
        <v>0</v>
      </c>
      <c r="AV12" s="53">
        <v>0</v>
      </c>
      <c r="AW12" s="55">
        <f t="shared" ref="AW12:AW88" si="92">IF(AU12&gt;0,AV12*100/AU12,0)</f>
        <v>0</v>
      </c>
      <c r="AX12" s="53">
        <v>0</v>
      </c>
      <c r="AY12" s="53">
        <v>0</v>
      </c>
      <c r="AZ12" s="55">
        <f t="shared" ref="AZ12:AZ88" si="93">IF(AX12&gt;0,AY12*100/AX12,0)</f>
        <v>0</v>
      </c>
      <c r="BA12" s="53">
        <v>0</v>
      </c>
      <c r="BB12" s="53">
        <v>0</v>
      </c>
      <c r="BC12" s="55">
        <f t="shared" ref="BC12:BC88" si="94">IF(BA12&gt;0,BB12*100/BA12,0)</f>
        <v>0</v>
      </c>
      <c r="BD12" s="53">
        <v>0</v>
      </c>
      <c r="BE12" s="53">
        <v>0</v>
      </c>
      <c r="BF12" s="55">
        <f t="shared" ref="BF12:BF88" si="95">IF(BD12&gt;0,BE12*100/BD12,0)</f>
        <v>0</v>
      </c>
      <c r="BG12" s="53">
        <v>0</v>
      </c>
      <c r="BH12" s="53">
        <v>0</v>
      </c>
      <c r="BI12" s="55">
        <f t="shared" ref="BI12:BI88" si="96">IF(BG12&gt;0,BH12*100/BG12,0)</f>
        <v>0</v>
      </c>
      <c r="BJ12" s="53">
        <v>0</v>
      </c>
      <c r="BK12" s="53">
        <v>0</v>
      </c>
      <c r="BL12" s="55">
        <f t="shared" ref="BL12:BL88" si="97">IF(BJ12&gt;0,BK12*100/BJ12,0)</f>
        <v>0</v>
      </c>
      <c r="BM12" s="53">
        <v>0</v>
      </c>
      <c r="BN12" s="53">
        <v>0</v>
      </c>
      <c r="BO12" s="55">
        <f t="shared" ref="BO12:BO88" si="98">IF(BM12&gt;0,BN12*100/BM12,0)</f>
        <v>0</v>
      </c>
      <c r="BP12" s="53">
        <v>0</v>
      </c>
      <c r="BQ12" s="53">
        <v>0</v>
      </c>
      <c r="BR12" s="55">
        <f t="shared" ref="BR12:BR88" si="99">IF(BP12&gt;0,BQ12*100/BP12,0)</f>
        <v>0</v>
      </c>
      <c r="BS12" s="53">
        <v>0</v>
      </c>
      <c r="BT12" s="53">
        <v>0</v>
      </c>
      <c r="BU12" s="55">
        <f t="shared" ref="BU12:BU88" si="100">IF(BS12&gt;0,BT12*100/BS12,0)</f>
        <v>0</v>
      </c>
      <c r="BV12" s="53">
        <v>0</v>
      </c>
      <c r="BW12" s="53">
        <v>0</v>
      </c>
      <c r="BX12" s="55">
        <f t="shared" ref="BX12:BX88" si="101">IF(BV12&gt;0,BW12*100/BV12,0)</f>
        <v>0</v>
      </c>
      <c r="BY12" s="53">
        <v>0</v>
      </c>
      <c r="BZ12" s="53">
        <v>0</v>
      </c>
      <c r="CA12" s="55">
        <f t="shared" ref="CA12:CA88" si="102">IF(BY12&gt;0,BZ12*100/BY12,0)</f>
        <v>0</v>
      </c>
      <c r="CB12" s="53">
        <v>0</v>
      </c>
      <c r="CC12" s="53">
        <v>0</v>
      </c>
      <c r="CD12" s="55">
        <f t="shared" ref="CD12:CD88" si="103">IF(CB12&gt;0,CC12*100/CB12,0)</f>
        <v>0</v>
      </c>
      <c r="CE12" s="53">
        <v>0</v>
      </c>
      <c r="CF12" s="53">
        <v>0</v>
      </c>
      <c r="CG12" s="55">
        <f t="shared" ref="CG12:CG88" si="104">IF(CE12&gt;0,CF12*100/CE12,0)</f>
        <v>0</v>
      </c>
      <c r="CH12" s="53">
        <v>0</v>
      </c>
      <c r="CI12" s="53">
        <v>0</v>
      </c>
      <c r="CJ12" s="55">
        <f t="shared" ref="CJ12:CJ88" si="105">IF(CH12&gt;0,CI12*100/CH12,0)</f>
        <v>0</v>
      </c>
      <c r="CK12" s="53">
        <v>0</v>
      </c>
      <c r="CL12" s="53">
        <v>0</v>
      </c>
      <c r="CM12" s="55">
        <f t="shared" ref="CM12:CM88" si="106">IF(CK12&gt;0,CL12*100/CK12,0)</f>
        <v>0</v>
      </c>
      <c r="CN12" s="53">
        <v>0</v>
      </c>
      <c r="CO12" s="53">
        <v>0</v>
      </c>
    </row>
    <row r="13" spans="1:93" ht="28.5" customHeight="1" x14ac:dyDescent="0.3">
      <c r="A13" s="381" t="s">
        <v>35</v>
      </c>
      <c r="B13" s="382"/>
      <c r="C13" s="57">
        <f t="shared" ca="1" si="0"/>
        <v>4729330</v>
      </c>
      <c r="D13" s="58">
        <f t="shared" ref="D13:I13" ca="1" si="107">SUM(D14:D30)</f>
        <v>4729330</v>
      </c>
      <c r="E13" s="59">
        <f t="shared" ca="1" si="107"/>
        <v>1609500</v>
      </c>
      <c r="F13" s="59">
        <f t="shared" ca="1" si="107"/>
        <v>3119830</v>
      </c>
      <c r="G13" s="59">
        <f t="shared" ca="1" si="107"/>
        <v>0</v>
      </c>
      <c r="H13" s="59">
        <f t="shared" ca="1" si="107"/>
        <v>4837230</v>
      </c>
      <c r="I13" s="59">
        <f t="shared" ca="1" si="107"/>
        <v>0</v>
      </c>
      <c r="J13" s="59">
        <f t="shared" ca="1" si="3"/>
        <v>4505424.25</v>
      </c>
      <c r="K13" s="60">
        <f t="shared" ca="1" si="4"/>
        <v>95.265592589225108</v>
      </c>
      <c r="L13" s="59">
        <f ca="1">SUM(L14:L30)</f>
        <v>4505424.25</v>
      </c>
      <c r="M13" s="61">
        <f t="shared" ca="1" si="5"/>
        <v>95.265592589225108</v>
      </c>
      <c r="N13" s="61">
        <f t="shared" ca="1" si="6"/>
        <v>93.140583557118433</v>
      </c>
      <c r="O13" s="62">
        <f ca="1">SUM(O14:O30)</f>
        <v>0</v>
      </c>
      <c r="P13" s="62">
        <f t="shared" ref="P13:P116" ca="1" si="108">IF(G13&gt;0,O13*100/G13,0)</f>
        <v>0</v>
      </c>
      <c r="Q13" s="61">
        <f t="shared" ca="1" si="8"/>
        <v>0</v>
      </c>
      <c r="R13" s="59">
        <f t="shared" ref="R13:S13" ca="1" si="109">SUM(R14:R30)</f>
        <v>102000</v>
      </c>
      <c r="S13" s="59">
        <f t="shared" ca="1" si="109"/>
        <v>84017.84</v>
      </c>
      <c r="T13" s="61">
        <f t="shared" ca="1" si="84"/>
        <v>82.370431372549021</v>
      </c>
      <c r="U13" s="59">
        <f t="shared" ref="U13:V13" ca="1" si="110">SUM(U14:U30)</f>
        <v>68</v>
      </c>
      <c r="V13" s="59">
        <f t="shared" ca="1" si="110"/>
        <v>68</v>
      </c>
      <c r="W13" s="61">
        <f t="shared" ca="1" si="85"/>
        <v>100</v>
      </c>
      <c r="X13" s="59">
        <f t="shared" ref="X13:AB13" ca="1" si="111">SUM(X14:X30)</f>
        <v>2384</v>
      </c>
      <c r="Y13" s="59">
        <f t="shared" ca="1" si="111"/>
        <v>2384</v>
      </c>
      <c r="Z13" s="59">
        <f t="shared" ca="1" si="111"/>
        <v>0</v>
      </c>
      <c r="AA13" s="59">
        <f t="shared" ca="1" si="111"/>
        <v>50000</v>
      </c>
      <c r="AB13" s="59">
        <f t="shared" ca="1" si="111"/>
        <v>45144</v>
      </c>
      <c r="AC13" s="61">
        <f t="shared" ca="1" si="86"/>
        <v>90.287999999999997</v>
      </c>
      <c r="AD13" s="59">
        <f t="shared" ref="AD13:AE13" ca="1" si="112">SUM(AD14:AD30)</f>
        <v>400000</v>
      </c>
      <c r="AE13" s="59">
        <f t="shared" ca="1" si="112"/>
        <v>400277</v>
      </c>
      <c r="AF13" s="61">
        <f t="shared" ca="1" si="87"/>
        <v>100.06925</v>
      </c>
      <c r="AG13" s="59">
        <f t="shared" ref="AG13:AH13" ca="1" si="113">SUM(AG14:AG30)</f>
        <v>200000</v>
      </c>
      <c r="AH13" s="59">
        <f t="shared" ca="1" si="113"/>
        <v>188000</v>
      </c>
      <c r="AI13" s="61">
        <f t="shared" ca="1" si="88"/>
        <v>94</v>
      </c>
      <c r="AJ13" s="59">
        <f t="shared" ref="AJ13:AK13" ca="1" si="114">SUM(AJ14:AJ30)</f>
        <v>15000</v>
      </c>
      <c r="AK13" s="59">
        <f t="shared" ca="1" si="114"/>
        <v>15000</v>
      </c>
      <c r="AL13" s="61">
        <f t="shared" ca="1" si="89"/>
        <v>100</v>
      </c>
      <c r="AM13" s="59">
        <f t="shared" ref="AM13:AN13" ca="1" si="115">SUM(AM14:AM30)</f>
        <v>50</v>
      </c>
      <c r="AN13" s="59">
        <f t="shared" ca="1" si="115"/>
        <v>50</v>
      </c>
      <c r="AO13" s="61">
        <f t="shared" ca="1" si="90"/>
        <v>100</v>
      </c>
      <c r="AP13" s="294">
        <f t="shared" ref="AP13:AS13" ca="1" si="116">SUM(AP14:AP30)</f>
        <v>47</v>
      </c>
      <c r="AQ13" s="294">
        <f t="shared" ca="1" si="116"/>
        <v>3</v>
      </c>
      <c r="AR13" s="59">
        <f t="shared" ca="1" si="116"/>
        <v>4000</v>
      </c>
      <c r="AS13" s="59">
        <f t="shared" ca="1" si="116"/>
        <v>3480</v>
      </c>
      <c r="AT13" s="61">
        <f t="shared" ca="1" si="91"/>
        <v>87</v>
      </c>
      <c r="AU13" s="59">
        <f t="shared" ref="AU13:AV13" ca="1" si="117">SUM(AU14:AU30)</f>
        <v>20000</v>
      </c>
      <c r="AV13" s="59">
        <f t="shared" ca="1" si="117"/>
        <v>20000</v>
      </c>
      <c r="AW13" s="61">
        <f t="shared" ca="1" si="92"/>
        <v>100</v>
      </c>
      <c r="AX13" s="59">
        <f t="shared" ref="AX13:AY13" ca="1" si="118">SUM(AX14:AX30)</f>
        <v>32000</v>
      </c>
      <c r="AY13" s="59">
        <f t="shared" ca="1" si="118"/>
        <v>32520</v>
      </c>
      <c r="AZ13" s="61">
        <f t="shared" ca="1" si="93"/>
        <v>101.625</v>
      </c>
      <c r="BA13" s="59">
        <f t="shared" ref="BA13:BB13" ca="1" si="119">SUM(BA14:BA30)</f>
        <v>4</v>
      </c>
      <c r="BB13" s="59">
        <f t="shared" ca="1" si="119"/>
        <v>4</v>
      </c>
      <c r="BC13" s="61">
        <f t="shared" ca="1" si="94"/>
        <v>100</v>
      </c>
      <c r="BD13" s="59">
        <f t="shared" ref="BD13:BE13" ca="1" si="120">SUM(BD14:BD30)</f>
        <v>4</v>
      </c>
      <c r="BE13" s="59">
        <f t="shared" ca="1" si="120"/>
        <v>4</v>
      </c>
      <c r="BF13" s="61">
        <f t="shared" ca="1" si="95"/>
        <v>100</v>
      </c>
      <c r="BG13" s="59">
        <f t="shared" ref="BG13:BH13" ca="1" si="121">SUM(BG14:BG30)</f>
        <v>87000</v>
      </c>
      <c r="BH13" s="59">
        <f t="shared" ca="1" si="121"/>
        <v>55372</v>
      </c>
      <c r="BI13" s="61">
        <f t="shared" ca="1" si="96"/>
        <v>63.645977011494253</v>
      </c>
      <c r="BJ13" s="59">
        <f t="shared" ref="BJ13:BK13" ca="1" si="122">SUM(BJ14:BJ30)</f>
        <v>262300</v>
      </c>
      <c r="BK13" s="59">
        <f t="shared" ca="1" si="122"/>
        <v>156515</v>
      </c>
      <c r="BL13" s="61">
        <f t="shared" ca="1" si="97"/>
        <v>59.670224933282498</v>
      </c>
      <c r="BM13" s="59">
        <f t="shared" ref="BM13:BN13" ca="1" si="123">SUM(BM14:BM30)</f>
        <v>40000</v>
      </c>
      <c r="BN13" s="59">
        <f t="shared" ca="1" si="123"/>
        <v>39995</v>
      </c>
      <c r="BO13" s="61">
        <f t="shared" ca="1" si="98"/>
        <v>99.987499999999997</v>
      </c>
      <c r="BP13" s="59">
        <f t="shared" ref="BP13:BQ13" ca="1" si="124">SUM(BP14:BP30)</f>
        <v>981000</v>
      </c>
      <c r="BQ13" s="59">
        <f t="shared" ca="1" si="124"/>
        <v>981000</v>
      </c>
      <c r="BR13" s="61">
        <f t="shared" ca="1" si="99"/>
        <v>100</v>
      </c>
      <c r="BS13" s="59">
        <f t="shared" ref="BS13:BT13" ca="1" si="125">SUM(BS14:BS30)</f>
        <v>981000</v>
      </c>
      <c r="BT13" s="59">
        <f t="shared" ca="1" si="125"/>
        <v>981000</v>
      </c>
      <c r="BU13" s="61">
        <f t="shared" ca="1" si="100"/>
        <v>100</v>
      </c>
      <c r="BV13" s="59">
        <f t="shared" ref="BV13:BW13" ca="1" si="126">SUM(BV14:BV30)</f>
        <v>40</v>
      </c>
      <c r="BW13" s="59">
        <f t="shared" ca="1" si="126"/>
        <v>40</v>
      </c>
      <c r="BX13" s="61">
        <f t="shared" ca="1" si="101"/>
        <v>100</v>
      </c>
      <c r="BY13" s="59">
        <f t="shared" ref="BY13:BZ13" ca="1" si="127">SUM(BY14:BY30)</f>
        <v>1098900</v>
      </c>
      <c r="BZ13" s="59">
        <f t="shared" ca="1" si="127"/>
        <v>911537.83000000007</v>
      </c>
      <c r="CA13" s="61">
        <f t="shared" ca="1" si="102"/>
        <v>82.950025480025474</v>
      </c>
      <c r="CB13" s="59">
        <f t="shared" ref="CB13:CC13" ca="1" si="128">SUM(CB14:CB30)</f>
        <v>553630</v>
      </c>
      <c r="CC13" s="59">
        <f t="shared" ca="1" si="128"/>
        <v>538877.27</v>
      </c>
      <c r="CD13" s="61">
        <f t="shared" ca="1" si="103"/>
        <v>97.335272655022308</v>
      </c>
      <c r="CE13" s="59">
        <f t="shared" ref="CE13:CF13" ca="1" si="129">SUM(CE14:CE30)</f>
        <v>85000</v>
      </c>
      <c r="CF13" s="59">
        <f t="shared" ca="1" si="129"/>
        <v>35000</v>
      </c>
      <c r="CG13" s="61">
        <f t="shared" ca="1" si="104"/>
        <v>41.176470588235297</v>
      </c>
      <c r="CH13" s="59">
        <f t="shared" ref="CH13:CI13" ca="1" si="130">SUM(CH14:CH30)</f>
        <v>170000</v>
      </c>
      <c r="CI13" s="59">
        <f t="shared" ca="1" si="130"/>
        <v>177800</v>
      </c>
      <c r="CJ13" s="61">
        <f t="shared" ca="1" si="105"/>
        <v>104.58823529411765</v>
      </c>
      <c r="CK13" s="59">
        <f t="shared" ref="CK13:CL13" ca="1" si="131">SUM(CK14:CK30)</f>
        <v>320</v>
      </c>
      <c r="CL13" s="59">
        <f t="shared" ca="1" si="131"/>
        <v>320</v>
      </c>
      <c r="CM13" s="61">
        <f t="shared" ca="1" si="106"/>
        <v>100</v>
      </c>
      <c r="CN13" s="59">
        <f t="shared" ref="CN13:CO13" ca="1" si="132">SUM(CN14:CN30)</f>
        <v>120</v>
      </c>
      <c r="CO13" s="59">
        <f t="shared" ca="1" si="132"/>
        <v>9</v>
      </c>
    </row>
    <row r="14" spans="1:93" ht="24" customHeight="1" x14ac:dyDescent="0.3">
      <c r="A14" s="63">
        <v>1</v>
      </c>
      <c r="B14" s="64" t="s">
        <v>36</v>
      </c>
      <c r="C14" s="65">
        <f t="shared" ca="1" si="0"/>
        <v>63500</v>
      </c>
      <c r="D14" s="66">
        <f t="shared" ref="D14:D30" ca="1" si="133">+E14+F14</f>
        <v>63500</v>
      </c>
      <c r="E14" s="67">
        <f ca="1">IFERROR(__xludf.DUMMYFUNCTION("IMPORTRANGE(""https://docs.google.com/spreadsheets/d/1MeEWN-I1oV_STSDYn1IFDPWt_1FKiwhDph83XaGc0o0/edit?usp=sharing"",""งบพรบ!CP14"")"),0)</f>
        <v>0</v>
      </c>
      <c r="F14" s="67">
        <f ca="1">IFERROR(__xludf.DUMMYFUNCTION("IMPORTRANGE(""https://docs.google.com/spreadsheets/d/1MeEWN-I1oV_STSDYn1IFDPWt_1FKiwhDph83XaGc0o0/edit?usp=sharing"",""งบพรบ!CQ14"")"),63500)</f>
        <v>63500</v>
      </c>
      <c r="G14" s="68">
        <f ca="1">IFERROR(__xludf.DUMMYFUNCTION("IMPORTRANGE(""https://docs.google.com/spreadsheets/d/1MeEWN-I1oV_STSDYn1IFDPWt_1FKiwhDph83XaGc0o0/edit?usp=sharing"",""งบพรบ!CR14"")"),0)</f>
        <v>0</v>
      </c>
      <c r="H14" s="68">
        <f ca="1">IFERROR(__xludf.DUMMYFUNCTION("IMPORTRANGE(""https://docs.google.com/spreadsheets/d/1MeEWN-I1oV_STSDYn1IFDPWt_1FKiwhDph83XaGc0o0/edit?usp=sharing"",""งบพรบ!CT14"")"),63500)</f>
        <v>63500</v>
      </c>
      <c r="I14" s="68">
        <f ca="1">IFERROR(__xludf.DUMMYFUNCTION("IMPORTRANGE(""https://docs.google.com/spreadsheets/d/1MeEWN-I1oV_STSDYn1IFDPWt_1FKiwhDph83XaGc0o0/edit?usp=sharing"",""งบพรบ!CU14"")"),0)</f>
        <v>0</v>
      </c>
      <c r="J14" s="68">
        <f t="shared" ca="1" si="3"/>
        <v>63500</v>
      </c>
      <c r="K14" s="69">
        <f t="shared" ca="1" si="4"/>
        <v>100</v>
      </c>
      <c r="L14" s="68">
        <f ca="1">IFERROR(__xludf.DUMMYFUNCTION("IMPORTRANGE(""https://docs.google.com/spreadsheets/d/1MeEWN-I1oV_STSDYn1IFDPWt_1FKiwhDph83XaGc0o0/edit?usp=sharing"",""งบพรบ!CV14"")"),63500)</f>
        <v>63500</v>
      </c>
      <c r="M14" s="70">
        <f t="shared" ca="1" si="5"/>
        <v>100</v>
      </c>
      <c r="N14" s="70">
        <f t="shared" ca="1" si="6"/>
        <v>100</v>
      </c>
      <c r="O14" s="71">
        <f ca="1">IFERROR(__xludf.DUMMYFUNCTION("IMPORTRANGE(""https://docs.google.com/spreadsheets/d/1MeEWN-I1oV_STSDYn1IFDPWt_1FKiwhDph83XaGc0o0/edit?usp=sharing"",""งบพรบ!CW14"")"),0)</f>
        <v>0</v>
      </c>
      <c r="P14" s="71">
        <f t="shared" ca="1" si="10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IFERROR(__xludf.DUMMYFUNCTION("IMPORTRANGE(""https://docs.google.com/spreadsheets/d/1KxicF4apzSqm0-jIpmueT4kyZtE-Cwn5zskl7GD4loQ/edit?usp=sharing"",""กำแพงเพชร!L191"")"),6000)</f>
        <v>6000</v>
      </c>
      <c r="S14" s="68">
        <f ca="1">IFERROR(__xludf.DUMMYFUNCTION("IMPORTRANGE(""https://docs.google.com/spreadsheets/d/1KxicF4apzSqm0-jIpmueT4kyZtE-Cwn5zskl7GD4loQ/edit?usp=sharing"",""กำแพงเพชร!N191"")"),6000)</f>
        <v>6000</v>
      </c>
      <c r="T14" s="72">
        <f t="shared" ca="1" si="84"/>
        <v>100</v>
      </c>
      <c r="U14" s="68">
        <f ca="1">IFERROR(__xludf.DUMMYFUNCTION("IMPORTRANGE(""https://docs.google.com/spreadsheets/d/1KxicF4apzSqm0-jIpmueT4kyZtE-Cwn5zskl7GD4loQ/edit?usp=sharing"",""กำแพงเพชร!I193"")"),4)</f>
        <v>4</v>
      </c>
      <c r="V14" s="68">
        <f ca="1">IFERROR(__xludf.DUMMYFUNCTION("IMPORTRANGE(""https://docs.google.com/spreadsheets/d/1KxicF4apzSqm0-jIpmueT4kyZtE-Cwn5zskl7GD4loQ/edit?usp=sharing"",""กำแพงเพชร!J193"")"),4)</f>
        <v>4</v>
      </c>
      <c r="W14" s="72">
        <f t="shared" ca="1" si="85"/>
        <v>100</v>
      </c>
      <c r="X14" s="68">
        <f t="shared" ref="X14:X30" ca="1" si="134">Y14+Z14</f>
        <v>85</v>
      </c>
      <c r="Y14" s="68">
        <f ca="1">IFERROR(__xludf.DUMMYFUNCTION("IMPORTRANGE(""https://docs.google.com/spreadsheets/d/1KxicF4apzSqm0-jIpmueT4kyZtE-Cwn5zskl7GD4loQ/edit?usp=sharing"",""กำแพงเพชร!J195"")"),85)</f>
        <v>85</v>
      </c>
      <c r="Z14" s="68">
        <f ca="1">IFERROR(__xludf.DUMMYFUNCTION("IMPORTRANGE(""https://docs.google.com/spreadsheets/d/1KxicF4apzSqm0-jIpmueT4kyZtE-Cwn5zskl7GD4loQ/edit?usp=sharing"",""กำแพงเพชร!J196"")"),0)</f>
        <v>0</v>
      </c>
      <c r="AA14" s="68">
        <f ca="1">IFERROR(__xludf.DUMMYFUNCTION("IMPORTRANGE(""https://docs.google.com/spreadsheets/d/1KxicF4apzSqm0-jIpmueT4kyZtE-Cwn5zskl7GD4loQ/edit?usp=sharing"",""กำแพงเพชร!L199"")"),3000)</f>
        <v>3000</v>
      </c>
      <c r="AB14" s="68">
        <f ca="1">IFERROR(__xludf.DUMMYFUNCTION("IMPORTRANGE(""https://docs.google.com/spreadsheets/d/1KxicF4apzSqm0-jIpmueT4kyZtE-Cwn5zskl7GD4loQ/edit?usp=sharing"",""กำแพงเพชร!N199"")"),3000)</f>
        <v>3000</v>
      </c>
      <c r="AC14" s="72">
        <f t="shared" ca="1" si="86"/>
        <v>100</v>
      </c>
      <c r="AD14" s="68">
        <f ca="1">IFERROR(__xludf.DUMMYFUNCTION("IMPORTRANGE(""https://docs.google.com/spreadsheets/d/1KxicF4apzSqm0-jIpmueT4kyZtE-Cwn5zskl7GD4loQ/edit?usp=sharing"",""กำแพงเพชร!L200"")"),24000)</f>
        <v>24000</v>
      </c>
      <c r="AE14" s="68">
        <f ca="1">IFERROR(__xludf.DUMMYFUNCTION("IMPORTRANGE(""https://docs.google.com/spreadsheets/d/1KxicF4apzSqm0-jIpmueT4kyZtE-Cwn5zskl7GD4loQ/edit?usp=sharing"",""กำแพงเพชร!N200"")"),24000)</f>
        <v>24000</v>
      </c>
      <c r="AF14" s="72">
        <f t="shared" ca="1" si="87"/>
        <v>100</v>
      </c>
      <c r="AG14" s="68">
        <f ca="1">IFERROR(__xludf.DUMMYFUNCTION("IMPORTRANGE(""https://docs.google.com/spreadsheets/d/1KxicF4apzSqm0-jIpmueT4kyZtE-Cwn5zskl7GD4loQ/edit?usp=sharing"",""กำแพงเพชร!L201"")"),12000)</f>
        <v>12000</v>
      </c>
      <c r="AH14" s="68">
        <f ca="1">IFERROR(__xludf.DUMMYFUNCTION("IMPORTRANGE(""https://docs.google.com/spreadsheets/d/1KxicF4apzSqm0-jIpmueT4kyZtE-Cwn5zskl7GD4loQ/edit?usp=sharing"",""กำแพงเพชร!N201"")"),12000)</f>
        <v>12000</v>
      </c>
      <c r="AI14" s="72">
        <f t="shared" ca="1" si="88"/>
        <v>100</v>
      </c>
      <c r="AJ14" s="68">
        <f ca="1">IFERROR(__xludf.DUMMYFUNCTION("IMPORTRANGE(""https://docs.google.com/spreadsheets/d/1KxicF4apzSqm0-jIpmueT4kyZtE-Cwn5zskl7GD4loQ/edit?usp=sharing"",""กำแพงเพชร!L202"")"),0)</f>
        <v>0</v>
      </c>
      <c r="AK14" s="68">
        <f ca="1">IFERROR(__xludf.DUMMYFUNCTION("IMPORTRANGE(""https://docs.google.com/spreadsheets/d/1KxicF4apzSqm0-jIpmueT4kyZtE-Cwn5zskl7GD4loQ/edit?usp=sharing"",""กำแพงเพชร!N202"")"),0)</f>
        <v>0</v>
      </c>
      <c r="AL14" s="72">
        <f t="shared" ca="1" si="89"/>
        <v>0</v>
      </c>
      <c r="AM14" s="68">
        <f ca="1">IFERROR(__xludf.DUMMYFUNCTION("IMPORTRANGE(""https://docs.google.com/spreadsheets/d/1KxicF4apzSqm0-jIpmueT4kyZtE-Cwn5zskl7GD4loQ/edit?usp=sharing"",""กำแพงเพชร!I204"")"),3)</f>
        <v>3</v>
      </c>
      <c r="AN14" s="68">
        <f ca="1">IFERROR(__xludf.DUMMYFUNCTION("IMPORTRANGE(""https://docs.google.com/spreadsheets/d/1KxicF4apzSqm0-jIpmueT4kyZtE-Cwn5zskl7GD4loQ/edit?usp=sharing"",""กำแพงเพชร!J204"")"),3)</f>
        <v>3</v>
      </c>
      <c r="AO14" s="72">
        <f t="shared" ca="1" si="90"/>
        <v>100</v>
      </c>
      <c r="AP14" s="297">
        <f ca="1">IFERROR(__xludf.DUMMYFUNCTION("IMPORTRANGE(""https://docs.google.com/spreadsheets/d/1KxicF4apzSqm0-jIpmueT4kyZtE-Cwn5zskl7GD4loQ/edit?usp=sharing"",""กำแพงเพชร!J206"")"),3)</f>
        <v>3</v>
      </c>
      <c r="AQ14" s="297">
        <f ca="1">IFERROR(__xludf.DUMMYFUNCTION("IMPORTRANGE(""https://docs.google.com/spreadsheets/d/1KxicF4apzSqm0-jIpmueT4kyZtE-Cwn5zskl7GD4loQ/edit?usp=sharing"",""กำแพงเพชร!J207"")"),0)</f>
        <v>0</v>
      </c>
      <c r="AR14" s="68">
        <f ca="1">IFERROR(__xludf.DUMMYFUNCTION("IMPORTRANGE(""https://docs.google.com/spreadsheets/d/1KxicF4apzSqm0-jIpmueT4kyZtE-Cwn5zskl7GD4loQ/edit?usp=sharing"",""กำแพงเพชร!L210"")"),0)</f>
        <v>0</v>
      </c>
      <c r="AS14" s="68">
        <f ca="1">IFERROR(__xludf.DUMMYFUNCTION("IMPORTRANGE(""https://docs.google.com/spreadsheets/d/1KxicF4apzSqm0-jIpmueT4kyZtE-Cwn5zskl7GD4loQ/edit?usp=sharing"",""กำแพงเพชร!N210"")"),0)</f>
        <v>0</v>
      </c>
      <c r="AT14" s="72">
        <f t="shared" ca="1" si="91"/>
        <v>0</v>
      </c>
      <c r="AU14" s="68">
        <f ca="1">IFERROR(__xludf.DUMMYFUNCTION("IMPORTRANGE(""https://docs.google.com/spreadsheets/d/1KxicF4apzSqm0-jIpmueT4kyZtE-Cwn5zskl7GD4loQ/edit?usp=sharing"",""กำแพงเพชร!L211"")"),0)</f>
        <v>0</v>
      </c>
      <c r="AV14" s="68">
        <f ca="1">IFERROR(__xludf.DUMMYFUNCTION("IMPORTRANGE(""https://docs.google.com/spreadsheets/d/1KxicF4apzSqm0-jIpmueT4kyZtE-Cwn5zskl7GD4loQ/edit?usp=sharing"",""กำแพงเพชร!N211"")"),0)</f>
        <v>0</v>
      </c>
      <c r="AW14" s="72">
        <f t="shared" ca="1" si="92"/>
        <v>0</v>
      </c>
      <c r="AX14" s="68">
        <f ca="1">IFERROR(__xludf.DUMMYFUNCTION("IMPORTRANGE(""https://docs.google.com/spreadsheets/d/1KxicF4apzSqm0-jIpmueT4kyZtE-Cwn5zskl7GD4loQ/edit?usp=sharing"",""กำแพงเพชร!L212"")"),0)</f>
        <v>0</v>
      </c>
      <c r="AY14" s="68">
        <f ca="1">IFERROR(__xludf.DUMMYFUNCTION("IMPORTRANGE(""https://docs.google.com/spreadsheets/d/1KxicF4apzSqm0-jIpmueT4kyZtE-Cwn5zskl7GD4loQ/edit?usp=sharing"",""กำแพงเพชร!N212"")"),0)</f>
        <v>0</v>
      </c>
      <c r="AZ14" s="72">
        <f t="shared" ca="1" si="93"/>
        <v>0</v>
      </c>
      <c r="BA14" s="68">
        <f ca="1">IFERROR(__xludf.DUMMYFUNCTION("IMPORTRANGE(""https://docs.google.com/spreadsheets/d/1KxicF4apzSqm0-jIpmueT4kyZtE-Cwn5zskl7GD4loQ/edit?usp=sharing"",""กำแพงเพชร!I214"")"),0)</f>
        <v>0</v>
      </c>
      <c r="BB14" s="68">
        <f ca="1">IFERROR(__xludf.DUMMYFUNCTION("IMPORTRANGE(""https://docs.google.com/spreadsheets/d/1KxicF4apzSqm0-jIpmueT4kyZtE-Cwn5zskl7GD4loQ/edit?usp=sharing"",""กำแพงเพชร!J214"")"),0)</f>
        <v>0</v>
      </c>
      <c r="BC14" s="72">
        <f t="shared" ca="1" si="94"/>
        <v>0</v>
      </c>
      <c r="BD14" s="68">
        <f ca="1">IFERROR(__xludf.DUMMYFUNCTION("IMPORTRANGE(""https://docs.google.com/spreadsheets/d/1KxicF4apzSqm0-jIpmueT4kyZtE-Cwn5zskl7GD4loQ/edit?usp=sharing"",""กำแพงเพชร!I215"")"),0)</f>
        <v>0</v>
      </c>
      <c r="BE14" s="68">
        <f ca="1">IFERROR(__xludf.DUMMYFUNCTION("IMPORTRANGE(""https://docs.google.com/spreadsheets/d/1KxicF4apzSqm0-jIpmueT4kyZtE-Cwn5zskl7GD4loQ/edit?usp=sharing"",""กำแพงเพชร!J215"")"),0)</f>
        <v>0</v>
      </c>
      <c r="BF14" s="72">
        <f t="shared" ca="1" si="95"/>
        <v>0</v>
      </c>
      <c r="BG14" s="68">
        <f ca="1">IFERROR(__xludf.DUMMYFUNCTION("IMPORTRANGE(""https://docs.google.com/spreadsheets/d/1KxicF4apzSqm0-jIpmueT4kyZtE-Cwn5zskl7GD4loQ/edit?usp=sharing"",""กำแพงเพชร!L218"")"),5000)</f>
        <v>5000</v>
      </c>
      <c r="BH14" s="68">
        <f ca="1">IFERROR(__xludf.DUMMYFUNCTION("IMPORTRANGE(""https://docs.google.com/spreadsheets/d/1KxicF4apzSqm0-jIpmueT4kyZtE-Cwn5zskl7GD4loQ/edit?usp=sharing"",""กำแพงเพชร!N218"")"),2100)</f>
        <v>2100</v>
      </c>
      <c r="BI14" s="72">
        <f t="shared" ca="1" si="96"/>
        <v>42</v>
      </c>
      <c r="BJ14" s="68">
        <f ca="1">IFERROR(__xludf.DUMMYFUNCTION("IMPORTRANGE(""https://docs.google.com/spreadsheets/d/1KxicF4apzSqm0-jIpmueT4kyZtE-Cwn5zskl7GD4loQ/edit?usp=sharing"",""กำแพงเพชร!L219"")"),13500)</f>
        <v>13500</v>
      </c>
      <c r="BK14" s="68">
        <f ca="1">IFERROR(__xludf.DUMMYFUNCTION("IMPORTRANGE(""https://docs.google.com/spreadsheets/d/1KxicF4apzSqm0-jIpmueT4kyZtE-Cwn5zskl7GD4loQ/edit?usp=sharing"",""กำแพงเพชร!N219"")"),0)</f>
        <v>0</v>
      </c>
      <c r="BL14" s="72">
        <f t="shared" ca="1" si="97"/>
        <v>0</v>
      </c>
      <c r="BM14" s="68">
        <f ca="1">IFERROR(__xludf.DUMMYFUNCTION("IMPORTRANGE(""https://docs.google.com/spreadsheets/d/1KxicF4apzSqm0-jIpmueT4kyZtE-Cwn5zskl7GD4loQ/edit?usp=sharing"",""กำแพงเพชร!L220"")"),0)</f>
        <v>0</v>
      </c>
      <c r="BN14" s="68">
        <f ca="1">IFERROR(__xludf.DUMMYFUNCTION("IMPORTRANGE(""https://docs.google.com/spreadsheets/d/1KxicF4apzSqm0-jIpmueT4kyZtE-Cwn5zskl7GD4loQ/edit?usp=sharing"",""กำแพงเพชร!N220"")"),0)</f>
        <v>0</v>
      </c>
      <c r="BO14" s="72">
        <f t="shared" ca="1" si="98"/>
        <v>0</v>
      </c>
      <c r="BP14" s="68">
        <f ca="1">IFERROR(__xludf.DUMMYFUNCTION("IMPORTRANGE(""https://docs.google.com/spreadsheets/d/1KxicF4apzSqm0-jIpmueT4kyZtE-Cwn5zskl7GD4loQ/edit?usp=sharing"",""กำแพงเพชร!I223"")"),50000)</f>
        <v>50000</v>
      </c>
      <c r="BQ14" s="68">
        <f ca="1">IFERROR(__xludf.DUMMYFUNCTION("IMPORTRANGE(""https://docs.google.com/spreadsheets/d/1KxicF4apzSqm0-jIpmueT4kyZtE-Cwn5zskl7GD4loQ/edit?usp=sharing"",""กำแพงเพชร!J223"")"),50000)</f>
        <v>50000</v>
      </c>
      <c r="BR14" s="72">
        <f t="shared" ca="1" si="99"/>
        <v>100</v>
      </c>
      <c r="BS14" s="68">
        <f ca="1">IFERROR(__xludf.DUMMYFUNCTION("IMPORTRANGE(""https://docs.google.com/spreadsheets/d/1KxicF4apzSqm0-jIpmueT4kyZtE-Cwn5zskl7GD4loQ/edit?usp=sharing"",""กำแพงเพชร!I224"")"),50000)</f>
        <v>50000</v>
      </c>
      <c r="BT14" s="68">
        <f ca="1">IFERROR(__xludf.DUMMYFUNCTION("IMPORTRANGE(""https://docs.google.com/spreadsheets/d/1KxicF4apzSqm0-jIpmueT4kyZtE-Cwn5zskl7GD4loQ/edit?usp=sharing"",""กำแพงเพชร!J224"")"),50000)</f>
        <v>50000</v>
      </c>
      <c r="BU14" s="72">
        <f t="shared" ca="1" si="100"/>
        <v>100</v>
      </c>
      <c r="BV14" s="68">
        <f ca="1">IFERROR(__xludf.DUMMYFUNCTION("IMPORTRANGE(""https://docs.google.com/spreadsheets/d/1KxicF4apzSqm0-jIpmueT4kyZtE-Cwn5zskl7GD4loQ/edit?usp=sharing"",""กำแพงเพชร!I225"")"),0)</f>
        <v>0</v>
      </c>
      <c r="BW14" s="68">
        <f ca="1">IFERROR(__xludf.DUMMYFUNCTION("IMPORTRANGE(""https://docs.google.com/spreadsheets/d/1KxicF4apzSqm0-jIpmueT4kyZtE-Cwn5zskl7GD4loQ/edit?usp=sharing"",""กำแพงเพชร!J225"")"),0)</f>
        <v>0</v>
      </c>
      <c r="BX14" s="72">
        <f t="shared" ca="1" si="101"/>
        <v>0</v>
      </c>
      <c r="BY14" s="68">
        <f ca="1">IFERROR(__xludf.DUMMYFUNCTION("IMPORTRANGE(""https://docs.google.com/spreadsheets/d/1KxicF4apzSqm0-jIpmueT4kyZtE-Cwn5zskl7GD4loQ/edit?usp=sharing"",""กำแพงเพชร!L228"")"),0)</f>
        <v>0</v>
      </c>
      <c r="BZ14" s="68">
        <f ca="1">IFERROR(__xludf.DUMMYFUNCTION("IMPORTRANGE(""https://docs.google.com/spreadsheets/d/1KxicF4apzSqm0-jIpmueT4kyZtE-Cwn5zskl7GD4loQ/edit?usp=sharing"",""กำแพงเพชร!N228"")"),0)</f>
        <v>0</v>
      </c>
      <c r="CA14" s="72">
        <f t="shared" ca="1" si="102"/>
        <v>0</v>
      </c>
      <c r="CB14" s="68">
        <f ca="1">IFERROR(__xludf.DUMMYFUNCTION("IMPORTRANGE(""https://docs.google.com/spreadsheets/d/1KxicF4apzSqm0-jIpmueT4kyZtE-Cwn5zskl7GD4loQ/edit?usp=sharing"",""กำแพงเพชร!L229"")"),0)</f>
        <v>0</v>
      </c>
      <c r="CC14" s="68">
        <f ca="1">IFERROR(__xludf.DUMMYFUNCTION("IMPORTRANGE(""https://docs.google.com/spreadsheets/d/1KxicF4apzSqm0-jIpmueT4kyZtE-Cwn5zskl7GD4loQ/edit?usp=sharing"",""กำแพงเพชร!N229"")"),0)</f>
        <v>0</v>
      </c>
      <c r="CD14" s="72">
        <f t="shared" ca="1" si="103"/>
        <v>0</v>
      </c>
      <c r="CE14" s="68">
        <f ca="1">IFERROR(__xludf.DUMMYFUNCTION("IMPORTRANGE(""https://docs.google.com/spreadsheets/d/1KxicF4apzSqm0-jIpmueT4kyZtE-Cwn5zskl7GD4loQ/edit?usp=sharing"",""กำแพงเพชร!L230"")"),0)</f>
        <v>0</v>
      </c>
      <c r="CF14" s="68">
        <f ca="1">IFERROR(__xludf.DUMMYFUNCTION("IMPORTRANGE(""https://docs.google.com/spreadsheets/d/1KxicF4apzSqm0-jIpmueT4kyZtE-Cwn5zskl7GD4loQ/edit?usp=sharing"",""กำแพงเพชร!N230"")"),0)</f>
        <v>0</v>
      </c>
      <c r="CG14" s="72">
        <f t="shared" ca="1" si="104"/>
        <v>0</v>
      </c>
      <c r="CH14" s="68">
        <f ca="1">IFERROR(__xludf.DUMMYFUNCTION("IMPORTRANGE(""https://docs.google.com/spreadsheets/d/1KxicF4apzSqm0-jIpmueT4kyZtE-Cwn5zskl7GD4loQ/edit?usp=sharing"",""กำแพงเพชร!L231"")"),0)</f>
        <v>0</v>
      </c>
      <c r="CI14" s="68">
        <f ca="1">IFERROR(__xludf.DUMMYFUNCTION("IMPORTRANGE(""https://docs.google.com/spreadsheets/d/1KxicF4apzSqm0-jIpmueT4kyZtE-Cwn5zskl7GD4loQ/edit?usp=sharing"",""กำแพงเพชร!N231"")"),0)</f>
        <v>0</v>
      </c>
      <c r="CJ14" s="72">
        <f t="shared" ca="1" si="105"/>
        <v>0</v>
      </c>
      <c r="CK14" s="68">
        <f ca="1">IFERROR(__xludf.DUMMYFUNCTION("IMPORTRANGE(""https://docs.google.com/spreadsheets/d/1KxicF4apzSqm0-jIpmueT4kyZtE-Cwn5zskl7GD4loQ/edit?usp=sharing"",""กำแพงเพชร!I233"")"),0)</f>
        <v>0</v>
      </c>
      <c r="CL14" s="68">
        <f ca="1">IFERROR(__xludf.DUMMYFUNCTION("IMPORTRANGE(""https://docs.google.com/spreadsheets/d/1KxicF4apzSqm0-jIpmueT4kyZtE-Cwn5zskl7GD4loQ/edit?usp=sharing"",""กำแพงเพชร!J233"")"),0)</f>
        <v>0</v>
      </c>
      <c r="CM14" s="72">
        <f t="shared" ca="1" si="106"/>
        <v>0</v>
      </c>
      <c r="CN14" s="68">
        <f ca="1">IFERROR(__xludf.DUMMYFUNCTION("IMPORTRANGE(""https://docs.google.com/spreadsheets/d/1KxicF4apzSqm0-jIpmueT4kyZtE-Cwn5zskl7GD4loQ/edit?usp=sharing"",""กำแพงเพชร!J235"")"),0)</f>
        <v>0</v>
      </c>
      <c r="CO14" s="68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3">
        <v>2</v>
      </c>
      <c r="B15" s="74" t="s">
        <v>37</v>
      </c>
      <c r="C15" s="75">
        <f t="shared" ca="1" si="0"/>
        <v>612200</v>
      </c>
      <c r="D15" s="76">
        <f t="shared" ca="1" si="133"/>
        <v>612200</v>
      </c>
      <c r="E15" s="77">
        <f ca="1">IFERROR(__xludf.DUMMYFUNCTION("IMPORTRANGE(""https://docs.google.com/spreadsheets/d/1MeEWN-I1oV_STSDYn1IFDPWt_1FKiwhDph83XaGc0o0/edit?usp=sharing"",""งบพรบ!CP15"")"),512700)</f>
        <v>512700</v>
      </c>
      <c r="F15" s="77">
        <f ca="1">IFERROR(__xludf.DUMMYFUNCTION("IMPORTRANGE(""https://docs.google.com/spreadsheets/d/1MeEWN-I1oV_STSDYn1IFDPWt_1FKiwhDph83XaGc0o0/edit?usp=sharing"",""งบพรบ!CQ15"")"),99500)</f>
        <v>99500</v>
      </c>
      <c r="G15" s="77">
        <f ca="1">IFERROR(__xludf.DUMMYFUNCTION("IMPORTRANGE(""https://docs.google.com/spreadsheets/d/1MeEWN-I1oV_STSDYn1IFDPWt_1FKiwhDph83XaGc0o0/edit?usp=sharing"",""งบพรบ!CR15"")"),0)</f>
        <v>0</v>
      </c>
      <c r="H15" s="77">
        <f ca="1">IFERROR(__xludf.DUMMYFUNCTION("IMPORTRANGE(""https://docs.google.com/spreadsheets/d/1MeEWN-I1oV_STSDYn1IFDPWt_1FKiwhDph83XaGc0o0/edit?usp=sharing"",""งบพรบ!CT15"")"),607200)</f>
        <v>607200</v>
      </c>
      <c r="I15" s="77">
        <f ca="1">IFERROR(__xludf.DUMMYFUNCTION("IMPORTRANGE(""https://docs.google.com/spreadsheets/d/1MeEWN-I1oV_STSDYn1IFDPWt_1FKiwhDph83XaGc0o0/edit?usp=sharing"",""งบพรบ!CU15"")"),0)</f>
        <v>0</v>
      </c>
      <c r="J15" s="77">
        <f t="shared" ca="1" si="3"/>
        <v>599824.55000000005</v>
      </c>
      <c r="K15" s="78">
        <f t="shared" ca="1" si="4"/>
        <v>97.97852825873899</v>
      </c>
      <c r="L15" s="77">
        <f ca="1">IFERROR(__xludf.DUMMYFUNCTION("IMPORTRANGE(""https://docs.google.com/spreadsheets/d/1MeEWN-I1oV_STSDYn1IFDPWt_1FKiwhDph83XaGc0o0/edit?usp=sharing"",""งบพรบ!CV15"")"),599824.55)</f>
        <v>599824.55000000005</v>
      </c>
      <c r="M15" s="79">
        <f t="shared" ca="1" si="5"/>
        <v>97.97852825873899</v>
      </c>
      <c r="N15" s="79">
        <f t="shared" ca="1" si="6"/>
        <v>98.785334321475645</v>
      </c>
      <c r="O15" s="80">
        <f ca="1">IFERROR(__xludf.DUMMYFUNCTION("IMPORTRANGE(""https://docs.google.com/spreadsheets/d/1MeEWN-I1oV_STSDYn1IFDPWt_1FKiwhDph83XaGc0o0/edit?usp=sharing"",""งบพรบ!CW15"")"),0)</f>
        <v>0</v>
      </c>
      <c r="P15" s="80">
        <f t="shared" ca="1" si="10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IFERROR(__xludf.DUMMYFUNCTION("IMPORTRANGE(""https://docs.google.com/spreadsheets/d/1ZNYWeiFoFA1K1U4xKWqRX29MBvEyRHXORjo734Gnq_c/edit?usp=sharing"",""เชียงราย!L191"")"),6000)</f>
        <v>6000</v>
      </c>
      <c r="S15" s="81">
        <f ca="1">IFERROR(__xludf.DUMMYFUNCTION("IMPORTRANGE(""https://docs.google.com/spreadsheets/d/1ZNYWeiFoFA1K1U4xKWqRX29MBvEyRHXORjo734Gnq_c/edit?usp=sharing"",""เชียงราย!N191"")"),4400)</f>
        <v>4400</v>
      </c>
      <c r="T15" s="82">
        <f t="shared" ca="1" si="84"/>
        <v>73.333333333333329</v>
      </c>
      <c r="U15" s="81">
        <f ca="1">IFERROR(__xludf.DUMMYFUNCTION("IMPORTRANGE(""https://docs.google.com/spreadsheets/d/1ZNYWeiFoFA1K1U4xKWqRX29MBvEyRHXORjo734Gnq_c/edit?usp=sharing"",""เชียงราย!I193"")"),4)</f>
        <v>4</v>
      </c>
      <c r="V15" s="81">
        <f ca="1">IFERROR(__xludf.DUMMYFUNCTION("IMPORTRANGE(""https://docs.google.com/spreadsheets/d/1ZNYWeiFoFA1K1U4xKWqRX29MBvEyRHXORjo734Gnq_c/edit?usp=sharing"",""เชียงราย!J193"")"),4)</f>
        <v>4</v>
      </c>
      <c r="W15" s="82">
        <f t="shared" ca="1" si="85"/>
        <v>100</v>
      </c>
      <c r="X15" s="81">
        <f t="shared" ca="1" si="134"/>
        <v>150</v>
      </c>
      <c r="Y15" s="81">
        <f ca="1">IFERROR(__xludf.DUMMYFUNCTION("IMPORTRANGE(""https://docs.google.com/spreadsheets/d/1ZNYWeiFoFA1K1U4xKWqRX29MBvEyRHXORjo734Gnq_c/edit?usp=sharing"",""เชียงราย!J195"")"),150)</f>
        <v>150</v>
      </c>
      <c r="Z15" s="81">
        <f ca="1">IFERROR(__xludf.DUMMYFUNCTION("IMPORTRANGE(""https://docs.google.com/spreadsheets/d/1ZNYWeiFoFA1K1U4xKWqRX29MBvEyRHXORjo734Gnq_c/edit?usp=sharing"",""เชียงราย!J196"")"),0)</f>
        <v>0</v>
      </c>
      <c r="AA15" s="81">
        <f ca="1">IFERROR(__xludf.DUMMYFUNCTION("IMPORTRANGE(""https://docs.google.com/spreadsheets/d/1ZNYWeiFoFA1K1U4xKWqRX29MBvEyRHXORjo734Gnq_c/edit?usp=sharing"",""เชียงราย!L199"")"),5000)</f>
        <v>5000</v>
      </c>
      <c r="AB15" s="81">
        <f ca="1">IFERROR(__xludf.DUMMYFUNCTION("IMPORTRANGE(""https://docs.google.com/spreadsheets/d/1ZNYWeiFoFA1K1U4xKWqRX29MBvEyRHXORjo734Gnq_c/edit?usp=sharing"",""เชียงราย!N199"")"),5000)</f>
        <v>5000</v>
      </c>
      <c r="AC15" s="82">
        <f t="shared" ca="1" si="86"/>
        <v>100</v>
      </c>
      <c r="AD15" s="81">
        <f ca="1">IFERROR(__xludf.DUMMYFUNCTION("IMPORTRANGE(""https://docs.google.com/spreadsheets/d/1ZNYWeiFoFA1K1U4xKWqRX29MBvEyRHXORjo734Gnq_c/edit?usp=sharing"",""เชียงราย!L200"")"),40000)</f>
        <v>40000</v>
      </c>
      <c r="AE15" s="81">
        <f ca="1">IFERROR(__xludf.DUMMYFUNCTION("IMPORTRANGE(""https://docs.google.com/spreadsheets/d/1ZNYWeiFoFA1K1U4xKWqRX29MBvEyRHXORjo734Gnq_c/edit?usp=sharing"",""เชียงราย!N200"")"),40000)</f>
        <v>40000</v>
      </c>
      <c r="AF15" s="82">
        <f t="shared" ca="1" si="87"/>
        <v>100</v>
      </c>
      <c r="AG15" s="81">
        <f ca="1">IFERROR(__xludf.DUMMYFUNCTION("IMPORTRANGE(""https://docs.google.com/spreadsheets/d/1ZNYWeiFoFA1K1U4xKWqRX29MBvEyRHXORjo734Gnq_c/edit?usp=sharing"",""เชียงราย!L201"")"),20000)</f>
        <v>20000</v>
      </c>
      <c r="AH15" s="81">
        <f ca="1">IFERROR(__xludf.DUMMYFUNCTION("IMPORTRANGE(""https://docs.google.com/spreadsheets/d/1ZNYWeiFoFA1K1U4xKWqRX29MBvEyRHXORjo734Gnq_c/edit?usp=sharing"",""เชียงราย!N201"")"),20000)</f>
        <v>20000</v>
      </c>
      <c r="AI15" s="82">
        <f t="shared" ca="1" si="88"/>
        <v>100</v>
      </c>
      <c r="AJ15" s="81">
        <f ca="1">IFERROR(__xludf.DUMMYFUNCTION("IMPORTRANGE(""https://docs.google.com/spreadsheets/d/1ZNYWeiFoFA1K1U4xKWqRX29MBvEyRHXORjo734Gnq_c/edit?usp=sharing"",""เชียงราย!L202"")"),0)</f>
        <v>0</v>
      </c>
      <c r="AK15" s="81">
        <f ca="1">IFERROR(__xludf.DUMMYFUNCTION("IMPORTRANGE(""https://docs.google.com/spreadsheets/d/1ZNYWeiFoFA1K1U4xKWqRX29MBvEyRHXORjo734Gnq_c/edit?usp=sharing"",""เชียงราย!N202"")"),0)</f>
        <v>0</v>
      </c>
      <c r="AL15" s="82">
        <f t="shared" ca="1" si="89"/>
        <v>0</v>
      </c>
      <c r="AM15" s="81">
        <f ca="1">IFERROR(__xludf.DUMMYFUNCTION("IMPORTRANGE(""https://docs.google.com/spreadsheets/d/1ZNYWeiFoFA1K1U4xKWqRX29MBvEyRHXORjo734Gnq_c/edit?usp=sharing"",""เชียงราย!I204"")"),5)</f>
        <v>5</v>
      </c>
      <c r="AN15" s="81">
        <f ca="1">IFERROR(__xludf.DUMMYFUNCTION("IMPORTRANGE(""https://docs.google.com/spreadsheets/d/1ZNYWeiFoFA1K1U4xKWqRX29MBvEyRHXORjo734Gnq_c/edit?usp=sharing"",""เชียงราย!J204"")"),5)</f>
        <v>5</v>
      </c>
      <c r="AO15" s="82">
        <f t="shared" ca="1" si="90"/>
        <v>100</v>
      </c>
      <c r="AP15" s="297">
        <f ca="1">IFERROR(__xludf.DUMMYFUNCTION("IMPORTRANGE(""https://docs.google.com/spreadsheets/d/1ZNYWeiFoFA1K1U4xKWqRX29MBvEyRHXORjo734Gnq_c/edit?usp=sharing"",""เชียงราย!J206"")"),5)</f>
        <v>5</v>
      </c>
      <c r="AQ15" s="297">
        <f ca="1">IFERROR(__xludf.DUMMYFUNCTION("IMPORTRANGE(""https://docs.google.com/spreadsheets/d/1ZNYWeiFoFA1K1U4xKWqRX29MBvEyRHXORjo734Gnq_c/edit?usp=sharing"",""เชียงราย!J207"")"),0)</f>
        <v>0</v>
      </c>
      <c r="AR15" s="81">
        <f ca="1">IFERROR(__xludf.DUMMYFUNCTION("IMPORTRANGE(""https://docs.google.com/spreadsheets/d/1ZNYWeiFoFA1K1U4xKWqRX29MBvEyRHXORjo734Gnq_c/edit?usp=sharing"",""เชียงราย!L210"")"),0)</f>
        <v>0</v>
      </c>
      <c r="AS15" s="81">
        <f ca="1">IFERROR(__xludf.DUMMYFUNCTION("IMPORTRANGE(""https://docs.google.com/spreadsheets/d/1ZNYWeiFoFA1K1U4xKWqRX29MBvEyRHXORjo734Gnq_c/edit?usp=sharing"",""เชียงราย!N210"")"),0)</f>
        <v>0</v>
      </c>
      <c r="AT15" s="82">
        <f t="shared" ca="1" si="91"/>
        <v>0</v>
      </c>
      <c r="AU15" s="81">
        <f ca="1">IFERROR(__xludf.DUMMYFUNCTION("IMPORTRANGE(""https://docs.google.com/spreadsheets/d/1ZNYWeiFoFA1K1U4xKWqRX29MBvEyRHXORjo734Gnq_c/edit?usp=sharing"",""เชียงราย!L211"")"),0)</f>
        <v>0</v>
      </c>
      <c r="AV15" s="81">
        <f ca="1">IFERROR(__xludf.DUMMYFUNCTION("IMPORTRANGE(""https://docs.google.com/spreadsheets/d/1ZNYWeiFoFA1K1U4xKWqRX29MBvEyRHXORjo734Gnq_c/edit?usp=sharing"",""เชียงราย!N211"")"),0)</f>
        <v>0</v>
      </c>
      <c r="AW15" s="82">
        <f t="shared" ca="1" si="92"/>
        <v>0</v>
      </c>
      <c r="AX15" s="81">
        <f ca="1">IFERROR(__xludf.DUMMYFUNCTION("IMPORTRANGE(""https://docs.google.com/spreadsheets/d/1ZNYWeiFoFA1K1U4xKWqRX29MBvEyRHXORjo734Gnq_c/edit?usp=sharing"",""เชียงราย!L212"")"),0)</f>
        <v>0</v>
      </c>
      <c r="AY15" s="81">
        <f ca="1">IFERROR(__xludf.DUMMYFUNCTION("IMPORTRANGE(""https://docs.google.com/spreadsheets/d/1ZNYWeiFoFA1K1U4xKWqRX29MBvEyRHXORjo734Gnq_c/edit?usp=sharing"",""เชียงราย!N212"")"),0)</f>
        <v>0</v>
      </c>
      <c r="AZ15" s="82">
        <f t="shared" ca="1" si="93"/>
        <v>0</v>
      </c>
      <c r="BA15" s="81">
        <f ca="1">IFERROR(__xludf.DUMMYFUNCTION("IMPORTRANGE(""https://docs.google.com/spreadsheets/d/1ZNYWeiFoFA1K1U4xKWqRX29MBvEyRHXORjo734Gnq_c/edit?usp=sharing"",""เชียงราย!I214"")"),0)</f>
        <v>0</v>
      </c>
      <c r="BB15" s="81">
        <f ca="1">IFERROR(__xludf.DUMMYFUNCTION("IMPORTRANGE(""https://docs.google.com/spreadsheets/d/1ZNYWeiFoFA1K1U4xKWqRX29MBvEyRHXORjo734Gnq_c/edit?usp=sharing"",""เชียงราย!J214"")"),0)</f>
        <v>0</v>
      </c>
      <c r="BC15" s="82">
        <f t="shared" ca="1" si="94"/>
        <v>0</v>
      </c>
      <c r="BD15" s="81">
        <f ca="1">IFERROR(__xludf.DUMMYFUNCTION("IMPORTRANGE(""https://docs.google.com/spreadsheets/d/1ZNYWeiFoFA1K1U4xKWqRX29MBvEyRHXORjo734Gnq_c/edit?usp=sharing"",""เชียงราย!I215"")"),0)</f>
        <v>0</v>
      </c>
      <c r="BE15" s="81">
        <f ca="1">IFERROR(__xludf.DUMMYFUNCTION("IMPORTRANGE(""https://docs.google.com/spreadsheets/d/1ZNYWeiFoFA1K1U4xKWqRX29MBvEyRHXORjo734Gnq_c/edit?usp=sharing"",""เชียงราย!J215"")"),0)</f>
        <v>0</v>
      </c>
      <c r="BF15" s="82">
        <f t="shared" ca="1" si="95"/>
        <v>0</v>
      </c>
      <c r="BG15" s="81">
        <f ca="1">IFERROR(__xludf.DUMMYFUNCTION("IMPORTRANGE(""https://docs.google.com/spreadsheets/d/1ZNYWeiFoFA1K1U4xKWqRX29MBvEyRHXORjo734Gnq_c/edit?usp=sharing"",""เชียงราย!L218"")"),5000)</f>
        <v>5000</v>
      </c>
      <c r="BH15" s="81">
        <f ca="1">IFERROR(__xludf.DUMMYFUNCTION("IMPORTRANGE(""https://docs.google.com/spreadsheets/d/1ZNYWeiFoFA1K1U4xKWqRX29MBvEyRHXORjo734Gnq_c/edit?usp=sharing"",""เชียงราย!N218"")"),1290)</f>
        <v>1290</v>
      </c>
      <c r="BI15" s="82">
        <f t="shared" ca="1" si="96"/>
        <v>25.8</v>
      </c>
      <c r="BJ15" s="81">
        <f ca="1">IFERROR(__xludf.DUMMYFUNCTION("IMPORTRANGE(""https://docs.google.com/spreadsheets/d/1ZNYWeiFoFA1K1U4xKWqRX29MBvEyRHXORjo734Gnq_c/edit?usp=sharing"",""เชียงราย!L219"")"),13500)</f>
        <v>13500</v>
      </c>
      <c r="BK15" s="81">
        <f ca="1">IFERROR(__xludf.DUMMYFUNCTION("IMPORTRANGE(""https://docs.google.com/spreadsheets/d/1ZNYWeiFoFA1K1U4xKWqRX29MBvEyRHXORjo734Gnq_c/edit?usp=sharing"",""เชียงราย!N219"")"),8500)</f>
        <v>8500</v>
      </c>
      <c r="BL15" s="82">
        <f t="shared" ca="1" si="97"/>
        <v>62.962962962962962</v>
      </c>
      <c r="BM15" s="81">
        <f ca="1">IFERROR(__xludf.DUMMYFUNCTION("IMPORTRANGE(""https://docs.google.com/spreadsheets/d/1ZNYWeiFoFA1K1U4xKWqRX29MBvEyRHXORjo734Gnq_c/edit?usp=sharing"",""เชียงราย!L220"")"),10000)</f>
        <v>10000</v>
      </c>
      <c r="BN15" s="81">
        <f ca="1">IFERROR(__xludf.DUMMYFUNCTION("IMPORTRANGE(""https://docs.google.com/spreadsheets/d/1ZNYWeiFoFA1K1U4xKWqRX29MBvEyRHXORjo734Gnq_c/edit?usp=sharing"",""เชียงราย!N220"")"),9995)</f>
        <v>9995</v>
      </c>
      <c r="BO15" s="82">
        <f t="shared" ca="1" si="98"/>
        <v>99.95</v>
      </c>
      <c r="BP15" s="81">
        <f ca="1">IFERROR(__xludf.DUMMYFUNCTION("IMPORTRANGE(""https://docs.google.com/spreadsheets/d/1ZNYWeiFoFA1K1U4xKWqRX29MBvEyRHXORjo734Gnq_c/edit?usp=sharing"",""เชียงราย!I223"")"),30000)</f>
        <v>30000</v>
      </c>
      <c r="BQ15" s="81">
        <f ca="1">IFERROR(__xludf.DUMMYFUNCTION("IMPORTRANGE(""https://docs.google.com/spreadsheets/d/1ZNYWeiFoFA1K1U4xKWqRX29MBvEyRHXORjo734Gnq_c/edit?usp=sharing"",""เชียงราย!J223"")"),30000)</f>
        <v>30000</v>
      </c>
      <c r="BR15" s="82">
        <f t="shared" ca="1" si="99"/>
        <v>100</v>
      </c>
      <c r="BS15" s="81">
        <f ca="1">IFERROR(__xludf.DUMMYFUNCTION("IMPORTRANGE(""https://docs.google.com/spreadsheets/d/1ZNYWeiFoFA1K1U4xKWqRX29MBvEyRHXORjo734Gnq_c/edit?usp=sharing"",""เชียงราย!I224"")"),30000)</f>
        <v>30000</v>
      </c>
      <c r="BT15" s="81">
        <f ca="1">IFERROR(__xludf.DUMMYFUNCTION("IMPORTRANGE(""https://docs.google.com/spreadsheets/d/1ZNYWeiFoFA1K1U4xKWqRX29MBvEyRHXORjo734Gnq_c/edit?usp=sharing"",""เชียงราย!J224"")"),30000)</f>
        <v>30000</v>
      </c>
      <c r="BU15" s="82">
        <f t="shared" ca="1" si="100"/>
        <v>100</v>
      </c>
      <c r="BV15" s="81">
        <f ca="1">IFERROR(__xludf.DUMMYFUNCTION("IMPORTRANGE(""https://docs.google.com/spreadsheets/d/1ZNYWeiFoFA1K1U4xKWqRX29MBvEyRHXORjo734Gnq_c/edit?usp=sharing"",""เชียงราย!I225"")"),10)</f>
        <v>10</v>
      </c>
      <c r="BW15" s="81">
        <f ca="1">IFERROR(__xludf.DUMMYFUNCTION("IMPORTRANGE(""https://docs.google.com/spreadsheets/d/1ZNYWeiFoFA1K1U4xKWqRX29MBvEyRHXORjo734Gnq_c/edit?usp=sharing"",""เชียงราย!J225"")"),10)</f>
        <v>10</v>
      </c>
      <c r="BX15" s="82">
        <f t="shared" ca="1" si="101"/>
        <v>100</v>
      </c>
      <c r="BY15" s="81">
        <f ca="1">IFERROR(__xludf.DUMMYFUNCTION("IMPORTRANGE(""https://docs.google.com/spreadsheets/d/1ZNYWeiFoFA1K1U4xKWqRX29MBvEyRHXORjo734Gnq_c/edit?usp=sharing"",""เชียงราย!L228"")"),0)</f>
        <v>0</v>
      </c>
      <c r="BZ15" s="81">
        <f ca="1">IFERROR(__xludf.DUMMYFUNCTION("IMPORTRANGE(""https://docs.google.com/spreadsheets/d/1ZNYWeiFoFA1K1U4xKWqRX29MBvEyRHXORjo734Gnq_c/edit?usp=sharing"",""เชียงราย!N228"")"),0)</f>
        <v>0</v>
      </c>
      <c r="CA15" s="82">
        <f t="shared" ca="1" si="102"/>
        <v>0</v>
      </c>
      <c r="CB15" s="81">
        <f ca="1">IFERROR(__xludf.DUMMYFUNCTION("IMPORTRANGE(""https://docs.google.com/spreadsheets/d/1ZNYWeiFoFA1K1U4xKWqRX29MBvEyRHXORjo734Gnq_c/edit?usp=sharing"",""เชียงราย!L229"")"),0)</f>
        <v>0</v>
      </c>
      <c r="CC15" s="81">
        <f ca="1">IFERROR(__xludf.DUMMYFUNCTION("IMPORTRANGE(""https://docs.google.com/spreadsheets/d/1ZNYWeiFoFA1K1U4xKWqRX29MBvEyRHXORjo734Gnq_c/edit?usp=sharing"",""เชียงราย!N229"")"),0)</f>
        <v>0</v>
      </c>
      <c r="CD15" s="82">
        <f t="shared" ca="1" si="103"/>
        <v>0</v>
      </c>
      <c r="CE15" s="81">
        <f ca="1">IFERROR(__xludf.DUMMYFUNCTION("IMPORTRANGE(""https://docs.google.com/spreadsheets/d/1ZNYWeiFoFA1K1U4xKWqRX29MBvEyRHXORjo734Gnq_c/edit?usp=sharing"",""เชียงราย!L230"")"),0)</f>
        <v>0</v>
      </c>
      <c r="CF15" s="81">
        <f ca="1">IFERROR(__xludf.DUMMYFUNCTION("IMPORTRANGE(""https://docs.google.com/spreadsheets/d/1ZNYWeiFoFA1K1U4xKWqRX29MBvEyRHXORjo734Gnq_c/edit?usp=sharing"",""เชียงราย!N230"")"),0)</f>
        <v>0</v>
      </c>
      <c r="CG15" s="82">
        <f t="shared" ca="1" si="104"/>
        <v>0</v>
      </c>
      <c r="CH15" s="81">
        <f ca="1">IFERROR(__xludf.DUMMYFUNCTION("IMPORTRANGE(""https://docs.google.com/spreadsheets/d/1ZNYWeiFoFA1K1U4xKWqRX29MBvEyRHXORjo734Gnq_c/edit?usp=sharing"",""เชียงราย!L231"")"),0)</f>
        <v>0</v>
      </c>
      <c r="CI15" s="81">
        <f ca="1">IFERROR(__xludf.DUMMYFUNCTION("IMPORTRANGE(""https://docs.google.com/spreadsheets/d/1ZNYWeiFoFA1K1U4xKWqRX29MBvEyRHXORjo734Gnq_c/edit?usp=sharing"",""เชียงราย!N231"")"),0)</f>
        <v>0</v>
      </c>
      <c r="CJ15" s="82">
        <f t="shared" ca="1" si="105"/>
        <v>0</v>
      </c>
      <c r="CK15" s="81">
        <f ca="1">IFERROR(__xludf.DUMMYFUNCTION("IMPORTRANGE(""https://docs.google.com/spreadsheets/d/1ZNYWeiFoFA1K1U4xKWqRX29MBvEyRHXORjo734Gnq_c/edit?usp=sharing"",""เชียงราย!I233"")"),0)</f>
        <v>0</v>
      </c>
      <c r="CL15" s="81">
        <f ca="1">IFERROR(__xludf.DUMMYFUNCTION("IMPORTRANGE(""https://docs.google.com/spreadsheets/d/1ZNYWeiFoFA1K1U4xKWqRX29MBvEyRHXORjo734Gnq_c/edit?usp=sharing"",""เชียงราย!J233"")"),0)</f>
        <v>0</v>
      </c>
      <c r="CM15" s="82">
        <f t="shared" ca="1" si="106"/>
        <v>0</v>
      </c>
      <c r="CN15" s="81">
        <f ca="1">IFERROR(__xludf.DUMMYFUNCTION("IMPORTRANGE(""https://docs.google.com/spreadsheets/d/1ZNYWeiFoFA1K1U4xKWqRX29MBvEyRHXORjo734Gnq_c/edit?usp=sharing"",""เชียงราย!J235"")"),0)</f>
        <v>0</v>
      </c>
      <c r="CO15" s="81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3">
        <v>3</v>
      </c>
      <c r="B16" s="74" t="s">
        <v>38</v>
      </c>
      <c r="C16" s="75">
        <f t="shared" ca="1" si="0"/>
        <v>757600</v>
      </c>
      <c r="D16" s="76">
        <f t="shared" ca="1" si="133"/>
        <v>757600</v>
      </c>
      <c r="E16" s="77">
        <f ca="1">IFERROR(__xludf.DUMMYFUNCTION("IMPORTRANGE(""https://docs.google.com/spreadsheets/d/1MeEWN-I1oV_STSDYn1IFDPWt_1FKiwhDph83XaGc0o0/edit?usp=sharing"",""งบพรบ!CP16"")"),170700)</f>
        <v>170700</v>
      </c>
      <c r="F16" s="77">
        <f ca="1">IFERROR(__xludf.DUMMYFUNCTION("IMPORTRANGE(""https://docs.google.com/spreadsheets/d/1MeEWN-I1oV_STSDYn1IFDPWt_1FKiwhDph83XaGc0o0/edit?usp=sharing"",""งบพรบ!CQ16"")"),586900)</f>
        <v>586900</v>
      </c>
      <c r="G16" s="77">
        <f ca="1">IFERROR(__xludf.DUMMYFUNCTION("IMPORTRANGE(""https://docs.google.com/spreadsheets/d/1MeEWN-I1oV_STSDYn1IFDPWt_1FKiwhDph83XaGc0o0/edit?usp=sharing"",""งบพรบ!CR16"")"),0)</f>
        <v>0</v>
      </c>
      <c r="H16" s="77">
        <f ca="1">IFERROR(__xludf.DUMMYFUNCTION("IMPORTRANGE(""https://docs.google.com/spreadsheets/d/1MeEWN-I1oV_STSDYn1IFDPWt_1FKiwhDph83XaGc0o0/edit?usp=sharing"",""งบพรบ!CT16"")"),804740)</f>
        <v>804740</v>
      </c>
      <c r="I16" s="77">
        <f ca="1">IFERROR(__xludf.DUMMYFUNCTION("IMPORTRANGE(""https://docs.google.com/spreadsheets/d/1MeEWN-I1oV_STSDYn1IFDPWt_1FKiwhDph83XaGc0o0/edit?usp=sharing"",""งบพรบ!CU16"")"),0)</f>
        <v>0</v>
      </c>
      <c r="J16" s="77">
        <f t="shared" ca="1" si="3"/>
        <v>744502.05</v>
      </c>
      <c r="K16" s="78">
        <f t="shared" ca="1" si="4"/>
        <v>98.27112592397043</v>
      </c>
      <c r="L16" s="77">
        <f ca="1">IFERROR(__xludf.DUMMYFUNCTION("IMPORTRANGE(""https://docs.google.com/spreadsheets/d/1MeEWN-I1oV_STSDYn1IFDPWt_1FKiwhDph83XaGc0o0/edit?usp=sharing"",""งบพรบ!CV16"")"),744502.05)</f>
        <v>744502.05</v>
      </c>
      <c r="M16" s="79">
        <f t="shared" ca="1" si="5"/>
        <v>98.27112592397043</v>
      </c>
      <c r="N16" s="79">
        <f t="shared" ca="1" si="6"/>
        <v>92.514607202326218</v>
      </c>
      <c r="O16" s="80">
        <f ca="1">IFERROR(__xludf.DUMMYFUNCTION("IMPORTRANGE(""https://docs.google.com/spreadsheets/d/1MeEWN-I1oV_STSDYn1IFDPWt_1FKiwhDph83XaGc0o0/edit?usp=sharing"",""งบพรบ!CW16"")"),0)</f>
        <v>0</v>
      </c>
      <c r="P16" s="80">
        <f t="shared" ca="1" si="10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IFERROR(__xludf.DUMMYFUNCTION("IMPORTRANGE(""https://docs.google.com/spreadsheets/d/1Jgv0Y7YlHDtsiDawwp-uvifEJ8HVaSn0k2aGHG8-hwM/edit?usp=sharing"",""เชียงใหม่!L191"")"),6000)</f>
        <v>6000</v>
      </c>
      <c r="S16" s="81">
        <f ca="1">IFERROR(__xludf.DUMMYFUNCTION("IMPORTRANGE(""https://docs.google.com/spreadsheets/d/1Jgv0Y7YlHDtsiDawwp-uvifEJ8HVaSn0k2aGHG8-hwM/edit?usp=sharing"",""เชียงใหม่!N191"")"),5220)</f>
        <v>5220</v>
      </c>
      <c r="T16" s="82">
        <f t="shared" ca="1" si="84"/>
        <v>87</v>
      </c>
      <c r="U16" s="81">
        <f ca="1">IFERROR(__xludf.DUMMYFUNCTION("IMPORTRANGE(""https://docs.google.com/spreadsheets/d/1Jgv0Y7YlHDtsiDawwp-uvifEJ8HVaSn0k2aGHG8-hwM/edit?usp=sharing"",""เชียงใหม่!I193"")"),4)</f>
        <v>4</v>
      </c>
      <c r="V16" s="81">
        <f ca="1">IFERROR(__xludf.DUMMYFUNCTION("IMPORTRANGE(""https://docs.google.com/spreadsheets/d/1Jgv0Y7YlHDtsiDawwp-uvifEJ8HVaSn0k2aGHG8-hwM/edit?usp=sharing"",""เชียงใหม่!J193"")"),4)</f>
        <v>4</v>
      </c>
      <c r="W16" s="82">
        <f t="shared" ca="1" si="85"/>
        <v>100</v>
      </c>
      <c r="X16" s="81">
        <f t="shared" ca="1" si="134"/>
        <v>187</v>
      </c>
      <c r="Y16" s="81">
        <f ca="1">IFERROR(__xludf.DUMMYFUNCTION("IMPORTRANGE(""https://docs.google.com/spreadsheets/d/1Jgv0Y7YlHDtsiDawwp-uvifEJ8HVaSn0k2aGHG8-hwM/edit?usp=sharing"",""เชียงใหม่!J195"")"),187)</f>
        <v>187</v>
      </c>
      <c r="Z16" s="81">
        <f ca="1">IFERROR(__xludf.DUMMYFUNCTION("IMPORTRANGE(""https://docs.google.com/spreadsheets/d/1Jgv0Y7YlHDtsiDawwp-uvifEJ8HVaSn0k2aGHG8-hwM/edit?usp=sharing"",""เชียงใหม่!J196"")"),0)</f>
        <v>0</v>
      </c>
      <c r="AA16" s="81">
        <f ca="1">IFERROR(__xludf.DUMMYFUNCTION("IMPORTRANGE(""https://docs.google.com/spreadsheets/d/1Jgv0Y7YlHDtsiDawwp-uvifEJ8HVaSn0k2aGHG8-hwM/edit?usp=sharing"",""เชียงใหม่!L199"")"),2000)</f>
        <v>2000</v>
      </c>
      <c r="AB16" s="81">
        <f ca="1">IFERROR(__xludf.DUMMYFUNCTION("IMPORTRANGE(""https://docs.google.com/spreadsheets/d/1Jgv0Y7YlHDtsiDawwp-uvifEJ8HVaSn0k2aGHG8-hwM/edit?usp=sharing"",""เชียงใหม่!N199"")"),2000)</f>
        <v>2000</v>
      </c>
      <c r="AC16" s="82">
        <f t="shared" ca="1" si="86"/>
        <v>100</v>
      </c>
      <c r="AD16" s="81">
        <f ca="1">IFERROR(__xludf.DUMMYFUNCTION("IMPORTRANGE(""https://docs.google.com/spreadsheets/d/1Jgv0Y7YlHDtsiDawwp-uvifEJ8HVaSn0k2aGHG8-hwM/edit?usp=sharing"",""เชียงใหม่!L200"")"),16000)</f>
        <v>16000</v>
      </c>
      <c r="AE16" s="81">
        <f ca="1">IFERROR(__xludf.DUMMYFUNCTION("IMPORTRANGE(""https://docs.google.com/spreadsheets/d/1Jgv0Y7YlHDtsiDawwp-uvifEJ8HVaSn0k2aGHG8-hwM/edit?usp=sharing"",""เชียงใหม่!N200"")"),16000)</f>
        <v>16000</v>
      </c>
      <c r="AF16" s="82">
        <f t="shared" ca="1" si="87"/>
        <v>100</v>
      </c>
      <c r="AG16" s="81">
        <f ca="1">IFERROR(__xludf.DUMMYFUNCTION("IMPORTRANGE(""https://docs.google.com/spreadsheets/d/1Jgv0Y7YlHDtsiDawwp-uvifEJ8HVaSn0k2aGHG8-hwM/edit?usp=sharing"",""เชียงใหม่!L201"")"),8000)</f>
        <v>8000</v>
      </c>
      <c r="AH16" s="81">
        <f ca="1">IFERROR(__xludf.DUMMYFUNCTION("IMPORTRANGE(""https://docs.google.com/spreadsheets/d/1Jgv0Y7YlHDtsiDawwp-uvifEJ8HVaSn0k2aGHG8-hwM/edit?usp=sharing"",""เชียงใหม่!N201"")"),8000)</f>
        <v>8000</v>
      </c>
      <c r="AI16" s="82">
        <f t="shared" ca="1" si="88"/>
        <v>100</v>
      </c>
      <c r="AJ16" s="81">
        <f ca="1">IFERROR(__xludf.DUMMYFUNCTION("IMPORTRANGE(""https://docs.google.com/spreadsheets/d/1Jgv0Y7YlHDtsiDawwp-uvifEJ8HVaSn0k2aGHG8-hwM/edit?usp=sharing"",""เชียงใหม่!L202"")"),0)</f>
        <v>0</v>
      </c>
      <c r="AK16" s="81">
        <f ca="1">IFERROR(__xludf.DUMMYFUNCTION("IMPORTRANGE(""https://docs.google.com/spreadsheets/d/1Jgv0Y7YlHDtsiDawwp-uvifEJ8HVaSn0k2aGHG8-hwM/edit?usp=sharing"",""เชียงใหม่!N202"")"),0)</f>
        <v>0</v>
      </c>
      <c r="AL16" s="82">
        <f t="shared" ca="1" si="89"/>
        <v>0</v>
      </c>
      <c r="AM16" s="81">
        <f ca="1">IFERROR(__xludf.DUMMYFUNCTION("IMPORTRANGE(""https://docs.google.com/spreadsheets/d/1Jgv0Y7YlHDtsiDawwp-uvifEJ8HVaSn0k2aGHG8-hwM/edit?usp=sharing"",""เชียงใหม่!I204"")"),2)</f>
        <v>2</v>
      </c>
      <c r="AN16" s="81">
        <f ca="1">IFERROR(__xludf.DUMMYFUNCTION("IMPORTRANGE(""https://docs.google.com/spreadsheets/d/1Jgv0Y7YlHDtsiDawwp-uvifEJ8HVaSn0k2aGHG8-hwM/edit?usp=sharing"",""เชียงใหม่!J204"")"),2)</f>
        <v>2</v>
      </c>
      <c r="AO16" s="82">
        <f t="shared" ca="1" si="90"/>
        <v>100</v>
      </c>
      <c r="AP16" s="297">
        <f ca="1">IFERROR(__xludf.DUMMYFUNCTION("IMPORTRANGE(""https://docs.google.com/spreadsheets/d/1Jgv0Y7YlHDtsiDawwp-uvifEJ8HVaSn0k2aGHG8-hwM/edit?usp=sharing"",""เชียงใหม่!J206"")"),2)</f>
        <v>2</v>
      </c>
      <c r="AQ16" s="297">
        <f ca="1">IFERROR(__xludf.DUMMYFUNCTION("IMPORTRANGE(""https://docs.google.com/spreadsheets/d/1Jgv0Y7YlHDtsiDawwp-uvifEJ8HVaSn0k2aGHG8-hwM/edit?usp=sharing"",""เชียงใหม่!J207"")"),0)</f>
        <v>0</v>
      </c>
      <c r="AR16" s="81">
        <f ca="1">IFERROR(__xludf.DUMMYFUNCTION("IMPORTRANGE(""https://docs.google.com/spreadsheets/d/1Jgv0Y7YlHDtsiDawwp-uvifEJ8HVaSn0k2aGHG8-hwM/edit?usp=sharing"",""เชียงใหม่!L210"")"),1000)</f>
        <v>1000</v>
      </c>
      <c r="AS16" s="81">
        <f ca="1">IFERROR(__xludf.DUMMYFUNCTION("IMPORTRANGE(""https://docs.google.com/spreadsheets/d/1Jgv0Y7YlHDtsiDawwp-uvifEJ8HVaSn0k2aGHG8-hwM/edit?usp=sharing"",""เชียงใหม่!N210"")"),1000)</f>
        <v>1000</v>
      </c>
      <c r="AT16" s="82">
        <f t="shared" ca="1" si="91"/>
        <v>100</v>
      </c>
      <c r="AU16" s="81">
        <f ca="1">IFERROR(__xludf.DUMMYFUNCTION("IMPORTRANGE(""https://docs.google.com/spreadsheets/d/1Jgv0Y7YlHDtsiDawwp-uvifEJ8HVaSn0k2aGHG8-hwM/edit?usp=sharing"",""เชียงใหม่!L211"")"),5000)</f>
        <v>5000</v>
      </c>
      <c r="AV16" s="81">
        <f ca="1">IFERROR(__xludf.DUMMYFUNCTION("IMPORTRANGE(""https://docs.google.com/spreadsheets/d/1Jgv0Y7YlHDtsiDawwp-uvifEJ8HVaSn0k2aGHG8-hwM/edit?usp=sharing"",""เชียงใหม่!N211"")"),5000)</f>
        <v>5000</v>
      </c>
      <c r="AW16" s="82">
        <f t="shared" ca="1" si="92"/>
        <v>100</v>
      </c>
      <c r="AX16" s="81">
        <f ca="1">IFERROR(__xludf.DUMMYFUNCTION("IMPORTRANGE(""https://docs.google.com/spreadsheets/d/1Jgv0Y7YlHDtsiDawwp-uvifEJ8HVaSn0k2aGHG8-hwM/edit?usp=sharing"",""เชียงใหม่!L212"")"),8000)</f>
        <v>8000</v>
      </c>
      <c r="AY16" s="81">
        <f ca="1">IFERROR(__xludf.DUMMYFUNCTION("IMPORTRANGE(""https://docs.google.com/spreadsheets/d/1Jgv0Y7YlHDtsiDawwp-uvifEJ8HVaSn0k2aGHG8-hwM/edit?usp=sharing"",""เชียงใหม่!N212"")"),8000)</f>
        <v>8000</v>
      </c>
      <c r="AZ16" s="82">
        <f t="shared" ca="1" si="93"/>
        <v>100</v>
      </c>
      <c r="BA16" s="81">
        <f ca="1">IFERROR(__xludf.DUMMYFUNCTION("IMPORTRANGE(""https://docs.google.com/spreadsheets/d/1Jgv0Y7YlHDtsiDawwp-uvifEJ8HVaSn0k2aGHG8-hwM/edit?usp=sharing"",""เชียงใหม่!I214"")"),1)</f>
        <v>1</v>
      </c>
      <c r="BB16" s="81">
        <f ca="1">IFERROR(__xludf.DUMMYFUNCTION("IMPORTRANGE(""https://docs.google.com/spreadsheets/d/1Jgv0Y7YlHDtsiDawwp-uvifEJ8HVaSn0k2aGHG8-hwM/edit?usp=sharing"",""เชียงใหม่!J214"")"),1)</f>
        <v>1</v>
      </c>
      <c r="BC16" s="82">
        <f t="shared" ca="1" si="94"/>
        <v>100</v>
      </c>
      <c r="BD16" s="81">
        <f ca="1">IFERROR(__xludf.DUMMYFUNCTION("IMPORTRANGE(""https://docs.google.com/spreadsheets/d/1Jgv0Y7YlHDtsiDawwp-uvifEJ8HVaSn0k2aGHG8-hwM/edit?usp=sharing"",""เชียงใหม่!I215"")"),1)</f>
        <v>1</v>
      </c>
      <c r="BE16" s="81">
        <f ca="1">IFERROR(__xludf.DUMMYFUNCTION("IMPORTRANGE(""https://docs.google.com/spreadsheets/d/1Jgv0Y7YlHDtsiDawwp-uvifEJ8HVaSn0k2aGHG8-hwM/edit?usp=sharing"",""เชียงใหม่!J215"")"),1)</f>
        <v>1</v>
      </c>
      <c r="BF16" s="82">
        <f t="shared" ca="1" si="95"/>
        <v>100</v>
      </c>
      <c r="BG16" s="81">
        <f ca="1">IFERROR(__xludf.DUMMYFUNCTION("IMPORTRANGE(""https://docs.google.com/spreadsheets/d/1Jgv0Y7YlHDtsiDawwp-uvifEJ8HVaSn0k2aGHG8-hwM/edit?usp=sharing"",""เชียงใหม่!L218"")"),3000)</f>
        <v>3000</v>
      </c>
      <c r="BH16" s="81">
        <f ca="1">IFERROR(__xludf.DUMMYFUNCTION("IMPORTRANGE(""https://docs.google.com/spreadsheets/d/1Jgv0Y7YlHDtsiDawwp-uvifEJ8HVaSn0k2aGHG8-hwM/edit?usp=sharing"",""เชียงใหม่!N218"")"),3000)</f>
        <v>3000</v>
      </c>
      <c r="BI16" s="82">
        <f t="shared" ca="1" si="96"/>
        <v>100</v>
      </c>
      <c r="BJ16" s="81">
        <f ca="1">IFERROR(__xludf.DUMMYFUNCTION("IMPORTRANGE(""https://docs.google.com/spreadsheets/d/1Jgv0Y7YlHDtsiDawwp-uvifEJ8HVaSn0k2aGHG8-hwM/edit?usp=sharing"",""เชียงใหม่!L219"")"),4100)</f>
        <v>4100</v>
      </c>
      <c r="BK16" s="81">
        <f ca="1">IFERROR(__xludf.DUMMYFUNCTION("IMPORTRANGE(""https://docs.google.com/spreadsheets/d/1Jgv0Y7YlHDtsiDawwp-uvifEJ8HVaSn0k2aGHG8-hwM/edit?usp=sharing"",""เชียงใหม่!N219"")"),4100)</f>
        <v>4100</v>
      </c>
      <c r="BL16" s="82">
        <f t="shared" ca="1" si="97"/>
        <v>100</v>
      </c>
      <c r="BM16" s="81">
        <f ca="1">IFERROR(__xludf.DUMMYFUNCTION("IMPORTRANGE(""https://docs.google.com/spreadsheets/d/1Jgv0Y7YlHDtsiDawwp-uvifEJ8HVaSn0k2aGHG8-hwM/edit?usp=sharing"",""เชียงใหม่!L220"")"),0)</f>
        <v>0</v>
      </c>
      <c r="BN16" s="81">
        <f ca="1">IFERROR(__xludf.DUMMYFUNCTION("IMPORTRANGE(""https://docs.google.com/spreadsheets/d/1Jgv0Y7YlHDtsiDawwp-uvifEJ8HVaSn0k2aGHG8-hwM/edit?usp=sharing"",""เชียงใหม่!N220"")"),0)</f>
        <v>0</v>
      </c>
      <c r="BO16" s="82">
        <f t="shared" ca="1" si="98"/>
        <v>0</v>
      </c>
      <c r="BP16" s="81">
        <f ca="1">IFERROR(__xludf.DUMMYFUNCTION("IMPORTRANGE(""https://docs.google.com/spreadsheets/d/1Jgv0Y7YlHDtsiDawwp-uvifEJ8HVaSn0k2aGHG8-hwM/edit?usp=sharing"",""เชียงใหม่!I223"")"),13000)</f>
        <v>13000</v>
      </c>
      <c r="BQ16" s="81">
        <f ca="1">IFERROR(__xludf.DUMMYFUNCTION("IMPORTRANGE(""https://docs.google.com/spreadsheets/d/1Jgv0Y7YlHDtsiDawwp-uvifEJ8HVaSn0k2aGHG8-hwM/edit?usp=sharing"",""เชียงใหม่!J223"")"),13000)</f>
        <v>13000</v>
      </c>
      <c r="BR16" s="82">
        <f t="shared" ca="1" si="99"/>
        <v>100</v>
      </c>
      <c r="BS16" s="81">
        <f ca="1">IFERROR(__xludf.DUMMYFUNCTION("IMPORTRANGE(""https://docs.google.com/spreadsheets/d/1Jgv0Y7YlHDtsiDawwp-uvifEJ8HVaSn0k2aGHG8-hwM/edit?usp=sharing"",""เชียงใหม่!I224"")"),13000)</f>
        <v>13000</v>
      </c>
      <c r="BT16" s="81">
        <f ca="1">IFERROR(__xludf.DUMMYFUNCTION("IMPORTRANGE(""https://docs.google.com/spreadsheets/d/1Jgv0Y7YlHDtsiDawwp-uvifEJ8HVaSn0k2aGHG8-hwM/edit?usp=sharing"",""เชียงใหม่!J224"")"),13000)</f>
        <v>13000</v>
      </c>
      <c r="BU16" s="82">
        <f t="shared" ca="1" si="100"/>
        <v>100</v>
      </c>
      <c r="BV16" s="81">
        <f ca="1">IFERROR(__xludf.DUMMYFUNCTION("IMPORTRANGE(""https://docs.google.com/spreadsheets/d/1Jgv0Y7YlHDtsiDawwp-uvifEJ8HVaSn0k2aGHG8-hwM/edit?usp=sharing"",""เชียงใหม่!I225"")"),0)</f>
        <v>0</v>
      </c>
      <c r="BW16" s="81">
        <f ca="1">IFERROR(__xludf.DUMMYFUNCTION("IMPORTRANGE(""https://docs.google.com/spreadsheets/d/1Jgv0Y7YlHDtsiDawwp-uvifEJ8HVaSn0k2aGHG8-hwM/edit?usp=sharing"",""เชียงใหม่!J225"")"),0)</f>
        <v>0</v>
      </c>
      <c r="BX16" s="82">
        <f t="shared" ca="1" si="101"/>
        <v>0</v>
      </c>
      <c r="BY16" s="81">
        <f ca="1">IFERROR(__xludf.DUMMYFUNCTION("IMPORTRANGE(""https://docs.google.com/spreadsheets/d/1Jgv0Y7YlHDtsiDawwp-uvifEJ8HVaSn0k2aGHG8-hwM/edit?usp=sharing"",""เชียงใหม่!L228"")"),334200)</f>
        <v>334200</v>
      </c>
      <c r="BZ16" s="81">
        <f ca="1">IFERROR(__xludf.DUMMYFUNCTION("IMPORTRANGE(""https://docs.google.com/spreadsheets/d/1Jgv0Y7YlHDtsiDawwp-uvifEJ8HVaSn0k2aGHG8-hwM/edit?usp=sharing"",""เชียงใหม่!N228"")"),316497.89)</f>
        <v>316497.89</v>
      </c>
      <c r="CA16" s="82">
        <f t="shared" ca="1" si="102"/>
        <v>94.70313883901855</v>
      </c>
      <c r="CB16" s="81">
        <f ca="1">IFERROR(__xludf.DUMMYFUNCTION("IMPORTRANGE(""https://docs.google.com/spreadsheets/d/1Jgv0Y7YlHDtsiDawwp-uvifEJ8HVaSn0k2aGHG8-hwM/edit?usp=sharing"",""เชียงใหม่!L229"")"),139600)</f>
        <v>139600</v>
      </c>
      <c r="CC16" s="81">
        <f ca="1">IFERROR(__xludf.DUMMYFUNCTION("IMPORTRANGE(""https://docs.google.com/spreadsheets/d/1Jgv0Y7YlHDtsiDawwp-uvifEJ8HVaSn0k2aGHG8-hwM/edit?usp=sharing"",""เชียงใหม่!N229"")"),139600)</f>
        <v>139600</v>
      </c>
      <c r="CD16" s="82">
        <f t="shared" ca="1" si="103"/>
        <v>100</v>
      </c>
      <c r="CE16" s="81">
        <f ca="1">IFERROR(__xludf.DUMMYFUNCTION("IMPORTRANGE(""https://docs.google.com/spreadsheets/d/1Jgv0Y7YlHDtsiDawwp-uvifEJ8HVaSn0k2aGHG8-hwM/edit?usp=sharing"",""เชียงใหม่!L230"")"),0)</f>
        <v>0</v>
      </c>
      <c r="CF16" s="81">
        <f ca="1">IFERROR(__xludf.DUMMYFUNCTION("IMPORTRANGE(""https://docs.google.com/spreadsheets/d/1Jgv0Y7YlHDtsiDawwp-uvifEJ8HVaSn0k2aGHG8-hwM/edit?usp=sharing"",""เชียงใหม่!N230"")"),0)</f>
        <v>0</v>
      </c>
      <c r="CG16" s="82">
        <f t="shared" ca="1" si="104"/>
        <v>0</v>
      </c>
      <c r="CH16" s="81">
        <f ca="1">IFERROR(__xludf.DUMMYFUNCTION("IMPORTRANGE(""https://docs.google.com/spreadsheets/d/1Jgv0Y7YlHDtsiDawwp-uvifEJ8HVaSn0k2aGHG8-hwM/edit?usp=sharing"",""เชียงใหม่!L231"")"),60000)</f>
        <v>60000</v>
      </c>
      <c r="CI16" s="81">
        <f ca="1">IFERROR(__xludf.DUMMYFUNCTION("IMPORTRANGE(""https://docs.google.com/spreadsheets/d/1Jgv0Y7YlHDtsiDawwp-uvifEJ8HVaSn0k2aGHG8-hwM/edit?usp=sharing"",""เชียงใหม่!N231"")"),60000)</f>
        <v>60000</v>
      </c>
      <c r="CJ16" s="82">
        <f t="shared" ca="1" si="105"/>
        <v>100</v>
      </c>
      <c r="CK16" s="81">
        <f ca="1">IFERROR(__xludf.DUMMYFUNCTION("IMPORTRANGE(""https://docs.google.com/spreadsheets/d/1Jgv0Y7YlHDtsiDawwp-uvifEJ8HVaSn0k2aGHG8-hwM/edit?usp=sharing"",""เชียงใหม่!I233"")"),100)</f>
        <v>100</v>
      </c>
      <c r="CL16" s="81">
        <f ca="1">IFERROR(__xludf.DUMMYFUNCTION("IMPORTRANGE(""https://docs.google.com/spreadsheets/d/1Jgv0Y7YlHDtsiDawwp-uvifEJ8HVaSn0k2aGHG8-hwM/edit?usp=sharing"",""เชียงใหม่!J233"")"),100)</f>
        <v>100</v>
      </c>
      <c r="CM16" s="82">
        <f t="shared" ca="1" si="106"/>
        <v>100</v>
      </c>
      <c r="CN16" s="81">
        <f ca="1">IFERROR(__xludf.DUMMYFUNCTION("IMPORTRANGE(""https://docs.google.com/spreadsheets/d/1Jgv0Y7YlHDtsiDawwp-uvifEJ8HVaSn0k2aGHG8-hwM/edit?usp=sharing"",""เชียงใหม่!J235"")"),0)</f>
        <v>0</v>
      </c>
      <c r="CO16" s="81">
        <f ca="1">IFERROR(__xludf.DUMMYFUNCTION("IMPORTRANGE(""https://docs.google.com/spreadsheets/d/1Jgv0Y7YlHDtsiDawwp-uvifEJ8HVaSn0k2aGHG8-hwM/edit?usp=sharing"",""เชียงใหม่!J236"")"),3)</f>
        <v>3</v>
      </c>
    </row>
    <row r="17" spans="1:93" ht="24" customHeight="1" x14ac:dyDescent="0.3">
      <c r="A17" s="73">
        <v>4</v>
      </c>
      <c r="B17" s="74" t="s">
        <v>39</v>
      </c>
      <c r="C17" s="75">
        <f t="shared" ca="1" si="0"/>
        <v>63500</v>
      </c>
      <c r="D17" s="76">
        <f t="shared" ca="1" si="133"/>
        <v>63500</v>
      </c>
      <c r="E17" s="77">
        <f ca="1">IFERROR(__xludf.DUMMYFUNCTION("IMPORTRANGE(""https://docs.google.com/spreadsheets/d/1MeEWN-I1oV_STSDYn1IFDPWt_1FKiwhDph83XaGc0o0/edit?usp=sharing"",""งบพรบ!CP17"")"),0)</f>
        <v>0</v>
      </c>
      <c r="F17" s="77">
        <f ca="1">IFERROR(__xludf.DUMMYFUNCTION("IMPORTRANGE(""https://docs.google.com/spreadsheets/d/1MeEWN-I1oV_STSDYn1IFDPWt_1FKiwhDph83XaGc0o0/edit?usp=sharing"",""งบพรบ!CQ17"")"),63500)</f>
        <v>63500</v>
      </c>
      <c r="G17" s="77">
        <f ca="1">IFERROR(__xludf.DUMMYFUNCTION("IMPORTRANGE(""https://docs.google.com/spreadsheets/d/1MeEWN-I1oV_STSDYn1IFDPWt_1FKiwhDph83XaGc0o0/edit?usp=sharing"",""งบพรบ!CR17"")"),0)</f>
        <v>0</v>
      </c>
      <c r="H17" s="77">
        <f ca="1">IFERROR(__xludf.DUMMYFUNCTION("IMPORTRANGE(""https://docs.google.com/spreadsheets/d/1MeEWN-I1oV_STSDYn1IFDPWt_1FKiwhDph83XaGc0o0/edit?usp=sharing"",""งบพรบ!CT17"")"),63500)</f>
        <v>63500</v>
      </c>
      <c r="I17" s="77">
        <f ca="1">IFERROR(__xludf.DUMMYFUNCTION("IMPORTRANGE(""https://docs.google.com/spreadsheets/d/1MeEWN-I1oV_STSDYn1IFDPWt_1FKiwhDph83XaGc0o0/edit?usp=sharing"",""งบพรบ!CU17"")"),0)</f>
        <v>0</v>
      </c>
      <c r="J17" s="77">
        <f t="shared" ca="1" si="3"/>
        <v>54420</v>
      </c>
      <c r="K17" s="78">
        <f t="shared" ca="1" si="4"/>
        <v>85.7007874015748</v>
      </c>
      <c r="L17" s="77">
        <f ca="1">IFERROR(__xludf.DUMMYFUNCTION("IMPORTRANGE(""https://docs.google.com/spreadsheets/d/1MeEWN-I1oV_STSDYn1IFDPWt_1FKiwhDph83XaGc0o0/edit?usp=sharing"",""งบพรบ!CV17"")"),54420)</f>
        <v>54420</v>
      </c>
      <c r="M17" s="79">
        <f t="shared" ca="1" si="5"/>
        <v>85.7007874015748</v>
      </c>
      <c r="N17" s="79">
        <f t="shared" ca="1" si="6"/>
        <v>85.7007874015748</v>
      </c>
      <c r="O17" s="80">
        <f ca="1">IFERROR(__xludf.DUMMYFUNCTION("IMPORTRANGE(""https://docs.google.com/spreadsheets/d/1MeEWN-I1oV_STSDYn1IFDPWt_1FKiwhDph83XaGc0o0/edit?usp=sharing"",""งบพรบ!CW17"")"),0)</f>
        <v>0</v>
      </c>
      <c r="P17" s="80">
        <f t="shared" ca="1" si="10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IFERROR(__xludf.DUMMYFUNCTION("IMPORTRANGE(""https://docs.google.com/spreadsheets/d/1JWG2rZePOz9pe-f-ObA-yDr0VoOX2kSb0qIix2mTUo8/edit?usp=sharing"",""ตาก!L191"")"),6000)</f>
        <v>6000</v>
      </c>
      <c r="S17" s="81">
        <f ca="1">IFERROR(__xludf.DUMMYFUNCTION("IMPORTRANGE(""https://docs.google.com/spreadsheets/d/1JWG2rZePOz9pe-f-ObA-yDr0VoOX2kSb0qIix2mTUo8/edit?usp=sharing"",""ตาก!N191"")"),5005)</f>
        <v>5005</v>
      </c>
      <c r="T17" s="82">
        <f t="shared" ca="1" si="84"/>
        <v>83.416666666666671</v>
      </c>
      <c r="U17" s="81">
        <f ca="1">IFERROR(__xludf.DUMMYFUNCTION("IMPORTRANGE(""https://docs.google.com/spreadsheets/d/1JWG2rZePOz9pe-f-ObA-yDr0VoOX2kSb0qIix2mTUo8/edit?usp=sharing"",""ตาก!I193"")"),4)</f>
        <v>4</v>
      </c>
      <c r="V17" s="81">
        <f ca="1">IFERROR(__xludf.DUMMYFUNCTION("IMPORTRANGE(""https://docs.google.com/spreadsheets/d/1JWG2rZePOz9pe-f-ObA-yDr0VoOX2kSb0qIix2mTUo8/edit?usp=sharing"",""ตาก!J193"")"),4)</f>
        <v>4</v>
      </c>
      <c r="W17" s="82">
        <f t="shared" ca="1" si="85"/>
        <v>100</v>
      </c>
      <c r="X17" s="81">
        <f t="shared" ca="1" si="134"/>
        <v>71</v>
      </c>
      <c r="Y17" s="81">
        <f ca="1">IFERROR(__xludf.DUMMYFUNCTION("IMPORTRANGE(""https://docs.google.com/spreadsheets/d/1JWG2rZePOz9pe-f-ObA-yDr0VoOX2kSb0qIix2mTUo8/edit?usp=sharing"",""ตาก!J195"")"),71)</f>
        <v>71</v>
      </c>
      <c r="Z17" s="81">
        <f ca="1">IFERROR(__xludf.DUMMYFUNCTION("IMPORTRANGE(""https://docs.google.com/spreadsheets/d/1JWG2rZePOz9pe-f-ObA-yDr0VoOX2kSb0qIix2mTUo8/edit?usp=sharing"",""ตาก!J196"")"),0)</f>
        <v>0</v>
      </c>
      <c r="AA17" s="81">
        <f ca="1">IFERROR(__xludf.DUMMYFUNCTION("IMPORTRANGE(""https://docs.google.com/spreadsheets/d/1JWG2rZePOz9pe-f-ObA-yDr0VoOX2kSb0qIix2mTUo8/edit?usp=sharing"",""ตาก!L199"")"),3000)</f>
        <v>3000</v>
      </c>
      <c r="AB17" s="81">
        <f ca="1">IFERROR(__xludf.DUMMYFUNCTION("IMPORTRANGE(""https://docs.google.com/spreadsheets/d/1JWG2rZePOz9pe-f-ObA-yDr0VoOX2kSb0qIix2mTUo8/edit?usp=sharing"",""ตาก!N199"")"),3000)</f>
        <v>3000</v>
      </c>
      <c r="AC17" s="82">
        <f t="shared" ca="1" si="86"/>
        <v>100</v>
      </c>
      <c r="AD17" s="81">
        <f ca="1">IFERROR(__xludf.DUMMYFUNCTION("IMPORTRANGE(""https://docs.google.com/spreadsheets/d/1JWG2rZePOz9pe-f-ObA-yDr0VoOX2kSb0qIix2mTUo8/edit?usp=sharing"",""ตาก!L200"")"),24000)</f>
        <v>24000</v>
      </c>
      <c r="AE17" s="81">
        <f ca="1">IFERROR(__xludf.DUMMYFUNCTION("IMPORTRANGE(""https://docs.google.com/spreadsheets/d/1JWG2rZePOz9pe-f-ObA-yDr0VoOX2kSb0qIix2mTUo8/edit?usp=sharing"",""ตาก!N200"")"),24000)</f>
        <v>24000</v>
      </c>
      <c r="AF17" s="82">
        <f t="shared" ca="1" si="87"/>
        <v>100</v>
      </c>
      <c r="AG17" s="81">
        <f ca="1">IFERROR(__xludf.DUMMYFUNCTION("IMPORTRANGE(""https://docs.google.com/spreadsheets/d/1JWG2rZePOz9pe-f-ObA-yDr0VoOX2kSb0qIix2mTUo8/edit?usp=sharing"",""ตาก!L201"")"),12000)</f>
        <v>12000</v>
      </c>
      <c r="AH17" s="81">
        <f ca="1">IFERROR(__xludf.DUMMYFUNCTION("IMPORTRANGE(""https://docs.google.com/spreadsheets/d/1JWG2rZePOz9pe-f-ObA-yDr0VoOX2kSb0qIix2mTUo8/edit?usp=sharing"",""ตาก!N201"")"),12000)</f>
        <v>12000</v>
      </c>
      <c r="AI17" s="82">
        <f t="shared" ca="1" si="88"/>
        <v>100</v>
      </c>
      <c r="AJ17" s="81">
        <f ca="1">IFERROR(__xludf.DUMMYFUNCTION("IMPORTRANGE(""https://docs.google.com/spreadsheets/d/1JWG2rZePOz9pe-f-ObA-yDr0VoOX2kSb0qIix2mTUo8/edit?usp=sharing"",""ตาก!L202"")"),0)</f>
        <v>0</v>
      </c>
      <c r="AK17" s="81">
        <f ca="1">IFERROR(__xludf.DUMMYFUNCTION("IMPORTRANGE(""https://docs.google.com/spreadsheets/d/1JWG2rZePOz9pe-f-ObA-yDr0VoOX2kSb0qIix2mTUo8/edit?usp=sharing"",""ตาก!N202"")"),0)</f>
        <v>0</v>
      </c>
      <c r="AL17" s="82">
        <f t="shared" ca="1" si="89"/>
        <v>0</v>
      </c>
      <c r="AM17" s="81">
        <f ca="1">IFERROR(__xludf.DUMMYFUNCTION("IMPORTRANGE(""https://docs.google.com/spreadsheets/d/1JWG2rZePOz9pe-f-ObA-yDr0VoOX2kSb0qIix2mTUo8/edit?usp=sharing"",""ตาก!I204"")"),3)</f>
        <v>3</v>
      </c>
      <c r="AN17" s="81">
        <f ca="1">IFERROR(__xludf.DUMMYFUNCTION("IMPORTRANGE(""https://docs.google.com/spreadsheets/d/1JWG2rZePOz9pe-f-ObA-yDr0VoOX2kSb0qIix2mTUo8/edit?usp=sharing"",""ตาก!J204"")"),3)</f>
        <v>3</v>
      </c>
      <c r="AO17" s="82">
        <f t="shared" ca="1" si="90"/>
        <v>100</v>
      </c>
      <c r="AP17" s="297">
        <f ca="1">IFERROR(__xludf.DUMMYFUNCTION("IMPORTRANGE(""https://docs.google.com/spreadsheets/d/1JWG2rZePOz9pe-f-ObA-yDr0VoOX2kSb0qIix2mTUo8/edit?usp=sharing"",""ตาก!J206"")"),3)</f>
        <v>3</v>
      </c>
      <c r="AQ17" s="297">
        <f ca="1">IFERROR(__xludf.DUMMYFUNCTION("IMPORTRANGE(""https://docs.google.com/spreadsheets/d/1JWG2rZePOz9pe-f-ObA-yDr0VoOX2kSb0qIix2mTUo8/edit?usp=sharing"",""ตาก!J207"")"),0)</f>
        <v>0</v>
      </c>
      <c r="AR17" s="81">
        <f ca="1">IFERROR(__xludf.DUMMYFUNCTION("IMPORTRANGE(""https://docs.google.com/spreadsheets/d/1JWG2rZePOz9pe-f-ObA-yDr0VoOX2kSb0qIix2mTUo8/edit?usp=sharing"",""ตาก!L210"")"),0)</f>
        <v>0</v>
      </c>
      <c r="AS17" s="81">
        <f ca="1">IFERROR(__xludf.DUMMYFUNCTION("IMPORTRANGE(""https://docs.google.com/spreadsheets/d/1JWG2rZePOz9pe-f-ObA-yDr0VoOX2kSb0qIix2mTUo8/edit?usp=sharing"",""ตาก!N210"")"),0)</f>
        <v>0</v>
      </c>
      <c r="AT17" s="82">
        <f t="shared" ca="1" si="91"/>
        <v>0</v>
      </c>
      <c r="AU17" s="81">
        <f ca="1">IFERROR(__xludf.DUMMYFUNCTION("IMPORTRANGE(""https://docs.google.com/spreadsheets/d/1JWG2rZePOz9pe-f-ObA-yDr0VoOX2kSb0qIix2mTUo8/edit?usp=sharing"",""ตาก!L211"")"),0)</f>
        <v>0</v>
      </c>
      <c r="AV17" s="81">
        <f ca="1">IFERROR(__xludf.DUMMYFUNCTION("IMPORTRANGE(""https://docs.google.com/spreadsheets/d/1JWG2rZePOz9pe-f-ObA-yDr0VoOX2kSb0qIix2mTUo8/edit?usp=sharing"",""ตาก!N211"")"),0)</f>
        <v>0</v>
      </c>
      <c r="AW17" s="82">
        <f t="shared" ca="1" si="92"/>
        <v>0</v>
      </c>
      <c r="AX17" s="81">
        <f ca="1">IFERROR(__xludf.DUMMYFUNCTION("IMPORTRANGE(""https://docs.google.com/spreadsheets/d/1JWG2rZePOz9pe-f-ObA-yDr0VoOX2kSb0qIix2mTUo8/edit?usp=sharing"",""ตาก!L212"")"),0)</f>
        <v>0</v>
      </c>
      <c r="AY17" s="81">
        <f ca="1">IFERROR(__xludf.DUMMYFUNCTION("IMPORTRANGE(""https://docs.google.com/spreadsheets/d/1JWG2rZePOz9pe-f-ObA-yDr0VoOX2kSb0qIix2mTUo8/edit?usp=sharing"",""ตาก!N212"")"),0)</f>
        <v>0</v>
      </c>
      <c r="AZ17" s="82">
        <f t="shared" ca="1" si="93"/>
        <v>0</v>
      </c>
      <c r="BA17" s="81">
        <f ca="1">IFERROR(__xludf.DUMMYFUNCTION("IMPORTRANGE(""https://docs.google.com/spreadsheets/d/1JWG2rZePOz9pe-f-ObA-yDr0VoOX2kSb0qIix2mTUo8/edit?usp=sharing"",""ตาก!I214"")"),0)</f>
        <v>0</v>
      </c>
      <c r="BB17" s="81">
        <f ca="1">IFERROR(__xludf.DUMMYFUNCTION("IMPORTRANGE(""https://docs.google.com/spreadsheets/d/1JWG2rZePOz9pe-f-ObA-yDr0VoOX2kSb0qIix2mTUo8/edit?usp=sharing"",""ตาก!J214"")"),0)</f>
        <v>0</v>
      </c>
      <c r="BC17" s="82">
        <f t="shared" ca="1" si="94"/>
        <v>0</v>
      </c>
      <c r="BD17" s="81">
        <f ca="1">IFERROR(__xludf.DUMMYFUNCTION("IMPORTRANGE(""https://docs.google.com/spreadsheets/d/1JWG2rZePOz9pe-f-ObA-yDr0VoOX2kSb0qIix2mTUo8/edit?usp=sharing"",""ตาก!I215"")"),0)</f>
        <v>0</v>
      </c>
      <c r="BE17" s="81">
        <f ca="1">IFERROR(__xludf.DUMMYFUNCTION("IMPORTRANGE(""https://docs.google.com/spreadsheets/d/1JWG2rZePOz9pe-f-ObA-yDr0VoOX2kSb0qIix2mTUo8/edit?usp=sharing"",""ตาก!J215"")"),0)</f>
        <v>0</v>
      </c>
      <c r="BF17" s="82">
        <f t="shared" ca="1" si="95"/>
        <v>0</v>
      </c>
      <c r="BG17" s="81">
        <f ca="1">IFERROR(__xludf.DUMMYFUNCTION("IMPORTRANGE(""https://docs.google.com/spreadsheets/d/1JWG2rZePOz9pe-f-ObA-yDr0VoOX2kSb0qIix2mTUo8/edit?usp=sharing"",""ตาก!L218"")"),5000)</f>
        <v>5000</v>
      </c>
      <c r="BH17" s="81">
        <f ca="1">IFERROR(__xludf.DUMMYFUNCTION("IMPORTRANGE(""https://docs.google.com/spreadsheets/d/1JWG2rZePOz9pe-f-ObA-yDr0VoOX2kSb0qIix2mTUo8/edit?usp=sharing"",""ตาก!N218"")"),5000)</f>
        <v>5000</v>
      </c>
      <c r="BI17" s="82">
        <f t="shared" ca="1" si="96"/>
        <v>100</v>
      </c>
      <c r="BJ17" s="81">
        <f ca="1">IFERROR(__xludf.DUMMYFUNCTION("IMPORTRANGE(""https://docs.google.com/spreadsheets/d/1JWG2rZePOz9pe-f-ObA-yDr0VoOX2kSb0qIix2mTUo8/edit?usp=sharing"",""ตาก!L219"")"),13500)</f>
        <v>13500</v>
      </c>
      <c r="BK17" s="81">
        <f ca="1">IFERROR(__xludf.DUMMYFUNCTION("IMPORTRANGE(""https://docs.google.com/spreadsheets/d/1JWG2rZePOz9pe-f-ObA-yDr0VoOX2kSb0qIix2mTUo8/edit?usp=sharing"",""ตาก!N219"")"),5415)</f>
        <v>5415</v>
      </c>
      <c r="BL17" s="82">
        <f t="shared" ca="1" si="97"/>
        <v>40.111111111111114</v>
      </c>
      <c r="BM17" s="81">
        <f ca="1">IFERROR(__xludf.DUMMYFUNCTION("IMPORTRANGE(""https://docs.google.com/spreadsheets/d/1JWG2rZePOz9pe-f-ObA-yDr0VoOX2kSb0qIix2mTUo8/edit?usp=sharing"",""ตาก!L220"")"),0)</f>
        <v>0</v>
      </c>
      <c r="BN17" s="81">
        <f ca="1">IFERROR(__xludf.DUMMYFUNCTION("IMPORTRANGE(""https://docs.google.com/spreadsheets/d/1JWG2rZePOz9pe-f-ObA-yDr0VoOX2kSb0qIix2mTUo8/edit?usp=sharing"",""ตาก!N220"")"),0)</f>
        <v>0</v>
      </c>
      <c r="BO17" s="82">
        <f t="shared" ca="1" si="98"/>
        <v>0</v>
      </c>
      <c r="BP17" s="81">
        <f ca="1">IFERROR(__xludf.DUMMYFUNCTION("IMPORTRANGE(""https://docs.google.com/spreadsheets/d/1JWG2rZePOz9pe-f-ObA-yDr0VoOX2kSb0qIix2mTUo8/edit?usp=sharing"",""ตาก!I223"")"),50000)</f>
        <v>50000</v>
      </c>
      <c r="BQ17" s="81">
        <f ca="1">IFERROR(__xludf.DUMMYFUNCTION("IMPORTRANGE(""https://docs.google.com/spreadsheets/d/1JWG2rZePOz9pe-f-ObA-yDr0VoOX2kSb0qIix2mTUo8/edit?usp=sharing"",""ตาก!J223"")"),50000)</f>
        <v>50000</v>
      </c>
      <c r="BR17" s="82">
        <f t="shared" ca="1" si="99"/>
        <v>100</v>
      </c>
      <c r="BS17" s="81">
        <f ca="1">IFERROR(__xludf.DUMMYFUNCTION("IMPORTRANGE(""https://docs.google.com/spreadsheets/d/1JWG2rZePOz9pe-f-ObA-yDr0VoOX2kSb0qIix2mTUo8/edit?usp=sharing"",""ตาก!I224"")"),50000)</f>
        <v>50000</v>
      </c>
      <c r="BT17" s="81">
        <f ca="1">IFERROR(__xludf.DUMMYFUNCTION("IMPORTRANGE(""https://docs.google.com/spreadsheets/d/1JWG2rZePOz9pe-f-ObA-yDr0VoOX2kSb0qIix2mTUo8/edit?usp=sharing"",""ตาก!J224"")"),50000)</f>
        <v>50000</v>
      </c>
      <c r="BU17" s="82">
        <f t="shared" ca="1" si="100"/>
        <v>100</v>
      </c>
      <c r="BV17" s="81">
        <f ca="1">IFERROR(__xludf.DUMMYFUNCTION("IMPORTRANGE(""https://docs.google.com/spreadsheets/d/1JWG2rZePOz9pe-f-ObA-yDr0VoOX2kSb0qIix2mTUo8/edit?usp=sharing"",""ตาก!I225"")"),0)</f>
        <v>0</v>
      </c>
      <c r="BW17" s="81">
        <f ca="1">IFERROR(__xludf.DUMMYFUNCTION("IMPORTRANGE(""https://docs.google.com/spreadsheets/d/1JWG2rZePOz9pe-f-ObA-yDr0VoOX2kSb0qIix2mTUo8/edit?usp=sharing"",""ตาก!J225"")"),0)</f>
        <v>0</v>
      </c>
      <c r="BX17" s="82">
        <f t="shared" ca="1" si="101"/>
        <v>0</v>
      </c>
      <c r="BY17" s="81">
        <f ca="1">IFERROR(__xludf.DUMMYFUNCTION("IMPORTRANGE(""https://docs.google.com/spreadsheets/d/1JWG2rZePOz9pe-f-ObA-yDr0VoOX2kSb0qIix2mTUo8/edit?usp=sharing"",""ตาก!L228"")"),0)</f>
        <v>0</v>
      </c>
      <c r="BZ17" s="81">
        <f ca="1">IFERROR(__xludf.DUMMYFUNCTION("IMPORTRANGE(""https://docs.google.com/spreadsheets/d/1JWG2rZePOz9pe-f-ObA-yDr0VoOX2kSb0qIix2mTUo8/edit?usp=sharing"",""ตาก!N228"")"),0)</f>
        <v>0</v>
      </c>
      <c r="CA17" s="82">
        <f t="shared" ca="1" si="102"/>
        <v>0</v>
      </c>
      <c r="CB17" s="81">
        <f ca="1">IFERROR(__xludf.DUMMYFUNCTION("IMPORTRANGE(""https://docs.google.com/spreadsheets/d/1JWG2rZePOz9pe-f-ObA-yDr0VoOX2kSb0qIix2mTUo8/edit?usp=sharing"",""ตาก!L229"")"),0)</f>
        <v>0</v>
      </c>
      <c r="CC17" s="81">
        <f ca="1">IFERROR(__xludf.DUMMYFUNCTION("IMPORTRANGE(""https://docs.google.com/spreadsheets/d/1JWG2rZePOz9pe-f-ObA-yDr0VoOX2kSb0qIix2mTUo8/edit?usp=sharing"",""ตาก!N229"")"),0)</f>
        <v>0</v>
      </c>
      <c r="CD17" s="82">
        <f t="shared" ca="1" si="103"/>
        <v>0</v>
      </c>
      <c r="CE17" s="81">
        <f ca="1">IFERROR(__xludf.DUMMYFUNCTION("IMPORTRANGE(""https://docs.google.com/spreadsheets/d/1JWG2rZePOz9pe-f-ObA-yDr0VoOX2kSb0qIix2mTUo8/edit?usp=sharing"",""ตาก!L230"")"),0)</f>
        <v>0</v>
      </c>
      <c r="CF17" s="81">
        <f ca="1">IFERROR(__xludf.DUMMYFUNCTION("IMPORTRANGE(""https://docs.google.com/spreadsheets/d/1JWG2rZePOz9pe-f-ObA-yDr0VoOX2kSb0qIix2mTUo8/edit?usp=sharing"",""ตาก!N230"")"),0)</f>
        <v>0</v>
      </c>
      <c r="CG17" s="82">
        <f t="shared" ca="1" si="104"/>
        <v>0</v>
      </c>
      <c r="CH17" s="81">
        <f ca="1">IFERROR(__xludf.DUMMYFUNCTION("IMPORTRANGE(""https://docs.google.com/spreadsheets/d/1JWG2rZePOz9pe-f-ObA-yDr0VoOX2kSb0qIix2mTUo8/edit?usp=sharing"",""ตาก!L231"")"),0)</f>
        <v>0</v>
      </c>
      <c r="CI17" s="81">
        <f ca="1">IFERROR(__xludf.DUMMYFUNCTION("IMPORTRANGE(""https://docs.google.com/spreadsheets/d/1JWG2rZePOz9pe-f-ObA-yDr0VoOX2kSb0qIix2mTUo8/edit?usp=sharing"",""ตาก!N231"")"),0)</f>
        <v>0</v>
      </c>
      <c r="CJ17" s="82">
        <f t="shared" ca="1" si="105"/>
        <v>0</v>
      </c>
      <c r="CK17" s="81">
        <f ca="1">IFERROR(__xludf.DUMMYFUNCTION("IMPORTRANGE(""https://docs.google.com/spreadsheets/d/1JWG2rZePOz9pe-f-ObA-yDr0VoOX2kSb0qIix2mTUo8/edit?usp=sharing"",""ตาก!I233"")"),0)</f>
        <v>0</v>
      </c>
      <c r="CL17" s="81">
        <f ca="1">IFERROR(__xludf.DUMMYFUNCTION("IMPORTRANGE(""https://docs.google.com/spreadsheets/d/1JWG2rZePOz9pe-f-ObA-yDr0VoOX2kSb0qIix2mTUo8/edit?usp=sharing"",""ตาก!J233"")"),0)</f>
        <v>0</v>
      </c>
      <c r="CM17" s="82">
        <f t="shared" ca="1" si="106"/>
        <v>0</v>
      </c>
      <c r="CN17" s="81">
        <f ca="1">IFERROR(__xludf.DUMMYFUNCTION("IMPORTRANGE(""https://docs.google.com/spreadsheets/d/1JWG2rZePOz9pe-f-ObA-yDr0VoOX2kSb0qIix2mTUo8/edit?usp=sharing"",""ตาก!J235"")"),0)</f>
        <v>0</v>
      </c>
      <c r="CO17" s="81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3">
        <v>5</v>
      </c>
      <c r="B18" s="74" t="s">
        <v>40</v>
      </c>
      <c r="C18" s="75">
        <f t="shared" ca="1" si="0"/>
        <v>107000</v>
      </c>
      <c r="D18" s="76">
        <f t="shared" ca="1" si="133"/>
        <v>107000</v>
      </c>
      <c r="E18" s="77">
        <f ca="1">IFERROR(__xludf.DUMMYFUNCTION("IMPORTRANGE(""https://docs.google.com/spreadsheets/d/1MeEWN-I1oV_STSDYn1IFDPWt_1FKiwhDph83XaGc0o0/edit?usp=sharing"",""งบพรบ!CP18"")"),0)</f>
        <v>0</v>
      </c>
      <c r="F18" s="77">
        <f ca="1">IFERROR(__xludf.DUMMYFUNCTION("IMPORTRANGE(""https://docs.google.com/spreadsheets/d/1MeEWN-I1oV_STSDYn1IFDPWt_1FKiwhDph83XaGc0o0/edit?usp=sharing"",""งบพรบ!CQ18"")"),107000)</f>
        <v>107000</v>
      </c>
      <c r="G18" s="77">
        <f ca="1">IFERROR(__xludf.DUMMYFUNCTION("IMPORTRANGE(""https://docs.google.com/spreadsheets/d/1MeEWN-I1oV_STSDYn1IFDPWt_1FKiwhDph83XaGc0o0/edit?usp=sharing"",""งบพรบ!CR18"")"),0)</f>
        <v>0</v>
      </c>
      <c r="H18" s="77">
        <f ca="1">IFERROR(__xludf.DUMMYFUNCTION("IMPORTRANGE(""https://docs.google.com/spreadsheets/d/1MeEWN-I1oV_STSDYn1IFDPWt_1FKiwhDph83XaGc0o0/edit?usp=sharing"",""งบพรบ!CT18"")"),107000)</f>
        <v>107000</v>
      </c>
      <c r="I18" s="77">
        <f ca="1">IFERROR(__xludf.DUMMYFUNCTION("IMPORTRANGE(""https://docs.google.com/spreadsheets/d/1MeEWN-I1oV_STSDYn1IFDPWt_1FKiwhDph83XaGc0o0/edit?usp=sharing"",""งบพรบ!CU18"")"),0)</f>
        <v>0</v>
      </c>
      <c r="J18" s="77">
        <f t="shared" ca="1" si="3"/>
        <v>105960</v>
      </c>
      <c r="K18" s="78">
        <f t="shared" ca="1" si="4"/>
        <v>99.028037383177576</v>
      </c>
      <c r="L18" s="77">
        <f ca="1">IFERROR(__xludf.DUMMYFUNCTION("IMPORTRANGE(""https://docs.google.com/spreadsheets/d/1MeEWN-I1oV_STSDYn1IFDPWt_1FKiwhDph83XaGc0o0/edit?usp=sharing"",""งบพรบ!CV18"")"),105960)</f>
        <v>105960</v>
      </c>
      <c r="M18" s="79">
        <f t="shared" ca="1" si="5"/>
        <v>99.028037383177576</v>
      </c>
      <c r="N18" s="79">
        <f t="shared" ca="1" si="6"/>
        <v>99.028037383177576</v>
      </c>
      <c r="O18" s="80">
        <f ca="1">IFERROR(__xludf.DUMMYFUNCTION("IMPORTRANGE(""https://docs.google.com/spreadsheets/d/1MeEWN-I1oV_STSDYn1IFDPWt_1FKiwhDph83XaGc0o0/edit?usp=sharing"",""งบพรบ!CW18"")"),0)</f>
        <v>0</v>
      </c>
      <c r="P18" s="80">
        <f t="shared" ca="1" si="10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IFERROR(__xludf.DUMMYFUNCTION("IMPORTRANGE(""https://docs.google.com/spreadsheets/d/10nSRjK08hx8Y6HgSOQKNw81lyY46Zc7U_Cj72hBMp9U/edit?usp=sharing"",""นครสวรรค์!L191"")"),6000)</f>
        <v>6000</v>
      </c>
      <c r="S18" s="81">
        <f ca="1">IFERROR(__xludf.DUMMYFUNCTION("IMPORTRANGE(""https://docs.google.com/spreadsheets/d/10nSRjK08hx8Y6HgSOQKNw81lyY46Zc7U_Cj72hBMp9U/edit?usp=sharing"",""นครสวรรค์!N191"")"),0)</f>
        <v>0</v>
      </c>
      <c r="T18" s="82">
        <f t="shared" ca="1" si="84"/>
        <v>0</v>
      </c>
      <c r="U18" s="81">
        <f ca="1">IFERROR(__xludf.DUMMYFUNCTION("IMPORTRANGE(""https://docs.google.com/spreadsheets/d/10nSRjK08hx8Y6HgSOQKNw81lyY46Zc7U_Cj72hBMp9U/edit?usp=sharing"",""นครสวรรค์!I193"")"),4)</f>
        <v>4</v>
      </c>
      <c r="V18" s="81">
        <f ca="1">IFERROR(__xludf.DUMMYFUNCTION("IMPORTRANGE(""https://docs.google.com/spreadsheets/d/10nSRjK08hx8Y6HgSOQKNw81lyY46Zc7U_Cj72hBMp9U/edit?usp=sharing"",""นครสวรรค์!J193"")"),4)</f>
        <v>4</v>
      </c>
      <c r="W18" s="82">
        <f t="shared" ca="1" si="85"/>
        <v>100</v>
      </c>
      <c r="X18" s="81">
        <f t="shared" ca="1" si="134"/>
        <v>78</v>
      </c>
      <c r="Y18" s="81">
        <f ca="1">IFERROR(__xludf.DUMMYFUNCTION("IMPORTRANGE(""https://docs.google.com/spreadsheets/d/10nSRjK08hx8Y6HgSOQKNw81lyY46Zc7U_Cj72hBMp9U/edit?usp=sharing"",""นครสวรรค์!J195"")"),78)</f>
        <v>78</v>
      </c>
      <c r="Z18" s="81">
        <f ca="1">IFERROR(__xludf.DUMMYFUNCTION("IMPORTRANGE(""https://docs.google.com/spreadsheets/d/10nSRjK08hx8Y6HgSOQKNw81lyY46Zc7U_Cj72hBMp9U/edit?usp=sharing"",""นครสวรรค์!J196"")"),0)</f>
        <v>0</v>
      </c>
      <c r="AA18" s="81">
        <f ca="1">IFERROR(__xludf.DUMMYFUNCTION("IMPORTRANGE(""https://docs.google.com/spreadsheets/d/10nSRjK08hx8Y6HgSOQKNw81lyY46Zc7U_Cj72hBMp9U/edit?usp=sharing"",""นครสวรรค์!L199"")"),5000)</f>
        <v>5000</v>
      </c>
      <c r="AB18" s="81">
        <f ca="1">IFERROR(__xludf.DUMMYFUNCTION("IMPORTRANGE(""https://docs.google.com/spreadsheets/d/10nSRjK08hx8Y6HgSOQKNw81lyY46Zc7U_Cj72hBMp9U/edit?usp=sharing"",""นครสวรรค์!N199"")"),5000)</f>
        <v>5000</v>
      </c>
      <c r="AC18" s="82">
        <f t="shared" ca="1" si="86"/>
        <v>100</v>
      </c>
      <c r="AD18" s="81">
        <f ca="1">IFERROR(__xludf.DUMMYFUNCTION("IMPORTRANGE(""https://docs.google.com/spreadsheets/d/10nSRjK08hx8Y6HgSOQKNw81lyY46Zc7U_Cj72hBMp9U/edit?usp=sharing"",""นครสวรรค์!L200"")"),40000)</f>
        <v>40000</v>
      </c>
      <c r="AE18" s="81">
        <f ca="1">IFERROR(__xludf.DUMMYFUNCTION("IMPORTRANGE(""https://docs.google.com/spreadsheets/d/10nSRjK08hx8Y6HgSOQKNw81lyY46Zc7U_Cj72hBMp9U/edit?usp=sharing"",""นครสวรรค์!N200"")"),40000)</f>
        <v>40000</v>
      </c>
      <c r="AF18" s="82">
        <f t="shared" ca="1" si="87"/>
        <v>100</v>
      </c>
      <c r="AG18" s="81">
        <f ca="1">IFERROR(__xludf.DUMMYFUNCTION("IMPORTRANGE(""https://docs.google.com/spreadsheets/d/10nSRjK08hx8Y6HgSOQKNw81lyY46Zc7U_Cj72hBMp9U/edit?usp=sharing"",""นครสวรรค์!L201"")"),20000)</f>
        <v>20000</v>
      </c>
      <c r="AH18" s="81">
        <f ca="1">IFERROR(__xludf.DUMMYFUNCTION("IMPORTRANGE(""https://docs.google.com/spreadsheets/d/10nSRjK08hx8Y6HgSOQKNw81lyY46Zc7U_Cj72hBMp9U/edit?usp=sharing"",""นครสวรรค์!N201"")"),20000)</f>
        <v>20000</v>
      </c>
      <c r="AI18" s="82">
        <f t="shared" ca="1" si="88"/>
        <v>100</v>
      </c>
      <c r="AJ18" s="81">
        <f ca="1">IFERROR(__xludf.DUMMYFUNCTION("IMPORTRANGE(""https://docs.google.com/spreadsheets/d/10nSRjK08hx8Y6HgSOQKNw81lyY46Zc7U_Cj72hBMp9U/edit?usp=sharing"",""นครสวรรค์!L202"")"),5000)</f>
        <v>5000</v>
      </c>
      <c r="AK18" s="81">
        <f ca="1">IFERROR(__xludf.DUMMYFUNCTION("IMPORTRANGE(""https://docs.google.com/spreadsheets/d/10nSRjK08hx8Y6HgSOQKNw81lyY46Zc7U_Cj72hBMp9U/edit?usp=sharing"",""นครสวรรค์!N202"")"),5000)</f>
        <v>5000</v>
      </c>
      <c r="AL18" s="82">
        <f t="shared" ca="1" si="89"/>
        <v>100</v>
      </c>
      <c r="AM18" s="81">
        <f ca="1">IFERROR(__xludf.DUMMYFUNCTION("IMPORTRANGE(""https://docs.google.com/spreadsheets/d/10nSRjK08hx8Y6HgSOQKNw81lyY46Zc7U_Cj72hBMp9U/edit?usp=sharing"",""นครสวรรค์!I204"")"),5)</f>
        <v>5</v>
      </c>
      <c r="AN18" s="81">
        <f ca="1">IFERROR(__xludf.DUMMYFUNCTION("IMPORTRANGE(""https://docs.google.com/spreadsheets/d/10nSRjK08hx8Y6HgSOQKNw81lyY46Zc7U_Cj72hBMp9U/edit?usp=sharing"",""นครสวรรค์!J204"")"),5)</f>
        <v>5</v>
      </c>
      <c r="AO18" s="82">
        <f t="shared" ca="1" si="90"/>
        <v>100</v>
      </c>
      <c r="AP18" s="297">
        <f ca="1">IFERROR(__xludf.DUMMYFUNCTION("IMPORTRANGE(""https://docs.google.com/spreadsheets/d/10nSRjK08hx8Y6HgSOQKNw81lyY46Zc7U_Cj72hBMp9U/edit?usp=sharing"",""นครสวรรค์!J206"")"),5)</f>
        <v>5</v>
      </c>
      <c r="AQ18" s="297">
        <f ca="1">IFERROR(__xludf.DUMMYFUNCTION("IMPORTRANGE(""https://docs.google.com/spreadsheets/d/10nSRjK08hx8Y6HgSOQKNw81lyY46Zc7U_Cj72hBMp9U/edit?usp=sharing"",""นครสวรรค์!J207"")"),1)</f>
        <v>1</v>
      </c>
      <c r="AR18" s="81">
        <f ca="1">IFERROR(__xludf.DUMMYFUNCTION("IMPORTRANGE(""https://docs.google.com/spreadsheets/d/10nSRjK08hx8Y6HgSOQKNw81lyY46Zc7U_Cj72hBMp9U/edit?usp=sharing"",""นครสวรรค์!L210"")"),0)</f>
        <v>0</v>
      </c>
      <c r="AS18" s="81">
        <f ca="1">IFERROR(__xludf.DUMMYFUNCTION("IMPORTRANGE(""https://docs.google.com/spreadsheets/d/10nSRjK08hx8Y6HgSOQKNw81lyY46Zc7U_Cj72hBMp9U/edit?usp=sharing"",""นครสวรรค์!N210"")"),0)</f>
        <v>0</v>
      </c>
      <c r="AT18" s="82">
        <f t="shared" ca="1" si="91"/>
        <v>0</v>
      </c>
      <c r="AU18" s="81">
        <f ca="1">IFERROR(__xludf.DUMMYFUNCTION("IMPORTRANGE(""https://docs.google.com/spreadsheets/d/10nSRjK08hx8Y6HgSOQKNw81lyY46Zc7U_Cj72hBMp9U/edit?usp=sharing"",""นครสวรรค์!L211"")"),0)</f>
        <v>0</v>
      </c>
      <c r="AV18" s="81">
        <f ca="1">IFERROR(__xludf.DUMMYFUNCTION("IMPORTRANGE(""https://docs.google.com/spreadsheets/d/10nSRjK08hx8Y6HgSOQKNw81lyY46Zc7U_Cj72hBMp9U/edit?usp=sharing"",""นครสวรรค์!N211"")"),0)</f>
        <v>0</v>
      </c>
      <c r="AW18" s="82">
        <f t="shared" ca="1" si="92"/>
        <v>0</v>
      </c>
      <c r="AX18" s="81">
        <f ca="1">IFERROR(__xludf.DUMMYFUNCTION("IMPORTRANGE(""https://docs.google.com/spreadsheets/d/10nSRjK08hx8Y6HgSOQKNw81lyY46Zc7U_Cj72hBMp9U/edit?usp=sharing"",""นครสวรรค์!L212"")"),0)</f>
        <v>0</v>
      </c>
      <c r="AY18" s="81">
        <f ca="1">IFERROR(__xludf.DUMMYFUNCTION("IMPORTRANGE(""https://docs.google.com/spreadsheets/d/10nSRjK08hx8Y6HgSOQKNw81lyY46Zc7U_Cj72hBMp9U/edit?usp=sharing"",""นครสวรรค์!N212"")"),0)</f>
        <v>0</v>
      </c>
      <c r="AZ18" s="82">
        <f t="shared" ca="1" si="93"/>
        <v>0</v>
      </c>
      <c r="BA18" s="81">
        <f ca="1">IFERROR(__xludf.DUMMYFUNCTION("IMPORTRANGE(""https://docs.google.com/spreadsheets/d/10nSRjK08hx8Y6HgSOQKNw81lyY46Zc7U_Cj72hBMp9U/edit?usp=sharing"",""นครสวรรค์!I214"")"),0)</f>
        <v>0</v>
      </c>
      <c r="BB18" s="81">
        <f ca="1">IFERROR(__xludf.DUMMYFUNCTION("IMPORTRANGE(""https://docs.google.com/spreadsheets/d/10nSRjK08hx8Y6HgSOQKNw81lyY46Zc7U_Cj72hBMp9U/edit?usp=sharing"",""นครสวรรค์!J214"")"),0)</f>
        <v>0</v>
      </c>
      <c r="BC18" s="82">
        <f t="shared" ca="1" si="94"/>
        <v>0</v>
      </c>
      <c r="BD18" s="81">
        <f ca="1">IFERROR(__xludf.DUMMYFUNCTION("IMPORTRANGE(""https://docs.google.com/spreadsheets/d/10nSRjK08hx8Y6HgSOQKNw81lyY46Zc7U_Cj72hBMp9U/edit?usp=sharing"",""นครสวรรค์!I215"")"),0)</f>
        <v>0</v>
      </c>
      <c r="BE18" s="81">
        <f ca="1">IFERROR(__xludf.DUMMYFUNCTION("IMPORTRANGE(""https://docs.google.com/spreadsheets/d/10nSRjK08hx8Y6HgSOQKNw81lyY46Zc7U_Cj72hBMp9U/edit?usp=sharing"",""นครสวรรค์!J215"")"),0)</f>
        <v>0</v>
      </c>
      <c r="BF18" s="82">
        <f t="shared" ca="1" si="95"/>
        <v>0</v>
      </c>
      <c r="BG18" s="81">
        <f ca="1">IFERROR(__xludf.DUMMYFUNCTION("IMPORTRANGE(""https://docs.google.com/spreadsheets/d/10nSRjK08hx8Y6HgSOQKNw81lyY46Zc7U_Cj72hBMp9U/edit?usp=sharing"",""นครสวรรค์!L218"")"),6000)</f>
        <v>6000</v>
      </c>
      <c r="BH18" s="81">
        <f ca="1">IFERROR(__xludf.DUMMYFUNCTION("IMPORTRANGE(""https://docs.google.com/spreadsheets/d/10nSRjK08hx8Y6HgSOQKNw81lyY46Zc7U_Cj72hBMp9U/edit?usp=sharing"",""นครสวรรค์!N218"")"),0)</f>
        <v>0</v>
      </c>
      <c r="BI18" s="82">
        <f t="shared" ca="1" si="96"/>
        <v>0</v>
      </c>
      <c r="BJ18" s="81">
        <f ca="1">IFERROR(__xludf.DUMMYFUNCTION("IMPORTRANGE(""https://docs.google.com/spreadsheets/d/10nSRjK08hx8Y6HgSOQKNw81lyY46Zc7U_Cj72hBMp9U/edit?usp=sharing"",""นครสวรรค์!L219"")"),25000)</f>
        <v>25000</v>
      </c>
      <c r="BK18" s="81">
        <f ca="1">IFERROR(__xludf.DUMMYFUNCTION("IMPORTRANGE(""https://docs.google.com/spreadsheets/d/10nSRjK08hx8Y6HgSOQKNw81lyY46Zc7U_Cj72hBMp9U/edit?usp=sharing"",""นครสวรรค์!N219"")"),0)</f>
        <v>0</v>
      </c>
      <c r="BL18" s="82">
        <f t="shared" ca="1" si="97"/>
        <v>0</v>
      </c>
      <c r="BM18" s="81">
        <f ca="1">IFERROR(__xludf.DUMMYFUNCTION("IMPORTRANGE(""https://docs.google.com/spreadsheets/d/10nSRjK08hx8Y6HgSOQKNw81lyY46Zc7U_Cj72hBMp9U/edit?usp=sharing"",""นครสวรรค์!L220"")"),0)</f>
        <v>0</v>
      </c>
      <c r="BN18" s="81">
        <f ca="1">IFERROR(__xludf.DUMMYFUNCTION("IMPORTRANGE(""https://docs.google.com/spreadsheets/d/10nSRjK08hx8Y6HgSOQKNw81lyY46Zc7U_Cj72hBMp9U/edit?usp=sharing"",""นครสวรรค์!N220"")"),0)</f>
        <v>0</v>
      </c>
      <c r="BO18" s="82">
        <f t="shared" ca="1" si="98"/>
        <v>0</v>
      </c>
      <c r="BP18" s="81">
        <f ca="1">IFERROR(__xludf.DUMMYFUNCTION("IMPORTRANGE(""https://docs.google.com/spreadsheets/d/10nSRjK08hx8Y6HgSOQKNw81lyY46Zc7U_Cj72hBMp9U/edit?usp=sharing"",""นครสวรรค์!I223"")"),100000)</f>
        <v>100000</v>
      </c>
      <c r="BQ18" s="81">
        <f ca="1">IFERROR(__xludf.DUMMYFUNCTION("IMPORTRANGE(""https://docs.google.com/spreadsheets/d/10nSRjK08hx8Y6HgSOQKNw81lyY46Zc7U_Cj72hBMp9U/edit?usp=sharing"",""นครสวรรค์!J223"")"),100000)</f>
        <v>100000</v>
      </c>
      <c r="BR18" s="82">
        <f t="shared" ca="1" si="99"/>
        <v>100</v>
      </c>
      <c r="BS18" s="81">
        <f ca="1">IFERROR(__xludf.DUMMYFUNCTION("IMPORTRANGE(""https://docs.google.com/spreadsheets/d/10nSRjK08hx8Y6HgSOQKNw81lyY46Zc7U_Cj72hBMp9U/edit?usp=sharing"",""นครสวรรค์!I224"")"),100000)</f>
        <v>100000</v>
      </c>
      <c r="BT18" s="81">
        <f ca="1">IFERROR(__xludf.DUMMYFUNCTION("IMPORTRANGE(""https://docs.google.com/spreadsheets/d/10nSRjK08hx8Y6HgSOQKNw81lyY46Zc7U_Cj72hBMp9U/edit?usp=sharing"",""นครสวรรค์!J224"")"),100000)</f>
        <v>100000</v>
      </c>
      <c r="BU18" s="82">
        <f t="shared" ca="1" si="100"/>
        <v>100</v>
      </c>
      <c r="BV18" s="81">
        <f ca="1">IFERROR(__xludf.DUMMYFUNCTION("IMPORTRANGE(""https://docs.google.com/spreadsheets/d/10nSRjK08hx8Y6HgSOQKNw81lyY46Zc7U_Cj72hBMp9U/edit?usp=sharing"",""นครสวรรค์!I225"")"),0)</f>
        <v>0</v>
      </c>
      <c r="BW18" s="81">
        <f ca="1">IFERROR(__xludf.DUMMYFUNCTION("IMPORTRANGE(""https://docs.google.com/spreadsheets/d/10nSRjK08hx8Y6HgSOQKNw81lyY46Zc7U_Cj72hBMp9U/edit?usp=sharing"",""นครสวรรค์!J225"")"),0)</f>
        <v>0</v>
      </c>
      <c r="BX18" s="82">
        <f t="shared" ca="1" si="101"/>
        <v>0</v>
      </c>
      <c r="BY18" s="81">
        <f ca="1">IFERROR(__xludf.DUMMYFUNCTION("IMPORTRANGE(""https://docs.google.com/spreadsheets/d/10nSRjK08hx8Y6HgSOQKNw81lyY46Zc7U_Cj72hBMp9U/edit?usp=sharing"",""นครสวรรค์!L228"")"),0)</f>
        <v>0</v>
      </c>
      <c r="BZ18" s="81">
        <f ca="1">IFERROR(__xludf.DUMMYFUNCTION("IMPORTRANGE(""https://docs.google.com/spreadsheets/d/10nSRjK08hx8Y6HgSOQKNw81lyY46Zc7U_Cj72hBMp9U/edit?usp=sharing"",""นครสวรรค์!N228"")"),0)</f>
        <v>0</v>
      </c>
      <c r="CA18" s="82">
        <f t="shared" ca="1" si="102"/>
        <v>0</v>
      </c>
      <c r="CB18" s="81">
        <f ca="1">IFERROR(__xludf.DUMMYFUNCTION("IMPORTRANGE(""https://docs.google.com/spreadsheets/d/10nSRjK08hx8Y6HgSOQKNw81lyY46Zc7U_Cj72hBMp9U/edit?usp=sharing"",""นครสวรรค์!L229"")"),0)</f>
        <v>0</v>
      </c>
      <c r="CC18" s="81">
        <f ca="1">IFERROR(__xludf.DUMMYFUNCTION("IMPORTRANGE(""https://docs.google.com/spreadsheets/d/10nSRjK08hx8Y6HgSOQKNw81lyY46Zc7U_Cj72hBMp9U/edit?usp=sharing"",""นครสวรรค์!N229"")"),0)</f>
        <v>0</v>
      </c>
      <c r="CD18" s="82">
        <f t="shared" ca="1" si="103"/>
        <v>0</v>
      </c>
      <c r="CE18" s="81">
        <f ca="1">IFERROR(__xludf.DUMMYFUNCTION("IMPORTRANGE(""https://docs.google.com/spreadsheets/d/10nSRjK08hx8Y6HgSOQKNw81lyY46Zc7U_Cj72hBMp9U/edit?usp=sharing"",""นครสวรรค์!L230"")"),0)</f>
        <v>0</v>
      </c>
      <c r="CF18" s="81">
        <f ca="1">IFERROR(__xludf.DUMMYFUNCTION("IMPORTRANGE(""https://docs.google.com/spreadsheets/d/10nSRjK08hx8Y6HgSOQKNw81lyY46Zc7U_Cj72hBMp9U/edit?usp=sharing"",""นครสวรรค์!N230"")"),0)</f>
        <v>0</v>
      </c>
      <c r="CG18" s="82">
        <f t="shared" ca="1" si="104"/>
        <v>0</v>
      </c>
      <c r="CH18" s="81">
        <f ca="1">IFERROR(__xludf.DUMMYFUNCTION("IMPORTRANGE(""https://docs.google.com/spreadsheets/d/10nSRjK08hx8Y6HgSOQKNw81lyY46Zc7U_Cj72hBMp9U/edit?usp=sharing"",""นครสวรรค์!L231"")"),0)</f>
        <v>0</v>
      </c>
      <c r="CI18" s="81">
        <f ca="1">IFERROR(__xludf.DUMMYFUNCTION("IMPORTRANGE(""https://docs.google.com/spreadsheets/d/10nSRjK08hx8Y6HgSOQKNw81lyY46Zc7U_Cj72hBMp9U/edit?usp=sharing"",""นครสวรรค์!N231"")"),0)</f>
        <v>0</v>
      </c>
      <c r="CJ18" s="82">
        <f t="shared" ca="1" si="105"/>
        <v>0</v>
      </c>
      <c r="CK18" s="81">
        <f ca="1">IFERROR(__xludf.DUMMYFUNCTION("IMPORTRANGE(""https://docs.google.com/spreadsheets/d/10nSRjK08hx8Y6HgSOQKNw81lyY46Zc7U_Cj72hBMp9U/edit?usp=sharing"",""นครสวรรค์!I233"")"),0)</f>
        <v>0</v>
      </c>
      <c r="CL18" s="81">
        <f ca="1">IFERROR(__xludf.DUMMYFUNCTION("IMPORTRANGE(""https://docs.google.com/spreadsheets/d/10nSRjK08hx8Y6HgSOQKNw81lyY46Zc7U_Cj72hBMp9U/edit?usp=sharing"",""นครสวรรค์!J233"")"),0)</f>
        <v>0</v>
      </c>
      <c r="CM18" s="82">
        <f t="shared" ca="1" si="106"/>
        <v>0</v>
      </c>
      <c r="CN18" s="81">
        <f ca="1">IFERROR(__xludf.DUMMYFUNCTION("IMPORTRANGE(""https://docs.google.com/spreadsheets/d/10nSRjK08hx8Y6HgSOQKNw81lyY46Zc7U_Cj72hBMp9U/edit?usp=sharing"",""นครสวรรค์!J235"")"),0)</f>
        <v>0</v>
      </c>
      <c r="CO18" s="81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3">
        <v>6</v>
      </c>
      <c r="B19" s="74" t="s">
        <v>41</v>
      </c>
      <c r="C19" s="75">
        <f t="shared" ca="1" si="0"/>
        <v>962600</v>
      </c>
      <c r="D19" s="76">
        <f t="shared" ca="1" si="133"/>
        <v>962600</v>
      </c>
      <c r="E19" s="77">
        <f ca="1">IFERROR(__xludf.DUMMYFUNCTION("IMPORTRANGE(""https://docs.google.com/spreadsheets/d/1MeEWN-I1oV_STSDYn1IFDPWt_1FKiwhDph83XaGc0o0/edit?usp=sharing"",""งบพรบ!CP19"")"),499500)</f>
        <v>499500</v>
      </c>
      <c r="F19" s="77">
        <f ca="1">IFERROR(__xludf.DUMMYFUNCTION("IMPORTRANGE(""https://docs.google.com/spreadsheets/d/1MeEWN-I1oV_STSDYn1IFDPWt_1FKiwhDph83XaGc0o0/edit?usp=sharing"",""งบพรบ!CQ19"")"),463100)</f>
        <v>463100</v>
      </c>
      <c r="G19" s="77">
        <f ca="1">IFERROR(__xludf.DUMMYFUNCTION("IMPORTRANGE(""https://docs.google.com/spreadsheets/d/1MeEWN-I1oV_STSDYn1IFDPWt_1FKiwhDph83XaGc0o0/edit?usp=sharing"",""งบพรบ!CR19"")"),0)</f>
        <v>0</v>
      </c>
      <c r="H19" s="77">
        <f ca="1">IFERROR(__xludf.DUMMYFUNCTION("IMPORTRANGE(""https://docs.google.com/spreadsheets/d/1MeEWN-I1oV_STSDYn1IFDPWt_1FKiwhDph83XaGc0o0/edit?usp=sharing"",""งบพรบ!CT19"")"),976560)</f>
        <v>976560</v>
      </c>
      <c r="I19" s="77">
        <f ca="1">IFERROR(__xludf.DUMMYFUNCTION("IMPORTRANGE(""https://docs.google.com/spreadsheets/d/1MeEWN-I1oV_STSDYn1IFDPWt_1FKiwhDph83XaGc0o0/edit?usp=sharing"",""งบพรบ!CU19"")"),0)</f>
        <v>0</v>
      </c>
      <c r="J19" s="77">
        <f t="shared" ca="1" si="3"/>
        <v>917916.63</v>
      </c>
      <c r="K19" s="78">
        <f t="shared" ca="1" si="4"/>
        <v>95.358054228132147</v>
      </c>
      <c r="L19" s="77">
        <f ca="1">IFERROR(__xludf.DUMMYFUNCTION("IMPORTRANGE(""https://docs.google.com/spreadsheets/d/1MeEWN-I1oV_STSDYn1IFDPWt_1FKiwhDph83XaGc0o0/edit?usp=sharing"",""งบพรบ!CV19"")"),917916.63)</f>
        <v>917916.63</v>
      </c>
      <c r="M19" s="79">
        <f t="shared" ca="1" si="5"/>
        <v>95.358054228132147</v>
      </c>
      <c r="N19" s="79">
        <f t="shared" ca="1" si="6"/>
        <v>93.994903538953054</v>
      </c>
      <c r="O19" s="80">
        <f ca="1">IFERROR(__xludf.DUMMYFUNCTION("IMPORTRANGE(""https://docs.google.com/spreadsheets/d/1MeEWN-I1oV_STSDYn1IFDPWt_1FKiwhDph83XaGc0o0/edit?usp=sharing"",""งบพรบ!CW19"")"),0)</f>
        <v>0</v>
      </c>
      <c r="P19" s="80">
        <f t="shared" ca="1" si="10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IFERROR(__xludf.DUMMYFUNCTION("IMPORTRANGE(""https://docs.google.com/spreadsheets/d/1gFVb7qd7amutrIxAAoM7lcy35hllxznovot8lyOfvDo/edit?usp=sharing"",""น่าน!L191"")"),6000)</f>
        <v>6000</v>
      </c>
      <c r="S19" s="81">
        <f ca="1">IFERROR(__xludf.DUMMYFUNCTION("IMPORTRANGE(""https://docs.google.com/spreadsheets/d/1gFVb7qd7amutrIxAAoM7lcy35hllxznovot8lyOfvDo/edit?usp=sharing"",""น่าน!N191"")"),2500)</f>
        <v>2500</v>
      </c>
      <c r="T19" s="82">
        <f t="shared" ca="1" si="84"/>
        <v>41.666666666666664</v>
      </c>
      <c r="U19" s="81">
        <f ca="1">IFERROR(__xludf.DUMMYFUNCTION("IMPORTRANGE(""https://docs.google.com/spreadsheets/d/1gFVb7qd7amutrIxAAoM7lcy35hllxznovot8lyOfvDo/edit?usp=sharing"",""น่าน!I193"")"),4)</f>
        <v>4</v>
      </c>
      <c r="V19" s="81">
        <f ca="1">IFERROR(__xludf.DUMMYFUNCTION("IMPORTRANGE(""https://docs.google.com/spreadsheets/d/1gFVb7qd7amutrIxAAoM7lcy35hllxznovot8lyOfvDo/edit?usp=sharing"",""น่าน!J193"")"),4)</f>
        <v>4</v>
      </c>
      <c r="W19" s="82">
        <f t="shared" ca="1" si="85"/>
        <v>100</v>
      </c>
      <c r="X19" s="81">
        <f t="shared" ca="1" si="134"/>
        <v>125</v>
      </c>
      <c r="Y19" s="81">
        <f ca="1">IFERROR(__xludf.DUMMYFUNCTION("IMPORTRANGE(""https://docs.google.com/spreadsheets/d/1gFVb7qd7amutrIxAAoM7lcy35hllxznovot8lyOfvDo/edit?usp=sharing"",""น่าน!J195"")"),125)</f>
        <v>125</v>
      </c>
      <c r="Z19" s="81">
        <f ca="1">IFERROR(__xludf.DUMMYFUNCTION("IMPORTRANGE(""https://docs.google.com/spreadsheets/d/1gFVb7qd7amutrIxAAoM7lcy35hllxznovot8lyOfvDo/edit?usp=sharing"",""น่าน!J196"")"),0)</f>
        <v>0</v>
      </c>
      <c r="AA19" s="81">
        <f ca="1">IFERROR(__xludf.DUMMYFUNCTION("IMPORTRANGE(""https://docs.google.com/spreadsheets/d/1gFVb7qd7amutrIxAAoM7lcy35hllxznovot8lyOfvDo/edit?usp=sharing"",""น่าน!L199"")"),4000)</f>
        <v>4000</v>
      </c>
      <c r="AB19" s="81">
        <f ca="1">IFERROR(__xludf.DUMMYFUNCTION("IMPORTRANGE(""https://docs.google.com/spreadsheets/d/1gFVb7qd7amutrIxAAoM7lcy35hllxznovot8lyOfvDo/edit?usp=sharing"",""น่าน!N199"")"),4000)</f>
        <v>4000</v>
      </c>
      <c r="AC19" s="82">
        <f t="shared" ca="1" si="86"/>
        <v>100</v>
      </c>
      <c r="AD19" s="81">
        <f ca="1">IFERROR(__xludf.DUMMYFUNCTION("IMPORTRANGE(""https://docs.google.com/spreadsheets/d/1gFVb7qd7amutrIxAAoM7lcy35hllxznovot8lyOfvDo/edit?usp=sharing"",""น่าน!L200"")"),32000)</f>
        <v>32000</v>
      </c>
      <c r="AE19" s="81">
        <f ca="1">IFERROR(__xludf.DUMMYFUNCTION("IMPORTRANGE(""https://docs.google.com/spreadsheets/d/1gFVb7qd7amutrIxAAoM7lcy35hllxznovot8lyOfvDo/edit?usp=sharing"",""น่าน!N200"")"),32000)</f>
        <v>32000</v>
      </c>
      <c r="AF19" s="82">
        <f t="shared" ca="1" si="87"/>
        <v>100</v>
      </c>
      <c r="AG19" s="81">
        <f ca="1">IFERROR(__xludf.DUMMYFUNCTION("IMPORTRANGE(""https://docs.google.com/spreadsheets/d/1gFVb7qd7amutrIxAAoM7lcy35hllxznovot8lyOfvDo/edit?usp=sharing"",""น่าน!L201"")"),16000)</f>
        <v>16000</v>
      </c>
      <c r="AH19" s="81">
        <f ca="1">IFERROR(__xludf.DUMMYFUNCTION("IMPORTRANGE(""https://docs.google.com/spreadsheets/d/1gFVb7qd7amutrIxAAoM7lcy35hllxznovot8lyOfvDo/edit?usp=sharing"",""น่าน!N201"")"),16000)</f>
        <v>16000</v>
      </c>
      <c r="AI19" s="82">
        <f t="shared" ca="1" si="88"/>
        <v>100</v>
      </c>
      <c r="AJ19" s="81">
        <f ca="1">IFERROR(__xludf.DUMMYFUNCTION("IMPORTRANGE(""https://docs.google.com/spreadsheets/d/1gFVb7qd7amutrIxAAoM7lcy35hllxznovot8lyOfvDo/edit?usp=sharing"",""น่าน!L202"")"),5000)</f>
        <v>5000</v>
      </c>
      <c r="AK19" s="81">
        <f ca="1">IFERROR(__xludf.DUMMYFUNCTION("IMPORTRANGE(""https://docs.google.com/spreadsheets/d/1gFVb7qd7amutrIxAAoM7lcy35hllxznovot8lyOfvDo/edit?usp=sharing"",""น่าน!N202"")"),5000)</f>
        <v>5000</v>
      </c>
      <c r="AL19" s="82">
        <f t="shared" ca="1" si="89"/>
        <v>100</v>
      </c>
      <c r="AM19" s="81">
        <f ca="1">IFERROR(__xludf.DUMMYFUNCTION("IMPORTRANGE(""https://docs.google.com/spreadsheets/d/1gFVb7qd7amutrIxAAoM7lcy35hllxznovot8lyOfvDo/edit?usp=sharing"",""น่าน!I204"")"),4)</f>
        <v>4</v>
      </c>
      <c r="AN19" s="81">
        <f ca="1">IFERROR(__xludf.DUMMYFUNCTION("IMPORTRANGE(""https://docs.google.com/spreadsheets/d/1gFVb7qd7amutrIxAAoM7lcy35hllxznovot8lyOfvDo/edit?usp=sharing"",""น่าน!J204"")"),4)</f>
        <v>4</v>
      </c>
      <c r="AO19" s="82">
        <f t="shared" ca="1" si="90"/>
        <v>100</v>
      </c>
      <c r="AP19" s="297">
        <f ca="1">IFERROR(__xludf.DUMMYFUNCTION("IMPORTRANGE(""https://docs.google.com/spreadsheets/d/1gFVb7qd7amutrIxAAoM7lcy35hllxznovot8lyOfvDo/edit?usp=sharing"",""น่าน!J206"")"),4)</f>
        <v>4</v>
      </c>
      <c r="AQ19" s="297">
        <f ca="1">IFERROR(__xludf.DUMMYFUNCTION("IMPORTRANGE(""https://docs.google.com/spreadsheets/d/1gFVb7qd7amutrIxAAoM7lcy35hllxznovot8lyOfvDo/edit?usp=sharing"",""น่าน!J207"")"),1)</f>
        <v>1</v>
      </c>
      <c r="AR19" s="81">
        <f ca="1">IFERROR(__xludf.DUMMYFUNCTION("IMPORTRANGE(""https://docs.google.com/spreadsheets/d/1gFVb7qd7amutrIxAAoM7lcy35hllxznovot8lyOfvDo/edit?usp=sharing"",""น่าน!L210"")"),0)</f>
        <v>0</v>
      </c>
      <c r="AS19" s="81">
        <f ca="1">IFERROR(__xludf.DUMMYFUNCTION("IMPORTRANGE(""https://docs.google.com/spreadsheets/d/1gFVb7qd7amutrIxAAoM7lcy35hllxznovot8lyOfvDo/edit?usp=sharing"",""น่าน!N210"")"),0)</f>
        <v>0</v>
      </c>
      <c r="AT19" s="82">
        <f t="shared" ca="1" si="91"/>
        <v>0</v>
      </c>
      <c r="AU19" s="81">
        <f ca="1">IFERROR(__xludf.DUMMYFUNCTION("IMPORTRANGE(""https://docs.google.com/spreadsheets/d/1gFVb7qd7amutrIxAAoM7lcy35hllxznovot8lyOfvDo/edit?usp=sharing"",""น่าน!L211"")"),0)</f>
        <v>0</v>
      </c>
      <c r="AV19" s="81">
        <f ca="1">IFERROR(__xludf.DUMMYFUNCTION("IMPORTRANGE(""https://docs.google.com/spreadsheets/d/1gFVb7qd7amutrIxAAoM7lcy35hllxznovot8lyOfvDo/edit?usp=sharing"",""น่าน!N211"")"),0)</f>
        <v>0</v>
      </c>
      <c r="AW19" s="82">
        <f t="shared" ca="1" si="92"/>
        <v>0</v>
      </c>
      <c r="AX19" s="81">
        <f ca="1">IFERROR(__xludf.DUMMYFUNCTION("IMPORTRANGE(""https://docs.google.com/spreadsheets/d/1gFVb7qd7amutrIxAAoM7lcy35hllxznovot8lyOfvDo/edit?usp=sharing"",""น่าน!L212"")"),0)</f>
        <v>0</v>
      </c>
      <c r="AY19" s="81">
        <f ca="1">IFERROR(__xludf.DUMMYFUNCTION("IMPORTRANGE(""https://docs.google.com/spreadsheets/d/1gFVb7qd7amutrIxAAoM7lcy35hllxznovot8lyOfvDo/edit?usp=sharing"",""น่าน!N212"")"),0)</f>
        <v>0</v>
      </c>
      <c r="AZ19" s="82">
        <f t="shared" ca="1" si="93"/>
        <v>0</v>
      </c>
      <c r="BA19" s="81">
        <f ca="1">IFERROR(__xludf.DUMMYFUNCTION("IMPORTRANGE(""https://docs.google.com/spreadsheets/d/1gFVb7qd7amutrIxAAoM7lcy35hllxznovot8lyOfvDo/edit?usp=sharing"",""น่าน!I214"")"),0)</f>
        <v>0</v>
      </c>
      <c r="BB19" s="81">
        <f ca="1">IFERROR(__xludf.DUMMYFUNCTION("IMPORTRANGE(""https://docs.google.com/spreadsheets/d/1gFVb7qd7amutrIxAAoM7lcy35hllxznovot8lyOfvDo/edit?usp=sharing"",""น่าน!J214"")"),0)</f>
        <v>0</v>
      </c>
      <c r="BC19" s="82">
        <f t="shared" ca="1" si="94"/>
        <v>0</v>
      </c>
      <c r="BD19" s="81">
        <f ca="1">IFERROR(__xludf.DUMMYFUNCTION("IMPORTRANGE(""https://docs.google.com/spreadsheets/d/1gFVb7qd7amutrIxAAoM7lcy35hllxznovot8lyOfvDo/edit?usp=sharing"",""น่าน!I215"")"),0)</f>
        <v>0</v>
      </c>
      <c r="BE19" s="81">
        <f ca="1">IFERROR(__xludf.DUMMYFUNCTION("IMPORTRANGE(""https://docs.google.com/spreadsheets/d/1gFVb7qd7amutrIxAAoM7lcy35hllxznovot8lyOfvDo/edit?usp=sharing"",""น่าน!J215"")"),0)</f>
        <v>0</v>
      </c>
      <c r="BF19" s="82">
        <f t="shared" ca="1" si="95"/>
        <v>0</v>
      </c>
      <c r="BG19" s="81">
        <f ca="1">IFERROR(__xludf.DUMMYFUNCTION("IMPORTRANGE(""https://docs.google.com/spreadsheets/d/1gFVb7qd7amutrIxAAoM7lcy35hllxznovot8lyOfvDo/edit?usp=sharing"",""น่าน!L218"")"),5000)</f>
        <v>5000</v>
      </c>
      <c r="BH19" s="81">
        <f ca="1">IFERROR(__xludf.DUMMYFUNCTION("IMPORTRANGE(""https://docs.google.com/spreadsheets/d/1gFVb7qd7amutrIxAAoM7lcy35hllxznovot8lyOfvDo/edit?usp=sharing"",""น่าน!N218"")"),4680)</f>
        <v>4680</v>
      </c>
      <c r="BI19" s="82">
        <f t="shared" ca="1" si="96"/>
        <v>93.6</v>
      </c>
      <c r="BJ19" s="81">
        <f ca="1">IFERROR(__xludf.DUMMYFUNCTION("IMPORTRANGE(""https://docs.google.com/spreadsheets/d/1gFVb7qd7amutrIxAAoM7lcy35hllxznovot8lyOfvDo/edit?usp=sharing"",""น่าน!L219"")"),13500)</f>
        <v>13500</v>
      </c>
      <c r="BK19" s="81">
        <f ca="1">IFERROR(__xludf.DUMMYFUNCTION("IMPORTRANGE(""https://docs.google.com/spreadsheets/d/1gFVb7qd7amutrIxAAoM7lcy35hllxznovot8lyOfvDo/edit?usp=sharing"",""น่าน!N219"")"),13500)</f>
        <v>13500</v>
      </c>
      <c r="BL19" s="82">
        <f t="shared" ca="1" si="97"/>
        <v>100</v>
      </c>
      <c r="BM19" s="81">
        <f ca="1">IFERROR(__xludf.DUMMYFUNCTION("IMPORTRANGE(""https://docs.google.com/spreadsheets/d/1gFVb7qd7amutrIxAAoM7lcy35hllxznovot8lyOfvDo/edit?usp=sharing"",""น่าน!L220"")"),0)</f>
        <v>0</v>
      </c>
      <c r="BN19" s="81">
        <f ca="1">IFERROR(__xludf.DUMMYFUNCTION("IMPORTRANGE(""https://docs.google.com/spreadsheets/d/1gFVb7qd7amutrIxAAoM7lcy35hllxznovot8lyOfvDo/edit?usp=sharing"",""น่าน!N220"")"),0)</f>
        <v>0</v>
      </c>
      <c r="BO19" s="82">
        <f t="shared" ca="1" si="98"/>
        <v>0</v>
      </c>
      <c r="BP19" s="81">
        <f ca="1">IFERROR(__xludf.DUMMYFUNCTION("IMPORTRANGE(""https://docs.google.com/spreadsheets/d/1gFVb7qd7amutrIxAAoM7lcy35hllxznovot8lyOfvDo/edit?usp=sharing"",""น่าน!I223"")"),50000)</f>
        <v>50000</v>
      </c>
      <c r="BQ19" s="81">
        <f ca="1">IFERROR(__xludf.DUMMYFUNCTION("IMPORTRANGE(""https://docs.google.com/spreadsheets/d/1gFVb7qd7amutrIxAAoM7lcy35hllxznovot8lyOfvDo/edit?usp=sharing"",""น่าน!J223"")"),50000)</f>
        <v>50000</v>
      </c>
      <c r="BR19" s="82">
        <f t="shared" ca="1" si="99"/>
        <v>100</v>
      </c>
      <c r="BS19" s="81">
        <f ca="1">IFERROR(__xludf.DUMMYFUNCTION("IMPORTRANGE(""https://docs.google.com/spreadsheets/d/1gFVb7qd7amutrIxAAoM7lcy35hllxznovot8lyOfvDo/edit?usp=sharing"",""น่าน!I224"")"),50000)</f>
        <v>50000</v>
      </c>
      <c r="BT19" s="81">
        <f ca="1">IFERROR(__xludf.DUMMYFUNCTION("IMPORTRANGE(""https://docs.google.com/spreadsheets/d/1gFVb7qd7amutrIxAAoM7lcy35hllxznovot8lyOfvDo/edit?usp=sharing"",""น่าน!J224"")"),50000)</f>
        <v>50000</v>
      </c>
      <c r="BU19" s="82">
        <f t="shared" ca="1" si="100"/>
        <v>100</v>
      </c>
      <c r="BV19" s="81">
        <f ca="1">IFERROR(__xludf.DUMMYFUNCTION("IMPORTRANGE(""https://docs.google.com/spreadsheets/d/1gFVb7qd7amutrIxAAoM7lcy35hllxznovot8lyOfvDo/edit?usp=sharing"",""น่าน!I225"")"),0)</f>
        <v>0</v>
      </c>
      <c r="BW19" s="81">
        <f ca="1">IFERROR(__xludf.DUMMYFUNCTION("IMPORTRANGE(""https://docs.google.com/spreadsheets/d/1gFVb7qd7amutrIxAAoM7lcy35hllxznovot8lyOfvDo/edit?usp=sharing"",""น่าน!J225"")"),0)</f>
        <v>0</v>
      </c>
      <c r="BX19" s="82">
        <f t="shared" ca="1" si="101"/>
        <v>0</v>
      </c>
      <c r="BY19" s="81">
        <f ca="1">IFERROR(__xludf.DUMMYFUNCTION("IMPORTRANGE(""https://docs.google.com/spreadsheets/d/1gFVb7qd7amutrIxAAoM7lcy35hllxznovot8lyOfvDo/edit?usp=sharing"",""น่าน!L228"")"),185000)</f>
        <v>185000</v>
      </c>
      <c r="BZ19" s="81">
        <f ca="1">IFERROR(__xludf.DUMMYFUNCTION("IMPORTRANGE(""https://docs.google.com/spreadsheets/d/1gFVb7qd7amutrIxAAoM7lcy35hllxznovot8lyOfvDo/edit?usp=sharing"",""น่าน!N228"")"),162371)</f>
        <v>162371</v>
      </c>
      <c r="CA19" s="82">
        <f t="shared" ca="1" si="102"/>
        <v>87.768108108108109</v>
      </c>
      <c r="CB19" s="81">
        <f ca="1">IFERROR(__xludf.DUMMYFUNCTION("IMPORTRANGE(""https://docs.google.com/spreadsheets/d/1gFVb7qd7amutrIxAAoM7lcy35hllxznovot8lyOfvDo/edit?usp=sharing"",""น่าน!L229"")"),111600)</f>
        <v>111600</v>
      </c>
      <c r="CC19" s="81">
        <f ca="1">IFERROR(__xludf.DUMMYFUNCTION("IMPORTRANGE(""https://docs.google.com/spreadsheets/d/1gFVb7qd7amutrIxAAoM7lcy35hllxznovot8lyOfvDo/edit?usp=sharing"",""น่าน!N229"")"),111600)</f>
        <v>111600</v>
      </c>
      <c r="CD19" s="82">
        <f t="shared" ca="1" si="103"/>
        <v>100</v>
      </c>
      <c r="CE19" s="81">
        <f ca="1">IFERROR(__xludf.DUMMYFUNCTION("IMPORTRANGE(""https://docs.google.com/spreadsheets/d/1gFVb7qd7amutrIxAAoM7lcy35hllxznovot8lyOfvDo/edit?usp=sharing"",""น่าน!L230"")"),65000)</f>
        <v>65000</v>
      </c>
      <c r="CF19" s="81">
        <f ca="1">IFERROR(__xludf.DUMMYFUNCTION("IMPORTRANGE(""https://docs.google.com/spreadsheets/d/1gFVb7qd7amutrIxAAoM7lcy35hllxznovot8lyOfvDo/edit?usp=sharing"",""น่าน!N230"")"),20000)</f>
        <v>20000</v>
      </c>
      <c r="CG19" s="82">
        <f t="shared" ca="1" si="104"/>
        <v>30.76923076923077</v>
      </c>
      <c r="CH19" s="81">
        <f ca="1">IFERROR(__xludf.DUMMYFUNCTION("IMPORTRANGE(""https://docs.google.com/spreadsheets/d/1gFVb7qd7amutrIxAAoM7lcy35hllxznovot8lyOfvDo/edit?usp=sharing"",""น่าน!L231"")"),20000)</f>
        <v>20000</v>
      </c>
      <c r="CI19" s="81">
        <f ca="1">IFERROR(__xludf.DUMMYFUNCTION("IMPORTRANGE(""https://docs.google.com/spreadsheets/d/1gFVb7qd7amutrIxAAoM7lcy35hllxznovot8lyOfvDo/edit?usp=sharing"",""น่าน!N231"")"),65000)</f>
        <v>65000</v>
      </c>
      <c r="CJ19" s="82">
        <f t="shared" ca="1" si="105"/>
        <v>325</v>
      </c>
      <c r="CK19" s="81">
        <f ca="1">IFERROR(__xludf.DUMMYFUNCTION("IMPORTRANGE(""https://docs.google.com/spreadsheets/d/1gFVb7qd7amutrIxAAoM7lcy35hllxznovot8lyOfvDo/edit?usp=sharing"",""น่าน!I233"")"),80)</f>
        <v>80</v>
      </c>
      <c r="CL19" s="81">
        <f ca="1">IFERROR(__xludf.DUMMYFUNCTION("IMPORTRANGE(""https://docs.google.com/spreadsheets/d/1gFVb7qd7amutrIxAAoM7lcy35hllxznovot8lyOfvDo/edit?usp=sharing"",""น่าน!J233"")"),80)</f>
        <v>80</v>
      </c>
      <c r="CM19" s="82">
        <f t="shared" ca="1" si="106"/>
        <v>100</v>
      </c>
      <c r="CN19" s="81">
        <f ca="1">IFERROR(__xludf.DUMMYFUNCTION("IMPORTRANGE(""https://docs.google.com/spreadsheets/d/1gFVb7qd7amutrIxAAoM7lcy35hllxznovot8lyOfvDo/edit?usp=sharing"",""น่าน!J235"")"),80)</f>
        <v>80</v>
      </c>
      <c r="CO19" s="81">
        <f ca="1">IFERROR(__xludf.DUMMYFUNCTION("IMPORTRANGE(""https://docs.google.com/spreadsheets/d/1gFVb7qd7amutrIxAAoM7lcy35hllxznovot8lyOfvDo/edit?usp=sharing"",""น่าน!J236"")"),2)</f>
        <v>2</v>
      </c>
    </row>
    <row r="20" spans="1:93" ht="24" customHeight="1" x14ac:dyDescent="0.3">
      <c r="A20" s="73">
        <v>7</v>
      </c>
      <c r="B20" s="74" t="s">
        <v>42</v>
      </c>
      <c r="C20" s="75">
        <f t="shared" ca="1" si="0"/>
        <v>723180</v>
      </c>
      <c r="D20" s="76">
        <f t="shared" ca="1" si="133"/>
        <v>723180</v>
      </c>
      <c r="E20" s="77">
        <f ca="1">IFERROR(__xludf.DUMMYFUNCTION("IMPORTRANGE(""https://docs.google.com/spreadsheets/d/1MeEWN-I1oV_STSDYn1IFDPWt_1FKiwhDph83XaGc0o0/edit?usp=sharing"",""งบพรบ!CP20"")"),283600)</f>
        <v>283600</v>
      </c>
      <c r="F20" s="77">
        <f ca="1">IFERROR(__xludf.DUMMYFUNCTION("IMPORTRANGE(""https://docs.google.com/spreadsheets/d/1MeEWN-I1oV_STSDYn1IFDPWt_1FKiwhDph83XaGc0o0/edit?usp=sharing"",""งบพรบ!CQ20"")"),439580)</f>
        <v>439580</v>
      </c>
      <c r="G20" s="77">
        <f ca="1">IFERROR(__xludf.DUMMYFUNCTION("IMPORTRANGE(""https://docs.google.com/spreadsheets/d/1MeEWN-I1oV_STSDYn1IFDPWt_1FKiwhDph83XaGc0o0/edit?usp=sharing"",""งบพรบ!CR20"")"),0)</f>
        <v>0</v>
      </c>
      <c r="H20" s="77">
        <f ca="1">IFERROR(__xludf.DUMMYFUNCTION("IMPORTRANGE(""https://docs.google.com/spreadsheets/d/1MeEWN-I1oV_STSDYn1IFDPWt_1FKiwhDph83XaGc0o0/edit?usp=sharing"",""งบพรบ!CT20"")"),739620)</f>
        <v>739620</v>
      </c>
      <c r="I20" s="77">
        <f ca="1">IFERROR(__xludf.DUMMYFUNCTION("IMPORTRANGE(""https://docs.google.com/spreadsheets/d/1MeEWN-I1oV_STSDYn1IFDPWt_1FKiwhDph83XaGc0o0/edit?usp=sharing"",""งบพรบ!CU20"")"),0)</f>
        <v>0</v>
      </c>
      <c r="J20" s="77">
        <f t="shared" ca="1" si="3"/>
        <v>704792.86</v>
      </c>
      <c r="K20" s="78">
        <f t="shared" ca="1" si="4"/>
        <v>97.457460106750744</v>
      </c>
      <c r="L20" s="77">
        <f ca="1">IFERROR(__xludf.DUMMYFUNCTION("IMPORTRANGE(""https://docs.google.com/spreadsheets/d/1MeEWN-I1oV_STSDYn1IFDPWt_1FKiwhDph83XaGc0o0/edit?usp=sharing"",""งบพรบ!CV20"")"),704792.86)</f>
        <v>704792.86</v>
      </c>
      <c r="M20" s="79">
        <f t="shared" ca="1" si="5"/>
        <v>97.457460106750744</v>
      </c>
      <c r="N20" s="79">
        <f t="shared" ca="1" si="6"/>
        <v>95.291211703307098</v>
      </c>
      <c r="O20" s="80">
        <f ca="1">IFERROR(__xludf.DUMMYFUNCTION("IMPORTRANGE(""https://docs.google.com/spreadsheets/d/1MeEWN-I1oV_STSDYn1IFDPWt_1FKiwhDph83XaGc0o0/edit?usp=sharing"",""งบพรบ!CW20"")"),0)</f>
        <v>0</v>
      </c>
      <c r="P20" s="80">
        <f t="shared" ca="1" si="10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IFERROR(__xludf.DUMMYFUNCTION("IMPORTRANGE(""https://docs.google.com/spreadsheets/d/1K0Aa9s-6EuHE5M0FG1F9aHLXRCOV917xvycTdLdct0w/edit?usp=sharing"",""พะเยา!L191"")"),6000)</f>
        <v>6000</v>
      </c>
      <c r="S20" s="81">
        <f ca="1">IFERROR(__xludf.DUMMYFUNCTION("IMPORTRANGE(""https://docs.google.com/spreadsheets/d/1K0Aa9s-6EuHE5M0FG1F9aHLXRCOV917xvycTdLdct0w/edit?usp=sharing"",""พะเยา!N191"")"),6000)</f>
        <v>6000</v>
      </c>
      <c r="T20" s="82">
        <f t="shared" ca="1" si="84"/>
        <v>100</v>
      </c>
      <c r="U20" s="81">
        <f ca="1">IFERROR(__xludf.DUMMYFUNCTION("IMPORTRANGE(""https://docs.google.com/spreadsheets/d/1K0Aa9s-6EuHE5M0FG1F9aHLXRCOV917xvycTdLdct0w/edit?usp=sharing"",""พะเยา!I193"")"),4)</f>
        <v>4</v>
      </c>
      <c r="V20" s="81">
        <f ca="1">IFERROR(__xludf.DUMMYFUNCTION("IMPORTRANGE(""https://docs.google.com/spreadsheets/d/1K0Aa9s-6EuHE5M0FG1F9aHLXRCOV917xvycTdLdct0w/edit?usp=sharing"",""พะเยา!J193"")"),4)</f>
        <v>4</v>
      </c>
      <c r="W20" s="82">
        <f t="shared" ca="1" si="85"/>
        <v>100</v>
      </c>
      <c r="X20" s="81">
        <f t="shared" ca="1" si="134"/>
        <v>69</v>
      </c>
      <c r="Y20" s="81">
        <f ca="1">IFERROR(__xludf.DUMMYFUNCTION("IMPORTRANGE(""https://docs.google.com/spreadsheets/d/1K0Aa9s-6EuHE5M0FG1F9aHLXRCOV917xvycTdLdct0w/edit?usp=sharing"",""พะเยา!J195"")"),69)</f>
        <v>69</v>
      </c>
      <c r="Z20" s="81">
        <f ca="1">IFERROR(__xludf.DUMMYFUNCTION("IMPORTRANGE(""https://docs.google.com/spreadsheets/d/1K0Aa9s-6EuHE5M0FG1F9aHLXRCOV917xvycTdLdct0w/edit?usp=sharing"",""พะเยา!J196"")"),0)</f>
        <v>0</v>
      </c>
      <c r="AA20" s="81">
        <f ca="1">IFERROR(__xludf.DUMMYFUNCTION("IMPORTRANGE(""https://docs.google.com/spreadsheets/d/1K0Aa9s-6EuHE5M0FG1F9aHLXRCOV917xvycTdLdct0w/edit?usp=sharing"",""พะเยา!L199"")"),2000)</f>
        <v>2000</v>
      </c>
      <c r="AB20" s="81">
        <f ca="1">IFERROR(__xludf.DUMMYFUNCTION("IMPORTRANGE(""https://docs.google.com/spreadsheets/d/1K0Aa9s-6EuHE5M0FG1F9aHLXRCOV917xvycTdLdct0w/edit?usp=sharing"",""พะเยา!N199"")"),2000)</f>
        <v>2000</v>
      </c>
      <c r="AC20" s="82">
        <f t="shared" ca="1" si="86"/>
        <v>100</v>
      </c>
      <c r="AD20" s="81">
        <f ca="1">IFERROR(__xludf.DUMMYFUNCTION("IMPORTRANGE(""https://docs.google.com/spreadsheets/d/1K0Aa9s-6EuHE5M0FG1F9aHLXRCOV917xvycTdLdct0w/edit?usp=sharing"",""พะเยา!L200"")"),16000)</f>
        <v>16000</v>
      </c>
      <c r="AE20" s="81">
        <f ca="1">IFERROR(__xludf.DUMMYFUNCTION("IMPORTRANGE(""https://docs.google.com/spreadsheets/d/1K0Aa9s-6EuHE5M0FG1F9aHLXRCOV917xvycTdLdct0w/edit?usp=sharing"",""พะเยา!N200"")"),16000)</f>
        <v>16000</v>
      </c>
      <c r="AF20" s="82">
        <f t="shared" ca="1" si="87"/>
        <v>100</v>
      </c>
      <c r="AG20" s="81">
        <f ca="1">IFERROR(__xludf.DUMMYFUNCTION("IMPORTRANGE(""https://docs.google.com/spreadsheets/d/1K0Aa9s-6EuHE5M0FG1F9aHLXRCOV917xvycTdLdct0w/edit?usp=sharing"",""พะเยา!L201"")"),8000)</f>
        <v>8000</v>
      </c>
      <c r="AH20" s="81">
        <f ca="1">IFERROR(__xludf.DUMMYFUNCTION("IMPORTRANGE(""https://docs.google.com/spreadsheets/d/1K0Aa9s-6EuHE5M0FG1F9aHLXRCOV917xvycTdLdct0w/edit?usp=sharing"",""พะเยา!N201"")"),8000)</f>
        <v>8000</v>
      </c>
      <c r="AI20" s="82">
        <f t="shared" ca="1" si="88"/>
        <v>100</v>
      </c>
      <c r="AJ20" s="81">
        <f ca="1">IFERROR(__xludf.DUMMYFUNCTION("IMPORTRANGE(""https://docs.google.com/spreadsheets/d/1K0Aa9s-6EuHE5M0FG1F9aHLXRCOV917xvycTdLdct0w/edit?usp=sharing"",""พะเยา!L202"")"),0)</f>
        <v>0</v>
      </c>
      <c r="AK20" s="81">
        <f ca="1">IFERROR(__xludf.DUMMYFUNCTION("IMPORTRANGE(""https://docs.google.com/spreadsheets/d/1K0Aa9s-6EuHE5M0FG1F9aHLXRCOV917xvycTdLdct0w/edit?usp=sharing"",""พะเยา!N202"")"),0)</f>
        <v>0</v>
      </c>
      <c r="AL20" s="82">
        <f t="shared" ca="1" si="89"/>
        <v>0</v>
      </c>
      <c r="AM20" s="81">
        <f ca="1">IFERROR(__xludf.DUMMYFUNCTION("IMPORTRANGE(""https://docs.google.com/spreadsheets/d/1K0Aa9s-6EuHE5M0FG1F9aHLXRCOV917xvycTdLdct0w/edit?usp=sharing"",""พะเยา!I204"")"),2)</f>
        <v>2</v>
      </c>
      <c r="AN20" s="81">
        <f ca="1">IFERROR(__xludf.DUMMYFUNCTION("IMPORTRANGE(""https://docs.google.com/spreadsheets/d/1K0Aa9s-6EuHE5M0FG1F9aHLXRCOV917xvycTdLdct0w/edit?usp=sharing"",""พะเยา!J204"")"),2)</f>
        <v>2</v>
      </c>
      <c r="AO20" s="82">
        <f t="shared" ca="1" si="90"/>
        <v>100</v>
      </c>
      <c r="AP20" s="297">
        <f ca="1">IFERROR(__xludf.DUMMYFUNCTION("IMPORTRANGE(""https://docs.google.com/spreadsheets/d/1K0Aa9s-6EuHE5M0FG1F9aHLXRCOV917xvycTdLdct0w/edit?usp=sharing"",""พะเยา!J206"")"),2)</f>
        <v>2</v>
      </c>
      <c r="AQ20" s="297">
        <f ca="1">IFERROR(__xludf.DUMMYFUNCTION("IMPORTRANGE(""https://docs.google.com/spreadsheets/d/1K0Aa9s-6EuHE5M0FG1F9aHLXRCOV917xvycTdLdct0w/edit?usp=sharing"",""พะเยา!J207"")"),0)</f>
        <v>0</v>
      </c>
      <c r="AR20" s="81">
        <f ca="1">IFERROR(__xludf.DUMMYFUNCTION("IMPORTRANGE(""https://docs.google.com/spreadsheets/d/1K0Aa9s-6EuHE5M0FG1F9aHLXRCOV917xvycTdLdct0w/edit?usp=sharing"",""พะเยา!L210"")"),0)</f>
        <v>0</v>
      </c>
      <c r="AS20" s="81">
        <f ca="1">IFERROR(__xludf.DUMMYFUNCTION("IMPORTRANGE(""https://docs.google.com/spreadsheets/d/1K0Aa9s-6EuHE5M0FG1F9aHLXRCOV917xvycTdLdct0w/edit?usp=sharing"",""พะเยา!N210"")"),0)</f>
        <v>0</v>
      </c>
      <c r="AT20" s="82">
        <f t="shared" ca="1" si="91"/>
        <v>0</v>
      </c>
      <c r="AU20" s="81">
        <f ca="1">IFERROR(__xludf.DUMMYFUNCTION("IMPORTRANGE(""https://docs.google.com/spreadsheets/d/1K0Aa9s-6EuHE5M0FG1F9aHLXRCOV917xvycTdLdct0w/edit?usp=sharing"",""พะเยา!L211"")"),0)</f>
        <v>0</v>
      </c>
      <c r="AV20" s="81">
        <f ca="1">IFERROR(__xludf.DUMMYFUNCTION("IMPORTRANGE(""https://docs.google.com/spreadsheets/d/1K0Aa9s-6EuHE5M0FG1F9aHLXRCOV917xvycTdLdct0w/edit?usp=sharing"",""พะเยา!N211"")"),0)</f>
        <v>0</v>
      </c>
      <c r="AW20" s="82">
        <f t="shared" ca="1" si="92"/>
        <v>0</v>
      </c>
      <c r="AX20" s="81">
        <f ca="1">IFERROR(__xludf.DUMMYFUNCTION("IMPORTRANGE(""https://docs.google.com/spreadsheets/d/1K0Aa9s-6EuHE5M0FG1F9aHLXRCOV917xvycTdLdct0w/edit?usp=sharing"",""พะเยา!L212"")"),0)</f>
        <v>0</v>
      </c>
      <c r="AY20" s="81">
        <f ca="1">IFERROR(__xludf.DUMMYFUNCTION("IMPORTRANGE(""https://docs.google.com/spreadsheets/d/1K0Aa9s-6EuHE5M0FG1F9aHLXRCOV917xvycTdLdct0w/edit?usp=sharing"",""พะเยา!N212"")"),0)</f>
        <v>0</v>
      </c>
      <c r="AZ20" s="82">
        <f t="shared" ca="1" si="93"/>
        <v>0</v>
      </c>
      <c r="BA20" s="81">
        <f ca="1">IFERROR(__xludf.DUMMYFUNCTION("IMPORTRANGE(""https://docs.google.com/spreadsheets/d/1K0Aa9s-6EuHE5M0FG1F9aHLXRCOV917xvycTdLdct0w/edit?usp=sharing"",""พะเยา!I214"")"),0)</f>
        <v>0</v>
      </c>
      <c r="BB20" s="81">
        <f ca="1">IFERROR(__xludf.DUMMYFUNCTION("IMPORTRANGE(""https://docs.google.com/spreadsheets/d/1K0Aa9s-6EuHE5M0FG1F9aHLXRCOV917xvycTdLdct0w/edit?usp=sharing"",""พะเยา!J214"")"),0)</f>
        <v>0</v>
      </c>
      <c r="BC20" s="82">
        <f t="shared" ca="1" si="94"/>
        <v>0</v>
      </c>
      <c r="BD20" s="81">
        <f ca="1">IFERROR(__xludf.DUMMYFUNCTION("IMPORTRANGE(""https://docs.google.com/spreadsheets/d/1K0Aa9s-6EuHE5M0FG1F9aHLXRCOV917xvycTdLdct0w/edit?usp=sharing"",""พะเยา!I215"")"),0)</f>
        <v>0</v>
      </c>
      <c r="BE20" s="81">
        <f ca="1">IFERROR(__xludf.DUMMYFUNCTION("IMPORTRANGE(""https://docs.google.com/spreadsheets/d/1K0Aa9s-6EuHE5M0FG1F9aHLXRCOV917xvycTdLdct0w/edit?usp=sharing"",""พะเยา!J215"")"),0)</f>
        <v>0</v>
      </c>
      <c r="BF20" s="82">
        <f t="shared" ca="1" si="95"/>
        <v>0</v>
      </c>
      <c r="BG20" s="81">
        <f ca="1">IFERROR(__xludf.DUMMYFUNCTION("IMPORTRANGE(""https://docs.google.com/spreadsheets/d/1K0Aa9s-6EuHE5M0FG1F9aHLXRCOV917xvycTdLdct0w/edit?usp=sharing"",""พะเยา!L218"")"),3000)</f>
        <v>3000</v>
      </c>
      <c r="BH20" s="81">
        <f ca="1">IFERROR(__xludf.DUMMYFUNCTION("IMPORTRANGE(""https://docs.google.com/spreadsheets/d/1K0Aa9s-6EuHE5M0FG1F9aHLXRCOV917xvycTdLdct0w/edit?usp=sharing"",""พะเยา!N218"")"),3000)</f>
        <v>3000</v>
      </c>
      <c r="BI20" s="82">
        <f t="shared" ca="1" si="96"/>
        <v>100</v>
      </c>
      <c r="BJ20" s="81">
        <f ca="1">IFERROR(__xludf.DUMMYFUNCTION("IMPORTRANGE(""https://docs.google.com/spreadsheets/d/1K0Aa9s-6EuHE5M0FG1F9aHLXRCOV917xvycTdLdct0w/edit?usp=sharing"",""พะเยา!L219"")"),5000)</f>
        <v>5000</v>
      </c>
      <c r="BK20" s="81">
        <f ca="1">IFERROR(__xludf.DUMMYFUNCTION("IMPORTRANGE(""https://docs.google.com/spreadsheets/d/1K0Aa9s-6EuHE5M0FG1F9aHLXRCOV917xvycTdLdct0w/edit?usp=sharing"",""พะเยา!N219"")"),5000)</f>
        <v>5000</v>
      </c>
      <c r="BL20" s="82">
        <f t="shared" ca="1" si="97"/>
        <v>100</v>
      </c>
      <c r="BM20" s="81">
        <f ca="1">IFERROR(__xludf.DUMMYFUNCTION("IMPORTRANGE(""https://docs.google.com/spreadsheets/d/1K0Aa9s-6EuHE5M0FG1F9aHLXRCOV917xvycTdLdct0w/edit?usp=sharing"",""พะเยา!L220"")"),10000)</f>
        <v>10000</v>
      </c>
      <c r="BN20" s="81">
        <f ca="1">IFERROR(__xludf.DUMMYFUNCTION("IMPORTRANGE(""https://docs.google.com/spreadsheets/d/1K0Aa9s-6EuHE5M0FG1F9aHLXRCOV917xvycTdLdct0w/edit?usp=sharing"",""พะเยา!N220"")"),10000)</f>
        <v>10000</v>
      </c>
      <c r="BO20" s="82">
        <f t="shared" ca="1" si="98"/>
        <v>100</v>
      </c>
      <c r="BP20" s="81">
        <f ca="1">IFERROR(__xludf.DUMMYFUNCTION("IMPORTRANGE(""https://docs.google.com/spreadsheets/d/1K0Aa9s-6EuHE5M0FG1F9aHLXRCOV917xvycTdLdct0w/edit?usp=sharing"",""พะเยา!I223"")"),20000)</f>
        <v>20000</v>
      </c>
      <c r="BQ20" s="81">
        <f ca="1">IFERROR(__xludf.DUMMYFUNCTION("IMPORTRANGE(""https://docs.google.com/spreadsheets/d/1K0Aa9s-6EuHE5M0FG1F9aHLXRCOV917xvycTdLdct0w/edit?usp=sharing"",""พะเยา!J223"")"),20000)</f>
        <v>20000</v>
      </c>
      <c r="BR20" s="82">
        <f t="shared" ca="1" si="99"/>
        <v>100</v>
      </c>
      <c r="BS20" s="81">
        <f ca="1">IFERROR(__xludf.DUMMYFUNCTION("IMPORTRANGE(""https://docs.google.com/spreadsheets/d/1K0Aa9s-6EuHE5M0FG1F9aHLXRCOV917xvycTdLdct0w/edit?usp=sharing"",""พะเยา!I224"")"),20000)</f>
        <v>20000</v>
      </c>
      <c r="BT20" s="81">
        <f ca="1">IFERROR(__xludf.DUMMYFUNCTION("IMPORTRANGE(""https://docs.google.com/spreadsheets/d/1K0Aa9s-6EuHE5M0FG1F9aHLXRCOV917xvycTdLdct0w/edit?usp=sharing"",""พะเยา!J224"")"),20000)</f>
        <v>20000</v>
      </c>
      <c r="BU20" s="82">
        <f t="shared" ca="1" si="100"/>
        <v>100</v>
      </c>
      <c r="BV20" s="81">
        <f ca="1">IFERROR(__xludf.DUMMYFUNCTION("IMPORTRANGE(""https://docs.google.com/spreadsheets/d/1K0Aa9s-6EuHE5M0FG1F9aHLXRCOV917xvycTdLdct0w/edit?usp=sharing"",""พะเยา!I225"")"),10)</f>
        <v>10</v>
      </c>
      <c r="BW20" s="81">
        <f ca="1">IFERROR(__xludf.DUMMYFUNCTION("IMPORTRANGE(""https://docs.google.com/spreadsheets/d/1K0Aa9s-6EuHE5M0FG1F9aHLXRCOV917xvycTdLdct0w/edit?usp=sharing"",""พะเยา!J225"")"),10)</f>
        <v>10</v>
      </c>
      <c r="BX20" s="82">
        <f t="shared" ca="1" si="101"/>
        <v>100</v>
      </c>
      <c r="BY20" s="81">
        <f ca="1">IFERROR(__xludf.DUMMYFUNCTION("IMPORTRANGE(""https://docs.google.com/spreadsheets/d/1K0Aa9s-6EuHE5M0FG1F9aHLXRCOV917xvycTdLdct0w/edit?usp=sharing"",""พะเยา!L228"")"),163000)</f>
        <v>163000</v>
      </c>
      <c r="BZ20" s="81">
        <f ca="1">IFERROR(__xludf.DUMMYFUNCTION("IMPORTRANGE(""https://docs.google.com/spreadsheets/d/1K0Aa9s-6EuHE5M0FG1F9aHLXRCOV917xvycTdLdct0w/edit?usp=sharing"",""พะเยา!N228"")"),138415.7)</f>
        <v>138415.70000000001</v>
      </c>
      <c r="CA20" s="82">
        <f t="shared" ca="1" si="102"/>
        <v>84.917607361963206</v>
      </c>
      <c r="CB20" s="81">
        <f ca="1">IFERROR(__xludf.DUMMYFUNCTION("IMPORTRANGE(""https://docs.google.com/spreadsheets/d/1K0Aa9s-6EuHE5M0FG1F9aHLXRCOV917xvycTdLdct0w/edit?usp=sharing"",""พะเยา!L229"")"),166580)</f>
        <v>166580</v>
      </c>
      <c r="CC20" s="81">
        <f ca="1">IFERROR(__xludf.DUMMYFUNCTION("IMPORTRANGE(""https://docs.google.com/spreadsheets/d/1K0Aa9s-6EuHE5M0FG1F9aHLXRCOV917xvycTdLdct0w/edit?usp=sharing"",""พะเยา!N229"")"),156585)</f>
        <v>156585</v>
      </c>
      <c r="CD20" s="82">
        <f t="shared" ca="1" si="103"/>
        <v>93.999879937567542</v>
      </c>
      <c r="CE20" s="81">
        <f ca="1">IFERROR(__xludf.DUMMYFUNCTION("IMPORTRANGE(""https://docs.google.com/spreadsheets/d/1K0Aa9s-6EuHE5M0FG1F9aHLXRCOV917xvycTdLdct0w/edit?usp=sharing"",""พะเยา!L230"")"),20000)</f>
        <v>20000</v>
      </c>
      <c r="CF20" s="81">
        <f ca="1">IFERROR(__xludf.DUMMYFUNCTION("IMPORTRANGE(""https://docs.google.com/spreadsheets/d/1K0Aa9s-6EuHE5M0FG1F9aHLXRCOV917xvycTdLdct0w/edit?usp=sharing"",""พะเยา!N230"")"),15000)</f>
        <v>15000</v>
      </c>
      <c r="CG20" s="82">
        <f t="shared" ca="1" si="104"/>
        <v>75</v>
      </c>
      <c r="CH20" s="81">
        <f ca="1">IFERROR(__xludf.DUMMYFUNCTION("IMPORTRANGE(""https://docs.google.com/spreadsheets/d/1K0Aa9s-6EuHE5M0FG1F9aHLXRCOV917xvycTdLdct0w/edit?usp=sharing"",""พะเยา!L231"")"),40000)</f>
        <v>40000</v>
      </c>
      <c r="CI20" s="81">
        <f ca="1">IFERROR(__xludf.DUMMYFUNCTION("IMPORTRANGE(""https://docs.google.com/spreadsheets/d/1K0Aa9s-6EuHE5M0FG1F9aHLXRCOV917xvycTdLdct0w/edit?usp=sharing"",""พะเยา!N231"")"),2800)</f>
        <v>2800</v>
      </c>
      <c r="CJ20" s="82">
        <f t="shared" ca="1" si="105"/>
        <v>7</v>
      </c>
      <c r="CK20" s="81">
        <f ca="1">IFERROR(__xludf.DUMMYFUNCTION("IMPORTRANGE(""https://docs.google.com/spreadsheets/d/1K0Aa9s-6EuHE5M0FG1F9aHLXRCOV917xvycTdLdct0w/edit?usp=sharing"",""พะเยา!I233"")"),40)</f>
        <v>40</v>
      </c>
      <c r="CL20" s="81">
        <f ca="1">IFERROR(__xludf.DUMMYFUNCTION("IMPORTRANGE(""https://docs.google.com/spreadsheets/d/1K0Aa9s-6EuHE5M0FG1F9aHLXRCOV917xvycTdLdct0w/edit?usp=sharing"",""พะเยา!J233"")"),40)</f>
        <v>40</v>
      </c>
      <c r="CM20" s="82">
        <f t="shared" ca="1" si="106"/>
        <v>100</v>
      </c>
      <c r="CN20" s="81">
        <f ca="1">IFERROR(__xludf.DUMMYFUNCTION("IMPORTRANGE(""https://docs.google.com/spreadsheets/d/1K0Aa9s-6EuHE5M0FG1F9aHLXRCOV917xvycTdLdct0w/edit?usp=sharing"",""พะเยา!J235"")"),40)</f>
        <v>40</v>
      </c>
      <c r="CO20" s="81">
        <f ca="1">IFERROR(__xludf.DUMMYFUNCTION("IMPORTRANGE(""https://docs.google.com/spreadsheets/d/1K0Aa9s-6EuHE5M0FG1F9aHLXRCOV917xvycTdLdct0w/edit?usp=sharing"",""พะเยา!J236"")"),1)</f>
        <v>1</v>
      </c>
    </row>
    <row r="21" spans="1:93" ht="24" customHeight="1" x14ac:dyDescent="0.3">
      <c r="A21" s="73">
        <v>8</v>
      </c>
      <c r="B21" s="74" t="s">
        <v>43</v>
      </c>
      <c r="C21" s="75">
        <f t="shared" ca="1" si="0"/>
        <v>53000</v>
      </c>
      <c r="D21" s="76">
        <f t="shared" ca="1" si="133"/>
        <v>53000</v>
      </c>
      <c r="E21" s="77">
        <f ca="1">IFERROR(__xludf.DUMMYFUNCTION("IMPORTRANGE(""https://docs.google.com/spreadsheets/d/1MeEWN-I1oV_STSDYn1IFDPWt_1FKiwhDph83XaGc0o0/edit?usp=sharing"",""งบพรบ!CP21"")"),0)</f>
        <v>0</v>
      </c>
      <c r="F21" s="77">
        <f ca="1">IFERROR(__xludf.DUMMYFUNCTION("IMPORTRANGE(""https://docs.google.com/spreadsheets/d/1MeEWN-I1oV_STSDYn1IFDPWt_1FKiwhDph83XaGc0o0/edit?usp=sharing"",""งบพรบ!CQ21"")"),53000)</f>
        <v>53000</v>
      </c>
      <c r="G21" s="77">
        <f ca="1">IFERROR(__xludf.DUMMYFUNCTION("IMPORTRANGE(""https://docs.google.com/spreadsheets/d/1MeEWN-I1oV_STSDYn1IFDPWt_1FKiwhDph83XaGc0o0/edit?usp=sharing"",""งบพรบ!CR21"")"),0)</f>
        <v>0</v>
      </c>
      <c r="H21" s="77">
        <f ca="1">IFERROR(__xludf.DUMMYFUNCTION("IMPORTRANGE(""https://docs.google.com/spreadsheets/d/1MeEWN-I1oV_STSDYn1IFDPWt_1FKiwhDph83XaGc0o0/edit?usp=sharing"",""งบพรบ!CT21"")"),61960)</f>
        <v>61960</v>
      </c>
      <c r="I21" s="77">
        <f ca="1">IFERROR(__xludf.DUMMYFUNCTION("IMPORTRANGE(""https://docs.google.com/spreadsheets/d/1MeEWN-I1oV_STSDYn1IFDPWt_1FKiwhDph83XaGc0o0/edit?usp=sharing"",""งบพรบ!CU21"")"),0)</f>
        <v>0</v>
      </c>
      <c r="J21" s="77">
        <f t="shared" ca="1" si="3"/>
        <v>60528</v>
      </c>
      <c r="K21" s="78">
        <f t="shared" ca="1" si="4"/>
        <v>114.20377358490566</v>
      </c>
      <c r="L21" s="77">
        <f ca="1">IFERROR(__xludf.DUMMYFUNCTION("IMPORTRANGE(""https://docs.google.com/spreadsheets/d/1MeEWN-I1oV_STSDYn1IFDPWt_1FKiwhDph83XaGc0o0/edit?usp=sharing"",""งบพรบ!CV21"")"),60528)</f>
        <v>60528</v>
      </c>
      <c r="M21" s="79">
        <f t="shared" ca="1" si="5"/>
        <v>114.20377358490566</v>
      </c>
      <c r="N21" s="79">
        <f t="shared" ca="1" si="6"/>
        <v>97.688831504196258</v>
      </c>
      <c r="O21" s="80">
        <f ca="1">IFERROR(__xludf.DUMMYFUNCTION("IMPORTRANGE(""https://docs.google.com/spreadsheets/d/1MeEWN-I1oV_STSDYn1IFDPWt_1FKiwhDph83XaGc0o0/edit?usp=sharing"",""งบพรบ!CW21"")"),0)</f>
        <v>0</v>
      </c>
      <c r="P21" s="80">
        <f t="shared" ca="1" si="10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IFERROR(__xludf.DUMMYFUNCTION("IMPORTRANGE(""https://docs.google.com/spreadsheets/d/1Y9LPKx95PyL5OKy09d-KbKJSuuEZCFdkhYjwC0XQjBA/edit?usp=sharing"",""พิจิตร!L191"")"),6000)</f>
        <v>6000</v>
      </c>
      <c r="S21" s="81">
        <f ca="1">IFERROR(__xludf.DUMMYFUNCTION("IMPORTRANGE(""https://docs.google.com/spreadsheets/d/1Y9LPKx95PyL5OKy09d-KbKJSuuEZCFdkhYjwC0XQjBA/edit?usp=sharing"",""พิจิตร!N191"")"),6000)</f>
        <v>6000</v>
      </c>
      <c r="T21" s="82">
        <f t="shared" ca="1" si="84"/>
        <v>100</v>
      </c>
      <c r="U21" s="81">
        <f ca="1">IFERROR(__xludf.DUMMYFUNCTION("IMPORTRANGE(""https://docs.google.com/spreadsheets/d/1Y9LPKx95PyL5OKy09d-KbKJSuuEZCFdkhYjwC0XQjBA/edit?usp=sharing"",""พิจิตร!I193"")"),4)</f>
        <v>4</v>
      </c>
      <c r="V21" s="81">
        <f ca="1">IFERROR(__xludf.DUMMYFUNCTION("IMPORTRANGE(""https://docs.google.com/spreadsheets/d/1Y9LPKx95PyL5OKy09d-KbKJSuuEZCFdkhYjwC0XQjBA/edit?usp=sharing"",""พิจิตร!J193"")"),4)</f>
        <v>4</v>
      </c>
      <c r="W21" s="82">
        <f t="shared" ca="1" si="85"/>
        <v>100</v>
      </c>
      <c r="X21" s="81">
        <f t="shared" ca="1" si="134"/>
        <v>133</v>
      </c>
      <c r="Y21" s="81">
        <f ca="1">IFERROR(__xludf.DUMMYFUNCTION("IMPORTRANGE(""https://docs.google.com/spreadsheets/d/1Y9LPKx95PyL5OKy09d-KbKJSuuEZCFdkhYjwC0XQjBA/edit?usp=sharing"",""พิจิตร!J195"")"),133)</f>
        <v>133</v>
      </c>
      <c r="Z21" s="81">
        <f ca="1">IFERROR(__xludf.DUMMYFUNCTION("IMPORTRANGE(""https://docs.google.com/spreadsheets/d/1Y9LPKx95PyL5OKy09d-KbKJSuuEZCFdkhYjwC0XQjBA/edit?usp=sharing"",""พิจิตร!J196"")"),0)</f>
        <v>0</v>
      </c>
      <c r="AA21" s="81">
        <f ca="1">IFERROR(__xludf.DUMMYFUNCTION("IMPORTRANGE(""https://docs.google.com/spreadsheets/d/1Y9LPKx95PyL5OKy09d-KbKJSuuEZCFdkhYjwC0XQjBA/edit?usp=sharing"",""พิจิตร!L199"")"),3000)</f>
        <v>3000</v>
      </c>
      <c r="AB21" s="81">
        <f ca="1">IFERROR(__xludf.DUMMYFUNCTION("IMPORTRANGE(""https://docs.google.com/spreadsheets/d/1Y9LPKx95PyL5OKy09d-KbKJSuuEZCFdkhYjwC0XQjBA/edit?usp=sharing"",""พิจิตร!N199"")"),3000)</f>
        <v>3000</v>
      </c>
      <c r="AC21" s="82">
        <f t="shared" ca="1" si="86"/>
        <v>100</v>
      </c>
      <c r="AD21" s="81">
        <f ca="1">IFERROR(__xludf.DUMMYFUNCTION("IMPORTRANGE(""https://docs.google.com/spreadsheets/d/1Y9LPKx95PyL5OKy09d-KbKJSuuEZCFdkhYjwC0XQjBA/edit?usp=sharing"",""พิจิตร!L200"")"),24000)</f>
        <v>24000</v>
      </c>
      <c r="AE21" s="81">
        <f ca="1">IFERROR(__xludf.DUMMYFUNCTION("IMPORTRANGE(""https://docs.google.com/spreadsheets/d/1Y9LPKx95PyL5OKy09d-KbKJSuuEZCFdkhYjwC0XQjBA/edit?usp=sharing"",""พิจิตร!N200"")"),24000)</f>
        <v>24000</v>
      </c>
      <c r="AF21" s="82">
        <f t="shared" ca="1" si="87"/>
        <v>100</v>
      </c>
      <c r="AG21" s="81">
        <f ca="1">IFERROR(__xludf.DUMMYFUNCTION("IMPORTRANGE(""https://docs.google.com/spreadsheets/d/1Y9LPKx95PyL5OKy09d-KbKJSuuEZCFdkhYjwC0XQjBA/edit?usp=sharing"",""พิจิตร!L201"")"),12000)</f>
        <v>12000</v>
      </c>
      <c r="AH21" s="81">
        <f ca="1">IFERROR(__xludf.DUMMYFUNCTION("IMPORTRANGE(""https://docs.google.com/spreadsheets/d/1Y9LPKx95PyL5OKy09d-KbKJSuuEZCFdkhYjwC0XQjBA/edit?usp=sharing"",""พิจิตร!N201"")"),12000)</f>
        <v>12000</v>
      </c>
      <c r="AI21" s="82">
        <f t="shared" ca="1" si="88"/>
        <v>100</v>
      </c>
      <c r="AJ21" s="81">
        <f ca="1">IFERROR(__xludf.DUMMYFUNCTION("IMPORTRANGE(""https://docs.google.com/spreadsheets/d/1Y9LPKx95PyL5OKy09d-KbKJSuuEZCFdkhYjwC0XQjBA/edit?usp=sharing"",""พิจิตร!L202"")"),0)</f>
        <v>0</v>
      </c>
      <c r="AK21" s="81">
        <f ca="1">IFERROR(__xludf.DUMMYFUNCTION("IMPORTRANGE(""https://docs.google.com/spreadsheets/d/1Y9LPKx95PyL5OKy09d-KbKJSuuEZCFdkhYjwC0XQjBA/edit?usp=sharing"",""พิจิตร!N202"")"),0)</f>
        <v>0</v>
      </c>
      <c r="AL21" s="82">
        <f t="shared" ca="1" si="89"/>
        <v>0</v>
      </c>
      <c r="AM21" s="81">
        <f ca="1">IFERROR(__xludf.DUMMYFUNCTION("IMPORTRANGE(""https://docs.google.com/spreadsheets/d/1Y9LPKx95PyL5OKy09d-KbKJSuuEZCFdkhYjwC0XQjBA/edit?usp=sharing"",""พิจิตร!I204"")"),3)</f>
        <v>3</v>
      </c>
      <c r="AN21" s="81">
        <f ca="1">IFERROR(__xludf.DUMMYFUNCTION("IMPORTRANGE(""https://docs.google.com/spreadsheets/d/1Y9LPKx95PyL5OKy09d-KbKJSuuEZCFdkhYjwC0XQjBA/edit?usp=sharing"",""พิจิตร!J204"")"),3)</f>
        <v>3</v>
      </c>
      <c r="AO21" s="82">
        <f t="shared" ca="1" si="90"/>
        <v>100</v>
      </c>
      <c r="AP21" s="297">
        <f ca="1">IFERROR(__xludf.DUMMYFUNCTION("IMPORTRANGE(""https://docs.google.com/spreadsheets/d/1Y9LPKx95PyL5OKy09d-KbKJSuuEZCFdkhYjwC0XQjBA/edit?usp=sharing"",""พิจิตร!J206"")"),3)</f>
        <v>3</v>
      </c>
      <c r="AQ21" s="297">
        <f ca="1">IFERROR(__xludf.DUMMYFUNCTION("IMPORTRANGE(""https://docs.google.com/spreadsheets/d/1Y9LPKx95PyL5OKy09d-KbKJSuuEZCFdkhYjwC0XQjBA/edit?usp=sharing"",""พิจิตร!J207"")"),0)</f>
        <v>0</v>
      </c>
      <c r="AR21" s="81">
        <f ca="1">IFERROR(__xludf.DUMMYFUNCTION("IMPORTRANGE(""https://docs.google.com/spreadsheets/d/1Y9LPKx95PyL5OKy09d-KbKJSuuEZCFdkhYjwC0XQjBA/edit?usp=sharing"",""พิจิตร!L210"")"),0)</f>
        <v>0</v>
      </c>
      <c r="AS21" s="81">
        <f ca="1">IFERROR(__xludf.DUMMYFUNCTION("IMPORTRANGE(""https://docs.google.com/spreadsheets/d/1Y9LPKx95PyL5OKy09d-KbKJSuuEZCFdkhYjwC0XQjBA/edit?usp=sharing"",""พิจิตร!N210"")"),0)</f>
        <v>0</v>
      </c>
      <c r="AT21" s="82">
        <f t="shared" ca="1" si="91"/>
        <v>0</v>
      </c>
      <c r="AU21" s="81">
        <f ca="1">IFERROR(__xludf.DUMMYFUNCTION("IMPORTRANGE(""https://docs.google.com/spreadsheets/d/1Y9LPKx95PyL5OKy09d-KbKJSuuEZCFdkhYjwC0XQjBA/edit?usp=sharing"",""พิจิตร!L211"")"),0)</f>
        <v>0</v>
      </c>
      <c r="AV21" s="81">
        <f ca="1">IFERROR(__xludf.DUMMYFUNCTION("IMPORTRANGE(""https://docs.google.com/spreadsheets/d/1Y9LPKx95PyL5OKy09d-KbKJSuuEZCFdkhYjwC0XQjBA/edit?usp=sharing"",""พิจิตร!N211"")"),0)</f>
        <v>0</v>
      </c>
      <c r="AW21" s="82">
        <f t="shared" ca="1" si="92"/>
        <v>0</v>
      </c>
      <c r="AX21" s="81">
        <f ca="1">IFERROR(__xludf.DUMMYFUNCTION("IMPORTRANGE(""https://docs.google.com/spreadsheets/d/1Y9LPKx95PyL5OKy09d-KbKJSuuEZCFdkhYjwC0XQjBA/edit?usp=sharing"",""พิจิตร!L212"")"),0)</f>
        <v>0</v>
      </c>
      <c r="AY21" s="81">
        <f ca="1">IFERROR(__xludf.DUMMYFUNCTION("IMPORTRANGE(""https://docs.google.com/spreadsheets/d/1Y9LPKx95PyL5OKy09d-KbKJSuuEZCFdkhYjwC0XQjBA/edit?usp=sharing"",""พิจิตร!N212"")"),0)</f>
        <v>0</v>
      </c>
      <c r="AZ21" s="82">
        <f t="shared" ca="1" si="93"/>
        <v>0</v>
      </c>
      <c r="BA21" s="81">
        <f ca="1">IFERROR(__xludf.DUMMYFUNCTION("IMPORTRANGE(""https://docs.google.com/spreadsheets/d/1Y9LPKx95PyL5OKy09d-KbKJSuuEZCFdkhYjwC0XQjBA/edit?usp=sharing"",""พิจิตร!I214"")"),0)</f>
        <v>0</v>
      </c>
      <c r="BB21" s="81">
        <f ca="1">IFERROR(__xludf.DUMMYFUNCTION("IMPORTRANGE(""https://docs.google.com/spreadsheets/d/1Y9LPKx95PyL5OKy09d-KbKJSuuEZCFdkhYjwC0XQjBA/edit?usp=sharing"",""พิจิตร!J214"")"),0)</f>
        <v>0</v>
      </c>
      <c r="BC21" s="82">
        <f t="shared" ca="1" si="94"/>
        <v>0</v>
      </c>
      <c r="BD21" s="81">
        <f ca="1">IFERROR(__xludf.DUMMYFUNCTION("IMPORTRANGE(""https://docs.google.com/spreadsheets/d/1Y9LPKx95PyL5OKy09d-KbKJSuuEZCFdkhYjwC0XQjBA/edit?usp=sharing"",""พิจิตร!I215"")"),0)</f>
        <v>0</v>
      </c>
      <c r="BE21" s="81">
        <f ca="1">IFERROR(__xludf.DUMMYFUNCTION("IMPORTRANGE(""https://docs.google.com/spreadsheets/d/1Y9LPKx95PyL5OKy09d-KbKJSuuEZCFdkhYjwC0XQjBA/edit?usp=sharing"",""พิจิตร!J215"")"),0)</f>
        <v>0</v>
      </c>
      <c r="BF21" s="82">
        <f t="shared" ca="1" si="95"/>
        <v>0</v>
      </c>
      <c r="BG21" s="81">
        <f ca="1">IFERROR(__xludf.DUMMYFUNCTION("IMPORTRANGE(""https://docs.google.com/spreadsheets/d/1Y9LPKx95PyL5OKy09d-KbKJSuuEZCFdkhYjwC0XQjBA/edit?usp=sharing"",""พิจิตร!L218"")"),3000)</f>
        <v>3000</v>
      </c>
      <c r="BH21" s="81">
        <f ca="1">IFERROR(__xludf.DUMMYFUNCTION("IMPORTRANGE(""https://docs.google.com/spreadsheets/d/1Y9LPKx95PyL5OKy09d-KbKJSuuEZCFdkhYjwC0XQjBA/edit?usp=sharing"",""พิจิตร!N218"")"),3000)</f>
        <v>3000</v>
      </c>
      <c r="BI21" s="82">
        <f t="shared" ca="1" si="96"/>
        <v>100</v>
      </c>
      <c r="BJ21" s="81">
        <f ca="1">IFERROR(__xludf.DUMMYFUNCTION("IMPORTRANGE(""https://docs.google.com/spreadsheets/d/1Y9LPKx95PyL5OKy09d-KbKJSuuEZCFdkhYjwC0XQjBA/edit?usp=sharing"",""พิจิตร!L219"")"),5000)</f>
        <v>5000</v>
      </c>
      <c r="BK21" s="81">
        <f ca="1">IFERROR(__xludf.DUMMYFUNCTION("IMPORTRANGE(""https://docs.google.com/spreadsheets/d/1Y9LPKx95PyL5OKy09d-KbKJSuuEZCFdkhYjwC0XQjBA/edit?usp=sharing"",""พิจิตร!N219"")"),5000)</f>
        <v>5000</v>
      </c>
      <c r="BL21" s="82">
        <f t="shared" ca="1" si="97"/>
        <v>100</v>
      </c>
      <c r="BM21" s="81">
        <f ca="1">IFERROR(__xludf.DUMMYFUNCTION("IMPORTRANGE(""https://docs.google.com/spreadsheets/d/1Y9LPKx95PyL5OKy09d-KbKJSuuEZCFdkhYjwC0XQjBA/edit?usp=sharing"",""พิจิตร!L220"")"),0)</f>
        <v>0</v>
      </c>
      <c r="BN21" s="81">
        <f ca="1">IFERROR(__xludf.DUMMYFUNCTION("IMPORTRANGE(""https://docs.google.com/spreadsheets/d/1Y9LPKx95PyL5OKy09d-KbKJSuuEZCFdkhYjwC0XQjBA/edit?usp=sharing"",""พิจิตร!N220"")"),0)</f>
        <v>0</v>
      </c>
      <c r="BO21" s="82">
        <f t="shared" ca="1" si="98"/>
        <v>0</v>
      </c>
      <c r="BP21" s="81">
        <f ca="1">IFERROR(__xludf.DUMMYFUNCTION("IMPORTRANGE(""https://docs.google.com/spreadsheets/d/1Y9LPKx95PyL5OKy09d-KbKJSuuEZCFdkhYjwC0XQjBA/edit?usp=sharing"",""พิจิตร!I223"")"),20000)</f>
        <v>20000</v>
      </c>
      <c r="BQ21" s="81">
        <f ca="1">IFERROR(__xludf.DUMMYFUNCTION("IMPORTRANGE(""https://docs.google.com/spreadsheets/d/1Y9LPKx95PyL5OKy09d-KbKJSuuEZCFdkhYjwC0XQjBA/edit?usp=sharing"",""พิจิตร!J223"")"),20000)</f>
        <v>20000</v>
      </c>
      <c r="BR21" s="82">
        <f t="shared" ca="1" si="99"/>
        <v>100</v>
      </c>
      <c r="BS21" s="81">
        <f ca="1">IFERROR(__xludf.DUMMYFUNCTION("IMPORTRANGE(""https://docs.google.com/spreadsheets/d/1Y9LPKx95PyL5OKy09d-KbKJSuuEZCFdkhYjwC0XQjBA/edit?usp=sharing"",""พิจิตร!I224"")"),20000)</f>
        <v>20000</v>
      </c>
      <c r="BT21" s="81">
        <f ca="1">IFERROR(__xludf.DUMMYFUNCTION("IMPORTRANGE(""https://docs.google.com/spreadsheets/d/1Y9LPKx95PyL5OKy09d-KbKJSuuEZCFdkhYjwC0XQjBA/edit?usp=sharing"",""พิจิตร!J224"")"),20000)</f>
        <v>20000</v>
      </c>
      <c r="BU21" s="82">
        <f t="shared" ca="1" si="100"/>
        <v>100</v>
      </c>
      <c r="BV21" s="81">
        <f ca="1">IFERROR(__xludf.DUMMYFUNCTION("IMPORTRANGE(""https://docs.google.com/spreadsheets/d/1Y9LPKx95PyL5OKy09d-KbKJSuuEZCFdkhYjwC0XQjBA/edit?usp=sharing"",""พิจิตร!I225"")"),0)</f>
        <v>0</v>
      </c>
      <c r="BW21" s="81">
        <f ca="1">IFERROR(__xludf.DUMMYFUNCTION("IMPORTRANGE(""https://docs.google.com/spreadsheets/d/1Y9LPKx95PyL5OKy09d-KbKJSuuEZCFdkhYjwC0XQjBA/edit?usp=sharing"",""พิจิตร!J225"")"),0)</f>
        <v>0</v>
      </c>
      <c r="BX21" s="82">
        <f t="shared" ca="1" si="101"/>
        <v>0</v>
      </c>
      <c r="BY21" s="81">
        <f ca="1">IFERROR(__xludf.DUMMYFUNCTION("IMPORTRANGE(""https://docs.google.com/spreadsheets/d/1Y9LPKx95PyL5OKy09d-KbKJSuuEZCFdkhYjwC0XQjBA/edit?usp=sharing"",""พิจิตร!L228"")"),0)</f>
        <v>0</v>
      </c>
      <c r="BZ21" s="81">
        <f ca="1">IFERROR(__xludf.DUMMYFUNCTION("IMPORTRANGE(""https://docs.google.com/spreadsheets/d/1Y9LPKx95PyL5OKy09d-KbKJSuuEZCFdkhYjwC0XQjBA/edit?usp=sharing"",""พิจิตร!N228"")"),0)</f>
        <v>0</v>
      </c>
      <c r="CA21" s="82">
        <f t="shared" ca="1" si="102"/>
        <v>0</v>
      </c>
      <c r="CB21" s="81">
        <f ca="1">IFERROR(__xludf.DUMMYFUNCTION("IMPORTRANGE(""https://docs.google.com/spreadsheets/d/1Y9LPKx95PyL5OKy09d-KbKJSuuEZCFdkhYjwC0XQjBA/edit?usp=sharing"",""พิจิตร!L229"")"),0)</f>
        <v>0</v>
      </c>
      <c r="CC21" s="81">
        <f ca="1">IFERROR(__xludf.DUMMYFUNCTION("IMPORTRANGE(""https://docs.google.com/spreadsheets/d/1Y9LPKx95PyL5OKy09d-KbKJSuuEZCFdkhYjwC0XQjBA/edit?usp=sharing"",""พิจิตร!N229"")"),0)</f>
        <v>0</v>
      </c>
      <c r="CD21" s="82">
        <f t="shared" ca="1" si="103"/>
        <v>0</v>
      </c>
      <c r="CE21" s="81">
        <f ca="1">IFERROR(__xludf.DUMMYFUNCTION("IMPORTRANGE(""https://docs.google.com/spreadsheets/d/1Y9LPKx95PyL5OKy09d-KbKJSuuEZCFdkhYjwC0XQjBA/edit?usp=sharing"",""พิจิตร!L230"")"),0)</f>
        <v>0</v>
      </c>
      <c r="CF21" s="81">
        <f ca="1">IFERROR(__xludf.DUMMYFUNCTION("IMPORTRANGE(""https://docs.google.com/spreadsheets/d/1Y9LPKx95PyL5OKy09d-KbKJSuuEZCFdkhYjwC0XQjBA/edit?usp=sharing"",""พิจิตร!N230"")"),0)</f>
        <v>0</v>
      </c>
      <c r="CG21" s="82">
        <f t="shared" ca="1" si="104"/>
        <v>0</v>
      </c>
      <c r="CH21" s="81">
        <f ca="1">IFERROR(__xludf.DUMMYFUNCTION("IMPORTRANGE(""https://docs.google.com/spreadsheets/d/1Y9LPKx95PyL5OKy09d-KbKJSuuEZCFdkhYjwC0XQjBA/edit?usp=sharing"",""พิจิตร!L231"")"),0)</f>
        <v>0</v>
      </c>
      <c r="CI21" s="81">
        <f ca="1">IFERROR(__xludf.DUMMYFUNCTION("IMPORTRANGE(""https://docs.google.com/spreadsheets/d/1Y9LPKx95PyL5OKy09d-KbKJSuuEZCFdkhYjwC0XQjBA/edit?usp=sharing"",""พิจิตร!N231"")"),0)</f>
        <v>0</v>
      </c>
      <c r="CJ21" s="82">
        <f t="shared" ca="1" si="105"/>
        <v>0</v>
      </c>
      <c r="CK21" s="81">
        <f ca="1">IFERROR(__xludf.DUMMYFUNCTION("IMPORTRANGE(""https://docs.google.com/spreadsheets/d/1Y9LPKx95PyL5OKy09d-KbKJSuuEZCFdkhYjwC0XQjBA/edit?usp=sharing"",""พิจิตร!I233"")"),0)</f>
        <v>0</v>
      </c>
      <c r="CL21" s="81">
        <f ca="1">IFERROR(__xludf.DUMMYFUNCTION("IMPORTRANGE(""https://docs.google.com/spreadsheets/d/1Y9LPKx95PyL5OKy09d-KbKJSuuEZCFdkhYjwC0XQjBA/edit?usp=sharing"",""พิจิตร!J233"")"),0)</f>
        <v>0</v>
      </c>
      <c r="CM21" s="82">
        <f t="shared" ca="1" si="106"/>
        <v>0</v>
      </c>
      <c r="CN21" s="81">
        <f ca="1">IFERROR(__xludf.DUMMYFUNCTION("IMPORTRANGE(""https://docs.google.com/spreadsheets/d/1Y9LPKx95PyL5OKy09d-KbKJSuuEZCFdkhYjwC0XQjBA/edit?usp=sharing"",""พิจิตร!J235"")"),0)</f>
        <v>0</v>
      </c>
      <c r="CO21" s="81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3">
        <v>9</v>
      </c>
      <c r="B22" s="74" t="s">
        <v>44</v>
      </c>
      <c r="C22" s="75">
        <f t="shared" ca="1" si="0"/>
        <v>73500</v>
      </c>
      <c r="D22" s="76">
        <f t="shared" ca="1" si="133"/>
        <v>73500</v>
      </c>
      <c r="E22" s="77">
        <f ca="1">IFERROR(__xludf.DUMMYFUNCTION("IMPORTRANGE(""https://docs.google.com/spreadsheets/d/1MeEWN-I1oV_STSDYn1IFDPWt_1FKiwhDph83XaGc0o0/edit?usp=sharing"",""งบพรบ!CP22"")"),0)</f>
        <v>0</v>
      </c>
      <c r="F22" s="77">
        <f ca="1">IFERROR(__xludf.DUMMYFUNCTION("IMPORTRANGE(""https://docs.google.com/spreadsheets/d/1MeEWN-I1oV_STSDYn1IFDPWt_1FKiwhDph83XaGc0o0/edit?usp=sharing"",""งบพรบ!CQ22"")"),73500)</f>
        <v>73500</v>
      </c>
      <c r="G22" s="77">
        <f ca="1">IFERROR(__xludf.DUMMYFUNCTION("IMPORTRANGE(""https://docs.google.com/spreadsheets/d/1MeEWN-I1oV_STSDYn1IFDPWt_1FKiwhDph83XaGc0o0/edit?usp=sharing"",""งบพรบ!CR22"")"),0)</f>
        <v>0</v>
      </c>
      <c r="H22" s="77">
        <f ca="1">IFERROR(__xludf.DUMMYFUNCTION("IMPORTRANGE(""https://docs.google.com/spreadsheets/d/1MeEWN-I1oV_STSDYn1IFDPWt_1FKiwhDph83XaGc0o0/edit?usp=sharing"",""งบพรบ!CT22"")"),73500)</f>
        <v>73500</v>
      </c>
      <c r="I22" s="77">
        <f ca="1">IFERROR(__xludf.DUMMYFUNCTION("IMPORTRANGE(""https://docs.google.com/spreadsheets/d/1MeEWN-I1oV_STSDYn1IFDPWt_1FKiwhDph83XaGc0o0/edit?usp=sharing"",""งบพรบ!CU22"")"),0)</f>
        <v>0</v>
      </c>
      <c r="J22" s="77">
        <f t="shared" ca="1" si="3"/>
        <v>56300</v>
      </c>
      <c r="K22" s="78">
        <f t="shared" ca="1" si="4"/>
        <v>76.598639455782319</v>
      </c>
      <c r="L22" s="77">
        <f ca="1">IFERROR(__xludf.DUMMYFUNCTION("IMPORTRANGE(""https://docs.google.com/spreadsheets/d/1MeEWN-I1oV_STSDYn1IFDPWt_1FKiwhDph83XaGc0o0/edit?usp=sharing"",""งบพรบ!CV22"")"),56300)</f>
        <v>56300</v>
      </c>
      <c r="M22" s="79">
        <f t="shared" ca="1" si="5"/>
        <v>76.598639455782319</v>
      </c>
      <c r="N22" s="79">
        <f t="shared" ca="1" si="6"/>
        <v>76.598639455782319</v>
      </c>
      <c r="O22" s="80">
        <f ca="1">IFERROR(__xludf.DUMMYFUNCTION("IMPORTRANGE(""https://docs.google.com/spreadsheets/d/1MeEWN-I1oV_STSDYn1IFDPWt_1FKiwhDph83XaGc0o0/edit?usp=sharing"",""งบพรบ!CW22"")"),0)</f>
        <v>0</v>
      </c>
      <c r="P22" s="80">
        <f t="shared" ca="1" si="10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IFERROR(__xludf.DUMMYFUNCTION("IMPORTRANGE(""https://docs.google.com/spreadsheets/d/16OMuOwy2eVqZcYWOouQtTpa8X1L23h4660uVHc0C8os/edit?usp=sharing"",""พิษณุโลก!L191"")"),6000)</f>
        <v>6000</v>
      </c>
      <c r="S22" s="81">
        <f ca="1">IFERROR(__xludf.DUMMYFUNCTION("IMPORTRANGE(""https://docs.google.com/spreadsheets/d/16OMuOwy2eVqZcYWOouQtTpa8X1L23h4660uVHc0C8os/edit?usp=sharing"",""พิษณุโลก!N191"")"),6000)</f>
        <v>6000</v>
      </c>
      <c r="T22" s="82">
        <f t="shared" ca="1" si="84"/>
        <v>100</v>
      </c>
      <c r="U22" s="81">
        <f ca="1">IFERROR(__xludf.DUMMYFUNCTION("IMPORTRANGE(""https://docs.google.com/spreadsheets/d/16OMuOwy2eVqZcYWOouQtTpa8X1L23h4660uVHc0C8os/edit?usp=sharing"",""พิษณุโลก!I193"")"),4)</f>
        <v>4</v>
      </c>
      <c r="V22" s="81">
        <f ca="1">IFERROR(__xludf.DUMMYFUNCTION("IMPORTRANGE(""https://docs.google.com/spreadsheets/d/16OMuOwy2eVqZcYWOouQtTpa8X1L23h4660uVHc0C8os/edit?usp=sharing"",""พิษณุโลก!J193"")"),4)</f>
        <v>4</v>
      </c>
      <c r="W22" s="82">
        <f t="shared" ca="1" si="85"/>
        <v>100</v>
      </c>
      <c r="X22" s="81">
        <f t="shared" ca="1" si="134"/>
        <v>400</v>
      </c>
      <c r="Y22" s="81">
        <f ca="1">IFERROR(__xludf.DUMMYFUNCTION("IMPORTRANGE(""https://docs.google.com/spreadsheets/d/16OMuOwy2eVqZcYWOouQtTpa8X1L23h4660uVHc0C8os/edit?usp=sharing"",""พิษณุโลก!J195"")"),400)</f>
        <v>400</v>
      </c>
      <c r="Z22" s="81">
        <f ca="1">IFERROR(__xludf.DUMMYFUNCTION("IMPORTRANGE(""https://docs.google.com/spreadsheets/d/16OMuOwy2eVqZcYWOouQtTpa8X1L23h4660uVHc0C8os/edit?usp=sharing"",""พิษณุโลก!J196"")"),0)</f>
        <v>0</v>
      </c>
      <c r="AA22" s="81">
        <f ca="1">IFERROR(__xludf.DUMMYFUNCTION("IMPORTRANGE(""https://docs.google.com/spreadsheets/d/16OMuOwy2eVqZcYWOouQtTpa8X1L23h4660uVHc0C8os/edit?usp=sharing"",""พิษณุโลก!L199"")"),3000)</f>
        <v>3000</v>
      </c>
      <c r="AB22" s="81">
        <f ca="1">IFERROR(__xludf.DUMMYFUNCTION("IMPORTRANGE(""https://docs.google.com/spreadsheets/d/16OMuOwy2eVqZcYWOouQtTpa8X1L23h4660uVHc0C8os/edit?usp=sharing"",""พิษณุโลก!N199"")"),0)</f>
        <v>0</v>
      </c>
      <c r="AC22" s="82">
        <f t="shared" ca="1" si="86"/>
        <v>0</v>
      </c>
      <c r="AD22" s="81">
        <f ca="1">IFERROR(__xludf.DUMMYFUNCTION("IMPORTRANGE(""https://docs.google.com/spreadsheets/d/16OMuOwy2eVqZcYWOouQtTpa8X1L23h4660uVHc0C8os/edit?usp=sharing"",""พิษณุโลก!L200"")"),24000)</f>
        <v>24000</v>
      </c>
      <c r="AE22" s="81">
        <f ca="1">IFERROR(__xludf.DUMMYFUNCTION("IMPORTRANGE(""https://docs.google.com/spreadsheets/d/16OMuOwy2eVqZcYWOouQtTpa8X1L23h4660uVHc0C8os/edit?usp=sharing"",""พิษณุโลก!N200"")"),23640)</f>
        <v>23640</v>
      </c>
      <c r="AF22" s="82">
        <f t="shared" ca="1" si="87"/>
        <v>98.5</v>
      </c>
      <c r="AG22" s="81">
        <f ca="1">IFERROR(__xludf.DUMMYFUNCTION("IMPORTRANGE(""https://docs.google.com/spreadsheets/d/16OMuOwy2eVqZcYWOouQtTpa8X1L23h4660uVHc0C8os/edit?usp=sharing"",""พิษณุโลก!L201"")"),12000)</f>
        <v>12000</v>
      </c>
      <c r="AH22" s="81">
        <f ca="1">IFERROR(__xludf.DUMMYFUNCTION("IMPORTRANGE(""https://docs.google.com/spreadsheets/d/16OMuOwy2eVqZcYWOouQtTpa8X1L23h4660uVHc0C8os/edit?usp=sharing"",""พิษณุโลก!N201"")"),0)</f>
        <v>0</v>
      </c>
      <c r="AI22" s="82">
        <f t="shared" ca="1" si="88"/>
        <v>0</v>
      </c>
      <c r="AJ22" s="81">
        <f ca="1">IFERROR(__xludf.DUMMYFUNCTION("IMPORTRANGE(""https://docs.google.com/spreadsheets/d/16OMuOwy2eVqZcYWOouQtTpa8X1L23h4660uVHc0C8os/edit?usp=sharing"",""พิษณุโลก!L202"")"),0)</f>
        <v>0</v>
      </c>
      <c r="AK22" s="81">
        <f ca="1">IFERROR(__xludf.DUMMYFUNCTION("IMPORTRANGE(""https://docs.google.com/spreadsheets/d/16OMuOwy2eVqZcYWOouQtTpa8X1L23h4660uVHc0C8os/edit?usp=sharing"",""พิษณุโลก!N202"")"),0)</f>
        <v>0</v>
      </c>
      <c r="AL22" s="82">
        <f t="shared" ca="1" si="89"/>
        <v>0</v>
      </c>
      <c r="AM22" s="81">
        <f ca="1">IFERROR(__xludf.DUMMYFUNCTION("IMPORTRANGE(""https://docs.google.com/spreadsheets/d/16OMuOwy2eVqZcYWOouQtTpa8X1L23h4660uVHc0C8os/edit?usp=sharing"",""พิษณุโลก!I204"")"),3)</f>
        <v>3</v>
      </c>
      <c r="AN22" s="81">
        <f ca="1">IFERROR(__xludf.DUMMYFUNCTION("IMPORTRANGE(""https://docs.google.com/spreadsheets/d/16OMuOwy2eVqZcYWOouQtTpa8X1L23h4660uVHc0C8os/edit?usp=sharing"",""พิษณุโลก!J204"")"),3)</f>
        <v>3</v>
      </c>
      <c r="AO22" s="82">
        <f t="shared" ca="1" si="90"/>
        <v>100</v>
      </c>
      <c r="AP22" s="297">
        <f ca="1">IFERROR(__xludf.DUMMYFUNCTION("IMPORTRANGE(""https://docs.google.com/spreadsheets/d/16OMuOwy2eVqZcYWOouQtTpa8X1L23h4660uVHc0C8os/edit?usp=sharing"",""พิษณุโลก!J206"")"),0)</f>
        <v>0</v>
      </c>
      <c r="AQ22" s="297">
        <f ca="1">IFERROR(__xludf.DUMMYFUNCTION("IMPORTRANGE(""https://docs.google.com/spreadsheets/d/16OMuOwy2eVqZcYWOouQtTpa8X1L23h4660uVHc0C8os/edit?usp=sharing"",""พิษณุโลก!J207"")"),0)</f>
        <v>0</v>
      </c>
      <c r="AR22" s="81">
        <f ca="1">IFERROR(__xludf.DUMMYFUNCTION("IMPORTRANGE(""https://docs.google.com/spreadsheets/d/16OMuOwy2eVqZcYWOouQtTpa8X1L23h4660uVHc0C8os/edit?usp=sharing"",""พิษณุโลก!L210"")"),0)</f>
        <v>0</v>
      </c>
      <c r="AS22" s="81">
        <f ca="1">IFERROR(__xludf.DUMMYFUNCTION("IMPORTRANGE(""https://docs.google.com/spreadsheets/d/16OMuOwy2eVqZcYWOouQtTpa8X1L23h4660uVHc0C8os/edit?usp=sharing"",""พิษณุโลก!N210"")"),0)</f>
        <v>0</v>
      </c>
      <c r="AT22" s="82">
        <f t="shared" ca="1" si="91"/>
        <v>0</v>
      </c>
      <c r="AU22" s="81">
        <f ca="1">IFERROR(__xludf.DUMMYFUNCTION("IMPORTRANGE(""https://docs.google.com/spreadsheets/d/16OMuOwy2eVqZcYWOouQtTpa8X1L23h4660uVHc0C8os/edit?usp=sharing"",""พิษณุโลก!L211"")"),0)</f>
        <v>0</v>
      </c>
      <c r="AV22" s="81">
        <f ca="1">IFERROR(__xludf.DUMMYFUNCTION("IMPORTRANGE(""https://docs.google.com/spreadsheets/d/16OMuOwy2eVqZcYWOouQtTpa8X1L23h4660uVHc0C8os/edit?usp=sharing"",""พิษณุโลก!N211"")"),0)</f>
        <v>0</v>
      </c>
      <c r="AW22" s="82">
        <f t="shared" ca="1" si="92"/>
        <v>0</v>
      </c>
      <c r="AX22" s="81">
        <f ca="1">IFERROR(__xludf.DUMMYFUNCTION("IMPORTRANGE(""https://docs.google.com/spreadsheets/d/16OMuOwy2eVqZcYWOouQtTpa8X1L23h4660uVHc0C8os/edit?usp=sharing"",""พิษณุโลก!L212"")"),0)</f>
        <v>0</v>
      </c>
      <c r="AY22" s="81">
        <f ca="1">IFERROR(__xludf.DUMMYFUNCTION("IMPORTRANGE(""https://docs.google.com/spreadsheets/d/16OMuOwy2eVqZcYWOouQtTpa8X1L23h4660uVHc0C8os/edit?usp=sharing"",""พิษณุโลก!N212"")"),0)</f>
        <v>0</v>
      </c>
      <c r="AZ22" s="82">
        <f t="shared" ca="1" si="93"/>
        <v>0</v>
      </c>
      <c r="BA22" s="81">
        <f ca="1">IFERROR(__xludf.DUMMYFUNCTION("IMPORTRANGE(""https://docs.google.com/spreadsheets/d/16OMuOwy2eVqZcYWOouQtTpa8X1L23h4660uVHc0C8os/edit?usp=sharing"",""พิษณุโลก!I214"")"),0)</f>
        <v>0</v>
      </c>
      <c r="BB22" s="81">
        <f ca="1">IFERROR(__xludf.DUMMYFUNCTION("IMPORTRANGE(""https://docs.google.com/spreadsheets/d/16OMuOwy2eVqZcYWOouQtTpa8X1L23h4660uVHc0C8os/edit?usp=sharing"",""พิษณุโลก!J214"")"),0)</f>
        <v>0</v>
      </c>
      <c r="BC22" s="82">
        <f t="shared" ca="1" si="94"/>
        <v>0</v>
      </c>
      <c r="BD22" s="81">
        <f ca="1">IFERROR(__xludf.DUMMYFUNCTION("IMPORTRANGE(""https://docs.google.com/spreadsheets/d/16OMuOwy2eVqZcYWOouQtTpa8X1L23h4660uVHc0C8os/edit?usp=sharing"",""พิษณุโลก!I215"")"),0)</f>
        <v>0</v>
      </c>
      <c r="BE22" s="81">
        <f ca="1">IFERROR(__xludf.DUMMYFUNCTION("IMPORTRANGE(""https://docs.google.com/spreadsheets/d/16OMuOwy2eVqZcYWOouQtTpa8X1L23h4660uVHc0C8os/edit?usp=sharing"",""พิษณุโลก!J215"")"),0)</f>
        <v>0</v>
      </c>
      <c r="BF22" s="82">
        <f t="shared" ca="1" si="95"/>
        <v>0</v>
      </c>
      <c r="BG22" s="81">
        <f ca="1">IFERROR(__xludf.DUMMYFUNCTION("IMPORTRANGE(""https://docs.google.com/spreadsheets/d/16OMuOwy2eVqZcYWOouQtTpa8X1L23h4660uVHc0C8os/edit?usp=sharing"",""พิษณุโลก!L218"")"),5000)</f>
        <v>5000</v>
      </c>
      <c r="BH22" s="81">
        <f ca="1">IFERROR(__xludf.DUMMYFUNCTION("IMPORTRANGE(""https://docs.google.com/spreadsheets/d/16OMuOwy2eVqZcYWOouQtTpa8X1L23h4660uVHc0C8os/edit?usp=sharing"",""พิษณุโลก!N218"")"),0)</f>
        <v>0</v>
      </c>
      <c r="BI22" s="82">
        <f t="shared" ca="1" si="96"/>
        <v>0</v>
      </c>
      <c r="BJ22" s="81">
        <f ca="1">IFERROR(__xludf.DUMMYFUNCTION("IMPORTRANGE(""https://docs.google.com/spreadsheets/d/16OMuOwy2eVqZcYWOouQtTpa8X1L23h4660uVHc0C8os/edit?usp=sharing"",""พิษณุโลก!L219"")"),13500)</f>
        <v>13500</v>
      </c>
      <c r="BK22" s="81">
        <f ca="1">IFERROR(__xludf.DUMMYFUNCTION("IMPORTRANGE(""https://docs.google.com/spreadsheets/d/16OMuOwy2eVqZcYWOouQtTpa8X1L23h4660uVHc0C8os/edit?usp=sharing"",""พิษณุโลก!N219"")"),0)</f>
        <v>0</v>
      </c>
      <c r="BL22" s="82">
        <f t="shared" ca="1" si="97"/>
        <v>0</v>
      </c>
      <c r="BM22" s="81">
        <f ca="1">IFERROR(__xludf.DUMMYFUNCTION("IMPORTRANGE(""https://docs.google.com/spreadsheets/d/16OMuOwy2eVqZcYWOouQtTpa8X1L23h4660uVHc0C8os/edit?usp=sharing"",""พิษณุโลก!L220"")"),10000)</f>
        <v>10000</v>
      </c>
      <c r="BN22" s="81">
        <f ca="1">IFERROR(__xludf.DUMMYFUNCTION("IMPORTRANGE(""https://docs.google.com/spreadsheets/d/16OMuOwy2eVqZcYWOouQtTpa8X1L23h4660uVHc0C8os/edit?usp=sharing"",""พิษณุโลก!N220"")"),10000)</f>
        <v>10000</v>
      </c>
      <c r="BO22" s="82">
        <f t="shared" ca="1" si="98"/>
        <v>100</v>
      </c>
      <c r="BP22" s="81">
        <f ca="1">IFERROR(__xludf.DUMMYFUNCTION("IMPORTRANGE(""https://docs.google.com/spreadsheets/d/16OMuOwy2eVqZcYWOouQtTpa8X1L23h4660uVHc0C8os/edit?usp=sharing"",""พิษณุโลก!I223"")"),50000)</f>
        <v>50000</v>
      </c>
      <c r="BQ22" s="81">
        <f ca="1">IFERROR(__xludf.DUMMYFUNCTION("IMPORTRANGE(""https://docs.google.com/spreadsheets/d/16OMuOwy2eVqZcYWOouQtTpa8X1L23h4660uVHc0C8os/edit?usp=sharing"",""พิษณุโลก!J223"")"),50000)</f>
        <v>50000</v>
      </c>
      <c r="BR22" s="82">
        <f t="shared" ca="1" si="99"/>
        <v>100</v>
      </c>
      <c r="BS22" s="81">
        <f ca="1">IFERROR(__xludf.DUMMYFUNCTION("IMPORTRANGE(""https://docs.google.com/spreadsheets/d/16OMuOwy2eVqZcYWOouQtTpa8X1L23h4660uVHc0C8os/edit?usp=sharing"",""พิษณุโลก!I224"")"),50000)</f>
        <v>50000</v>
      </c>
      <c r="BT22" s="81">
        <f ca="1">IFERROR(__xludf.DUMMYFUNCTION("IMPORTRANGE(""https://docs.google.com/spreadsheets/d/16OMuOwy2eVqZcYWOouQtTpa8X1L23h4660uVHc0C8os/edit?usp=sharing"",""พิษณุโลก!J224"")"),50000)</f>
        <v>50000</v>
      </c>
      <c r="BU22" s="82">
        <f t="shared" ca="1" si="100"/>
        <v>100</v>
      </c>
      <c r="BV22" s="81">
        <f ca="1">IFERROR(__xludf.DUMMYFUNCTION("IMPORTRANGE(""https://docs.google.com/spreadsheets/d/16OMuOwy2eVqZcYWOouQtTpa8X1L23h4660uVHc0C8os/edit?usp=sharing"",""พิษณุโลก!I225"")"),10)</f>
        <v>10</v>
      </c>
      <c r="BW22" s="81">
        <f ca="1">IFERROR(__xludf.DUMMYFUNCTION("IMPORTRANGE(""https://docs.google.com/spreadsheets/d/16OMuOwy2eVqZcYWOouQtTpa8X1L23h4660uVHc0C8os/edit?usp=sharing"",""พิษณุโลก!J225"")"),10)</f>
        <v>10</v>
      </c>
      <c r="BX22" s="82">
        <f t="shared" ca="1" si="101"/>
        <v>100</v>
      </c>
      <c r="BY22" s="81">
        <f ca="1">IFERROR(__xludf.DUMMYFUNCTION("IMPORTRANGE(""https://docs.google.com/spreadsheets/d/16OMuOwy2eVqZcYWOouQtTpa8X1L23h4660uVHc0C8os/edit?usp=sharing"",""พิษณุโลก!L228"")"),0)</f>
        <v>0</v>
      </c>
      <c r="BZ22" s="81">
        <f ca="1">IFERROR(__xludf.DUMMYFUNCTION("IMPORTRANGE(""https://docs.google.com/spreadsheets/d/16OMuOwy2eVqZcYWOouQtTpa8X1L23h4660uVHc0C8os/edit?usp=sharing"",""พิษณุโลก!N228"")"),0)</f>
        <v>0</v>
      </c>
      <c r="CA22" s="82">
        <f t="shared" ca="1" si="102"/>
        <v>0</v>
      </c>
      <c r="CB22" s="81">
        <f ca="1">IFERROR(__xludf.DUMMYFUNCTION("IMPORTRANGE(""https://docs.google.com/spreadsheets/d/16OMuOwy2eVqZcYWOouQtTpa8X1L23h4660uVHc0C8os/edit?usp=sharing"",""พิษณุโลก!L229"")"),0)</f>
        <v>0</v>
      </c>
      <c r="CC22" s="81">
        <f ca="1">IFERROR(__xludf.DUMMYFUNCTION("IMPORTRANGE(""https://docs.google.com/spreadsheets/d/16OMuOwy2eVqZcYWOouQtTpa8X1L23h4660uVHc0C8os/edit?usp=sharing"",""พิษณุโลก!N229"")"),0)</f>
        <v>0</v>
      </c>
      <c r="CD22" s="82">
        <f t="shared" ca="1" si="103"/>
        <v>0</v>
      </c>
      <c r="CE22" s="81">
        <f ca="1">IFERROR(__xludf.DUMMYFUNCTION("IMPORTRANGE(""https://docs.google.com/spreadsheets/d/16OMuOwy2eVqZcYWOouQtTpa8X1L23h4660uVHc0C8os/edit?usp=sharing"",""พิษณุโลก!L230"")"),0)</f>
        <v>0</v>
      </c>
      <c r="CF22" s="81">
        <f ca="1">IFERROR(__xludf.DUMMYFUNCTION("IMPORTRANGE(""https://docs.google.com/spreadsheets/d/16OMuOwy2eVqZcYWOouQtTpa8X1L23h4660uVHc0C8os/edit?usp=sharing"",""พิษณุโลก!N230"")"),0)</f>
        <v>0</v>
      </c>
      <c r="CG22" s="82">
        <f t="shared" ca="1" si="104"/>
        <v>0</v>
      </c>
      <c r="CH22" s="81">
        <f ca="1">IFERROR(__xludf.DUMMYFUNCTION("IMPORTRANGE(""https://docs.google.com/spreadsheets/d/16OMuOwy2eVqZcYWOouQtTpa8X1L23h4660uVHc0C8os/edit?usp=sharing"",""พิษณุโลก!L231"")"),0)</f>
        <v>0</v>
      </c>
      <c r="CI22" s="81">
        <f ca="1">IFERROR(__xludf.DUMMYFUNCTION("IMPORTRANGE(""https://docs.google.com/spreadsheets/d/16OMuOwy2eVqZcYWOouQtTpa8X1L23h4660uVHc0C8os/edit?usp=sharing"",""พิษณุโลก!N231"")"),0)</f>
        <v>0</v>
      </c>
      <c r="CJ22" s="82">
        <f t="shared" ca="1" si="105"/>
        <v>0</v>
      </c>
      <c r="CK22" s="81">
        <f ca="1">IFERROR(__xludf.DUMMYFUNCTION("IMPORTRANGE(""https://docs.google.com/spreadsheets/d/16OMuOwy2eVqZcYWOouQtTpa8X1L23h4660uVHc0C8os/edit?usp=sharing"",""พิษณุโลก!I233"")"),0)</f>
        <v>0</v>
      </c>
      <c r="CL22" s="81">
        <f ca="1">IFERROR(__xludf.DUMMYFUNCTION("IMPORTRANGE(""https://docs.google.com/spreadsheets/d/16OMuOwy2eVqZcYWOouQtTpa8X1L23h4660uVHc0C8os/edit?usp=sharing"",""พิษณุโลก!J233"")"),0)</f>
        <v>0</v>
      </c>
      <c r="CM22" s="82">
        <f t="shared" ca="1" si="106"/>
        <v>0</v>
      </c>
      <c r="CN22" s="81">
        <f ca="1">IFERROR(__xludf.DUMMYFUNCTION("IMPORTRANGE(""https://docs.google.com/spreadsheets/d/16OMuOwy2eVqZcYWOouQtTpa8X1L23h4660uVHc0C8os/edit?usp=sharing"",""พิษณุโลก!J235"")"),0)</f>
        <v>0</v>
      </c>
      <c r="CO22" s="81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3">
        <v>10</v>
      </c>
      <c r="B23" s="74" t="s">
        <v>45</v>
      </c>
      <c r="C23" s="75">
        <f t="shared" ca="1" si="0"/>
        <v>111200</v>
      </c>
      <c r="D23" s="76">
        <f t="shared" ca="1" si="133"/>
        <v>111200</v>
      </c>
      <c r="E23" s="77">
        <f ca="1">IFERROR(__xludf.DUMMYFUNCTION("IMPORTRANGE(""https://docs.google.com/spreadsheets/d/1MeEWN-I1oV_STSDYn1IFDPWt_1FKiwhDph83XaGc0o0/edit?usp=sharing"",""งบพรบ!CP23"")"),0)</f>
        <v>0</v>
      </c>
      <c r="F23" s="77">
        <f ca="1">IFERROR(__xludf.DUMMYFUNCTION("IMPORTRANGE(""https://docs.google.com/spreadsheets/d/1MeEWN-I1oV_STSDYn1IFDPWt_1FKiwhDph83XaGc0o0/edit?usp=sharing"",""งบพรบ!CQ23"")"),111200)</f>
        <v>111200</v>
      </c>
      <c r="G23" s="77">
        <f ca="1">IFERROR(__xludf.DUMMYFUNCTION("IMPORTRANGE(""https://docs.google.com/spreadsheets/d/1MeEWN-I1oV_STSDYn1IFDPWt_1FKiwhDph83XaGc0o0/edit?usp=sharing"",""งบพรบ!CR23"")"),0)</f>
        <v>0</v>
      </c>
      <c r="H23" s="77">
        <f ca="1">IFERROR(__xludf.DUMMYFUNCTION("IMPORTRANGE(""https://docs.google.com/spreadsheets/d/1MeEWN-I1oV_STSDYn1IFDPWt_1FKiwhDph83XaGc0o0/edit?usp=sharing"",""งบพรบ!CT23"")"),121160)</f>
        <v>121160</v>
      </c>
      <c r="I23" s="77">
        <f ca="1">IFERROR(__xludf.DUMMYFUNCTION("IMPORTRANGE(""https://docs.google.com/spreadsheets/d/1MeEWN-I1oV_STSDYn1IFDPWt_1FKiwhDph83XaGc0o0/edit?usp=sharing"",""งบพรบ!CU23"")"),0)</f>
        <v>0</v>
      </c>
      <c r="J23" s="77">
        <f t="shared" ca="1" si="3"/>
        <v>116732</v>
      </c>
      <c r="K23" s="78">
        <f t="shared" ca="1" si="4"/>
        <v>104.9748201438849</v>
      </c>
      <c r="L23" s="77">
        <f ca="1">IFERROR(__xludf.DUMMYFUNCTION("IMPORTRANGE(""https://docs.google.com/spreadsheets/d/1MeEWN-I1oV_STSDYn1IFDPWt_1FKiwhDph83XaGc0o0/edit?usp=sharing"",""งบพรบ!CV23"")"),116732)</f>
        <v>116732</v>
      </c>
      <c r="M23" s="79">
        <f t="shared" ca="1" si="5"/>
        <v>104.9748201438849</v>
      </c>
      <c r="N23" s="79">
        <f t="shared" ca="1" si="6"/>
        <v>96.345328491251237</v>
      </c>
      <c r="O23" s="80">
        <f ca="1">IFERROR(__xludf.DUMMYFUNCTION("IMPORTRANGE(""https://docs.google.com/spreadsheets/d/1MeEWN-I1oV_STSDYn1IFDPWt_1FKiwhDph83XaGc0o0/edit?usp=sharing"",""งบพรบ!CW23"")"),0)</f>
        <v>0</v>
      </c>
      <c r="P23" s="80">
        <f t="shared" ca="1" si="10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IFERROR(__xludf.DUMMYFUNCTION("IMPORTRANGE(""https://docs.google.com/spreadsheets/d/1GfgTldLG6k77HXaMQzaafODklYuucJZQNs_GAPEfZyY/edit?usp=sharing"",""เพชรบูรณ์!L191"")"),6000)</f>
        <v>6000</v>
      </c>
      <c r="S23" s="81">
        <f ca="1">IFERROR(__xludf.DUMMYFUNCTION("IMPORTRANGE(""https://docs.google.com/spreadsheets/d/1GfgTldLG6k77HXaMQzaafODklYuucJZQNs_GAPEfZyY/edit?usp=sharing"",""เพชรบูรณ์!N191"")"),6000)</f>
        <v>6000</v>
      </c>
      <c r="T23" s="82">
        <f t="shared" ca="1" si="84"/>
        <v>100</v>
      </c>
      <c r="U23" s="81">
        <f ca="1">IFERROR(__xludf.DUMMYFUNCTION("IMPORTRANGE(""https://docs.google.com/spreadsheets/d/1GfgTldLG6k77HXaMQzaafODklYuucJZQNs_GAPEfZyY/edit?usp=sharing"",""เพชรบูรณ์!I193"")"),4)</f>
        <v>4</v>
      </c>
      <c r="V23" s="81">
        <f ca="1">IFERROR(__xludf.DUMMYFUNCTION("IMPORTRANGE(""https://docs.google.com/spreadsheets/d/1GfgTldLG6k77HXaMQzaafODklYuucJZQNs_GAPEfZyY/edit?usp=sharing"",""เพชรบูรณ์!J193"")"),4)</f>
        <v>4</v>
      </c>
      <c r="W23" s="82">
        <f t="shared" ca="1" si="85"/>
        <v>100</v>
      </c>
      <c r="X23" s="81">
        <f t="shared" ca="1" si="134"/>
        <v>348</v>
      </c>
      <c r="Y23" s="81">
        <f ca="1">IFERROR(__xludf.DUMMYFUNCTION("IMPORTRANGE(""https://docs.google.com/spreadsheets/d/1GfgTldLG6k77HXaMQzaafODklYuucJZQNs_GAPEfZyY/edit?usp=sharing"",""เพชรบูรณ์!J195"")"),348)</f>
        <v>348</v>
      </c>
      <c r="Z23" s="81">
        <f ca="1">IFERROR(__xludf.DUMMYFUNCTION("IMPORTRANGE(""https://docs.google.com/spreadsheets/d/1GfgTldLG6k77HXaMQzaafODklYuucJZQNs_GAPEfZyY/edit?usp=sharing"",""เพชรบูรณ์!J196"")"),0)</f>
        <v>0</v>
      </c>
      <c r="AA23" s="81">
        <f ca="1">IFERROR(__xludf.DUMMYFUNCTION("IMPORTRANGE(""https://docs.google.com/spreadsheets/d/1GfgTldLG6k77HXaMQzaafODklYuucJZQNs_GAPEfZyY/edit?usp=sharing"",""เพชรบูรณ์!L199"")"),2000)</f>
        <v>2000</v>
      </c>
      <c r="AB23" s="81">
        <f ca="1">IFERROR(__xludf.DUMMYFUNCTION("IMPORTRANGE(""https://docs.google.com/spreadsheets/d/1GfgTldLG6k77HXaMQzaafODklYuucJZQNs_GAPEfZyY/edit?usp=sharing"",""เพชรบูรณ์!N199"")"),1000)</f>
        <v>1000</v>
      </c>
      <c r="AC23" s="82">
        <f t="shared" ca="1" si="86"/>
        <v>50</v>
      </c>
      <c r="AD23" s="81">
        <f ca="1">IFERROR(__xludf.DUMMYFUNCTION("IMPORTRANGE(""https://docs.google.com/spreadsheets/d/1GfgTldLG6k77HXaMQzaafODklYuucJZQNs_GAPEfZyY/edit?usp=sharing"",""เพชรบูรณ์!L200"")"),16000)</f>
        <v>16000</v>
      </c>
      <c r="AE23" s="81">
        <f ca="1">IFERROR(__xludf.DUMMYFUNCTION("IMPORTRANGE(""https://docs.google.com/spreadsheets/d/1GfgTldLG6k77HXaMQzaafODklYuucJZQNs_GAPEfZyY/edit?usp=sharing"",""เพชรบูรณ์!N200"")"),17000)</f>
        <v>17000</v>
      </c>
      <c r="AF23" s="82">
        <f t="shared" ca="1" si="87"/>
        <v>106.25</v>
      </c>
      <c r="AG23" s="81">
        <f ca="1">IFERROR(__xludf.DUMMYFUNCTION("IMPORTRANGE(""https://docs.google.com/spreadsheets/d/1GfgTldLG6k77HXaMQzaafODklYuucJZQNs_GAPEfZyY/edit?usp=sharing"",""เพชรบูรณ์!L201"")"),8000)</f>
        <v>8000</v>
      </c>
      <c r="AH23" s="81">
        <f ca="1">IFERROR(__xludf.DUMMYFUNCTION("IMPORTRANGE(""https://docs.google.com/spreadsheets/d/1GfgTldLG6k77HXaMQzaafODklYuucJZQNs_GAPEfZyY/edit?usp=sharing"",""เพชรบูรณ์!N201"")"),8000)</f>
        <v>8000</v>
      </c>
      <c r="AI23" s="82">
        <f t="shared" ca="1" si="88"/>
        <v>100</v>
      </c>
      <c r="AJ23" s="81">
        <f ca="1">IFERROR(__xludf.DUMMYFUNCTION("IMPORTRANGE(""https://docs.google.com/spreadsheets/d/1GfgTldLG6k77HXaMQzaafODklYuucJZQNs_GAPEfZyY/edit?usp=sharing"",""เพชรบูรณ์!L202"")"),0)</f>
        <v>0</v>
      </c>
      <c r="AK23" s="81">
        <f ca="1">IFERROR(__xludf.DUMMYFUNCTION("IMPORTRANGE(""https://docs.google.com/spreadsheets/d/1GfgTldLG6k77HXaMQzaafODklYuucJZQNs_GAPEfZyY/edit?usp=sharing"",""เพชรบูรณ์!N202"")"),0)</f>
        <v>0</v>
      </c>
      <c r="AL23" s="82">
        <f t="shared" ca="1" si="89"/>
        <v>0</v>
      </c>
      <c r="AM23" s="81">
        <f ca="1">IFERROR(__xludf.DUMMYFUNCTION("IMPORTRANGE(""https://docs.google.com/spreadsheets/d/1GfgTldLG6k77HXaMQzaafODklYuucJZQNs_GAPEfZyY/edit?usp=sharing"",""เพชรบูรณ์!I204"")"),2)</f>
        <v>2</v>
      </c>
      <c r="AN23" s="81">
        <f ca="1">IFERROR(__xludf.DUMMYFUNCTION("IMPORTRANGE(""https://docs.google.com/spreadsheets/d/1GfgTldLG6k77HXaMQzaafODklYuucJZQNs_GAPEfZyY/edit?usp=sharing"",""เพชรบูรณ์!J204"")"),2)</f>
        <v>2</v>
      </c>
      <c r="AO23" s="82">
        <f t="shared" ca="1" si="90"/>
        <v>100</v>
      </c>
      <c r="AP23" s="297">
        <f ca="1">IFERROR(__xludf.DUMMYFUNCTION("IMPORTRANGE(""https://docs.google.com/spreadsheets/d/1GfgTldLG6k77HXaMQzaafODklYuucJZQNs_GAPEfZyY/edit?usp=sharing"",""เพชรบูรณ์!J206"")"),2)</f>
        <v>2</v>
      </c>
      <c r="AQ23" s="297">
        <f ca="1">IFERROR(__xludf.DUMMYFUNCTION("IMPORTRANGE(""https://docs.google.com/spreadsheets/d/1GfgTldLG6k77HXaMQzaafODklYuucJZQNs_GAPEfZyY/edit?usp=sharing"",""เพชรบูรณ์!J207"")"),0)</f>
        <v>0</v>
      </c>
      <c r="AR23" s="81">
        <f ca="1">IFERROR(__xludf.DUMMYFUNCTION("IMPORTRANGE(""https://docs.google.com/spreadsheets/d/1GfgTldLG6k77HXaMQzaafODklYuucJZQNs_GAPEfZyY/edit?usp=sharing"",""เพชรบูรณ์!L210"")"),2000)</f>
        <v>2000</v>
      </c>
      <c r="AS23" s="81">
        <f ca="1">IFERROR(__xludf.DUMMYFUNCTION("IMPORTRANGE(""https://docs.google.com/spreadsheets/d/1GfgTldLG6k77HXaMQzaafODklYuucJZQNs_GAPEfZyY/edit?usp=sharing"",""เพชรบูรณ์!N210"")"),1480)</f>
        <v>1480</v>
      </c>
      <c r="AT23" s="82">
        <f t="shared" ca="1" si="91"/>
        <v>74</v>
      </c>
      <c r="AU23" s="81">
        <f ca="1">IFERROR(__xludf.DUMMYFUNCTION("IMPORTRANGE(""https://docs.google.com/spreadsheets/d/1GfgTldLG6k77HXaMQzaafODklYuucJZQNs_GAPEfZyY/edit?usp=sharing"",""เพชรบูรณ์!L211"")"),10000)</f>
        <v>10000</v>
      </c>
      <c r="AV23" s="81">
        <f ca="1">IFERROR(__xludf.DUMMYFUNCTION("IMPORTRANGE(""https://docs.google.com/spreadsheets/d/1GfgTldLG6k77HXaMQzaafODklYuucJZQNs_GAPEfZyY/edit?usp=sharing"",""เพชรบูรณ์!N211"")"),10000)</f>
        <v>10000</v>
      </c>
      <c r="AW23" s="82">
        <f t="shared" ca="1" si="92"/>
        <v>100</v>
      </c>
      <c r="AX23" s="81">
        <f ca="1">IFERROR(__xludf.DUMMYFUNCTION("IMPORTRANGE(""https://docs.google.com/spreadsheets/d/1GfgTldLG6k77HXaMQzaafODklYuucJZQNs_GAPEfZyY/edit?usp=sharing"",""เพชรบูรณ์!L212"")"),16000)</f>
        <v>16000</v>
      </c>
      <c r="AY23" s="81">
        <f ca="1">IFERROR(__xludf.DUMMYFUNCTION("IMPORTRANGE(""https://docs.google.com/spreadsheets/d/1GfgTldLG6k77HXaMQzaafODklYuucJZQNs_GAPEfZyY/edit?usp=sharing"",""เพชรบูรณ์!N212"")"),16520)</f>
        <v>16520</v>
      </c>
      <c r="AZ23" s="82">
        <f t="shared" ca="1" si="93"/>
        <v>103.25</v>
      </c>
      <c r="BA23" s="81">
        <f ca="1">IFERROR(__xludf.DUMMYFUNCTION("IMPORTRANGE(""https://docs.google.com/spreadsheets/d/1GfgTldLG6k77HXaMQzaafODklYuucJZQNs_GAPEfZyY/edit?usp=sharing"",""เพชรบูรณ์!I214"")"),2)</f>
        <v>2</v>
      </c>
      <c r="BB23" s="81">
        <f ca="1">IFERROR(__xludf.DUMMYFUNCTION("IMPORTRANGE(""https://docs.google.com/spreadsheets/d/1GfgTldLG6k77HXaMQzaafODklYuucJZQNs_GAPEfZyY/edit?usp=sharing"",""เพชรบูรณ์!J214"")"),2)</f>
        <v>2</v>
      </c>
      <c r="BC23" s="82">
        <f t="shared" ca="1" si="94"/>
        <v>100</v>
      </c>
      <c r="BD23" s="81">
        <f ca="1">IFERROR(__xludf.DUMMYFUNCTION("IMPORTRANGE(""https://docs.google.com/spreadsheets/d/1GfgTldLG6k77HXaMQzaafODklYuucJZQNs_GAPEfZyY/edit?usp=sharing"",""เพชรบูรณ์!I215"")"),2)</f>
        <v>2</v>
      </c>
      <c r="BE23" s="81">
        <f ca="1">IFERROR(__xludf.DUMMYFUNCTION("IMPORTRANGE(""https://docs.google.com/spreadsheets/d/1GfgTldLG6k77HXaMQzaafODklYuucJZQNs_GAPEfZyY/edit?usp=sharing"",""เพชรบูรณ์!J215"")"),2)</f>
        <v>2</v>
      </c>
      <c r="BF23" s="82">
        <f t="shared" ca="1" si="95"/>
        <v>100</v>
      </c>
      <c r="BG23" s="81">
        <f ca="1">IFERROR(__xludf.DUMMYFUNCTION("IMPORTRANGE(""https://docs.google.com/spreadsheets/d/1GfgTldLG6k77HXaMQzaafODklYuucJZQNs_GAPEfZyY/edit?usp=sharing"",""เพชรบูรณ์!L218"")"),8000)</f>
        <v>8000</v>
      </c>
      <c r="BH23" s="81">
        <f ca="1">IFERROR(__xludf.DUMMYFUNCTION("IMPORTRANGE(""https://docs.google.com/spreadsheets/d/1GfgTldLG6k77HXaMQzaafODklYuucJZQNs_GAPEfZyY/edit?usp=sharing"",""เพชรบูรณ์!N218"")"),6922)</f>
        <v>6922</v>
      </c>
      <c r="BI23" s="82">
        <f t="shared" ca="1" si="96"/>
        <v>86.525000000000006</v>
      </c>
      <c r="BJ23" s="81">
        <f ca="1">IFERROR(__xludf.DUMMYFUNCTION("IMPORTRANGE(""https://docs.google.com/spreadsheets/d/1GfgTldLG6k77HXaMQzaafODklYuucJZQNs_GAPEfZyY/edit?usp=sharing"",""เพชรบูรณ์!L219"")"),33200)</f>
        <v>33200</v>
      </c>
      <c r="BK23" s="81">
        <f ca="1">IFERROR(__xludf.DUMMYFUNCTION("IMPORTRANGE(""https://docs.google.com/spreadsheets/d/1GfgTldLG6k77HXaMQzaafODklYuucJZQNs_GAPEfZyY/edit?usp=sharing"",""เพชรบูรณ์!N219"")"),0)</f>
        <v>0</v>
      </c>
      <c r="BL23" s="82">
        <f t="shared" ca="1" si="97"/>
        <v>0</v>
      </c>
      <c r="BM23" s="81">
        <f ca="1">IFERROR(__xludf.DUMMYFUNCTION("IMPORTRANGE(""https://docs.google.com/spreadsheets/d/1GfgTldLG6k77HXaMQzaafODklYuucJZQNs_GAPEfZyY/edit?usp=sharing"",""เพชรบูรณ์!L220"")"),10000)</f>
        <v>10000</v>
      </c>
      <c r="BN23" s="81">
        <f ca="1">IFERROR(__xludf.DUMMYFUNCTION("IMPORTRANGE(""https://docs.google.com/spreadsheets/d/1GfgTldLG6k77HXaMQzaafODklYuucJZQNs_GAPEfZyY/edit?usp=sharing"",""เพชรบูรณ์!N220"")"),10000)</f>
        <v>10000</v>
      </c>
      <c r="BO23" s="82">
        <f t="shared" ca="1" si="98"/>
        <v>100</v>
      </c>
      <c r="BP23" s="81">
        <f ca="1">IFERROR(__xludf.DUMMYFUNCTION("IMPORTRANGE(""https://docs.google.com/spreadsheets/d/1GfgTldLG6k77HXaMQzaafODklYuucJZQNs_GAPEfZyY/edit?usp=sharing"",""เพชรบูรณ์!I223"")"),128000)</f>
        <v>128000</v>
      </c>
      <c r="BQ23" s="81">
        <f ca="1">IFERROR(__xludf.DUMMYFUNCTION("IMPORTRANGE(""https://docs.google.com/spreadsheets/d/1GfgTldLG6k77HXaMQzaafODklYuucJZQNs_GAPEfZyY/edit?usp=sharing"",""เพชรบูรณ์!J223"")"),128000)</f>
        <v>128000</v>
      </c>
      <c r="BR23" s="82">
        <f t="shared" ca="1" si="99"/>
        <v>100</v>
      </c>
      <c r="BS23" s="81">
        <f ca="1">IFERROR(__xludf.DUMMYFUNCTION("IMPORTRANGE(""https://docs.google.com/spreadsheets/d/1GfgTldLG6k77HXaMQzaafODklYuucJZQNs_GAPEfZyY/edit?usp=sharing"",""เพชรบูรณ์!I224"")"),128000)</f>
        <v>128000</v>
      </c>
      <c r="BT23" s="81">
        <f ca="1">IFERROR(__xludf.DUMMYFUNCTION("IMPORTRANGE(""https://docs.google.com/spreadsheets/d/1GfgTldLG6k77HXaMQzaafODklYuucJZQNs_GAPEfZyY/edit?usp=sharing"",""เพชรบูรณ์!J224"")"),128000)</f>
        <v>128000</v>
      </c>
      <c r="BU23" s="82">
        <f t="shared" ca="1" si="100"/>
        <v>100</v>
      </c>
      <c r="BV23" s="81">
        <f ca="1">IFERROR(__xludf.DUMMYFUNCTION("IMPORTRANGE(""https://docs.google.com/spreadsheets/d/1GfgTldLG6k77HXaMQzaafODklYuucJZQNs_GAPEfZyY/edit?usp=sharing"",""เพชรบูรณ์!I225"")"),10)</f>
        <v>10</v>
      </c>
      <c r="BW23" s="81">
        <f ca="1">IFERROR(__xludf.DUMMYFUNCTION("IMPORTRANGE(""https://docs.google.com/spreadsheets/d/1GfgTldLG6k77HXaMQzaafODklYuucJZQNs_GAPEfZyY/edit?usp=sharing"",""เพชรบูรณ์!J225"")"),10)</f>
        <v>10</v>
      </c>
      <c r="BX23" s="82">
        <f t="shared" ca="1" si="101"/>
        <v>100</v>
      </c>
      <c r="BY23" s="81">
        <f ca="1">IFERROR(__xludf.DUMMYFUNCTION("IMPORTRANGE(""https://docs.google.com/spreadsheets/d/1GfgTldLG6k77HXaMQzaafODklYuucJZQNs_GAPEfZyY/edit?usp=sharing"",""เพชรบูรณ์!L228"")"),0)</f>
        <v>0</v>
      </c>
      <c r="BZ23" s="81">
        <f ca="1">IFERROR(__xludf.DUMMYFUNCTION("IMPORTRANGE(""https://docs.google.com/spreadsheets/d/1GfgTldLG6k77HXaMQzaafODklYuucJZQNs_GAPEfZyY/edit?usp=sharing"",""เพชรบูรณ์!N228"")"),0)</f>
        <v>0</v>
      </c>
      <c r="CA23" s="82">
        <f t="shared" ca="1" si="102"/>
        <v>0</v>
      </c>
      <c r="CB23" s="81">
        <f ca="1">IFERROR(__xludf.DUMMYFUNCTION("IMPORTRANGE(""https://docs.google.com/spreadsheets/d/1GfgTldLG6k77HXaMQzaafODklYuucJZQNs_GAPEfZyY/edit?usp=sharing"",""เพชรบูรณ์!L229"")"),0)</f>
        <v>0</v>
      </c>
      <c r="CC23" s="81">
        <f ca="1">IFERROR(__xludf.DUMMYFUNCTION("IMPORTRANGE(""https://docs.google.com/spreadsheets/d/1GfgTldLG6k77HXaMQzaafODklYuucJZQNs_GAPEfZyY/edit?usp=sharing"",""เพชรบูรณ์!N229"")"),0)</f>
        <v>0</v>
      </c>
      <c r="CD23" s="82">
        <f t="shared" ca="1" si="103"/>
        <v>0</v>
      </c>
      <c r="CE23" s="81">
        <f ca="1">IFERROR(__xludf.DUMMYFUNCTION("IMPORTRANGE(""https://docs.google.com/spreadsheets/d/1GfgTldLG6k77HXaMQzaafODklYuucJZQNs_GAPEfZyY/edit?usp=sharing"",""เพชรบูรณ์!L230"")"),0)</f>
        <v>0</v>
      </c>
      <c r="CF23" s="81">
        <f ca="1">IFERROR(__xludf.DUMMYFUNCTION("IMPORTRANGE(""https://docs.google.com/spreadsheets/d/1GfgTldLG6k77HXaMQzaafODklYuucJZQNs_GAPEfZyY/edit?usp=sharing"",""เพชรบูรณ์!N230"")"),0)</f>
        <v>0</v>
      </c>
      <c r="CG23" s="82">
        <f t="shared" ca="1" si="104"/>
        <v>0</v>
      </c>
      <c r="CH23" s="81">
        <f ca="1">IFERROR(__xludf.DUMMYFUNCTION("IMPORTRANGE(""https://docs.google.com/spreadsheets/d/1GfgTldLG6k77HXaMQzaafODklYuucJZQNs_GAPEfZyY/edit?usp=sharing"",""เพชรบูรณ์!L231"")"),0)</f>
        <v>0</v>
      </c>
      <c r="CI23" s="81">
        <f ca="1">IFERROR(__xludf.DUMMYFUNCTION("IMPORTRANGE(""https://docs.google.com/spreadsheets/d/1GfgTldLG6k77HXaMQzaafODklYuucJZQNs_GAPEfZyY/edit?usp=sharing"",""เพชรบูรณ์!N231"")"),0)</f>
        <v>0</v>
      </c>
      <c r="CJ23" s="82">
        <f t="shared" ca="1" si="105"/>
        <v>0</v>
      </c>
      <c r="CK23" s="81">
        <f ca="1">IFERROR(__xludf.DUMMYFUNCTION("IMPORTRANGE(""https://docs.google.com/spreadsheets/d/1GfgTldLG6k77HXaMQzaafODklYuucJZQNs_GAPEfZyY/edit?usp=sharing"",""เพชรบูรณ์!I233"")"),0)</f>
        <v>0</v>
      </c>
      <c r="CL23" s="81">
        <f ca="1">IFERROR(__xludf.DUMMYFUNCTION("IMPORTRANGE(""https://docs.google.com/spreadsheets/d/1GfgTldLG6k77HXaMQzaafODklYuucJZQNs_GAPEfZyY/edit?usp=sharing"",""เพชรบูรณ์!J233"")"),0)</f>
        <v>0</v>
      </c>
      <c r="CM23" s="82">
        <f t="shared" ca="1" si="106"/>
        <v>0</v>
      </c>
      <c r="CN23" s="81">
        <f ca="1">IFERROR(__xludf.DUMMYFUNCTION("IMPORTRANGE(""https://docs.google.com/spreadsheets/d/1GfgTldLG6k77HXaMQzaafODklYuucJZQNs_GAPEfZyY/edit?usp=sharing"",""เพชรบูรณ์!J235"")"),0)</f>
        <v>0</v>
      </c>
      <c r="CO23" s="81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3">
        <v>11</v>
      </c>
      <c r="B24" s="74" t="s">
        <v>46</v>
      </c>
      <c r="C24" s="75">
        <f t="shared" ca="1" si="0"/>
        <v>47000</v>
      </c>
      <c r="D24" s="76">
        <f t="shared" ca="1" si="133"/>
        <v>47000</v>
      </c>
      <c r="E24" s="77">
        <f ca="1">IFERROR(__xludf.DUMMYFUNCTION("IMPORTRANGE(""https://docs.google.com/spreadsheets/d/1MeEWN-I1oV_STSDYn1IFDPWt_1FKiwhDph83XaGc0o0/edit?usp=sharing"",""งบพรบ!CP24"")"),0)</f>
        <v>0</v>
      </c>
      <c r="F24" s="77">
        <f ca="1">IFERROR(__xludf.DUMMYFUNCTION("IMPORTRANGE(""https://docs.google.com/spreadsheets/d/1MeEWN-I1oV_STSDYn1IFDPWt_1FKiwhDph83XaGc0o0/edit?usp=sharing"",""งบพรบ!CQ24"")"),47000)</f>
        <v>47000</v>
      </c>
      <c r="G24" s="77">
        <f ca="1">IFERROR(__xludf.DUMMYFUNCTION("IMPORTRANGE(""https://docs.google.com/spreadsheets/d/1MeEWN-I1oV_STSDYn1IFDPWt_1FKiwhDph83XaGc0o0/edit?usp=sharing"",""งบพรบ!CR24"")"),0)</f>
        <v>0</v>
      </c>
      <c r="H24" s="77">
        <f ca="1">IFERROR(__xludf.DUMMYFUNCTION("IMPORTRANGE(""https://docs.google.com/spreadsheets/d/1MeEWN-I1oV_STSDYn1IFDPWt_1FKiwhDph83XaGc0o0/edit?usp=sharing"",""งบพรบ!CT24"")"),47000)</f>
        <v>47000</v>
      </c>
      <c r="I24" s="77">
        <f ca="1">IFERROR(__xludf.DUMMYFUNCTION("IMPORTRANGE(""https://docs.google.com/spreadsheets/d/1MeEWN-I1oV_STSDYn1IFDPWt_1FKiwhDph83XaGc0o0/edit?usp=sharing"",""งบพรบ!CU24"")"),0)</f>
        <v>0</v>
      </c>
      <c r="J24" s="77">
        <f t="shared" ca="1" si="3"/>
        <v>47000</v>
      </c>
      <c r="K24" s="78">
        <f t="shared" ca="1" si="4"/>
        <v>100</v>
      </c>
      <c r="L24" s="77">
        <f ca="1">IFERROR(__xludf.DUMMYFUNCTION("IMPORTRANGE(""https://docs.google.com/spreadsheets/d/1MeEWN-I1oV_STSDYn1IFDPWt_1FKiwhDph83XaGc0o0/edit?usp=sharing"",""งบพรบ!CV24"")"),47000)</f>
        <v>47000</v>
      </c>
      <c r="M24" s="79">
        <f t="shared" ca="1" si="5"/>
        <v>100</v>
      </c>
      <c r="N24" s="79">
        <f t="shared" ca="1" si="6"/>
        <v>100</v>
      </c>
      <c r="O24" s="80">
        <f ca="1">IFERROR(__xludf.DUMMYFUNCTION("IMPORTRANGE(""https://docs.google.com/spreadsheets/d/1MeEWN-I1oV_STSDYn1IFDPWt_1FKiwhDph83XaGc0o0/edit?usp=sharing"",""งบพรบ!CW24"")"),0)</f>
        <v>0</v>
      </c>
      <c r="P24" s="80">
        <f t="shared" ca="1" si="10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IFERROR(__xludf.DUMMYFUNCTION("IMPORTRANGE(""https://docs.google.com/spreadsheets/d/1gvTMYAnm7v1yG1BKWFtr0DnaTsq59oW9dwWvFgq6hs0/edit?usp=sharing"",""แพร่!L191"")"),6000)</f>
        <v>6000</v>
      </c>
      <c r="S24" s="81">
        <f ca="1">IFERROR(__xludf.DUMMYFUNCTION("IMPORTRANGE(""https://docs.google.com/spreadsheets/d/1gvTMYAnm7v1yG1BKWFtr0DnaTsq59oW9dwWvFgq6hs0/edit?usp=sharing"",""แพร่!N191"")"),3832.44)</f>
        <v>3832.44</v>
      </c>
      <c r="T24" s="82">
        <f t="shared" ca="1" si="84"/>
        <v>63.874000000000002</v>
      </c>
      <c r="U24" s="81">
        <f ca="1">IFERROR(__xludf.DUMMYFUNCTION("IMPORTRANGE(""https://docs.google.com/spreadsheets/d/1gvTMYAnm7v1yG1BKWFtr0DnaTsq59oW9dwWvFgq6hs0/edit?usp=sharing"",""แพร่!I193"")"),4)</f>
        <v>4</v>
      </c>
      <c r="V24" s="81">
        <f ca="1">IFERROR(__xludf.DUMMYFUNCTION("IMPORTRANGE(""https://docs.google.com/spreadsheets/d/1gvTMYAnm7v1yG1BKWFtr0DnaTsq59oW9dwWvFgq6hs0/edit?usp=sharing"",""แพร่!J193"")"),4)</f>
        <v>4</v>
      </c>
      <c r="W24" s="82">
        <f t="shared" ca="1" si="85"/>
        <v>100</v>
      </c>
      <c r="X24" s="81">
        <f t="shared" ca="1" si="134"/>
        <v>169</v>
      </c>
      <c r="Y24" s="81">
        <f ca="1">IFERROR(__xludf.DUMMYFUNCTION("IMPORTRANGE(""https://docs.google.com/spreadsheets/d/1gvTMYAnm7v1yG1BKWFtr0DnaTsq59oW9dwWvFgq6hs0/edit?usp=sharing"",""แพร่!J195"")"),169)</f>
        <v>169</v>
      </c>
      <c r="Z24" s="81">
        <f ca="1">IFERROR(__xludf.DUMMYFUNCTION("IMPORTRANGE(""https://docs.google.com/spreadsheets/d/1gvTMYAnm7v1yG1BKWFtr0DnaTsq59oW9dwWvFgq6hs0/edit?usp=sharing"",""แพร่!J196"")"),0)</f>
        <v>0</v>
      </c>
      <c r="AA24" s="81">
        <f ca="1">IFERROR(__xludf.DUMMYFUNCTION("IMPORTRANGE(""https://docs.google.com/spreadsheets/d/1gvTMYAnm7v1yG1BKWFtr0DnaTsq59oW9dwWvFgq6hs0/edit?usp=sharing"",""แพร่!L199"")"),2000)</f>
        <v>2000</v>
      </c>
      <c r="AB24" s="81">
        <f ca="1">IFERROR(__xludf.DUMMYFUNCTION("IMPORTRANGE(""https://docs.google.com/spreadsheets/d/1gvTMYAnm7v1yG1BKWFtr0DnaTsq59oW9dwWvFgq6hs0/edit?usp=sharing"",""แพร่!N199"")"),1144)</f>
        <v>1144</v>
      </c>
      <c r="AC24" s="82">
        <f t="shared" ca="1" si="86"/>
        <v>57.2</v>
      </c>
      <c r="AD24" s="81">
        <f ca="1">IFERROR(__xludf.DUMMYFUNCTION("IMPORTRANGE(""https://docs.google.com/spreadsheets/d/1gvTMYAnm7v1yG1BKWFtr0DnaTsq59oW9dwWvFgq6hs0/edit?usp=sharing"",""แพร่!L200"")"),16000)</f>
        <v>16000</v>
      </c>
      <c r="AE24" s="81">
        <f ca="1">IFERROR(__xludf.DUMMYFUNCTION("IMPORTRANGE(""https://docs.google.com/spreadsheets/d/1gvTMYAnm7v1yG1BKWFtr0DnaTsq59oW9dwWvFgq6hs0/edit?usp=sharing"",""แพร่!N200"")"),16000)</f>
        <v>16000</v>
      </c>
      <c r="AF24" s="82">
        <f t="shared" ca="1" si="87"/>
        <v>100</v>
      </c>
      <c r="AG24" s="81">
        <f ca="1">IFERROR(__xludf.DUMMYFUNCTION("IMPORTRANGE(""https://docs.google.com/spreadsheets/d/1gvTMYAnm7v1yG1BKWFtr0DnaTsq59oW9dwWvFgq6hs0/edit?usp=sharing"",""แพร่!L201"")"),8000)</f>
        <v>8000</v>
      </c>
      <c r="AH24" s="81">
        <f ca="1">IFERROR(__xludf.DUMMYFUNCTION("IMPORTRANGE(""https://docs.google.com/spreadsheets/d/1gvTMYAnm7v1yG1BKWFtr0DnaTsq59oW9dwWvFgq6hs0/edit?usp=sharing"",""แพร่!N201"")"),8000)</f>
        <v>8000</v>
      </c>
      <c r="AI24" s="82">
        <f t="shared" ca="1" si="88"/>
        <v>100</v>
      </c>
      <c r="AJ24" s="81">
        <f ca="1">IFERROR(__xludf.DUMMYFUNCTION("IMPORTRANGE(""https://docs.google.com/spreadsheets/d/1gvTMYAnm7v1yG1BKWFtr0DnaTsq59oW9dwWvFgq6hs0/edit?usp=sharing"",""แพร่!L202"")"),0)</f>
        <v>0</v>
      </c>
      <c r="AK24" s="81">
        <f ca="1">IFERROR(__xludf.DUMMYFUNCTION("IMPORTRANGE(""https://docs.google.com/spreadsheets/d/1gvTMYAnm7v1yG1BKWFtr0DnaTsq59oW9dwWvFgq6hs0/edit?usp=sharing"",""แพร่!N202"")"),0)</f>
        <v>0</v>
      </c>
      <c r="AL24" s="82">
        <f t="shared" ca="1" si="89"/>
        <v>0</v>
      </c>
      <c r="AM24" s="81">
        <f ca="1">IFERROR(__xludf.DUMMYFUNCTION("IMPORTRANGE(""https://docs.google.com/spreadsheets/d/1gvTMYAnm7v1yG1BKWFtr0DnaTsq59oW9dwWvFgq6hs0/edit?usp=sharing"",""แพร่!I204"")"),2)</f>
        <v>2</v>
      </c>
      <c r="AN24" s="81">
        <f ca="1">IFERROR(__xludf.DUMMYFUNCTION("IMPORTRANGE(""https://docs.google.com/spreadsheets/d/1gvTMYAnm7v1yG1BKWFtr0DnaTsq59oW9dwWvFgq6hs0/edit?usp=sharing"",""แพร่!J204"")"),2)</f>
        <v>2</v>
      </c>
      <c r="AO24" s="82">
        <f t="shared" ca="1" si="90"/>
        <v>100</v>
      </c>
      <c r="AP24" s="297">
        <f ca="1">IFERROR(__xludf.DUMMYFUNCTION("IMPORTRANGE(""https://docs.google.com/spreadsheets/d/1gvTMYAnm7v1yG1BKWFtr0DnaTsq59oW9dwWvFgq6hs0/edit?usp=sharing"",""แพร่!J206"")"),2)</f>
        <v>2</v>
      </c>
      <c r="AQ24" s="297">
        <f ca="1">IFERROR(__xludf.DUMMYFUNCTION("IMPORTRANGE(""https://docs.google.com/spreadsheets/d/1gvTMYAnm7v1yG1BKWFtr0DnaTsq59oW9dwWvFgq6hs0/edit?usp=sharing"",""แพร่!J207"")"),0)</f>
        <v>0</v>
      </c>
      <c r="AR24" s="81">
        <f ca="1">IFERROR(__xludf.DUMMYFUNCTION("IMPORTRANGE(""https://docs.google.com/spreadsheets/d/1gvTMYAnm7v1yG1BKWFtr0DnaTsq59oW9dwWvFgq6hs0/edit?usp=sharing"",""แพร่!L210"")"),0)</f>
        <v>0</v>
      </c>
      <c r="AS24" s="81">
        <f ca="1">IFERROR(__xludf.DUMMYFUNCTION("IMPORTRANGE(""https://docs.google.com/spreadsheets/d/1gvTMYAnm7v1yG1BKWFtr0DnaTsq59oW9dwWvFgq6hs0/edit?usp=sharing"",""แพร่!N210"")"),0)</f>
        <v>0</v>
      </c>
      <c r="AT24" s="82">
        <f t="shared" ca="1" si="91"/>
        <v>0</v>
      </c>
      <c r="AU24" s="81">
        <f ca="1">IFERROR(__xludf.DUMMYFUNCTION("IMPORTRANGE(""https://docs.google.com/spreadsheets/d/1gvTMYAnm7v1yG1BKWFtr0DnaTsq59oW9dwWvFgq6hs0/edit?usp=sharing"",""แพร่!L211"")"),0)</f>
        <v>0</v>
      </c>
      <c r="AV24" s="81">
        <f ca="1">IFERROR(__xludf.DUMMYFUNCTION("IMPORTRANGE(""https://docs.google.com/spreadsheets/d/1gvTMYAnm7v1yG1BKWFtr0DnaTsq59oW9dwWvFgq6hs0/edit?usp=sharing"",""แพร่!N211"")"),0)</f>
        <v>0</v>
      </c>
      <c r="AW24" s="82">
        <f t="shared" ca="1" si="92"/>
        <v>0</v>
      </c>
      <c r="AX24" s="81">
        <f ca="1">IFERROR(__xludf.DUMMYFUNCTION("IMPORTRANGE(""https://docs.google.com/spreadsheets/d/1gvTMYAnm7v1yG1BKWFtr0DnaTsq59oW9dwWvFgq6hs0/edit?usp=sharing"",""แพร่!L212"")"),0)</f>
        <v>0</v>
      </c>
      <c r="AY24" s="81">
        <f ca="1">IFERROR(__xludf.DUMMYFUNCTION("IMPORTRANGE(""https://docs.google.com/spreadsheets/d/1gvTMYAnm7v1yG1BKWFtr0DnaTsq59oW9dwWvFgq6hs0/edit?usp=sharing"",""แพร่!N212"")"),0)</f>
        <v>0</v>
      </c>
      <c r="AZ24" s="82">
        <f t="shared" ca="1" si="93"/>
        <v>0</v>
      </c>
      <c r="BA24" s="81">
        <f ca="1">IFERROR(__xludf.DUMMYFUNCTION("IMPORTRANGE(""https://docs.google.com/spreadsheets/d/1gvTMYAnm7v1yG1BKWFtr0DnaTsq59oW9dwWvFgq6hs0/edit?usp=sharing"",""แพร่!I214"")"),0)</f>
        <v>0</v>
      </c>
      <c r="BB24" s="81">
        <f ca="1">IFERROR(__xludf.DUMMYFUNCTION("IMPORTRANGE(""https://docs.google.com/spreadsheets/d/1gvTMYAnm7v1yG1BKWFtr0DnaTsq59oW9dwWvFgq6hs0/edit?usp=sharing"",""แพร่!J214"")"),0)</f>
        <v>0</v>
      </c>
      <c r="BC24" s="82">
        <f t="shared" ca="1" si="94"/>
        <v>0</v>
      </c>
      <c r="BD24" s="81">
        <f ca="1">IFERROR(__xludf.DUMMYFUNCTION("IMPORTRANGE(""https://docs.google.com/spreadsheets/d/1gvTMYAnm7v1yG1BKWFtr0DnaTsq59oW9dwWvFgq6hs0/edit?usp=sharing"",""แพร่!I215"")"),0)</f>
        <v>0</v>
      </c>
      <c r="BE24" s="81">
        <f ca="1">IFERROR(__xludf.DUMMYFUNCTION("IMPORTRANGE(""https://docs.google.com/spreadsheets/d/1gvTMYAnm7v1yG1BKWFtr0DnaTsq59oW9dwWvFgq6hs0/edit?usp=sharing"",""แพร่!J215"")"),0)</f>
        <v>0</v>
      </c>
      <c r="BF24" s="82">
        <f t="shared" ca="1" si="95"/>
        <v>0</v>
      </c>
      <c r="BG24" s="81">
        <f ca="1">IFERROR(__xludf.DUMMYFUNCTION("IMPORTRANGE(""https://docs.google.com/spreadsheets/d/1gvTMYAnm7v1yG1BKWFtr0DnaTsq59oW9dwWvFgq6hs0/edit?usp=sharing"",""แพร่!L218"")"),5000)</f>
        <v>5000</v>
      </c>
      <c r="BH24" s="81">
        <f ca="1">IFERROR(__xludf.DUMMYFUNCTION("IMPORTRANGE(""https://docs.google.com/spreadsheets/d/1gvTMYAnm7v1yG1BKWFtr0DnaTsq59oW9dwWvFgq6hs0/edit?usp=sharing"",""แพร่!N218"")"),4160)</f>
        <v>4160</v>
      </c>
      <c r="BI24" s="82">
        <f t="shared" ca="1" si="96"/>
        <v>83.2</v>
      </c>
      <c r="BJ24" s="81">
        <f ca="1">IFERROR(__xludf.DUMMYFUNCTION("IMPORTRANGE(""https://docs.google.com/spreadsheets/d/1gvTMYAnm7v1yG1BKWFtr0DnaTsq59oW9dwWvFgq6hs0/edit?usp=sharing"",""แพร่!L219"")"),10000)</f>
        <v>10000</v>
      </c>
      <c r="BK24" s="81">
        <f ca="1">IFERROR(__xludf.DUMMYFUNCTION("IMPORTRANGE(""https://docs.google.com/spreadsheets/d/1gvTMYAnm7v1yG1BKWFtr0DnaTsq59oW9dwWvFgq6hs0/edit?usp=sharing"",""แพร่!N219"")"),10000)</f>
        <v>10000</v>
      </c>
      <c r="BL24" s="82">
        <f t="shared" ca="1" si="97"/>
        <v>100</v>
      </c>
      <c r="BM24" s="81">
        <f ca="1">IFERROR(__xludf.DUMMYFUNCTION("IMPORTRANGE(""https://docs.google.com/spreadsheets/d/1gvTMYAnm7v1yG1BKWFtr0DnaTsq59oW9dwWvFgq6hs0/edit?usp=sharing"",""แพร่!L220"")"),0)</f>
        <v>0</v>
      </c>
      <c r="BN24" s="81">
        <f ca="1">IFERROR(__xludf.DUMMYFUNCTION("IMPORTRANGE(""https://docs.google.com/spreadsheets/d/1gvTMYAnm7v1yG1BKWFtr0DnaTsq59oW9dwWvFgq6hs0/edit?usp=sharing"",""แพร่!N220"")"),0)</f>
        <v>0</v>
      </c>
      <c r="BO24" s="82">
        <f t="shared" ca="1" si="98"/>
        <v>0</v>
      </c>
      <c r="BP24" s="81">
        <f ca="1">IFERROR(__xludf.DUMMYFUNCTION("IMPORTRANGE(""https://docs.google.com/spreadsheets/d/1gvTMYAnm7v1yG1BKWFtr0DnaTsq59oW9dwWvFgq6hs0/edit?usp=sharing"",""แพร่!I223"")"),40000)</f>
        <v>40000</v>
      </c>
      <c r="BQ24" s="81">
        <f ca="1">IFERROR(__xludf.DUMMYFUNCTION("IMPORTRANGE(""https://docs.google.com/spreadsheets/d/1gvTMYAnm7v1yG1BKWFtr0DnaTsq59oW9dwWvFgq6hs0/edit?usp=sharing"",""แพร่!J223"")"),40000)</f>
        <v>40000</v>
      </c>
      <c r="BR24" s="82">
        <f t="shared" ca="1" si="99"/>
        <v>100</v>
      </c>
      <c r="BS24" s="81">
        <f ca="1">IFERROR(__xludf.DUMMYFUNCTION("IMPORTRANGE(""https://docs.google.com/spreadsheets/d/1gvTMYAnm7v1yG1BKWFtr0DnaTsq59oW9dwWvFgq6hs0/edit?usp=sharing"",""แพร่!I224"")"),40000)</f>
        <v>40000</v>
      </c>
      <c r="BT24" s="81">
        <f ca="1">IFERROR(__xludf.DUMMYFUNCTION("IMPORTRANGE(""https://docs.google.com/spreadsheets/d/1gvTMYAnm7v1yG1BKWFtr0DnaTsq59oW9dwWvFgq6hs0/edit?usp=sharing"",""แพร่!J224"")"),40000)</f>
        <v>40000</v>
      </c>
      <c r="BU24" s="82">
        <f t="shared" ca="1" si="100"/>
        <v>100</v>
      </c>
      <c r="BV24" s="81">
        <f ca="1">IFERROR(__xludf.DUMMYFUNCTION("IMPORTRANGE(""https://docs.google.com/spreadsheets/d/1gvTMYAnm7v1yG1BKWFtr0DnaTsq59oW9dwWvFgq6hs0/edit?usp=sharing"",""แพร่!I225"")"),0)</f>
        <v>0</v>
      </c>
      <c r="BW24" s="81">
        <f ca="1">IFERROR(__xludf.DUMMYFUNCTION("IMPORTRANGE(""https://docs.google.com/spreadsheets/d/1gvTMYAnm7v1yG1BKWFtr0DnaTsq59oW9dwWvFgq6hs0/edit?usp=sharing"",""แพร่!J225"")"),0)</f>
        <v>0</v>
      </c>
      <c r="BX24" s="82">
        <f t="shared" ca="1" si="101"/>
        <v>0</v>
      </c>
      <c r="BY24" s="81">
        <f ca="1">IFERROR(__xludf.DUMMYFUNCTION("IMPORTRANGE(""https://docs.google.com/spreadsheets/d/1gvTMYAnm7v1yG1BKWFtr0DnaTsq59oW9dwWvFgq6hs0/edit?usp=sharing"",""แพร่!L228"")"),0)</f>
        <v>0</v>
      </c>
      <c r="BZ24" s="81">
        <f ca="1">IFERROR(__xludf.DUMMYFUNCTION("IMPORTRANGE(""https://docs.google.com/spreadsheets/d/1gvTMYAnm7v1yG1BKWFtr0DnaTsq59oW9dwWvFgq6hs0/edit?usp=sharing"",""แพร่!N228"")"),0)</f>
        <v>0</v>
      </c>
      <c r="CA24" s="82">
        <f t="shared" ca="1" si="102"/>
        <v>0</v>
      </c>
      <c r="CB24" s="81">
        <f ca="1">IFERROR(__xludf.DUMMYFUNCTION("IMPORTRANGE(""https://docs.google.com/spreadsheets/d/1gvTMYAnm7v1yG1BKWFtr0DnaTsq59oW9dwWvFgq6hs0/edit?usp=sharing"",""แพร่!L229"")"),0)</f>
        <v>0</v>
      </c>
      <c r="CC24" s="81">
        <f ca="1">IFERROR(__xludf.DUMMYFUNCTION("IMPORTRANGE(""https://docs.google.com/spreadsheets/d/1gvTMYAnm7v1yG1BKWFtr0DnaTsq59oW9dwWvFgq6hs0/edit?usp=sharing"",""แพร่!N229"")"),0)</f>
        <v>0</v>
      </c>
      <c r="CD24" s="82">
        <f t="shared" ca="1" si="103"/>
        <v>0</v>
      </c>
      <c r="CE24" s="81">
        <f ca="1">IFERROR(__xludf.DUMMYFUNCTION("IMPORTRANGE(""https://docs.google.com/spreadsheets/d/1gvTMYAnm7v1yG1BKWFtr0DnaTsq59oW9dwWvFgq6hs0/edit?usp=sharing"",""แพร่!L230"")"),0)</f>
        <v>0</v>
      </c>
      <c r="CF24" s="81">
        <f ca="1">IFERROR(__xludf.DUMMYFUNCTION("IMPORTRANGE(""https://docs.google.com/spreadsheets/d/1gvTMYAnm7v1yG1BKWFtr0DnaTsq59oW9dwWvFgq6hs0/edit?usp=sharing"",""แพร่!N230"")"),0)</f>
        <v>0</v>
      </c>
      <c r="CG24" s="82">
        <f t="shared" ca="1" si="104"/>
        <v>0</v>
      </c>
      <c r="CH24" s="81">
        <f ca="1">IFERROR(__xludf.DUMMYFUNCTION("IMPORTRANGE(""https://docs.google.com/spreadsheets/d/1gvTMYAnm7v1yG1BKWFtr0DnaTsq59oW9dwWvFgq6hs0/edit?usp=sharing"",""แพร่!L231"")"),0)</f>
        <v>0</v>
      </c>
      <c r="CI24" s="81">
        <f ca="1">IFERROR(__xludf.DUMMYFUNCTION("IMPORTRANGE(""https://docs.google.com/spreadsheets/d/1gvTMYAnm7v1yG1BKWFtr0DnaTsq59oW9dwWvFgq6hs0/edit?usp=sharing"",""แพร่!N231"")"),0)</f>
        <v>0</v>
      </c>
      <c r="CJ24" s="82">
        <f t="shared" ca="1" si="105"/>
        <v>0</v>
      </c>
      <c r="CK24" s="81">
        <f ca="1">IFERROR(__xludf.DUMMYFUNCTION("IMPORTRANGE(""https://docs.google.com/spreadsheets/d/1gvTMYAnm7v1yG1BKWFtr0DnaTsq59oW9dwWvFgq6hs0/edit?usp=sharing"",""แพร่!I233"")"),0)</f>
        <v>0</v>
      </c>
      <c r="CL24" s="81">
        <f ca="1">IFERROR(__xludf.DUMMYFUNCTION("IMPORTRANGE(""https://docs.google.com/spreadsheets/d/1gvTMYAnm7v1yG1BKWFtr0DnaTsq59oW9dwWvFgq6hs0/edit?usp=sharing"",""แพร่!J233"")"),0)</f>
        <v>0</v>
      </c>
      <c r="CM24" s="82">
        <f t="shared" ca="1" si="106"/>
        <v>0</v>
      </c>
      <c r="CN24" s="81">
        <f ca="1">IFERROR(__xludf.DUMMYFUNCTION("IMPORTRANGE(""https://docs.google.com/spreadsheets/d/1gvTMYAnm7v1yG1BKWFtr0DnaTsq59oW9dwWvFgq6hs0/edit?usp=sharing"",""แพร่!J235"")"),0)</f>
        <v>0</v>
      </c>
      <c r="CO24" s="81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3">
        <v>12</v>
      </c>
      <c r="B25" s="74" t="s">
        <v>47</v>
      </c>
      <c r="C25" s="75">
        <f t="shared" ca="1" si="0"/>
        <v>221500</v>
      </c>
      <c r="D25" s="76">
        <f t="shared" ca="1" si="133"/>
        <v>221500</v>
      </c>
      <c r="E25" s="77">
        <f ca="1">IFERROR(__xludf.DUMMYFUNCTION("IMPORTRANGE(""https://docs.google.com/spreadsheets/d/1MeEWN-I1oV_STSDYn1IFDPWt_1FKiwhDph83XaGc0o0/edit?usp=sharing"",""งบพรบ!CP25"")"),143000)</f>
        <v>143000</v>
      </c>
      <c r="F25" s="77">
        <f ca="1">IFERROR(__xludf.DUMMYFUNCTION("IMPORTRANGE(""https://docs.google.com/spreadsheets/d/1MeEWN-I1oV_STSDYn1IFDPWt_1FKiwhDph83XaGc0o0/edit?usp=sharing"",""งบพรบ!CQ25"")"),78500)</f>
        <v>78500</v>
      </c>
      <c r="G25" s="77">
        <f ca="1">IFERROR(__xludf.DUMMYFUNCTION("IMPORTRANGE(""https://docs.google.com/spreadsheets/d/1MeEWN-I1oV_STSDYn1IFDPWt_1FKiwhDph83XaGc0o0/edit?usp=sharing"",""งบพรบ!CR25"")"),0)</f>
        <v>0</v>
      </c>
      <c r="H25" s="77">
        <f ca="1">IFERROR(__xludf.DUMMYFUNCTION("IMPORTRANGE(""https://docs.google.com/spreadsheets/d/1MeEWN-I1oV_STSDYn1IFDPWt_1FKiwhDph83XaGc0o0/edit?usp=sharing"",""งบพรบ!CT25"")"),221500)</f>
        <v>221500</v>
      </c>
      <c r="I25" s="77">
        <f ca="1">IFERROR(__xludf.DUMMYFUNCTION("IMPORTRANGE(""https://docs.google.com/spreadsheets/d/1MeEWN-I1oV_STSDYn1IFDPWt_1FKiwhDph83XaGc0o0/edit?usp=sharing"",""งบพรบ!CU25"")"),0)</f>
        <v>0</v>
      </c>
      <c r="J25" s="77">
        <f t="shared" ca="1" si="3"/>
        <v>202500</v>
      </c>
      <c r="K25" s="78">
        <f t="shared" ca="1" si="4"/>
        <v>91.422121896162523</v>
      </c>
      <c r="L25" s="77">
        <f ca="1">IFERROR(__xludf.DUMMYFUNCTION("IMPORTRANGE(""https://docs.google.com/spreadsheets/d/1MeEWN-I1oV_STSDYn1IFDPWt_1FKiwhDph83XaGc0o0/edit?usp=sharing"",""งบพรบ!CV25"")"),202500)</f>
        <v>202500</v>
      </c>
      <c r="M25" s="79">
        <f t="shared" ca="1" si="5"/>
        <v>91.422121896162523</v>
      </c>
      <c r="N25" s="79">
        <f t="shared" ca="1" si="6"/>
        <v>91.422121896162523</v>
      </c>
      <c r="O25" s="80">
        <f ca="1">IFERROR(__xludf.DUMMYFUNCTION("IMPORTRANGE(""https://docs.google.com/spreadsheets/d/1MeEWN-I1oV_STSDYn1IFDPWt_1FKiwhDph83XaGc0o0/edit?usp=sharing"",""งบพรบ!CW25"")"),0)</f>
        <v>0</v>
      </c>
      <c r="P25" s="80">
        <f t="shared" ca="1" si="10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IFERROR(__xludf.DUMMYFUNCTION("IMPORTRANGE(""https://docs.google.com/spreadsheets/d/1Wbcosgy-Xa1xXUArJSOenub6EfZHUSzc_bpJFWwQUf0/edit?usp=sharing"",""แม่ฮ่องสอน!L191"")"),6000)</f>
        <v>6000</v>
      </c>
      <c r="S25" s="81">
        <f ca="1">IFERROR(__xludf.DUMMYFUNCTION("IMPORTRANGE(""https://docs.google.com/spreadsheets/d/1Wbcosgy-Xa1xXUArJSOenub6EfZHUSzc_bpJFWwQUf0/edit?usp=sharing"",""แม่ฮ่องสอน!N191"")"),6000)</f>
        <v>6000</v>
      </c>
      <c r="T25" s="82">
        <f t="shared" ca="1" si="84"/>
        <v>100</v>
      </c>
      <c r="U25" s="81">
        <f ca="1">IFERROR(__xludf.DUMMYFUNCTION("IMPORTRANGE(""https://docs.google.com/spreadsheets/d/1Wbcosgy-Xa1xXUArJSOenub6EfZHUSzc_bpJFWwQUf0/edit?usp=sharing"",""แม่ฮ่องสอน!I193"")"),4)</f>
        <v>4</v>
      </c>
      <c r="V25" s="81">
        <f ca="1">IFERROR(__xludf.DUMMYFUNCTION("IMPORTRANGE(""https://docs.google.com/spreadsheets/d/1Wbcosgy-Xa1xXUArJSOenub6EfZHUSzc_bpJFWwQUf0/edit?usp=sharing"",""แม่ฮ่องสอน!J193"")"),4)</f>
        <v>4</v>
      </c>
      <c r="W25" s="82">
        <f t="shared" ca="1" si="85"/>
        <v>100</v>
      </c>
      <c r="X25" s="81">
        <f t="shared" ca="1" si="134"/>
        <v>112</v>
      </c>
      <c r="Y25" s="81">
        <f ca="1">IFERROR(__xludf.DUMMYFUNCTION("IMPORTRANGE(""https://docs.google.com/spreadsheets/d/1Wbcosgy-Xa1xXUArJSOenub6EfZHUSzc_bpJFWwQUf0/edit?usp=sharing"",""แม่ฮ่องสอน!J195"")"),112)</f>
        <v>112</v>
      </c>
      <c r="Z25" s="81">
        <f ca="1">IFERROR(__xludf.DUMMYFUNCTION("IMPORTRANGE(""https://docs.google.com/spreadsheets/d/1Wbcosgy-Xa1xXUArJSOenub6EfZHUSzc_bpJFWwQUf0/edit?usp=sharing"",""แม่ฮ่องสอน!J196"")"),0)</f>
        <v>0</v>
      </c>
      <c r="AA25" s="81">
        <f ca="1">IFERROR(__xludf.DUMMYFUNCTION("IMPORTRANGE(""https://docs.google.com/spreadsheets/d/1Wbcosgy-Xa1xXUArJSOenub6EfZHUSzc_bpJFWwQUf0/edit?usp=sharing"",""แม่ฮ่องสอน!L199"")"),2000)</f>
        <v>2000</v>
      </c>
      <c r="AB25" s="81">
        <f ca="1">IFERROR(__xludf.DUMMYFUNCTION("IMPORTRANGE(""https://docs.google.com/spreadsheets/d/1Wbcosgy-Xa1xXUArJSOenub6EfZHUSzc_bpJFWwQUf0/edit?usp=sharing"",""แม่ฮ่องสอน!N199"")"),2000)</f>
        <v>2000</v>
      </c>
      <c r="AC25" s="82">
        <f t="shared" ca="1" si="86"/>
        <v>100</v>
      </c>
      <c r="AD25" s="81">
        <f ca="1">IFERROR(__xludf.DUMMYFUNCTION("IMPORTRANGE(""https://docs.google.com/spreadsheets/d/1Wbcosgy-Xa1xXUArJSOenub6EfZHUSzc_bpJFWwQUf0/edit?usp=sharing"",""แม่ฮ่องสอน!L200"")"),16000)</f>
        <v>16000</v>
      </c>
      <c r="AE25" s="81">
        <f ca="1">IFERROR(__xludf.DUMMYFUNCTION("IMPORTRANGE(""https://docs.google.com/spreadsheets/d/1Wbcosgy-Xa1xXUArJSOenub6EfZHUSzc_bpJFWwQUf0/edit?usp=sharing"",""แม่ฮ่องสอน!N200"")"),16000)</f>
        <v>16000</v>
      </c>
      <c r="AF25" s="82">
        <f t="shared" ca="1" si="87"/>
        <v>100</v>
      </c>
      <c r="AG25" s="81">
        <f ca="1">IFERROR(__xludf.DUMMYFUNCTION("IMPORTRANGE(""https://docs.google.com/spreadsheets/d/1Wbcosgy-Xa1xXUArJSOenub6EfZHUSzc_bpJFWwQUf0/edit?usp=sharing"",""แม่ฮ่องสอน!L201"")"),8000)</f>
        <v>8000</v>
      </c>
      <c r="AH25" s="81">
        <f ca="1">IFERROR(__xludf.DUMMYFUNCTION("IMPORTRANGE(""https://docs.google.com/spreadsheets/d/1Wbcosgy-Xa1xXUArJSOenub6EfZHUSzc_bpJFWwQUf0/edit?usp=sharing"",""แม่ฮ่องสอน!N201"")"),8000)</f>
        <v>8000</v>
      </c>
      <c r="AI25" s="82">
        <f t="shared" ca="1" si="88"/>
        <v>100</v>
      </c>
      <c r="AJ25" s="81">
        <f ca="1">IFERROR(__xludf.DUMMYFUNCTION("IMPORTRANGE(""https://docs.google.com/spreadsheets/d/1Wbcosgy-Xa1xXUArJSOenub6EfZHUSzc_bpJFWwQUf0/edit?usp=sharing"",""แม่ฮ่องสอน!L202"")"),0)</f>
        <v>0</v>
      </c>
      <c r="AK25" s="81">
        <f ca="1">IFERROR(__xludf.DUMMYFUNCTION("IMPORTRANGE(""https://docs.google.com/spreadsheets/d/1Wbcosgy-Xa1xXUArJSOenub6EfZHUSzc_bpJFWwQUf0/edit?usp=sharing"",""แม่ฮ่องสอน!N202"")"),0)</f>
        <v>0</v>
      </c>
      <c r="AL25" s="82">
        <f t="shared" ca="1" si="89"/>
        <v>0</v>
      </c>
      <c r="AM25" s="81">
        <f ca="1">IFERROR(__xludf.DUMMYFUNCTION("IMPORTRANGE(""https://docs.google.com/spreadsheets/d/1Wbcosgy-Xa1xXUArJSOenub6EfZHUSzc_bpJFWwQUf0/edit?usp=sharing"",""แม่ฮ่องสอน!I204"")"),2)</f>
        <v>2</v>
      </c>
      <c r="AN25" s="81">
        <f ca="1">IFERROR(__xludf.DUMMYFUNCTION("IMPORTRANGE(""https://docs.google.com/spreadsheets/d/1Wbcosgy-Xa1xXUArJSOenub6EfZHUSzc_bpJFWwQUf0/edit?usp=sharing"",""แม่ฮ่องสอน!J204"")"),2)</f>
        <v>2</v>
      </c>
      <c r="AO25" s="82">
        <f t="shared" ca="1" si="90"/>
        <v>100</v>
      </c>
      <c r="AP25" s="297">
        <f ca="1">IFERROR(__xludf.DUMMYFUNCTION("IMPORTRANGE(""https://docs.google.com/spreadsheets/d/1Wbcosgy-Xa1xXUArJSOenub6EfZHUSzc_bpJFWwQUf0/edit?usp=sharing"",""แม่ฮ่องสอน!J206"")"),2)</f>
        <v>2</v>
      </c>
      <c r="AQ25" s="297">
        <f ca="1">IFERROR(__xludf.DUMMYFUNCTION("IMPORTRANGE(""https://docs.google.com/spreadsheets/d/1Wbcosgy-Xa1xXUArJSOenub6EfZHUSzc_bpJFWwQUf0/edit?usp=sharing"",""แม่ฮ่องสอน!J207"")"),0)</f>
        <v>0</v>
      </c>
      <c r="AR25" s="81">
        <f ca="1">IFERROR(__xludf.DUMMYFUNCTION("IMPORTRANGE(""https://docs.google.com/spreadsheets/d/1Wbcosgy-Xa1xXUArJSOenub6EfZHUSzc_bpJFWwQUf0/edit?usp=sharing"",""แม่ฮ่องสอน!L210"")"),0)</f>
        <v>0</v>
      </c>
      <c r="AS25" s="81">
        <f ca="1">IFERROR(__xludf.DUMMYFUNCTION("IMPORTRANGE(""https://docs.google.com/spreadsheets/d/1Wbcosgy-Xa1xXUArJSOenub6EfZHUSzc_bpJFWwQUf0/edit?usp=sharing"",""แม่ฮ่องสอน!N210"")"),0)</f>
        <v>0</v>
      </c>
      <c r="AT25" s="82">
        <f t="shared" ca="1" si="91"/>
        <v>0</v>
      </c>
      <c r="AU25" s="81">
        <f ca="1">IFERROR(__xludf.DUMMYFUNCTION("IMPORTRANGE(""https://docs.google.com/spreadsheets/d/1Wbcosgy-Xa1xXUArJSOenub6EfZHUSzc_bpJFWwQUf0/edit?usp=sharing"",""แม่ฮ่องสอน!L211"")"),0)</f>
        <v>0</v>
      </c>
      <c r="AV25" s="81">
        <f ca="1">IFERROR(__xludf.DUMMYFUNCTION("IMPORTRANGE(""https://docs.google.com/spreadsheets/d/1Wbcosgy-Xa1xXUArJSOenub6EfZHUSzc_bpJFWwQUf0/edit?usp=sharing"",""แม่ฮ่องสอน!N211"")"),0)</f>
        <v>0</v>
      </c>
      <c r="AW25" s="82">
        <f t="shared" ca="1" si="92"/>
        <v>0</v>
      </c>
      <c r="AX25" s="81">
        <f ca="1">IFERROR(__xludf.DUMMYFUNCTION("IMPORTRANGE(""https://docs.google.com/spreadsheets/d/1Wbcosgy-Xa1xXUArJSOenub6EfZHUSzc_bpJFWwQUf0/edit?usp=sharing"",""แม่ฮ่องสอน!L212"")"),0)</f>
        <v>0</v>
      </c>
      <c r="AY25" s="81">
        <f ca="1">IFERROR(__xludf.DUMMYFUNCTION("IMPORTRANGE(""https://docs.google.com/spreadsheets/d/1Wbcosgy-Xa1xXUArJSOenub6EfZHUSzc_bpJFWwQUf0/edit?usp=sharing"",""แม่ฮ่องสอน!N212"")"),0)</f>
        <v>0</v>
      </c>
      <c r="AZ25" s="82">
        <f t="shared" ca="1" si="93"/>
        <v>0</v>
      </c>
      <c r="BA25" s="81">
        <f ca="1">IFERROR(__xludf.DUMMYFUNCTION("IMPORTRANGE(""https://docs.google.com/spreadsheets/d/1Wbcosgy-Xa1xXUArJSOenub6EfZHUSzc_bpJFWwQUf0/edit?usp=sharing"",""แม่ฮ่องสอน!I214"")"),0)</f>
        <v>0</v>
      </c>
      <c r="BB25" s="81">
        <f ca="1">IFERROR(__xludf.DUMMYFUNCTION("IMPORTRANGE(""https://docs.google.com/spreadsheets/d/1Wbcosgy-Xa1xXUArJSOenub6EfZHUSzc_bpJFWwQUf0/edit?usp=sharing"",""แม่ฮ่องสอน!J214"")"),0)</f>
        <v>0</v>
      </c>
      <c r="BC25" s="82">
        <f t="shared" ca="1" si="94"/>
        <v>0</v>
      </c>
      <c r="BD25" s="81">
        <f ca="1">IFERROR(__xludf.DUMMYFUNCTION("IMPORTRANGE(""https://docs.google.com/spreadsheets/d/1Wbcosgy-Xa1xXUArJSOenub6EfZHUSzc_bpJFWwQUf0/edit?usp=sharing"",""แม่ฮ่องสอน!I215"")"),0)</f>
        <v>0</v>
      </c>
      <c r="BE25" s="81">
        <f ca="1">IFERROR(__xludf.DUMMYFUNCTION("IMPORTRANGE(""https://docs.google.com/spreadsheets/d/1Wbcosgy-Xa1xXUArJSOenub6EfZHUSzc_bpJFWwQUf0/edit?usp=sharing"",""แม่ฮ่องสอน!J215"")"),0)</f>
        <v>0</v>
      </c>
      <c r="BF25" s="82">
        <f t="shared" ca="1" si="95"/>
        <v>0</v>
      </c>
      <c r="BG25" s="81">
        <f ca="1">IFERROR(__xludf.DUMMYFUNCTION("IMPORTRANGE(""https://docs.google.com/spreadsheets/d/1Wbcosgy-Xa1xXUArJSOenub6EfZHUSzc_bpJFWwQUf0/edit?usp=sharing"",""แม่ฮ่องสอน!L218"")"),8000)</f>
        <v>8000</v>
      </c>
      <c r="BH25" s="81">
        <f ca="1">IFERROR(__xludf.DUMMYFUNCTION("IMPORTRANGE(""https://docs.google.com/spreadsheets/d/1Wbcosgy-Xa1xXUArJSOenub6EfZHUSzc_bpJFWwQUf0/edit?usp=sharing"",""แม่ฮ่องสอน!N218"")"),8000)</f>
        <v>8000</v>
      </c>
      <c r="BI25" s="82">
        <f t="shared" ca="1" si="96"/>
        <v>100</v>
      </c>
      <c r="BJ25" s="81">
        <f ca="1">IFERROR(__xludf.DUMMYFUNCTION("IMPORTRANGE(""https://docs.google.com/spreadsheets/d/1Wbcosgy-Xa1xXUArJSOenub6EfZHUSzc_bpJFWwQUf0/edit?usp=sharing"",""แม่ฮ่องสอน!L219"")"),38500)</f>
        <v>38500</v>
      </c>
      <c r="BK25" s="81">
        <f ca="1">IFERROR(__xludf.DUMMYFUNCTION("IMPORTRANGE(""https://docs.google.com/spreadsheets/d/1Wbcosgy-Xa1xXUArJSOenub6EfZHUSzc_bpJFWwQUf0/edit?usp=sharing"",""แม่ฮ่องสอน!N219"")"),38500)</f>
        <v>38500</v>
      </c>
      <c r="BL25" s="82">
        <f t="shared" ca="1" si="97"/>
        <v>100</v>
      </c>
      <c r="BM25" s="81">
        <f ca="1">IFERROR(__xludf.DUMMYFUNCTION("IMPORTRANGE(""https://docs.google.com/spreadsheets/d/1Wbcosgy-Xa1xXUArJSOenub6EfZHUSzc_bpJFWwQUf0/edit?usp=sharing"",""แม่ฮ่องสอน!L220"")"),0)</f>
        <v>0</v>
      </c>
      <c r="BN25" s="81">
        <f ca="1">IFERROR(__xludf.DUMMYFUNCTION("IMPORTRANGE(""https://docs.google.com/spreadsheets/d/1Wbcosgy-Xa1xXUArJSOenub6EfZHUSzc_bpJFWwQUf0/edit?usp=sharing"",""แม่ฮ่องสอน!N220"")"),0)</f>
        <v>0</v>
      </c>
      <c r="BO25" s="82">
        <f t="shared" ca="1" si="98"/>
        <v>0</v>
      </c>
      <c r="BP25" s="81">
        <f ca="1">IFERROR(__xludf.DUMMYFUNCTION("IMPORTRANGE(""https://docs.google.com/spreadsheets/d/1Wbcosgy-Xa1xXUArJSOenub6EfZHUSzc_bpJFWwQUf0/edit?usp=sharing"",""แม่ฮ่องสอน!I223"")"),150000)</f>
        <v>150000</v>
      </c>
      <c r="BQ25" s="81">
        <f ca="1">IFERROR(__xludf.DUMMYFUNCTION("IMPORTRANGE(""https://docs.google.com/spreadsheets/d/1Wbcosgy-Xa1xXUArJSOenub6EfZHUSzc_bpJFWwQUf0/edit?usp=sharing"",""แม่ฮ่องสอน!J223"")"),150000)</f>
        <v>150000</v>
      </c>
      <c r="BR25" s="82">
        <f t="shared" ca="1" si="99"/>
        <v>100</v>
      </c>
      <c r="BS25" s="81">
        <f ca="1">IFERROR(__xludf.DUMMYFUNCTION("IMPORTRANGE(""https://docs.google.com/spreadsheets/d/1Wbcosgy-Xa1xXUArJSOenub6EfZHUSzc_bpJFWwQUf0/edit?usp=sharing"",""แม่ฮ่องสอน!I224"")"),150000)</f>
        <v>150000</v>
      </c>
      <c r="BT25" s="81">
        <f ca="1">IFERROR(__xludf.DUMMYFUNCTION("IMPORTRANGE(""https://docs.google.com/spreadsheets/d/1Wbcosgy-Xa1xXUArJSOenub6EfZHUSzc_bpJFWwQUf0/edit?usp=sharing"",""แม่ฮ่องสอน!J224"")"),150000)</f>
        <v>150000</v>
      </c>
      <c r="BU25" s="82">
        <f t="shared" ca="1" si="100"/>
        <v>100</v>
      </c>
      <c r="BV25" s="81">
        <f ca="1">IFERROR(__xludf.DUMMYFUNCTION("IMPORTRANGE(""https://docs.google.com/spreadsheets/d/1Wbcosgy-Xa1xXUArJSOenub6EfZHUSzc_bpJFWwQUf0/edit?usp=sharing"",""แม่ฮ่องสอน!I225"")"),0)</f>
        <v>0</v>
      </c>
      <c r="BW25" s="81">
        <f ca="1">IFERROR(__xludf.DUMMYFUNCTION("IMPORTRANGE(""https://docs.google.com/spreadsheets/d/1Wbcosgy-Xa1xXUArJSOenub6EfZHUSzc_bpJFWwQUf0/edit?usp=sharing"",""แม่ฮ่องสอน!J225"")"),0)</f>
        <v>0</v>
      </c>
      <c r="BX25" s="82">
        <f t="shared" ca="1" si="101"/>
        <v>0</v>
      </c>
      <c r="BY25" s="81">
        <f ca="1">IFERROR(__xludf.DUMMYFUNCTION("IMPORTRANGE(""https://docs.google.com/spreadsheets/d/1Wbcosgy-Xa1xXUArJSOenub6EfZHUSzc_bpJFWwQUf0/edit?usp=sharing"",""แม่ฮ่องสอน!L228"")"),0)</f>
        <v>0</v>
      </c>
      <c r="BZ25" s="81">
        <f ca="1">IFERROR(__xludf.DUMMYFUNCTION("IMPORTRANGE(""https://docs.google.com/spreadsheets/d/1Wbcosgy-Xa1xXUArJSOenub6EfZHUSzc_bpJFWwQUf0/edit?usp=sharing"",""แม่ฮ่องสอน!N228"")"),0)</f>
        <v>0</v>
      </c>
      <c r="CA25" s="82">
        <f t="shared" ca="1" si="102"/>
        <v>0</v>
      </c>
      <c r="CB25" s="81">
        <f ca="1">IFERROR(__xludf.DUMMYFUNCTION("IMPORTRANGE(""https://docs.google.com/spreadsheets/d/1Wbcosgy-Xa1xXUArJSOenub6EfZHUSzc_bpJFWwQUf0/edit?usp=sharing"",""แม่ฮ่องสอน!L229"")"),0)</f>
        <v>0</v>
      </c>
      <c r="CC25" s="81">
        <f ca="1">IFERROR(__xludf.DUMMYFUNCTION("IMPORTRANGE(""https://docs.google.com/spreadsheets/d/1Wbcosgy-Xa1xXUArJSOenub6EfZHUSzc_bpJFWwQUf0/edit?usp=sharing"",""แม่ฮ่องสอน!N229"")"),0)</f>
        <v>0</v>
      </c>
      <c r="CD25" s="82">
        <f t="shared" ca="1" si="103"/>
        <v>0</v>
      </c>
      <c r="CE25" s="81">
        <f ca="1">IFERROR(__xludf.DUMMYFUNCTION("IMPORTRANGE(""https://docs.google.com/spreadsheets/d/1Wbcosgy-Xa1xXUArJSOenub6EfZHUSzc_bpJFWwQUf0/edit?usp=sharing"",""แม่ฮ่องสอน!L230"")"),0)</f>
        <v>0</v>
      </c>
      <c r="CF25" s="81">
        <f ca="1">IFERROR(__xludf.DUMMYFUNCTION("IMPORTRANGE(""https://docs.google.com/spreadsheets/d/1Wbcosgy-Xa1xXUArJSOenub6EfZHUSzc_bpJFWwQUf0/edit?usp=sharing"",""แม่ฮ่องสอน!N230"")"),0)</f>
        <v>0</v>
      </c>
      <c r="CG25" s="82">
        <f t="shared" ca="1" si="104"/>
        <v>0</v>
      </c>
      <c r="CH25" s="81">
        <f ca="1">IFERROR(__xludf.DUMMYFUNCTION("IMPORTRANGE(""https://docs.google.com/spreadsheets/d/1Wbcosgy-Xa1xXUArJSOenub6EfZHUSzc_bpJFWwQUf0/edit?usp=sharing"",""แม่ฮ่องสอน!L231"")"),0)</f>
        <v>0</v>
      </c>
      <c r="CI25" s="81">
        <f ca="1">IFERROR(__xludf.DUMMYFUNCTION("IMPORTRANGE(""https://docs.google.com/spreadsheets/d/1Wbcosgy-Xa1xXUArJSOenub6EfZHUSzc_bpJFWwQUf0/edit?usp=sharing"",""แม่ฮ่องสอน!N231"")"),0)</f>
        <v>0</v>
      </c>
      <c r="CJ25" s="82">
        <f t="shared" ca="1" si="105"/>
        <v>0</v>
      </c>
      <c r="CK25" s="81">
        <f ca="1">IFERROR(__xludf.DUMMYFUNCTION("IMPORTRANGE(""https://docs.google.com/spreadsheets/d/1Wbcosgy-Xa1xXUArJSOenub6EfZHUSzc_bpJFWwQUf0/edit?usp=sharing"",""แม่ฮ่องสอน!I233"")"),0)</f>
        <v>0</v>
      </c>
      <c r="CL25" s="81">
        <f ca="1">IFERROR(__xludf.DUMMYFUNCTION("IMPORTRANGE(""https://docs.google.com/spreadsheets/d/1Wbcosgy-Xa1xXUArJSOenub6EfZHUSzc_bpJFWwQUf0/edit?usp=sharing"",""แม่ฮ่องสอน!J233"")"),0)</f>
        <v>0</v>
      </c>
      <c r="CM25" s="82">
        <f t="shared" ca="1" si="106"/>
        <v>0</v>
      </c>
      <c r="CN25" s="81">
        <f ca="1">IFERROR(__xludf.DUMMYFUNCTION("IMPORTRANGE(""https://docs.google.com/spreadsheets/d/1Wbcosgy-Xa1xXUArJSOenub6EfZHUSzc_bpJFWwQUf0/edit?usp=sharing"",""แม่ฮ่องสอน!J235"")"),0)</f>
        <v>0</v>
      </c>
      <c r="CO25" s="81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3">
        <v>13</v>
      </c>
      <c r="B26" s="74" t="s">
        <v>48</v>
      </c>
      <c r="C26" s="75">
        <f t="shared" ca="1" si="0"/>
        <v>55500</v>
      </c>
      <c r="D26" s="76">
        <f t="shared" ca="1" si="133"/>
        <v>55500</v>
      </c>
      <c r="E26" s="77">
        <f ca="1">IFERROR(__xludf.DUMMYFUNCTION("IMPORTRANGE(""https://docs.google.com/spreadsheets/d/1MeEWN-I1oV_STSDYn1IFDPWt_1FKiwhDph83XaGc0o0/edit?usp=sharing"",""งบพรบ!CP26"")"),0)</f>
        <v>0</v>
      </c>
      <c r="F26" s="77">
        <f ca="1">IFERROR(__xludf.DUMMYFUNCTION("IMPORTRANGE(""https://docs.google.com/spreadsheets/d/1MeEWN-I1oV_STSDYn1IFDPWt_1FKiwhDph83XaGc0o0/edit?usp=sharing"",""งบพรบ!CQ26"")"),55500)</f>
        <v>55500</v>
      </c>
      <c r="G26" s="77">
        <f ca="1">IFERROR(__xludf.DUMMYFUNCTION("IMPORTRANGE(""https://docs.google.com/spreadsheets/d/1MeEWN-I1oV_STSDYn1IFDPWt_1FKiwhDph83XaGc0o0/edit?usp=sharing"",""งบพรบ!CR26"")"),0)</f>
        <v>0</v>
      </c>
      <c r="H26" s="77">
        <f ca="1">IFERROR(__xludf.DUMMYFUNCTION("IMPORTRANGE(""https://docs.google.com/spreadsheets/d/1MeEWN-I1oV_STSDYn1IFDPWt_1FKiwhDph83XaGc0o0/edit?usp=sharing"",""งบพรบ!CT26"")"),55500)</f>
        <v>55500</v>
      </c>
      <c r="I26" s="77">
        <f ca="1">IFERROR(__xludf.DUMMYFUNCTION("IMPORTRANGE(""https://docs.google.com/spreadsheets/d/1MeEWN-I1oV_STSDYn1IFDPWt_1FKiwhDph83XaGc0o0/edit?usp=sharing"",""งบพรบ!CU26"")"),0)</f>
        <v>0</v>
      </c>
      <c r="J26" s="77">
        <f t="shared" ca="1" si="3"/>
        <v>55500</v>
      </c>
      <c r="K26" s="78">
        <f t="shared" ca="1" si="4"/>
        <v>100</v>
      </c>
      <c r="L26" s="77">
        <f ca="1">IFERROR(__xludf.DUMMYFUNCTION("IMPORTRANGE(""https://docs.google.com/spreadsheets/d/1MeEWN-I1oV_STSDYn1IFDPWt_1FKiwhDph83XaGc0o0/edit?usp=sharing"",""งบพรบ!CV26"")"),55500)</f>
        <v>55500</v>
      </c>
      <c r="M26" s="79">
        <f t="shared" ca="1" si="5"/>
        <v>100</v>
      </c>
      <c r="N26" s="79">
        <f t="shared" ca="1" si="6"/>
        <v>100</v>
      </c>
      <c r="O26" s="80">
        <f ca="1">IFERROR(__xludf.DUMMYFUNCTION("IMPORTRANGE(""https://docs.google.com/spreadsheets/d/1MeEWN-I1oV_STSDYn1IFDPWt_1FKiwhDph83XaGc0o0/edit?usp=sharing"",""งบพรบ!CW26"")"),0)</f>
        <v>0</v>
      </c>
      <c r="P26" s="80">
        <f t="shared" ca="1" si="10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IFERROR(__xludf.DUMMYFUNCTION("IMPORTRANGE(""https://docs.google.com/spreadsheets/d/1p7ERhsr0qZeSn-KSOdeHS9r0heI-lHtkcn2OH7hP0jQ/edit?usp=sharing"",""ลำปาง!L191"")"),6000)</f>
        <v>6000</v>
      </c>
      <c r="S26" s="81">
        <f ca="1">IFERROR(__xludf.DUMMYFUNCTION("IMPORTRANGE(""https://docs.google.com/spreadsheets/d/1p7ERhsr0qZeSn-KSOdeHS9r0heI-lHtkcn2OH7hP0jQ/edit?usp=sharing"",""ลำปาง!N191"")"),6000)</f>
        <v>6000</v>
      </c>
      <c r="T26" s="82">
        <f t="shared" ca="1" si="84"/>
        <v>100</v>
      </c>
      <c r="U26" s="81">
        <f ca="1">IFERROR(__xludf.DUMMYFUNCTION("IMPORTRANGE(""https://docs.google.com/spreadsheets/d/1p7ERhsr0qZeSn-KSOdeHS9r0heI-lHtkcn2OH7hP0jQ/edit?usp=sharing"",""ลำปาง!I193"")"),4)</f>
        <v>4</v>
      </c>
      <c r="V26" s="81">
        <f ca="1">IFERROR(__xludf.DUMMYFUNCTION("IMPORTRANGE(""https://docs.google.com/spreadsheets/d/1p7ERhsr0qZeSn-KSOdeHS9r0heI-lHtkcn2OH7hP0jQ/edit?usp=sharing"",""ลำปาง!J193"")"),4)</f>
        <v>4</v>
      </c>
      <c r="W26" s="82">
        <f t="shared" ca="1" si="85"/>
        <v>100</v>
      </c>
      <c r="X26" s="81">
        <f t="shared" ca="1" si="134"/>
        <v>147</v>
      </c>
      <c r="Y26" s="81">
        <f ca="1">IFERROR(__xludf.DUMMYFUNCTION("IMPORTRANGE(""https://docs.google.com/spreadsheets/d/1p7ERhsr0qZeSn-KSOdeHS9r0heI-lHtkcn2OH7hP0jQ/edit?usp=sharing"",""ลำปาง!J195"")"),147)</f>
        <v>147</v>
      </c>
      <c r="Z26" s="81">
        <f ca="1">IFERROR(__xludf.DUMMYFUNCTION("IMPORTRANGE(""https://docs.google.com/spreadsheets/d/1p7ERhsr0qZeSn-KSOdeHS9r0heI-lHtkcn2OH7hP0jQ/edit?usp=sharing"",""ลำปาง!J196"")"),0)</f>
        <v>0</v>
      </c>
      <c r="AA26" s="81">
        <f ca="1">IFERROR(__xludf.DUMMYFUNCTION("IMPORTRANGE(""https://docs.google.com/spreadsheets/d/1p7ERhsr0qZeSn-KSOdeHS9r0heI-lHtkcn2OH7hP0jQ/edit?usp=sharing"",""ลำปาง!L199"")"),2000)</f>
        <v>2000</v>
      </c>
      <c r="AB26" s="81">
        <f ca="1">IFERROR(__xludf.DUMMYFUNCTION("IMPORTRANGE(""https://docs.google.com/spreadsheets/d/1p7ERhsr0qZeSn-KSOdeHS9r0heI-lHtkcn2OH7hP0jQ/edit?usp=sharing"",""ลำปาง!N199"")"),2000)</f>
        <v>2000</v>
      </c>
      <c r="AC26" s="82">
        <f t="shared" ca="1" si="86"/>
        <v>100</v>
      </c>
      <c r="AD26" s="81">
        <f ca="1">IFERROR(__xludf.DUMMYFUNCTION("IMPORTRANGE(""https://docs.google.com/spreadsheets/d/1p7ERhsr0qZeSn-KSOdeHS9r0heI-lHtkcn2OH7hP0jQ/edit?usp=sharing"",""ลำปาง!L200"")"),16000)</f>
        <v>16000</v>
      </c>
      <c r="AE26" s="81">
        <f ca="1">IFERROR(__xludf.DUMMYFUNCTION("IMPORTRANGE(""https://docs.google.com/spreadsheets/d/1p7ERhsr0qZeSn-KSOdeHS9r0heI-lHtkcn2OH7hP0jQ/edit?usp=sharing"",""ลำปาง!N200"")"),16000)</f>
        <v>16000</v>
      </c>
      <c r="AF26" s="82">
        <f t="shared" ca="1" si="87"/>
        <v>100</v>
      </c>
      <c r="AG26" s="81">
        <f ca="1">IFERROR(__xludf.DUMMYFUNCTION("IMPORTRANGE(""https://docs.google.com/spreadsheets/d/1p7ERhsr0qZeSn-KSOdeHS9r0heI-lHtkcn2OH7hP0jQ/edit?usp=sharing"",""ลำปาง!L201"")"),8000)</f>
        <v>8000</v>
      </c>
      <c r="AH26" s="81">
        <f ca="1">IFERROR(__xludf.DUMMYFUNCTION("IMPORTRANGE(""https://docs.google.com/spreadsheets/d/1p7ERhsr0qZeSn-KSOdeHS9r0heI-lHtkcn2OH7hP0jQ/edit?usp=sharing"",""ลำปาง!N201"")"),8000)</f>
        <v>8000</v>
      </c>
      <c r="AI26" s="82">
        <f t="shared" ca="1" si="88"/>
        <v>100</v>
      </c>
      <c r="AJ26" s="81">
        <f ca="1">IFERROR(__xludf.DUMMYFUNCTION("IMPORTRANGE(""https://docs.google.com/spreadsheets/d/1p7ERhsr0qZeSn-KSOdeHS9r0heI-lHtkcn2OH7hP0jQ/edit?usp=sharing"",""ลำปาง!L202"")"),5000)</f>
        <v>5000</v>
      </c>
      <c r="AK26" s="81">
        <f ca="1">IFERROR(__xludf.DUMMYFUNCTION("IMPORTRANGE(""https://docs.google.com/spreadsheets/d/1p7ERhsr0qZeSn-KSOdeHS9r0heI-lHtkcn2OH7hP0jQ/edit?usp=sharing"",""ลำปาง!N202"")"),5000)</f>
        <v>5000</v>
      </c>
      <c r="AL26" s="82">
        <f t="shared" ca="1" si="89"/>
        <v>100</v>
      </c>
      <c r="AM26" s="81">
        <f ca="1">IFERROR(__xludf.DUMMYFUNCTION("IMPORTRANGE(""https://docs.google.com/spreadsheets/d/1p7ERhsr0qZeSn-KSOdeHS9r0heI-lHtkcn2OH7hP0jQ/edit?usp=sharing"",""ลำปาง!I204"")"),2)</f>
        <v>2</v>
      </c>
      <c r="AN26" s="81">
        <f ca="1">IFERROR(__xludf.DUMMYFUNCTION("IMPORTRANGE(""https://docs.google.com/spreadsheets/d/1p7ERhsr0qZeSn-KSOdeHS9r0heI-lHtkcn2OH7hP0jQ/edit?usp=sharing"",""ลำปาง!J204"")"),2)</f>
        <v>2</v>
      </c>
      <c r="AO26" s="82">
        <f t="shared" ca="1" si="90"/>
        <v>100</v>
      </c>
      <c r="AP26" s="297">
        <f ca="1">IFERROR(__xludf.DUMMYFUNCTION("IMPORTRANGE(""https://docs.google.com/spreadsheets/d/1p7ERhsr0qZeSn-KSOdeHS9r0heI-lHtkcn2OH7hP0jQ/edit?usp=sharing"",""ลำปาง!J206"")"),2)</f>
        <v>2</v>
      </c>
      <c r="AQ26" s="297">
        <f ca="1">IFERROR(__xludf.DUMMYFUNCTION("IMPORTRANGE(""https://docs.google.com/spreadsheets/d/1p7ERhsr0qZeSn-KSOdeHS9r0heI-lHtkcn2OH7hP0jQ/edit?usp=sharing"",""ลำปาง!J207"")"),1)</f>
        <v>1</v>
      </c>
      <c r="AR26" s="81">
        <f ca="1">IFERROR(__xludf.DUMMYFUNCTION("IMPORTRANGE(""https://docs.google.com/spreadsheets/d/1p7ERhsr0qZeSn-KSOdeHS9r0heI-lHtkcn2OH7hP0jQ/edit?usp=sharing"",""ลำปาง!L210"")"),0)</f>
        <v>0</v>
      </c>
      <c r="AS26" s="81">
        <f ca="1">IFERROR(__xludf.DUMMYFUNCTION("IMPORTRANGE(""https://docs.google.com/spreadsheets/d/1p7ERhsr0qZeSn-KSOdeHS9r0heI-lHtkcn2OH7hP0jQ/edit?usp=sharing"",""ลำปาง!N210"")"),0)</f>
        <v>0</v>
      </c>
      <c r="AT26" s="82">
        <f t="shared" ca="1" si="91"/>
        <v>0</v>
      </c>
      <c r="AU26" s="81">
        <f ca="1">IFERROR(__xludf.DUMMYFUNCTION("IMPORTRANGE(""https://docs.google.com/spreadsheets/d/1p7ERhsr0qZeSn-KSOdeHS9r0heI-lHtkcn2OH7hP0jQ/edit?usp=sharing"",""ลำปาง!L211"")"),0)</f>
        <v>0</v>
      </c>
      <c r="AV26" s="81">
        <f ca="1">IFERROR(__xludf.DUMMYFUNCTION("IMPORTRANGE(""https://docs.google.com/spreadsheets/d/1p7ERhsr0qZeSn-KSOdeHS9r0heI-lHtkcn2OH7hP0jQ/edit?usp=sharing"",""ลำปาง!N211"")"),0)</f>
        <v>0</v>
      </c>
      <c r="AW26" s="82">
        <f t="shared" ca="1" si="92"/>
        <v>0</v>
      </c>
      <c r="AX26" s="81">
        <f ca="1">IFERROR(__xludf.DUMMYFUNCTION("IMPORTRANGE(""https://docs.google.com/spreadsheets/d/1p7ERhsr0qZeSn-KSOdeHS9r0heI-lHtkcn2OH7hP0jQ/edit?usp=sharing"",""ลำปาง!L212"")"),0)</f>
        <v>0</v>
      </c>
      <c r="AY26" s="81">
        <f ca="1">IFERROR(__xludf.DUMMYFUNCTION("IMPORTRANGE(""https://docs.google.com/spreadsheets/d/1p7ERhsr0qZeSn-KSOdeHS9r0heI-lHtkcn2OH7hP0jQ/edit?usp=sharing"",""ลำปาง!N212"")"),0)</f>
        <v>0</v>
      </c>
      <c r="AZ26" s="82">
        <f t="shared" ca="1" si="93"/>
        <v>0</v>
      </c>
      <c r="BA26" s="81">
        <f ca="1">IFERROR(__xludf.DUMMYFUNCTION("IMPORTRANGE(""https://docs.google.com/spreadsheets/d/1p7ERhsr0qZeSn-KSOdeHS9r0heI-lHtkcn2OH7hP0jQ/edit?usp=sharing"",""ลำปาง!I214"")"),0)</f>
        <v>0</v>
      </c>
      <c r="BB26" s="81">
        <f ca="1">IFERROR(__xludf.DUMMYFUNCTION("IMPORTRANGE(""https://docs.google.com/spreadsheets/d/1p7ERhsr0qZeSn-KSOdeHS9r0heI-lHtkcn2OH7hP0jQ/edit?usp=sharing"",""ลำปาง!J214"")"),0)</f>
        <v>0</v>
      </c>
      <c r="BC26" s="82">
        <f t="shared" ca="1" si="94"/>
        <v>0</v>
      </c>
      <c r="BD26" s="81">
        <f ca="1">IFERROR(__xludf.DUMMYFUNCTION("IMPORTRANGE(""https://docs.google.com/spreadsheets/d/1p7ERhsr0qZeSn-KSOdeHS9r0heI-lHtkcn2OH7hP0jQ/edit?usp=sharing"",""ลำปาง!I215"")"),0)</f>
        <v>0</v>
      </c>
      <c r="BE26" s="81">
        <f ca="1">IFERROR(__xludf.DUMMYFUNCTION("IMPORTRANGE(""https://docs.google.com/spreadsheets/d/1p7ERhsr0qZeSn-KSOdeHS9r0heI-lHtkcn2OH7hP0jQ/edit?usp=sharing"",""ลำปาง!J215"")"),0)</f>
        <v>0</v>
      </c>
      <c r="BF26" s="82">
        <f t="shared" ca="1" si="95"/>
        <v>0</v>
      </c>
      <c r="BG26" s="81">
        <f ca="1">IFERROR(__xludf.DUMMYFUNCTION("IMPORTRANGE(""https://docs.google.com/spreadsheets/d/1p7ERhsr0qZeSn-KSOdeHS9r0heI-lHtkcn2OH7hP0jQ/edit?usp=sharing"",""ลำปาง!L218"")"),5000)</f>
        <v>5000</v>
      </c>
      <c r="BH26" s="81">
        <f ca="1">IFERROR(__xludf.DUMMYFUNCTION("IMPORTRANGE(""https://docs.google.com/spreadsheets/d/1p7ERhsr0qZeSn-KSOdeHS9r0heI-lHtkcn2OH7hP0jQ/edit?usp=sharing"",""ลำปาง!N218"")"),4000)</f>
        <v>4000</v>
      </c>
      <c r="BI26" s="82">
        <f t="shared" ca="1" si="96"/>
        <v>80</v>
      </c>
      <c r="BJ26" s="81">
        <f ca="1">IFERROR(__xludf.DUMMYFUNCTION("IMPORTRANGE(""https://docs.google.com/spreadsheets/d/1p7ERhsr0qZeSn-KSOdeHS9r0heI-lHtkcn2OH7hP0jQ/edit?usp=sharing"",""ลำปาง!L219"")"),13500)</f>
        <v>13500</v>
      </c>
      <c r="BK26" s="81">
        <f ca="1">IFERROR(__xludf.DUMMYFUNCTION("IMPORTRANGE(""https://docs.google.com/spreadsheets/d/1p7ERhsr0qZeSn-KSOdeHS9r0heI-lHtkcn2OH7hP0jQ/edit?usp=sharing"",""ลำปาง!N219"")"),13500)</f>
        <v>13500</v>
      </c>
      <c r="BL26" s="82">
        <f t="shared" ca="1" si="97"/>
        <v>100</v>
      </c>
      <c r="BM26" s="81">
        <f ca="1">IFERROR(__xludf.DUMMYFUNCTION("IMPORTRANGE(""https://docs.google.com/spreadsheets/d/1p7ERhsr0qZeSn-KSOdeHS9r0heI-lHtkcn2OH7hP0jQ/edit?usp=sharing"",""ลำปาง!L220"")"),0)</f>
        <v>0</v>
      </c>
      <c r="BN26" s="81">
        <f ca="1">IFERROR(__xludf.DUMMYFUNCTION("IMPORTRANGE(""https://docs.google.com/spreadsheets/d/1p7ERhsr0qZeSn-KSOdeHS9r0heI-lHtkcn2OH7hP0jQ/edit?usp=sharing"",""ลำปาง!N220"")"),0)</f>
        <v>0</v>
      </c>
      <c r="BO26" s="82">
        <f t="shared" ca="1" si="98"/>
        <v>0</v>
      </c>
      <c r="BP26" s="81">
        <f ca="1">IFERROR(__xludf.DUMMYFUNCTION("IMPORTRANGE(""https://docs.google.com/spreadsheets/d/1p7ERhsr0qZeSn-KSOdeHS9r0heI-lHtkcn2OH7hP0jQ/edit?usp=sharing"",""ลำปาง!I223"")"),50000)</f>
        <v>50000</v>
      </c>
      <c r="BQ26" s="81">
        <f ca="1">IFERROR(__xludf.DUMMYFUNCTION("IMPORTRANGE(""https://docs.google.com/spreadsheets/d/1p7ERhsr0qZeSn-KSOdeHS9r0heI-lHtkcn2OH7hP0jQ/edit?usp=sharing"",""ลำปาง!J223"")"),50000)</f>
        <v>50000</v>
      </c>
      <c r="BR26" s="82">
        <f t="shared" ca="1" si="99"/>
        <v>100</v>
      </c>
      <c r="BS26" s="81">
        <f ca="1">IFERROR(__xludf.DUMMYFUNCTION("IMPORTRANGE(""https://docs.google.com/spreadsheets/d/1p7ERhsr0qZeSn-KSOdeHS9r0heI-lHtkcn2OH7hP0jQ/edit?usp=sharing"",""ลำปาง!I224"")"),50000)</f>
        <v>50000</v>
      </c>
      <c r="BT26" s="81">
        <f ca="1">IFERROR(__xludf.DUMMYFUNCTION("IMPORTRANGE(""https://docs.google.com/spreadsheets/d/1p7ERhsr0qZeSn-KSOdeHS9r0heI-lHtkcn2OH7hP0jQ/edit?usp=sharing"",""ลำปาง!J224"")"),50000)</f>
        <v>50000</v>
      </c>
      <c r="BU26" s="82">
        <f t="shared" ca="1" si="100"/>
        <v>100</v>
      </c>
      <c r="BV26" s="81">
        <f ca="1">IFERROR(__xludf.DUMMYFUNCTION("IMPORTRANGE(""https://docs.google.com/spreadsheets/d/1p7ERhsr0qZeSn-KSOdeHS9r0heI-lHtkcn2OH7hP0jQ/edit?usp=sharing"",""ลำปาง!I225"")"),0)</f>
        <v>0</v>
      </c>
      <c r="BW26" s="81">
        <f ca="1">IFERROR(__xludf.DUMMYFUNCTION("IMPORTRANGE(""https://docs.google.com/spreadsheets/d/1p7ERhsr0qZeSn-KSOdeHS9r0heI-lHtkcn2OH7hP0jQ/edit?usp=sharing"",""ลำปาง!J225"")"),0)</f>
        <v>0</v>
      </c>
      <c r="BX26" s="82">
        <f t="shared" ca="1" si="101"/>
        <v>0</v>
      </c>
      <c r="BY26" s="81">
        <f ca="1">IFERROR(__xludf.DUMMYFUNCTION("IMPORTRANGE(""https://docs.google.com/spreadsheets/d/1p7ERhsr0qZeSn-KSOdeHS9r0heI-lHtkcn2OH7hP0jQ/edit?usp=sharing"",""ลำปาง!L228"")"),0)</f>
        <v>0</v>
      </c>
      <c r="BZ26" s="81">
        <f ca="1">IFERROR(__xludf.DUMMYFUNCTION("IMPORTRANGE(""https://docs.google.com/spreadsheets/d/1p7ERhsr0qZeSn-KSOdeHS9r0heI-lHtkcn2OH7hP0jQ/edit?usp=sharing"",""ลำปาง!N228"")"),0)</f>
        <v>0</v>
      </c>
      <c r="CA26" s="82">
        <f t="shared" ca="1" si="102"/>
        <v>0</v>
      </c>
      <c r="CB26" s="81">
        <f ca="1">IFERROR(__xludf.DUMMYFUNCTION("IMPORTRANGE(""https://docs.google.com/spreadsheets/d/1p7ERhsr0qZeSn-KSOdeHS9r0heI-lHtkcn2OH7hP0jQ/edit?usp=sharing"",""ลำปาง!L229"")"),0)</f>
        <v>0</v>
      </c>
      <c r="CC26" s="81">
        <f ca="1">IFERROR(__xludf.DUMMYFUNCTION("IMPORTRANGE(""https://docs.google.com/spreadsheets/d/1p7ERhsr0qZeSn-KSOdeHS9r0heI-lHtkcn2OH7hP0jQ/edit?usp=sharing"",""ลำปาง!N229"")"),0)</f>
        <v>0</v>
      </c>
      <c r="CD26" s="82">
        <f t="shared" ca="1" si="103"/>
        <v>0</v>
      </c>
      <c r="CE26" s="81">
        <f ca="1">IFERROR(__xludf.DUMMYFUNCTION("IMPORTRANGE(""https://docs.google.com/spreadsheets/d/1p7ERhsr0qZeSn-KSOdeHS9r0heI-lHtkcn2OH7hP0jQ/edit?usp=sharing"",""ลำปาง!L230"")"),0)</f>
        <v>0</v>
      </c>
      <c r="CF26" s="81">
        <f ca="1">IFERROR(__xludf.DUMMYFUNCTION("IMPORTRANGE(""https://docs.google.com/spreadsheets/d/1p7ERhsr0qZeSn-KSOdeHS9r0heI-lHtkcn2OH7hP0jQ/edit?usp=sharing"",""ลำปาง!N230"")"),0)</f>
        <v>0</v>
      </c>
      <c r="CG26" s="82">
        <f t="shared" ca="1" si="104"/>
        <v>0</v>
      </c>
      <c r="CH26" s="81">
        <f ca="1">IFERROR(__xludf.DUMMYFUNCTION("IMPORTRANGE(""https://docs.google.com/spreadsheets/d/1p7ERhsr0qZeSn-KSOdeHS9r0heI-lHtkcn2OH7hP0jQ/edit?usp=sharing"",""ลำปาง!L231"")"),0)</f>
        <v>0</v>
      </c>
      <c r="CI26" s="81">
        <f ca="1">IFERROR(__xludf.DUMMYFUNCTION("IMPORTRANGE(""https://docs.google.com/spreadsheets/d/1p7ERhsr0qZeSn-KSOdeHS9r0heI-lHtkcn2OH7hP0jQ/edit?usp=sharing"",""ลำปาง!N231"")"),0)</f>
        <v>0</v>
      </c>
      <c r="CJ26" s="82">
        <f t="shared" ca="1" si="105"/>
        <v>0</v>
      </c>
      <c r="CK26" s="81">
        <f ca="1">IFERROR(__xludf.DUMMYFUNCTION("IMPORTRANGE(""https://docs.google.com/spreadsheets/d/1p7ERhsr0qZeSn-KSOdeHS9r0heI-lHtkcn2OH7hP0jQ/edit?usp=sharing"",""ลำปาง!I233"")"),0)</f>
        <v>0</v>
      </c>
      <c r="CL26" s="81">
        <f ca="1">IFERROR(__xludf.DUMMYFUNCTION("IMPORTRANGE(""https://docs.google.com/spreadsheets/d/1p7ERhsr0qZeSn-KSOdeHS9r0heI-lHtkcn2OH7hP0jQ/edit?usp=sharing"",""ลำปาง!J233"")"),0)</f>
        <v>0</v>
      </c>
      <c r="CM26" s="82">
        <f t="shared" ca="1" si="106"/>
        <v>0</v>
      </c>
      <c r="CN26" s="81">
        <f ca="1">IFERROR(__xludf.DUMMYFUNCTION("IMPORTRANGE(""https://docs.google.com/spreadsheets/d/1p7ERhsr0qZeSn-KSOdeHS9r0heI-lHtkcn2OH7hP0jQ/edit?usp=sharing"",""ลำปาง!J235"")"),0)</f>
        <v>0</v>
      </c>
      <c r="CO26" s="81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3">
        <v>14</v>
      </c>
      <c r="B27" s="74" t="s">
        <v>49</v>
      </c>
      <c r="C27" s="75">
        <f t="shared" ca="1" si="0"/>
        <v>665550</v>
      </c>
      <c r="D27" s="76">
        <f t="shared" ca="1" si="133"/>
        <v>665550</v>
      </c>
      <c r="E27" s="77">
        <f ca="1">IFERROR(__xludf.DUMMYFUNCTION("IMPORTRANGE(""https://docs.google.com/spreadsheets/d/1MeEWN-I1oV_STSDYn1IFDPWt_1FKiwhDph83XaGc0o0/edit?usp=sharing"",""งบพรบ!CP27"")"),0)</f>
        <v>0</v>
      </c>
      <c r="F27" s="77">
        <f ca="1">IFERROR(__xludf.DUMMYFUNCTION("IMPORTRANGE(""https://docs.google.com/spreadsheets/d/1MeEWN-I1oV_STSDYn1IFDPWt_1FKiwhDph83XaGc0o0/edit?usp=sharing"",""งบพรบ!CQ27"")"),665550)</f>
        <v>665550</v>
      </c>
      <c r="G27" s="77">
        <f ca="1">IFERROR(__xludf.DUMMYFUNCTION("IMPORTRANGE(""https://docs.google.com/spreadsheets/d/1MeEWN-I1oV_STSDYn1IFDPWt_1FKiwhDph83XaGc0o0/edit?usp=sharing"",""งบพรบ!CR27"")"),0)</f>
        <v>0</v>
      </c>
      <c r="H27" s="77">
        <f ca="1">IFERROR(__xludf.DUMMYFUNCTION("IMPORTRANGE(""https://docs.google.com/spreadsheets/d/1MeEWN-I1oV_STSDYn1IFDPWt_1FKiwhDph83XaGc0o0/edit?usp=sharing"",""งบพรบ!CT27"")"),681990)</f>
        <v>681990</v>
      </c>
      <c r="I27" s="77">
        <f ca="1">IFERROR(__xludf.DUMMYFUNCTION("IMPORTRANGE(""https://docs.google.com/spreadsheets/d/1MeEWN-I1oV_STSDYn1IFDPWt_1FKiwhDph83XaGc0o0/edit?usp=sharing"",""งบพรบ!CU27"")"),0)</f>
        <v>0</v>
      </c>
      <c r="J27" s="77">
        <f t="shared" ca="1" si="3"/>
        <v>578117.76</v>
      </c>
      <c r="K27" s="78">
        <f t="shared" ca="1" si="4"/>
        <v>86.863159792652695</v>
      </c>
      <c r="L27" s="77">
        <f ca="1">IFERROR(__xludf.DUMMYFUNCTION("IMPORTRANGE(""https://docs.google.com/spreadsheets/d/1MeEWN-I1oV_STSDYn1IFDPWt_1FKiwhDph83XaGc0o0/edit?usp=sharing"",""งบพรบ!CV27"")"),578117.76)</f>
        <v>578117.76</v>
      </c>
      <c r="M27" s="79">
        <f t="shared" ca="1" si="5"/>
        <v>86.863159792652695</v>
      </c>
      <c r="N27" s="79">
        <f t="shared" ca="1" si="6"/>
        <v>84.769242950776402</v>
      </c>
      <c r="O27" s="80">
        <f ca="1">IFERROR(__xludf.DUMMYFUNCTION("IMPORTRANGE(""https://docs.google.com/spreadsheets/d/1MeEWN-I1oV_STSDYn1IFDPWt_1FKiwhDph83XaGc0o0/edit?usp=sharing"",""งบพรบ!CW27"")"),0)</f>
        <v>0</v>
      </c>
      <c r="P27" s="80">
        <f t="shared" ca="1" si="10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IFERROR(__xludf.DUMMYFUNCTION("IMPORTRANGE(""https://docs.google.com/spreadsheets/d/1-uUXvimVhiU2U0bMN-xi2te0tS4X7DI2GLPnMjzl8cA/edit?usp=sharing"",""ลำพูน!L191"")"),6000)</f>
        <v>6000</v>
      </c>
      <c r="S27" s="81">
        <f ca="1">IFERROR(__xludf.DUMMYFUNCTION("IMPORTRANGE(""https://docs.google.com/spreadsheets/d/1-uUXvimVhiU2U0bMN-xi2te0tS4X7DI2GLPnMjzl8cA/edit?usp=sharing"",""ลำพูน!N191"")"),6000)</f>
        <v>6000</v>
      </c>
      <c r="T27" s="82">
        <f t="shared" ca="1" si="84"/>
        <v>100</v>
      </c>
      <c r="U27" s="81">
        <f ca="1">IFERROR(__xludf.DUMMYFUNCTION("IMPORTRANGE(""https://docs.google.com/spreadsheets/d/1-uUXvimVhiU2U0bMN-xi2te0tS4X7DI2GLPnMjzl8cA/edit?usp=sharing"",""ลำพูน!I193"")"),4)</f>
        <v>4</v>
      </c>
      <c r="V27" s="81">
        <f ca="1">IFERROR(__xludf.DUMMYFUNCTION("IMPORTRANGE(""https://docs.google.com/spreadsheets/d/1-uUXvimVhiU2U0bMN-xi2te0tS4X7DI2GLPnMjzl8cA/edit?usp=sharing"",""ลำพูน!J193"")"),4)</f>
        <v>4</v>
      </c>
      <c r="W27" s="82">
        <f t="shared" ca="1" si="85"/>
        <v>100</v>
      </c>
      <c r="X27" s="81">
        <f t="shared" ca="1" si="134"/>
        <v>50</v>
      </c>
      <c r="Y27" s="81">
        <f ca="1">IFERROR(__xludf.DUMMYFUNCTION("IMPORTRANGE(""https://docs.google.com/spreadsheets/d/1-uUXvimVhiU2U0bMN-xi2te0tS4X7DI2GLPnMjzl8cA/edit?usp=sharing"",""ลำพูน!J195"")"),50)</f>
        <v>50</v>
      </c>
      <c r="Z27" s="81">
        <f ca="1">IFERROR(__xludf.DUMMYFUNCTION("IMPORTRANGE(""https://docs.google.com/spreadsheets/d/1-uUXvimVhiU2U0bMN-xi2te0tS4X7DI2GLPnMjzl8cA/edit?usp=sharing"",""ลำพูน!J196"")"),0)</f>
        <v>0</v>
      </c>
      <c r="AA27" s="81">
        <f ca="1">IFERROR(__xludf.DUMMYFUNCTION("IMPORTRANGE(""https://docs.google.com/spreadsheets/d/1-uUXvimVhiU2U0bMN-xi2te0tS4X7DI2GLPnMjzl8cA/edit?usp=sharing"",""ลำพูน!L199"")"),2000)</f>
        <v>2000</v>
      </c>
      <c r="AB27" s="81">
        <f ca="1">IFERROR(__xludf.DUMMYFUNCTION("IMPORTRANGE(""https://docs.google.com/spreadsheets/d/1-uUXvimVhiU2U0bMN-xi2te0tS4X7DI2GLPnMjzl8cA/edit?usp=sharing"",""ลำพูน!N199"")"),2000)</f>
        <v>2000</v>
      </c>
      <c r="AC27" s="82">
        <f t="shared" ca="1" si="86"/>
        <v>100</v>
      </c>
      <c r="AD27" s="81">
        <f ca="1">IFERROR(__xludf.DUMMYFUNCTION("IMPORTRANGE(""https://docs.google.com/spreadsheets/d/1-uUXvimVhiU2U0bMN-xi2te0tS4X7DI2GLPnMjzl8cA/edit?usp=sharing"",""ลำพูน!L200"")"),16000)</f>
        <v>16000</v>
      </c>
      <c r="AE27" s="81">
        <f ca="1">IFERROR(__xludf.DUMMYFUNCTION("IMPORTRANGE(""https://docs.google.com/spreadsheets/d/1-uUXvimVhiU2U0bMN-xi2te0tS4X7DI2GLPnMjzl8cA/edit?usp=sharing"",""ลำพูน!N200"")"),15637)</f>
        <v>15637</v>
      </c>
      <c r="AF27" s="82">
        <f t="shared" ca="1" si="87"/>
        <v>97.731250000000003</v>
      </c>
      <c r="AG27" s="81">
        <f ca="1">IFERROR(__xludf.DUMMYFUNCTION("IMPORTRANGE(""https://docs.google.com/spreadsheets/d/1-uUXvimVhiU2U0bMN-xi2te0tS4X7DI2GLPnMjzl8cA/edit?usp=sharing"",""ลำพูน!L201"")"),8000)</f>
        <v>8000</v>
      </c>
      <c r="AH27" s="81">
        <f ca="1">IFERROR(__xludf.DUMMYFUNCTION("IMPORTRANGE(""https://docs.google.com/spreadsheets/d/1-uUXvimVhiU2U0bMN-xi2te0tS4X7DI2GLPnMjzl8cA/edit?usp=sharing"",""ลำพูน!N201"")"),8000)</f>
        <v>8000</v>
      </c>
      <c r="AI27" s="82">
        <f t="shared" ca="1" si="88"/>
        <v>100</v>
      </c>
      <c r="AJ27" s="81">
        <f ca="1">IFERROR(__xludf.DUMMYFUNCTION("IMPORTRANGE(""https://docs.google.com/spreadsheets/d/1-uUXvimVhiU2U0bMN-xi2te0tS4X7DI2GLPnMjzl8cA/edit?usp=sharing"",""ลำพูน!L202"")"),0)</f>
        <v>0</v>
      </c>
      <c r="AK27" s="81">
        <f ca="1">IFERROR(__xludf.DUMMYFUNCTION("IMPORTRANGE(""https://docs.google.com/spreadsheets/d/1-uUXvimVhiU2U0bMN-xi2te0tS4X7DI2GLPnMjzl8cA/edit?usp=sharing"",""ลำพูน!N202"")"),0)</f>
        <v>0</v>
      </c>
      <c r="AL27" s="82">
        <f t="shared" ca="1" si="89"/>
        <v>0</v>
      </c>
      <c r="AM27" s="81">
        <f ca="1">IFERROR(__xludf.DUMMYFUNCTION("IMPORTRANGE(""https://docs.google.com/spreadsheets/d/1-uUXvimVhiU2U0bMN-xi2te0tS4X7DI2GLPnMjzl8cA/edit?usp=sharing"",""ลำพูน!I204"")"),2)</f>
        <v>2</v>
      </c>
      <c r="AN27" s="81">
        <f ca="1">IFERROR(__xludf.DUMMYFUNCTION("IMPORTRANGE(""https://docs.google.com/spreadsheets/d/1-uUXvimVhiU2U0bMN-xi2te0tS4X7DI2GLPnMjzl8cA/edit?usp=sharing"",""ลำพูน!J204"")"),2)</f>
        <v>2</v>
      </c>
      <c r="AO27" s="82">
        <f t="shared" ca="1" si="90"/>
        <v>100</v>
      </c>
      <c r="AP27" s="297">
        <f ca="1">IFERROR(__xludf.DUMMYFUNCTION("IMPORTRANGE(""https://docs.google.com/spreadsheets/d/1-uUXvimVhiU2U0bMN-xi2te0tS4X7DI2GLPnMjzl8cA/edit?usp=sharing"",""ลำพูน!J206"")"),2)</f>
        <v>2</v>
      </c>
      <c r="AQ27" s="297">
        <f ca="1">IFERROR(__xludf.DUMMYFUNCTION("IMPORTRANGE(""https://docs.google.com/spreadsheets/d/1-uUXvimVhiU2U0bMN-xi2te0tS4X7DI2GLPnMjzl8cA/edit?usp=sharing"",""ลำพูน!J207"")"),0)</f>
        <v>0</v>
      </c>
      <c r="AR27" s="81">
        <f ca="1">IFERROR(__xludf.DUMMYFUNCTION("IMPORTRANGE(""https://docs.google.com/spreadsheets/d/1-uUXvimVhiU2U0bMN-xi2te0tS4X7DI2GLPnMjzl8cA/edit?usp=sharing"",""ลำพูน!L210"")"),0)</f>
        <v>0</v>
      </c>
      <c r="AS27" s="81">
        <f ca="1">IFERROR(__xludf.DUMMYFUNCTION("IMPORTRANGE(""https://docs.google.com/spreadsheets/d/1-uUXvimVhiU2U0bMN-xi2te0tS4X7DI2GLPnMjzl8cA/edit?usp=sharing"",""ลำพูน!N210"")"),0)</f>
        <v>0</v>
      </c>
      <c r="AT27" s="82">
        <f t="shared" ca="1" si="91"/>
        <v>0</v>
      </c>
      <c r="AU27" s="81">
        <f ca="1">IFERROR(__xludf.DUMMYFUNCTION("IMPORTRANGE(""https://docs.google.com/spreadsheets/d/1-uUXvimVhiU2U0bMN-xi2te0tS4X7DI2GLPnMjzl8cA/edit?usp=sharing"",""ลำพูน!L211"")"),0)</f>
        <v>0</v>
      </c>
      <c r="AV27" s="81">
        <f ca="1">IFERROR(__xludf.DUMMYFUNCTION("IMPORTRANGE(""https://docs.google.com/spreadsheets/d/1-uUXvimVhiU2U0bMN-xi2te0tS4X7DI2GLPnMjzl8cA/edit?usp=sharing"",""ลำพูน!N211"")"),0)</f>
        <v>0</v>
      </c>
      <c r="AW27" s="82">
        <f t="shared" ca="1" si="92"/>
        <v>0</v>
      </c>
      <c r="AX27" s="81">
        <f ca="1">IFERROR(__xludf.DUMMYFUNCTION("IMPORTRANGE(""https://docs.google.com/spreadsheets/d/1-uUXvimVhiU2U0bMN-xi2te0tS4X7DI2GLPnMjzl8cA/edit?usp=sharing"",""ลำพูน!L212"")"),0)</f>
        <v>0</v>
      </c>
      <c r="AY27" s="81">
        <f ca="1">IFERROR(__xludf.DUMMYFUNCTION("IMPORTRANGE(""https://docs.google.com/spreadsheets/d/1-uUXvimVhiU2U0bMN-xi2te0tS4X7DI2GLPnMjzl8cA/edit?usp=sharing"",""ลำพูน!N212"")"),0)</f>
        <v>0</v>
      </c>
      <c r="AZ27" s="82">
        <f t="shared" ca="1" si="93"/>
        <v>0</v>
      </c>
      <c r="BA27" s="81">
        <f ca="1">IFERROR(__xludf.DUMMYFUNCTION("IMPORTRANGE(""https://docs.google.com/spreadsheets/d/1-uUXvimVhiU2U0bMN-xi2te0tS4X7DI2GLPnMjzl8cA/edit?usp=sharing"",""ลำพูน!I214"")"),0)</f>
        <v>0</v>
      </c>
      <c r="BB27" s="81">
        <f ca="1">IFERROR(__xludf.DUMMYFUNCTION("IMPORTRANGE(""https://docs.google.com/spreadsheets/d/1-uUXvimVhiU2U0bMN-xi2te0tS4X7DI2GLPnMjzl8cA/edit?usp=sharing"",""ลำพูน!J214"")"),0)</f>
        <v>0</v>
      </c>
      <c r="BC27" s="82">
        <f t="shared" ca="1" si="94"/>
        <v>0</v>
      </c>
      <c r="BD27" s="81">
        <f ca="1">IFERROR(__xludf.DUMMYFUNCTION("IMPORTRANGE(""https://docs.google.com/spreadsheets/d/1-uUXvimVhiU2U0bMN-xi2te0tS4X7DI2GLPnMjzl8cA/edit?usp=sharing"",""ลำพูน!I215"")"),0)</f>
        <v>0</v>
      </c>
      <c r="BE27" s="81">
        <f ca="1">IFERROR(__xludf.DUMMYFUNCTION("IMPORTRANGE(""https://docs.google.com/spreadsheets/d/1-uUXvimVhiU2U0bMN-xi2te0tS4X7DI2GLPnMjzl8cA/edit?usp=sharing"",""ลำพูน!J215"")"),0)</f>
        <v>0</v>
      </c>
      <c r="BF27" s="82">
        <f t="shared" ca="1" si="95"/>
        <v>0</v>
      </c>
      <c r="BG27" s="81">
        <f ca="1">IFERROR(__xludf.DUMMYFUNCTION("IMPORTRANGE(""https://docs.google.com/spreadsheets/d/1-uUXvimVhiU2U0bMN-xi2te0tS4X7DI2GLPnMjzl8cA/edit?usp=sharing"",""ลำพูน!L218"")"),6000)</f>
        <v>6000</v>
      </c>
      <c r="BH27" s="81">
        <f ca="1">IFERROR(__xludf.DUMMYFUNCTION("IMPORTRANGE(""https://docs.google.com/spreadsheets/d/1-uUXvimVhiU2U0bMN-xi2te0tS4X7DI2GLPnMjzl8cA/edit?usp=sharing"",""ลำพูน!N218"")"),6000)</f>
        <v>6000</v>
      </c>
      <c r="BI27" s="82">
        <f t="shared" ca="1" si="96"/>
        <v>100</v>
      </c>
      <c r="BJ27" s="81">
        <f ca="1">IFERROR(__xludf.DUMMYFUNCTION("IMPORTRANGE(""https://docs.google.com/spreadsheets/d/1-uUXvimVhiU2U0bMN-xi2te0tS4X7DI2GLPnMjzl8cA/edit?usp=sharing"",""ลำพูน!L219"")"),25000)</f>
        <v>25000</v>
      </c>
      <c r="BK27" s="81">
        <f ca="1">IFERROR(__xludf.DUMMYFUNCTION("IMPORTRANGE(""https://docs.google.com/spreadsheets/d/1-uUXvimVhiU2U0bMN-xi2te0tS4X7DI2GLPnMjzl8cA/edit?usp=sharing"",""ลำพูน!N219"")"),25000)</f>
        <v>25000</v>
      </c>
      <c r="BL27" s="82">
        <f t="shared" ca="1" si="97"/>
        <v>100</v>
      </c>
      <c r="BM27" s="81">
        <f ca="1">IFERROR(__xludf.DUMMYFUNCTION("IMPORTRANGE(""https://docs.google.com/spreadsheets/d/1-uUXvimVhiU2U0bMN-xi2te0tS4X7DI2GLPnMjzl8cA/edit?usp=sharing"",""ลำพูน!L220"")"),0)</f>
        <v>0</v>
      </c>
      <c r="BN27" s="81">
        <f ca="1">IFERROR(__xludf.DUMMYFUNCTION("IMPORTRANGE(""https://docs.google.com/spreadsheets/d/1-uUXvimVhiU2U0bMN-xi2te0tS4X7DI2GLPnMjzl8cA/edit?usp=sharing"",""ลำพูน!N220"")"),0)</f>
        <v>0</v>
      </c>
      <c r="BO27" s="82">
        <f t="shared" ca="1" si="98"/>
        <v>0</v>
      </c>
      <c r="BP27" s="81">
        <f ca="1">IFERROR(__xludf.DUMMYFUNCTION("IMPORTRANGE(""https://docs.google.com/spreadsheets/d/1-uUXvimVhiU2U0bMN-xi2te0tS4X7DI2GLPnMjzl8cA/edit?usp=sharing"",""ลำพูน!I223"")"),100000)</f>
        <v>100000</v>
      </c>
      <c r="BQ27" s="81">
        <f ca="1">IFERROR(__xludf.DUMMYFUNCTION("IMPORTRANGE(""https://docs.google.com/spreadsheets/d/1-uUXvimVhiU2U0bMN-xi2te0tS4X7DI2GLPnMjzl8cA/edit?usp=sharing"",""ลำพูน!J223"")"),100000)</f>
        <v>100000</v>
      </c>
      <c r="BR27" s="82">
        <f t="shared" ca="1" si="99"/>
        <v>100</v>
      </c>
      <c r="BS27" s="81">
        <f ca="1">IFERROR(__xludf.DUMMYFUNCTION("IMPORTRANGE(""https://docs.google.com/spreadsheets/d/1-uUXvimVhiU2U0bMN-xi2te0tS4X7DI2GLPnMjzl8cA/edit?usp=sharing"",""ลำพูน!I224"")"),100000)</f>
        <v>100000</v>
      </c>
      <c r="BT27" s="81">
        <f ca="1">IFERROR(__xludf.DUMMYFUNCTION("IMPORTRANGE(""https://docs.google.com/spreadsheets/d/1-uUXvimVhiU2U0bMN-xi2te0tS4X7DI2GLPnMjzl8cA/edit?usp=sharing"",""ลำพูน!J224"")"),100000)</f>
        <v>100000</v>
      </c>
      <c r="BU27" s="82">
        <f t="shared" ca="1" si="100"/>
        <v>100</v>
      </c>
      <c r="BV27" s="81">
        <f ca="1">IFERROR(__xludf.DUMMYFUNCTION("IMPORTRANGE(""https://docs.google.com/spreadsheets/d/1-uUXvimVhiU2U0bMN-xi2te0tS4X7DI2GLPnMjzl8cA/edit?usp=sharing"",""ลำพูน!I225"")"),0)</f>
        <v>0</v>
      </c>
      <c r="BW27" s="81">
        <f ca="1">IFERROR(__xludf.DUMMYFUNCTION("IMPORTRANGE(""https://docs.google.com/spreadsheets/d/1-uUXvimVhiU2U0bMN-xi2te0tS4X7DI2GLPnMjzl8cA/edit?usp=sharing"",""ลำพูน!J225"")"),0)</f>
        <v>0</v>
      </c>
      <c r="BX27" s="82">
        <f t="shared" ca="1" si="101"/>
        <v>0</v>
      </c>
      <c r="BY27" s="81">
        <f ca="1">IFERROR(__xludf.DUMMYFUNCTION("IMPORTRANGE(""https://docs.google.com/spreadsheets/d/1-uUXvimVhiU2U0bMN-xi2te0tS4X7DI2GLPnMjzl8cA/edit?usp=sharing"",""ลำพูน!L228"")"),416700)</f>
        <v>416700</v>
      </c>
      <c r="BZ27" s="81">
        <f ca="1">IFERROR(__xludf.DUMMYFUNCTION("IMPORTRANGE(""https://docs.google.com/spreadsheets/d/1-uUXvimVhiU2U0bMN-xi2te0tS4X7DI2GLPnMjzl8cA/edit?usp=sharing"",""ลำพูน!N228"")"),294253.24)</f>
        <v>294253.24</v>
      </c>
      <c r="CA27" s="82">
        <f t="shared" ca="1" si="102"/>
        <v>70.615128389728824</v>
      </c>
      <c r="CB27" s="81">
        <f ca="1">IFERROR(__xludf.DUMMYFUNCTION("IMPORTRANGE(""https://docs.google.com/spreadsheets/d/1-uUXvimVhiU2U0bMN-xi2te0tS4X7DI2GLPnMjzl8cA/edit?usp=sharing"",""ลำพูน!L229"")"),135850)</f>
        <v>135850</v>
      </c>
      <c r="CC27" s="81">
        <f ca="1">IFERROR(__xludf.DUMMYFUNCTION("IMPORTRANGE(""https://docs.google.com/spreadsheets/d/1-uUXvimVhiU2U0bMN-xi2te0tS4X7DI2GLPnMjzl8cA/edit?usp=sharing"",""ลำพูน!N229"")"),131092.27)</f>
        <v>131092.26999999999</v>
      </c>
      <c r="CD27" s="82">
        <f t="shared" ca="1" si="103"/>
        <v>96.497806404122173</v>
      </c>
      <c r="CE27" s="81">
        <f ca="1">IFERROR(__xludf.DUMMYFUNCTION("IMPORTRANGE(""https://docs.google.com/spreadsheets/d/1-uUXvimVhiU2U0bMN-xi2te0tS4X7DI2GLPnMjzl8cA/edit?usp=sharing"",""ลำพูน!L230"")"),0)</f>
        <v>0</v>
      </c>
      <c r="CF27" s="81">
        <f ca="1">IFERROR(__xludf.DUMMYFUNCTION("IMPORTRANGE(""https://docs.google.com/spreadsheets/d/1-uUXvimVhiU2U0bMN-xi2te0tS4X7DI2GLPnMjzl8cA/edit?usp=sharing"",""ลำพูน!N230"")"),0)</f>
        <v>0</v>
      </c>
      <c r="CG27" s="82">
        <f t="shared" ca="1" si="104"/>
        <v>0</v>
      </c>
      <c r="CH27" s="81">
        <f ca="1">IFERROR(__xludf.DUMMYFUNCTION("IMPORTRANGE(""https://docs.google.com/spreadsheets/d/1-uUXvimVhiU2U0bMN-xi2te0tS4X7DI2GLPnMjzl8cA/edit?usp=sharing"",""ลำพูน!L231"")"),50000)</f>
        <v>50000</v>
      </c>
      <c r="CI27" s="81">
        <f ca="1">IFERROR(__xludf.DUMMYFUNCTION("IMPORTRANGE(""https://docs.google.com/spreadsheets/d/1-uUXvimVhiU2U0bMN-xi2te0tS4X7DI2GLPnMjzl8cA/edit?usp=sharing"",""ลำพูน!N231"")"),50000)</f>
        <v>50000</v>
      </c>
      <c r="CJ27" s="82">
        <f t="shared" ca="1" si="105"/>
        <v>100</v>
      </c>
      <c r="CK27" s="81">
        <f ca="1">IFERROR(__xludf.DUMMYFUNCTION("IMPORTRANGE(""https://docs.google.com/spreadsheets/d/1-uUXvimVhiU2U0bMN-xi2te0tS4X7DI2GLPnMjzl8cA/edit?usp=sharing"",""ลำพูน!I233"")"),100)</f>
        <v>100</v>
      </c>
      <c r="CL27" s="81">
        <f ca="1">IFERROR(__xludf.DUMMYFUNCTION("IMPORTRANGE(""https://docs.google.com/spreadsheets/d/1-uUXvimVhiU2U0bMN-xi2te0tS4X7DI2GLPnMjzl8cA/edit?usp=sharing"",""ลำพูน!J233"")"),100)</f>
        <v>100</v>
      </c>
      <c r="CM27" s="82">
        <f t="shared" ca="1" si="106"/>
        <v>100</v>
      </c>
      <c r="CN27" s="81">
        <f ca="1">IFERROR(__xludf.DUMMYFUNCTION("IMPORTRANGE(""https://docs.google.com/spreadsheets/d/1-uUXvimVhiU2U0bMN-xi2te0tS4X7DI2GLPnMjzl8cA/edit?usp=sharing"",""ลำพูน!J235"")"),0)</f>
        <v>0</v>
      </c>
      <c r="CO27" s="81">
        <f ca="1">IFERROR(__xludf.DUMMYFUNCTION("IMPORTRANGE(""https://docs.google.com/spreadsheets/d/1-uUXvimVhiU2U0bMN-xi2te0tS4X7DI2GLPnMjzl8cA/edit?usp=sharing"",""ลำพูน!J236"")"),3)</f>
        <v>3</v>
      </c>
    </row>
    <row r="28" spans="1:93" ht="24" customHeight="1" x14ac:dyDescent="0.3">
      <c r="A28" s="73">
        <v>15</v>
      </c>
      <c r="B28" s="74" t="s">
        <v>50</v>
      </c>
      <c r="C28" s="75">
        <f t="shared" ca="1" si="0"/>
        <v>76500</v>
      </c>
      <c r="D28" s="76">
        <f t="shared" ca="1" si="133"/>
        <v>76500</v>
      </c>
      <c r="E28" s="77">
        <f ca="1">IFERROR(__xludf.DUMMYFUNCTION("IMPORTRANGE(""https://docs.google.com/spreadsheets/d/1MeEWN-I1oV_STSDYn1IFDPWt_1FKiwhDph83XaGc0o0/edit?usp=sharing"",""งบพรบ!CP28"")"),0)</f>
        <v>0</v>
      </c>
      <c r="F28" s="77">
        <f ca="1">IFERROR(__xludf.DUMMYFUNCTION("IMPORTRANGE(""https://docs.google.com/spreadsheets/d/1MeEWN-I1oV_STSDYn1IFDPWt_1FKiwhDph83XaGc0o0/edit?usp=sharing"",""งบพรบ!CQ28"")"),76500)</f>
        <v>76500</v>
      </c>
      <c r="G28" s="77">
        <f ca="1">IFERROR(__xludf.DUMMYFUNCTION("IMPORTRANGE(""https://docs.google.com/spreadsheets/d/1MeEWN-I1oV_STSDYn1IFDPWt_1FKiwhDph83XaGc0o0/edit?usp=sharing"",""งบพรบ!CR28"")"),0)</f>
        <v>0</v>
      </c>
      <c r="H28" s="77">
        <f ca="1">IFERROR(__xludf.DUMMYFUNCTION("IMPORTRANGE(""https://docs.google.com/spreadsheets/d/1MeEWN-I1oV_STSDYn1IFDPWt_1FKiwhDph83XaGc0o0/edit?usp=sharing"",""งบพรบ!CT28"")"),76500)</f>
        <v>76500</v>
      </c>
      <c r="I28" s="77">
        <f ca="1">IFERROR(__xludf.DUMMYFUNCTION("IMPORTRANGE(""https://docs.google.com/spreadsheets/d/1MeEWN-I1oV_STSDYn1IFDPWt_1FKiwhDph83XaGc0o0/edit?usp=sharing"",""งบพรบ!CU28"")"),0)</f>
        <v>0</v>
      </c>
      <c r="J28" s="77">
        <f t="shared" ca="1" si="3"/>
        <v>72425</v>
      </c>
      <c r="K28" s="78">
        <f t="shared" ca="1" si="4"/>
        <v>94.673202614379079</v>
      </c>
      <c r="L28" s="77">
        <f ca="1">IFERROR(__xludf.DUMMYFUNCTION("IMPORTRANGE(""https://docs.google.com/spreadsheets/d/1MeEWN-I1oV_STSDYn1IFDPWt_1FKiwhDph83XaGc0o0/edit?usp=sharing"",""งบพรบ!CV28"")"),72425)</f>
        <v>72425</v>
      </c>
      <c r="M28" s="79">
        <f t="shared" ca="1" si="5"/>
        <v>94.673202614379079</v>
      </c>
      <c r="N28" s="79">
        <f t="shared" ca="1" si="6"/>
        <v>94.673202614379079</v>
      </c>
      <c r="O28" s="80">
        <f ca="1">IFERROR(__xludf.DUMMYFUNCTION("IMPORTRANGE(""https://docs.google.com/spreadsheets/d/1MeEWN-I1oV_STSDYn1IFDPWt_1FKiwhDph83XaGc0o0/edit?usp=sharing"",""งบพรบ!CW28"")"),0)</f>
        <v>0</v>
      </c>
      <c r="P28" s="80">
        <f t="shared" ca="1" si="10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IFERROR(__xludf.DUMMYFUNCTION("IMPORTRANGE(""https://docs.google.com/spreadsheets/d/17HrOaa5pBUI1onckFfumXB8xlg35qb2uBAFfF1D-Myo/edit?usp=sharing"",""สุโขทัย!L191"")"),6000)</f>
        <v>6000</v>
      </c>
      <c r="S28" s="81">
        <f ca="1">IFERROR(__xludf.DUMMYFUNCTION("IMPORTRANGE(""https://docs.google.com/spreadsheets/d/17HrOaa5pBUI1onckFfumXB8xlg35qb2uBAFfF1D-Myo/edit?usp=sharing"",""สุโขทัย!N191"")"),3825)</f>
        <v>3825</v>
      </c>
      <c r="T28" s="82">
        <f t="shared" ca="1" si="84"/>
        <v>63.75</v>
      </c>
      <c r="U28" s="81">
        <f ca="1">IFERROR(__xludf.DUMMYFUNCTION("IMPORTRANGE(""https://docs.google.com/spreadsheets/d/17HrOaa5pBUI1onckFfumXB8xlg35qb2uBAFfF1D-Myo/edit?usp=sharing"",""สุโขทัย!I193"")"),4)</f>
        <v>4</v>
      </c>
      <c r="V28" s="81">
        <f ca="1">IFERROR(__xludf.DUMMYFUNCTION("IMPORTRANGE(""https://docs.google.com/spreadsheets/d/17HrOaa5pBUI1onckFfumXB8xlg35qb2uBAFfF1D-Myo/edit?usp=sharing"",""สุโขทัย!J193"")"),4)</f>
        <v>4</v>
      </c>
      <c r="W28" s="82">
        <f t="shared" ca="1" si="85"/>
        <v>100</v>
      </c>
      <c r="X28" s="81">
        <f t="shared" ca="1" si="134"/>
        <v>174</v>
      </c>
      <c r="Y28" s="81">
        <f ca="1">IFERROR(__xludf.DUMMYFUNCTION("IMPORTRANGE(""https://docs.google.com/spreadsheets/d/17HrOaa5pBUI1onckFfumXB8xlg35qb2uBAFfF1D-Myo/edit?usp=sharing"",""สุโขทัย!J195"")"),174)</f>
        <v>174</v>
      </c>
      <c r="Z28" s="81">
        <f ca="1">IFERROR(__xludf.DUMMYFUNCTION("IMPORTRANGE(""https://docs.google.com/spreadsheets/d/17HrOaa5pBUI1onckFfumXB8xlg35qb2uBAFfF1D-Myo/edit?usp=sharing"",""สุโขทัย!J196"")"),0)</f>
        <v>0</v>
      </c>
      <c r="AA28" s="81">
        <f ca="1">IFERROR(__xludf.DUMMYFUNCTION("IMPORTRANGE(""https://docs.google.com/spreadsheets/d/17HrOaa5pBUI1onckFfumXB8xlg35qb2uBAFfF1D-Myo/edit?usp=sharing"",""สุโขทัย!L199"")"),4000)</f>
        <v>4000</v>
      </c>
      <c r="AB28" s="81">
        <f ca="1">IFERROR(__xludf.DUMMYFUNCTION("IMPORTRANGE(""https://docs.google.com/spreadsheets/d/17HrOaa5pBUI1onckFfumXB8xlg35qb2uBAFfF1D-Myo/edit?usp=sharing"",""สุโขทัย!N199"")"),4000)</f>
        <v>4000</v>
      </c>
      <c r="AC28" s="82">
        <f t="shared" ca="1" si="86"/>
        <v>100</v>
      </c>
      <c r="AD28" s="81">
        <f ca="1">IFERROR(__xludf.DUMMYFUNCTION("IMPORTRANGE(""https://docs.google.com/spreadsheets/d/17HrOaa5pBUI1onckFfumXB8xlg35qb2uBAFfF1D-Myo/edit?usp=sharing"",""สุโขทัย!L200"")"),32000)</f>
        <v>32000</v>
      </c>
      <c r="AE28" s="81">
        <f ca="1">IFERROR(__xludf.DUMMYFUNCTION("IMPORTRANGE(""https://docs.google.com/spreadsheets/d/17HrOaa5pBUI1onckFfumXB8xlg35qb2uBAFfF1D-Myo/edit?usp=sharing"",""สุโขทัย!N200"")"),32000)</f>
        <v>32000</v>
      </c>
      <c r="AF28" s="82">
        <f t="shared" ca="1" si="87"/>
        <v>100</v>
      </c>
      <c r="AG28" s="81">
        <f ca="1">IFERROR(__xludf.DUMMYFUNCTION("IMPORTRANGE(""https://docs.google.com/spreadsheets/d/17HrOaa5pBUI1onckFfumXB8xlg35qb2uBAFfF1D-Myo/edit?usp=sharing"",""สุโขทัย!L201"")"),16000)</f>
        <v>16000</v>
      </c>
      <c r="AH28" s="81">
        <f ca="1">IFERROR(__xludf.DUMMYFUNCTION("IMPORTRANGE(""https://docs.google.com/spreadsheets/d/17HrOaa5pBUI1onckFfumXB8xlg35qb2uBAFfF1D-Myo/edit?usp=sharing"",""สุโขทัย!N201"")"),16000)</f>
        <v>16000</v>
      </c>
      <c r="AI28" s="82">
        <f t="shared" ca="1" si="88"/>
        <v>100</v>
      </c>
      <c r="AJ28" s="81">
        <f ca="1">IFERROR(__xludf.DUMMYFUNCTION("IMPORTRANGE(""https://docs.google.com/spreadsheets/d/17HrOaa5pBUI1onckFfumXB8xlg35qb2uBAFfF1D-Myo/edit?usp=sharing"",""สุโขทัย!L202"")"),0)</f>
        <v>0</v>
      </c>
      <c r="AK28" s="81">
        <f ca="1">IFERROR(__xludf.DUMMYFUNCTION("IMPORTRANGE(""https://docs.google.com/spreadsheets/d/17HrOaa5pBUI1onckFfumXB8xlg35qb2uBAFfF1D-Myo/edit?usp=sharing"",""สุโขทัย!N202"")"),0)</f>
        <v>0</v>
      </c>
      <c r="AL28" s="82">
        <f t="shared" ca="1" si="89"/>
        <v>0</v>
      </c>
      <c r="AM28" s="81">
        <f ca="1">IFERROR(__xludf.DUMMYFUNCTION("IMPORTRANGE(""https://docs.google.com/spreadsheets/d/17HrOaa5pBUI1onckFfumXB8xlg35qb2uBAFfF1D-Myo/edit?usp=sharing"",""สุโขทัย!I204"")"),4)</f>
        <v>4</v>
      </c>
      <c r="AN28" s="81">
        <f ca="1">IFERROR(__xludf.DUMMYFUNCTION("IMPORTRANGE(""https://docs.google.com/spreadsheets/d/17HrOaa5pBUI1onckFfumXB8xlg35qb2uBAFfF1D-Myo/edit?usp=sharing"",""สุโขทัย!J204"")"),4)</f>
        <v>4</v>
      </c>
      <c r="AO28" s="82">
        <f t="shared" ca="1" si="90"/>
        <v>100</v>
      </c>
      <c r="AP28" s="297">
        <f ca="1">IFERROR(__xludf.DUMMYFUNCTION("IMPORTRANGE(""https://docs.google.com/spreadsheets/d/17HrOaa5pBUI1onckFfumXB8xlg35qb2uBAFfF1D-Myo/edit?usp=sharing"",""สุโขทัย!J206"")"),4)</f>
        <v>4</v>
      </c>
      <c r="AQ28" s="297">
        <f ca="1">IFERROR(__xludf.DUMMYFUNCTION("IMPORTRANGE(""https://docs.google.com/spreadsheets/d/17HrOaa5pBUI1onckFfumXB8xlg35qb2uBAFfF1D-Myo/edit?usp=sharing"",""สุโขทัย!J207"")"),0)</f>
        <v>0</v>
      </c>
      <c r="AR28" s="81">
        <f ca="1">IFERROR(__xludf.DUMMYFUNCTION("IMPORTRANGE(""https://docs.google.com/spreadsheets/d/17HrOaa5pBUI1onckFfumXB8xlg35qb2uBAFfF1D-Myo/edit?usp=sharing"",""สุโขทัย!L210"")"),0)</f>
        <v>0</v>
      </c>
      <c r="AS28" s="81">
        <f ca="1">IFERROR(__xludf.DUMMYFUNCTION("IMPORTRANGE(""https://docs.google.com/spreadsheets/d/17HrOaa5pBUI1onckFfumXB8xlg35qb2uBAFfF1D-Myo/edit?usp=sharing"",""สุโขทัย!N210"")"),0)</f>
        <v>0</v>
      </c>
      <c r="AT28" s="82">
        <f t="shared" ca="1" si="91"/>
        <v>0</v>
      </c>
      <c r="AU28" s="81">
        <f ca="1">IFERROR(__xludf.DUMMYFUNCTION("IMPORTRANGE(""https://docs.google.com/spreadsheets/d/17HrOaa5pBUI1onckFfumXB8xlg35qb2uBAFfF1D-Myo/edit?usp=sharing"",""สุโขทัย!L211"")"),0)</f>
        <v>0</v>
      </c>
      <c r="AV28" s="81">
        <f ca="1">IFERROR(__xludf.DUMMYFUNCTION("IMPORTRANGE(""https://docs.google.com/spreadsheets/d/17HrOaa5pBUI1onckFfumXB8xlg35qb2uBAFfF1D-Myo/edit?usp=sharing"",""สุโขทัย!N211"")"),0)</f>
        <v>0</v>
      </c>
      <c r="AW28" s="82">
        <f t="shared" ca="1" si="92"/>
        <v>0</v>
      </c>
      <c r="AX28" s="81">
        <f ca="1">IFERROR(__xludf.DUMMYFUNCTION("IMPORTRANGE(""https://docs.google.com/spreadsheets/d/17HrOaa5pBUI1onckFfumXB8xlg35qb2uBAFfF1D-Myo/edit?usp=sharing"",""สุโขทัย!L212"")"),0)</f>
        <v>0</v>
      </c>
      <c r="AY28" s="81">
        <f ca="1">IFERROR(__xludf.DUMMYFUNCTION("IMPORTRANGE(""https://docs.google.com/spreadsheets/d/17HrOaa5pBUI1onckFfumXB8xlg35qb2uBAFfF1D-Myo/edit?usp=sharing"",""สุโขทัย!N212"")"),0)</f>
        <v>0</v>
      </c>
      <c r="AZ28" s="82">
        <f t="shared" ca="1" si="93"/>
        <v>0</v>
      </c>
      <c r="BA28" s="81">
        <f ca="1">IFERROR(__xludf.DUMMYFUNCTION("IMPORTRANGE(""https://docs.google.com/spreadsheets/d/17HrOaa5pBUI1onckFfumXB8xlg35qb2uBAFfF1D-Myo/edit?usp=sharing"",""สุโขทัย!I214"")"),0)</f>
        <v>0</v>
      </c>
      <c r="BB28" s="81">
        <f ca="1">IFERROR(__xludf.DUMMYFUNCTION("IMPORTRANGE(""https://docs.google.com/spreadsheets/d/17HrOaa5pBUI1onckFfumXB8xlg35qb2uBAFfF1D-Myo/edit?usp=sharing"",""สุโขทัย!J214"")"),0)</f>
        <v>0</v>
      </c>
      <c r="BC28" s="82">
        <f t="shared" ca="1" si="94"/>
        <v>0</v>
      </c>
      <c r="BD28" s="81">
        <f ca="1">IFERROR(__xludf.DUMMYFUNCTION("IMPORTRANGE(""https://docs.google.com/spreadsheets/d/17HrOaa5pBUI1onckFfumXB8xlg35qb2uBAFfF1D-Myo/edit?usp=sharing"",""สุโขทัย!I215"")"),0)</f>
        <v>0</v>
      </c>
      <c r="BE28" s="81">
        <f ca="1">IFERROR(__xludf.DUMMYFUNCTION("IMPORTRANGE(""https://docs.google.com/spreadsheets/d/17HrOaa5pBUI1onckFfumXB8xlg35qb2uBAFfF1D-Myo/edit?usp=sharing"",""สุโขทัย!J215"")"),0)</f>
        <v>0</v>
      </c>
      <c r="BF28" s="82">
        <f t="shared" ca="1" si="95"/>
        <v>0</v>
      </c>
      <c r="BG28" s="81">
        <f ca="1">IFERROR(__xludf.DUMMYFUNCTION("IMPORTRANGE(""https://docs.google.com/spreadsheets/d/17HrOaa5pBUI1onckFfumXB8xlg35qb2uBAFfF1D-Myo/edit?usp=sharing"",""สุโขทัย!L218"")"),5000)</f>
        <v>5000</v>
      </c>
      <c r="BH28" s="81">
        <f ca="1">IFERROR(__xludf.DUMMYFUNCTION("IMPORTRANGE(""https://docs.google.com/spreadsheets/d/17HrOaa5pBUI1onckFfumXB8xlg35qb2uBAFfF1D-Myo/edit?usp=sharing"",""สุโขทัย!N218"")"),0)</f>
        <v>0</v>
      </c>
      <c r="BI28" s="82">
        <f t="shared" ca="1" si="96"/>
        <v>0</v>
      </c>
      <c r="BJ28" s="81">
        <f ca="1">IFERROR(__xludf.DUMMYFUNCTION("IMPORTRANGE(""https://docs.google.com/spreadsheets/d/17HrOaa5pBUI1onckFfumXB8xlg35qb2uBAFfF1D-Myo/edit?usp=sharing"",""สุโขทัย!L219"")"),13500)</f>
        <v>13500</v>
      </c>
      <c r="BK28" s="81">
        <f ca="1">IFERROR(__xludf.DUMMYFUNCTION("IMPORTRANGE(""https://docs.google.com/spreadsheets/d/17HrOaa5pBUI1onckFfumXB8xlg35qb2uBAFfF1D-Myo/edit?usp=sharing"",""สุโขทัย!N219"")"),13500)</f>
        <v>13500</v>
      </c>
      <c r="BL28" s="82">
        <f t="shared" ca="1" si="97"/>
        <v>100</v>
      </c>
      <c r="BM28" s="81">
        <f ca="1">IFERROR(__xludf.DUMMYFUNCTION("IMPORTRANGE(""https://docs.google.com/spreadsheets/d/17HrOaa5pBUI1onckFfumXB8xlg35qb2uBAFfF1D-Myo/edit?usp=sharing"",""สุโขทัย!L220"")"),0)</f>
        <v>0</v>
      </c>
      <c r="BN28" s="81">
        <f ca="1">IFERROR(__xludf.DUMMYFUNCTION("IMPORTRANGE(""https://docs.google.com/spreadsheets/d/17HrOaa5pBUI1onckFfumXB8xlg35qb2uBAFfF1D-Myo/edit?usp=sharing"",""สุโขทัย!N220"")"),0)</f>
        <v>0</v>
      </c>
      <c r="BO28" s="82">
        <f t="shared" ca="1" si="98"/>
        <v>0</v>
      </c>
      <c r="BP28" s="81">
        <f ca="1">IFERROR(__xludf.DUMMYFUNCTION("IMPORTRANGE(""https://docs.google.com/spreadsheets/d/17HrOaa5pBUI1onckFfumXB8xlg35qb2uBAFfF1D-Myo/edit?usp=sharing"",""สุโขทัย!I223"")"),50000)</f>
        <v>50000</v>
      </c>
      <c r="BQ28" s="81">
        <f ca="1">IFERROR(__xludf.DUMMYFUNCTION("IMPORTRANGE(""https://docs.google.com/spreadsheets/d/17HrOaa5pBUI1onckFfumXB8xlg35qb2uBAFfF1D-Myo/edit?usp=sharing"",""สุโขทัย!J223"")"),50000)</f>
        <v>50000</v>
      </c>
      <c r="BR28" s="82">
        <f t="shared" ca="1" si="99"/>
        <v>100</v>
      </c>
      <c r="BS28" s="81">
        <f ca="1">IFERROR(__xludf.DUMMYFUNCTION("IMPORTRANGE(""https://docs.google.com/spreadsheets/d/17HrOaa5pBUI1onckFfumXB8xlg35qb2uBAFfF1D-Myo/edit?usp=sharing"",""สุโขทัย!I224"")"),50000)</f>
        <v>50000</v>
      </c>
      <c r="BT28" s="81">
        <f ca="1">IFERROR(__xludf.DUMMYFUNCTION("IMPORTRANGE(""https://docs.google.com/spreadsheets/d/17HrOaa5pBUI1onckFfumXB8xlg35qb2uBAFfF1D-Myo/edit?usp=sharing"",""สุโขทัย!J224"")"),50000)</f>
        <v>50000</v>
      </c>
      <c r="BU28" s="82">
        <f t="shared" ca="1" si="100"/>
        <v>100</v>
      </c>
      <c r="BV28" s="81">
        <f ca="1">IFERROR(__xludf.DUMMYFUNCTION("IMPORTRANGE(""https://docs.google.com/spreadsheets/d/17HrOaa5pBUI1onckFfumXB8xlg35qb2uBAFfF1D-Myo/edit?usp=sharing"",""สุโขทัย!I225"")"),0)</f>
        <v>0</v>
      </c>
      <c r="BW28" s="81">
        <f ca="1">IFERROR(__xludf.DUMMYFUNCTION("IMPORTRANGE(""https://docs.google.com/spreadsheets/d/17HrOaa5pBUI1onckFfumXB8xlg35qb2uBAFfF1D-Myo/edit?usp=sharing"",""สุโขทัย!J225"")"),0)</f>
        <v>0</v>
      </c>
      <c r="BX28" s="82">
        <f t="shared" ca="1" si="101"/>
        <v>0</v>
      </c>
      <c r="BY28" s="81">
        <f ca="1">IFERROR(__xludf.DUMMYFUNCTION("IMPORTRANGE(""https://docs.google.com/spreadsheets/d/17HrOaa5pBUI1onckFfumXB8xlg35qb2uBAFfF1D-Myo/edit?usp=sharing"",""สุโขทัย!L228"")"),0)</f>
        <v>0</v>
      </c>
      <c r="BZ28" s="81">
        <f ca="1">IFERROR(__xludf.DUMMYFUNCTION("IMPORTRANGE(""https://docs.google.com/spreadsheets/d/17HrOaa5pBUI1onckFfumXB8xlg35qb2uBAFfF1D-Myo/edit?usp=sharing"",""สุโขทัย!N228"")"),0)</f>
        <v>0</v>
      </c>
      <c r="CA28" s="82">
        <f t="shared" ca="1" si="102"/>
        <v>0</v>
      </c>
      <c r="CB28" s="81">
        <f ca="1">IFERROR(__xludf.DUMMYFUNCTION("IMPORTRANGE(""https://docs.google.com/spreadsheets/d/17HrOaa5pBUI1onckFfumXB8xlg35qb2uBAFfF1D-Myo/edit?usp=sharing"",""สุโขทัย!L229"")"),0)</f>
        <v>0</v>
      </c>
      <c r="CC28" s="81">
        <f ca="1">IFERROR(__xludf.DUMMYFUNCTION("IMPORTRANGE(""https://docs.google.com/spreadsheets/d/17HrOaa5pBUI1onckFfumXB8xlg35qb2uBAFfF1D-Myo/edit?usp=sharing"",""สุโขทัย!N229"")"),0)</f>
        <v>0</v>
      </c>
      <c r="CD28" s="82">
        <f t="shared" ca="1" si="103"/>
        <v>0</v>
      </c>
      <c r="CE28" s="81">
        <f ca="1">IFERROR(__xludf.DUMMYFUNCTION("IMPORTRANGE(""https://docs.google.com/spreadsheets/d/17HrOaa5pBUI1onckFfumXB8xlg35qb2uBAFfF1D-Myo/edit?usp=sharing"",""สุโขทัย!L230"")"),0)</f>
        <v>0</v>
      </c>
      <c r="CF28" s="81">
        <f ca="1">IFERROR(__xludf.DUMMYFUNCTION("IMPORTRANGE(""https://docs.google.com/spreadsheets/d/17HrOaa5pBUI1onckFfumXB8xlg35qb2uBAFfF1D-Myo/edit?usp=sharing"",""สุโขทัย!N230"")"),0)</f>
        <v>0</v>
      </c>
      <c r="CG28" s="82">
        <f t="shared" ca="1" si="104"/>
        <v>0</v>
      </c>
      <c r="CH28" s="81">
        <f ca="1">IFERROR(__xludf.DUMMYFUNCTION("IMPORTRANGE(""https://docs.google.com/spreadsheets/d/17HrOaa5pBUI1onckFfumXB8xlg35qb2uBAFfF1D-Myo/edit?usp=sharing"",""สุโขทัย!L231"")"),0)</f>
        <v>0</v>
      </c>
      <c r="CI28" s="81">
        <f ca="1">IFERROR(__xludf.DUMMYFUNCTION("IMPORTRANGE(""https://docs.google.com/spreadsheets/d/17HrOaa5pBUI1onckFfumXB8xlg35qb2uBAFfF1D-Myo/edit?usp=sharing"",""สุโขทัย!N231"")"),0)</f>
        <v>0</v>
      </c>
      <c r="CJ28" s="82">
        <f t="shared" ca="1" si="105"/>
        <v>0</v>
      </c>
      <c r="CK28" s="81">
        <f ca="1">IFERROR(__xludf.DUMMYFUNCTION("IMPORTRANGE(""https://docs.google.com/spreadsheets/d/17HrOaa5pBUI1onckFfumXB8xlg35qb2uBAFfF1D-Myo/edit?usp=sharing"",""สุโขทัย!I233"")"),0)</f>
        <v>0</v>
      </c>
      <c r="CL28" s="81">
        <f ca="1">IFERROR(__xludf.DUMMYFUNCTION("IMPORTRANGE(""https://docs.google.com/spreadsheets/d/17HrOaa5pBUI1onckFfumXB8xlg35qb2uBAFfF1D-Myo/edit?usp=sharing"",""สุโขทัย!J233"")"),0)</f>
        <v>0</v>
      </c>
      <c r="CM28" s="82">
        <f t="shared" ca="1" si="106"/>
        <v>0</v>
      </c>
      <c r="CN28" s="81">
        <f ca="1">IFERROR(__xludf.DUMMYFUNCTION("IMPORTRANGE(""https://docs.google.com/spreadsheets/d/17HrOaa5pBUI1onckFfumXB8xlg35qb2uBAFfF1D-Myo/edit?usp=sharing"",""สุโขทัย!J235"")"),0)</f>
        <v>0</v>
      </c>
      <c r="CO28" s="81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3">
        <v>16</v>
      </c>
      <c r="B29" s="74" t="s">
        <v>51</v>
      </c>
      <c r="C29" s="75">
        <f t="shared" ca="1" si="0"/>
        <v>72500</v>
      </c>
      <c r="D29" s="76">
        <f t="shared" ca="1" si="133"/>
        <v>72500</v>
      </c>
      <c r="E29" s="77">
        <f ca="1">IFERROR(__xludf.DUMMYFUNCTION("IMPORTRANGE(""https://docs.google.com/spreadsheets/d/1MeEWN-I1oV_STSDYn1IFDPWt_1FKiwhDph83XaGc0o0/edit?usp=sharing"",""งบพรบ!CP29"")"),0)</f>
        <v>0</v>
      </c>
      <c r="F29" s="77">
        <f ca="1">IFERROR(__xludf.DUMMYFUNCTION("IMPORTRANGE(""https://docs.google.com/spreadsheets/d/1MeEWN-I1oV_STSDYn1IFDPWt_1FKiwhDph83XaGc0o0/edit?usp=sharing"",""งบพรบ!CQ29"")"),72500)</f>
        <v>72500</v>
      </c>
      <c r="G29" s="77">
        <f ca="1">IFERROR(__xludf.DUMMYFUNCTION("IMPORTRANGE(""https://docs.google.com/spreadsheets/d/1MeEWN-I1oV_STSDYn1IFDPWt_1FKiwhDph83XaGc0o0/edit?usp=sharing"",""งบพรบ!CR29"")"),0)</f>
        <v>0</v>
      </c>
      <c r="H29" s="77">
        <f ca="1">IFERROR(__xludf.DUMMYFUNCTION("IMPORTRANGE(""https://docs.google.com/spreadsheets/d/1MeEWN-I1oV_STSDYn1IFDPWt_1FKiwhDph83XaGc0o0/edit?usp=sharing"",""งบพรบ!CT29"")"),72500)</f>
        <v>72500</v>
      </c>
      <c r="I29" s="77">
        <f ca="1">IFERROR(__xludf.DUMMYFUNCTION("IMPORTRANGE(""https://docs.google.com/spreadsheets/d/1MeEWN-I1oV_STSDYn1IFDPWt_1FKiwhDph83XaGc0o0/edit?usp=sharing"",""งบพรบ!CU29"")"),0)</f>
        <v>0</v>
      </c>
      <c r="J29" s="77">
        <f t="shared" ca="1" si="3"/>
        <v>67125.399999999994</v>
      </c>
      <c r="K29" s="78">
        <f t="shared" ca="1" si="4"/>
        <v>92.586758620689636</v>
      </c>
      <c r="L29" s="77">
        <f ca="1">IFERROR(__xludf.DUMMYFUNCTION("IMPORTRANGE(""https://docs.google.com/spreadsheets/d/1MeEWN-I1oV_STSDYn1IFDPWt_1FKiwhDph83XaGc0o0/edit?usp=sharing"",""งบพรบ!CV29"")"),67125.4)</f>
        <v>67125.399999999994</v>
      </c>
      <c r="M29" s="79">
        <f t="shared" ca="1" si="5"/>
        <v>92.586758620689636</v>
      </c>
      <c r="N29" s="79">
        <f t="shared" ca="1" si="6"/>
        <v>92.586758620689636</v>
      </c>
      <c r="O29" s="80">
        <f ca="1">IFERROR(__xludf.DUMMYFUNCTION("IMPORTRANGE(""https://docs.google.com/spreadsheets/d/1MeEWN-I1oV_STSDYn1IFDPWt_1FKiwhDph83XaGc0o0/edit?usp=sharing"",""งบพรบ!CW29"")"),0)</f>
        <v>0</v>
      </c>
      <c r="P29" s="80">
        <f t="shared" ca="1" si="10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IFERROR(__xludf.DUMMYFUNCTION("IMPORTRANGE(""https://docs.google.com/spreadsheets/d/1ubs5cl16eYL9gHbdHTJtmtYb9MGzHBs7CAphn8kNCgM/edit?usp=sharing"",""อุตรดิตถ์!L191"")"),6000)</f>
        <v>6000</v>
      </c>
      <c r="S29" s="81">
        <f ca="1">IFERROR(__xludf.DUMMYFUNCTION("IMPORTRANGE(""https://docs.google.com/spreadsheets/d/1ubs5cl16eYL9gHbdHTJtmtYb9MGzHBs7CAphn8kNCgM/edit?usp=sharing"",""อุตรดิตถ์!N191"")"),5235.4)</f>
        <v>5235.3999999999996</v>
      </c>
      <c r="T29" s="82">
        <f t="shared" ca="1" si="84"/>
        <v>87.256666666666661</v>
      </c>
      <c r="U29" s="81">
        <f ca="1">IFERROR(__xludf.DUMMYFUNCTION("IMPORTRANGE(""https://docs.google.com/spreadsheets/d/1ubs5cl16eYL9gHbdHTJtmtYb9MGzHBs7CAphn8kNCgM/edit?usp=sharing"",""อุตรดิตถ์!I193"")"),4)</f>
        <v>4</v>
      </c>
      <c r="V29" s="81">
        <f ca="1">IFERROR(__xludf.DUMMYFUNCTION("IMPORTRANGE(""https://docs.google.com/spreadsheets/d/1ubs5cl16eYL9gHbdHTJtmtYb9MGzHBs7CAphn8kNCgM/edit?usp=sharing"",""อุตรดิตถ์!J193"")"),4)</f>
        <v>4</v>
      </c>
      <c r="W29" s="82">
        <f t="shared" ca="1" si="85"/>
        <v>100</v>
      </c>
      <c r="X29" s="81">
        <f t="shared" ca="1" si="134"/>
        <v>46</v>
      </c>
      <c r="Y29" s="81">
        <f ca="1">IFERROR(__xludf.DUMMYFUNCTION("IMPORTRANGE(""https://docs.google.com/spreadsheets/d/1ubs5cl16eYL9gHbdHTJtmtYb9MGzHBs7CAphn8kNCgM/edit?usp=sharing"",""อุตรดิตถ์!J195"")"),46)</f>
        <v>46</v>
      </c>
      <c r="Z29" s="81">
        <f ca="1">IFERROR(__xludf.DUMMYFUNCTION("IMPORTRANGE(""https://docs.google.com/spreadsheets/d/1ubs5cl16eYL9gHbdHTJtmtYb9MGzHBs7CAphn8kNCgM/edit?usp=sharing"",""อุตรดิตถ์!J196"")"),0)</f>
        <v>0</v>
      </c>
      <c r="AA29" s="81">
        <f ca="1">IFERROR(__xludf.DUMMYFUNCTION("IMPORTRANGE(""https://docs.google.com/spreadsheets/d/1ubs5cl16eYL9gHbdHTJtmtYb9MGzHBs7CAphn8kNCgM/edit?usp=sharing"",""อุตรดิตถ์!L199"")"),3000)</f>
        <v>3000</v>
      </c>
      <c r="AB29" s="81">
        <f ca="1">IFERROR(__xludf.DUMMYFUNCTION("IMPORTRANGE(""https://docs.google.com/spreadsheets/d/1ubs5cl16eYL9gHbdHTJtmtYb9MGzHBs7CAphn8kNCgM/edit?usp=sharing"",""อุตรดิตถ์!N199"")"),3000)</f>
        <v>3000</v>
      </c>
      <c r="AC29" s="82">
        <f t="shared" ca="1" si="86"/>
        <v>100</v>
      </c>
      <c r="AD29" s="81">
        <f ca="1">IFERROR(__xludf.DUMMYFUNCTION("IMPORTRANGE(""https://docs.google.com/spreadsheets/d/1ubs5cl16eYL9gHbdHTJtmtYb9MGzHBs7CAphn8kNCgM/edit?usp=sharing"",""อุตรดิตถ์!L200"")"),24000)</f>
        <v>24000</v>
      </c>
      <c r="AE29" s="81">
        <f ca="1">IFERROR(__xludf.DUMMYFUNCTION("IMPORTRANGE(""https://docs.google.com/spreadsheets/d/1ubs5cl16eYL9gHbdHTJtmtYb9MGzHBs7CAphn8kNCgM/edit?usp=sharing"",""อุตรดิตถ์!N200"")"),24000)</f>
        <v>24000</v>
      </c>
      <c r="AF29" s="82">
        <f t="shared" ca="1" si="87"/>
        <v>100</v>
      </c>
      <c r="AG29" s="81">
        <f ca="1">IFERROR(__xludf.DUMMYFUNCTION("IMPORTRANGE(""https://docs.google.com/spreadsheets/d/1ubs5cl16eYL9gHbdHTJtmtYb9MGzHBs7CAphn8kNCgM/edit?usp=sharing"",""อุตรดิตถ์!L201"")"),12000)</f>
        <v>12000</v>
      </c>
      <c r="AH29" s="81">
        <f ca="1">IFERROR(__xludf.DUMMYFUNCTION("IMPORTRANGE(""https://docs.google.com/spreadsheets/d/1ubs5cl16eYL9gHbdHTJtmtYb9MGzHBs7CAphn8kNCgM/edit?usp=sharing"",""อุตรดิตถ์!N201"")"),12000)</f>
        <v>12000</v>
      </c>
      <c r="AI29" s="82">
        <f t="shared" ca="1" si="88"/>
        <v>100</v>
      </c>
      <c r="AJ29" s="81">
        <f ca="1">IFERROR(__xludf.DUMMYFUNCTION("IMPORTRANGE(""https://docs.google.com/spreadsheets/d/1ubs5cl16eYL9gHbdHTJtmtYb9MGzHBs7CAphn8kNCgM/edit?usp=sharing"",""อุตรดิตถ์!L202"")"),0)</f>
        <v>0</v>
      </c>
      <c r="AK29" s="81">
        <f ca="1">IFERROR(__xludf.DUMMYFUNCTION("IMPORTRANGE(""https://docs.google.com/spreadsheets/d/1ubs5cl16eYL9gHbdHTJtmtYb9MGzHBs7CAphn8kNCgM/edit?usp=sharing"",""อุตรดิตถ์!N202"")"),0)</f>
        <v>0</v>
      </c>
      <c r="AL29" s="82">
        <f t="shared" ca="1" si="89"/>
        <v>0</v>
      </c>
      <c r="AM29" s="81">
        <f ca="1">IFERROR(__xludf.DUMMYFUNCTION("IMPORTRANGE(""https://docs.google.com/spreadsheets/d/1ubs5cl16eYL9gHbdHTJtmtYb9MGzHBs7CAphn8kNCgM/edit?usp=sharing"",""อุตรดิตถ์!I204"")"),3)</f>
        <v>3</v>
      </c>
      <c r="AN29" s="81">
        <f ca="1">IFERROR(__xludf.DUMMYFUNCTION("IMPORTRANGE(""https://docs.google.com/spreadsheets/d/1ubs5cl16eYL9gHbdHTJtmtYb9MGzHBs7CAphn8kNCgM/edit?usp=sharing"",""อุตรดิตถ์!J204"")"),3)</f>
        <v>3</v>
      </c>
      <c r="AO29" s="82">
        <f t="shared" ca="1" si="90"/>
        <v>100</v>
      </c>
      <c r="AP29" s="297">
        <f ca="1">IFERROR(__xludf.DUMMYFUNCTION("IMPORTRANGE(""https://docs.google.com/spreadsheets/d/1ubs5cl16eYL9gHbdHTJtmtYb9MGzHBs7CAphn8kNCgM/edit?usp=sharing"",""อุตรดิตถ์!J206"")"),3)</f>
        <v>3</v>
      </c>
      <c r="AQ29" s="297">
        <f ca="1">IFERROR(__xludf.DUMMYFUNCTION("IMPORTRANGE(""https://docs.google.com/spreadsheets/d/1ubs5cl16eYL9gHbdHTJtmtYb9MGzHBs7CAphn8kNCgM/edit?usp=sharing"",""อุตรดิตถ์!J207"")"),0)</f>
        <v>0</v>
      </c>
      <c r="AR29" s="81">
        <f ca="1">IFERROR(__xludf.DUMMYFUNCTION("IMPORTRANGE(""https://docs.google.com/spreadsheets/d/1ubs5cl16eYL9gHbdHTJtmtYb9MGzHBs7CAphn8kNCgM/edit?usp=sharing"",""อุตรดิตถ์!L210"")"),1000)</f>
        <v>1000</v>
      </c>
      <c r="AS29" s="81">
        <f ca="1">IFERROR(__xludf.DUMMYFUNCTION("IMPORTRANGE(""https://docs.google.com/spreadsheets/d/1ubs5cl16eYL9gHbdHTJtmtYb9MGzHBs7CAphn8kNCgM/edit?usp=sharing"",""อุตรดิตถ์!N210"")"),1000)</f>
        <v>1000</v>
      </c>
      <c r="AT29" s="82">
        <f t="shared" ca="1" si="91"/>
        <v>100</v>
      </c>
      <c r="AU29" s="81">
        <f ca="1">IFERROR(__xludf.DUMMYFUNCTION("IMPORTRANGE(""https://docs.google.com/spreadsheets/d/1ubs5cl16eYL9gHbdHTJtmtYb9MGzHBs7CAphn8kNCgM/edit?usp=sharing"",""อุตรดิตถ์!L211"")"),5000)</f>
        <v>5000</v>
      </c>
      <c r="AV29" s="81">
        <f ca="1">IFERROR(__xludf.DUMMYFUNCTION("IMPORTRANGE(""https://docs.google.com/spreadsheets/d/1ubs5cl16eYL9gHbdHTJtmtYb9MGzHBs7CAphn8kNCgM/edit?usp=sharing"",""อุตรดิตถ์!N211"")"),5000)</f>
        <v>5000</v>
      </c>
      <c r="AW29" s="82">
        <f t="shared" ca="1" si="92"/>
        <v>100</v>
      </c>
      <c r="AX29" s="81">
        <f ca="1">IFERROR(__xludf.DUMMYFUNCTION("IMPORTRANGE(""https://docs.google.com/spreadsheets/d/1ubs5cl16eYL9gHbdHTJtmtYb9MGzHBs7CAphn8kNCgM/edit?usp=sharing"",""อุตรดิตถ์!L212"")"),8000)</f>
        <v>8000</v>
      </c>
      <c r="AY29" s="81">
        <f ca="1">IFERROR(__xludf.DUMMYFUNCTION("IMPORTRANGE(""https://docs.google.com/spreadsheets/d/1ubs5cl16eYL9gHbdHTJtmtYb9MGzHBs7CAphn8kNCgM/edit?usp=sharing"",""อุตรดิตถ์!N212"")"),8000)</f>
        <v>8000</v>
      </c>
      <c r="AZ29" s="82">
        <f t="shared" ca="1" si="93"/>
        <v>100</v>
      </c>
      <c r="BA29" s="81">
        <f ca="1">IFERROR(__xludf.DUMMYFUNCTION("IMPORTRANGE(""https://docs.google.com/spreadsheets/d/1ubs5cl16eYL9gHbdHTJtmtYb9MGzHBs7CAphn8kNCgM/edit?usp=sharing"",""อุตรดิตถ์!I214"")"),1)</f>
        <v>1</v>
      </c>
      <c r="BB29" s="81">
        <f ca="1">IFERROR(__xludf.DUMMYFUNCTION("IMPORTRANGE(""https://docs.google.com/spreadsheets/d/1ubs5cl16eYL9gHbdHTJtmtYb9MGzHBs7CAphn8kNCgM/edit?usp=sharing"",""อุตรดิตถ์!J214"")"),1)</f>
        <v>1</v>
      </c>
      <c r="BC29" s="82">
        <f t="shared" ca="1" si="94"/>
        <v>100</v>
      </c>
      <c r="BD29" s="81">
        <f ca="1">IFERROR(__xludf.DUMMYFUNCTION("IMPORTRANGE(""https://docs.google.com/spreadsheets/d/1ubs5cl16eYL9gHbdHTJtmtYb9MGzHBs7CAphn8kNCgM/edit?usp=sharing"",""อุตรดิตถ์!I215"")"),1)</f>
        <v>1</v>
      </c>
      <c r="BE29" s="81">
        <f ca="1">IFERROR(__xludf.DUMMYFUNCTION("IMPORTRANGE(""https://docs.google.com/spreadsheets/d/1ubs5cl16eYL9gHbdHTJtmtYb9MGzHBs7CAphn8kNCgM/edit?usp=sharing"",""อุตรดิตถ์!J215"")"),1)</f>
        <v>1</v>
      </c>
      <c r="BF29" s="82">
        <f t="shared" ca="1" si="95"/>
        <v>100</v>
      </c>
      <c r="BG29" s="81">
        <f ca="1">IFERROR(__xludf.DUMMYFUNCTION("IMPORTRANGE(""https://docs.google.com/spreadsheets/d/1ubs5cl16eYL9gHbdHTJtmtYb9MGzHBs7CAphn8kNCgM/edit?usp=sharing"",""อุตรดิตถ์!L218"")"),5000)</f>
        <v>5000</v>
      </c>
      <c r="BH29" s="81">
        <f ca="1">IFERROR(__xludf.DUMMYFUNCTION("IMPORTRANGE(""https://docs.google.com/spreadsheets/d/1ubs5cl16eYL9gHbdHTJtmtYb9MGzHBs7CAphn8kNCgM/edit?usp=sharing"",""อุตรดิตถ์!N218"")"),390)</f>
        <v>390</v>
      </c>
      <c r="BI29" s="82">
        <f t="shared" ca="1" si="96"/>
        <v>7.8</v>
      </c>
      <c r="BJ29" s="81">
        <f ca="1">IFERROR(__xludf.DUMMYFUNCTION("IMPORTRANGE(""https://docs.google.com/spreadsheets/d/1ubs5cl16eYL9gHbdHTJtmtYb9MGzHBs7CAphn8kNCgM/edit?usp=sharing"",""อุตรดิตถ์!L219"")"),8500)</f>
        <v>8500</v>
      </c>
      <c r="BK29" s="81">
        <f ca="1">IFERROR(__xludf.DUMMYFUNCTION("IMPORTRANGE(""https://docs.google.com/spreadsheets/d/1ubs5cl16eYL9gHbdHTJtmtYb9MGzHBs7CAphn8kNCgM/edit?usp=sharing"",""อุตรดิตถ์!N219"")"),8500)</f>
        <v>8500</v>
      </c>
      <c r="BL29" s="82">
        <f t="shared" ca="1" si="97"/>
        <v>100</v>
      </c>
      <c r="BM29" s="81">
        <f ca="1">IFERROR(__xludf.DUMMYFUNCTION("IMPORTRANGE(""https://docs.google.com/spreadsheets/d/1ubs5cl16eYL9gHbdHTJtmtYb9MGzHBs7CAphn8kNCgM/edit?usp=sharing"",""อุตรดิตถ์!L220"")"),0)</f>
        <v>0</v>
      </c>
      <c r="BN29" s="81">
        <f ca="1">IFERROR(__xludf.DUMMYFUNCTION("IMPORTRANGE(""https://docs.google.com/spreadsheets/d/1ubs5cl16eYL9gHbdHTJtmtYb9MGzHBs7CAphn8kNCgM/edit?usp=sharing"",""อุตรดิตถ์!N220"")"),0)</f>
        <v>0</v>
      </c>
      <c r="BO29" s="82">
        <f t="shared" ca="1" si="98"/>
        <v>0</v>
      </c>
      <c r="BP29" s="81">
        <f ca="1">IFERROR(__xludf.DUMMYFUNCTION("IMPORTRANGE(""https://docs.google.com/spreadsheets/d/1ubs5cl16eYL9gHbdHTJtmtYb9MGzHBs7CAphn8kNCgM/edit?usp=sharing"",""อุตรดิตถ์!I223"")"),30000)</f>
        <v>30000</v>
      </c>
      <c r="BQ29" s="81">
        <f ca="1">IFERROR(__xludf.DUMMYFUNCTION("IMPORTRANGE(""https://docs.google.com/spreadsheets/d/1ubs5cl16eYL9gHbdHTJtmtYb9MGzHBs7CAphn8kNCgM/edit?usp=sharing"",""อุตรดิตถ์!J223"")"),30000)</f>
        <v>30000</v>
      </c>
      <c r="BR29" s="82">
        <f t="shared" ca="1" si="99"/>
        <v>100</v>
      </c>
      <c r="BS29" s="81">
        <f ca="1">IFERROR(__xludf.DUMMYFUNCTION("IMPORTRANGE(""https://docs.google.com/spreadsheets/d/1ubs5cl16eYL9gHbdHTJtmtYb9MGzHBs7CAphn8kNCgM/edit?usp=sharing"",""อุตรดิตถ์!I224"")"),30000)</f>
        <v>30000</v>
      </c>
      <c r="BT29" s="81">
        <f ca="1">IFERROR(__xludf.DUMMYFUNCTION("IMPORTRANGE(""https://docs.google.com/spreadsheets/d/1ubs5cl16eYL9gHbdHTJtmtYb9MGzHBs7CAphn8kNCgM/edit?usp=sharing"",""อุตรดิตถ์!J224"")"),30000)</f>
        <v>30000</v>
      </c>
      <c r="BU29" s="82">
        <f t="shared" ca="1" si="100"/>
        <v>100</v>
      </c>
      <c r="BV29" s="81">
        <f ca="1">IFERROR(__xludf.DUMMYFUNCTION("IMPORTRANGE(""https://docs.google.com/spreadsheets/d/1ubs5cl16eYL9gHbdHTJtmtYb9MGzHBs7CAphn8kNCgM/edit?usp=sharing"",""อุตรดิตถ์!I225"")"),0)</f>
        <v>0</v>
      </c>
      <c r="BW29" s="81">
        <f ca="1">IFERROR(__xludf.DUMMYFUNCTION("IMPORTRANGE(""https://docs.google.com/spreadsheets/d/1ubs5cl16eYL9gHbdHTJtmtYb9MGzHBs7CAphn8kNCgM/edit?usp=sharing"",""อุตรดิตถ์!J225"")"),0)</f>
        <v>0</v>
      </c>
      <c r="BX29" s="82">
        <f t="shared" ca="1" si="101"/>
        <v>0</v>
      </c>
      <c r="BY29" s="81">
        <f ca="1">IFERROR(__xludf.DUMMYFUNCTION("IMPORTRANGE(""https://docs.google.com/spreadsheets/d/1ubs5cl16eYL9gHbdHTJtmtYb9MGzHBs7CAphn8kNCgM/edit?usp=sharing"",""อุตรดิตถ์!L228"")"),0)</f>
        <v>0</v>
      </c>
      <c r="BZ29" s="81">
        <f ca="1">IFERROR(__xludf.DUMMYFUNCTION("IMPORTRANGE(""https://docs.google.com/spreadsheets/d/1ubs5cl16eYL9gHbdHTJtmtYb9MGzHBs7CAphn8kNCgM/edit?usp=sharing"",""อุตรดิตถ์!N228"")"),0)</f>
        <v>0</v>
      </c>
      <c r="CA29" s="82">
        <f t="shared" ca="1" si="102"/>
        <v>0</v>
      </c>
      <c r="CB29" s="81">
        <f ca="1">IFERROR(__xludf.DUMMYFUNCTION("IMPORTRANGE(""https://docs.google.com/spreadsheets/d/1ubs5cl16eYL9gHbdHTJtmtYb9MGzHBs7CAphn8kNCgM/edit?usp=sharing"",""อุตรดิตถ์!L229"")"),0)</f>
        <v>0</v>
      </c>
      <c r="CC29" s="81">
        <f ca="1">IFERROR(__xludf.DUMMYFUNCTION("IMPORTRANGE(""https://docs.google.com/spreadsheets/d/1ubs5cl16eYL9gHbdHTJtmtYb9MGzHBs7CAphn8kNCgM/edit?usp=sharing"",""อุตรดิตถ์!N229"")"),0)</f>
        <v>0</v>
      </c>
      <c r="CD29" s="82">
        <f t="shared" ca="1" si="103"/>
        <v>0</v>
      </c>
      <c r="CE29" s="81">
        <f ca="1">IFERROR(__xludf.DUMMYFUNCTION("IMPORTRANGE(""https://docs.google.com/spreadsheets/d/1ubs5cl16eYL9gHbdHTJtmtYb9MGzHBs7CAphn8kNCgM/edit?usp=sharing"",""อุตรดิตถ์!L230"")"),0)</f>
        <v>0</v>
      </c>
      <c r="CF29" s="81">
        <f ca="1">IFERROR(__xludf.DUMMYFUNCTION("IMPORTRANGE(""https://docs.google.com/spreadsheets/d/1ubs5cl16eYL9gHbdHTJtmtYb9MGzHBs7CAphn8kNCgM/edit?usp=sharing"",""อุตรดิตถ์!N230"")"),0)</f>
        <v>0</v>
      </c>
      <c r="CG29" s="82">
        <f t="shared" ca="1" si="104"/>
        <v>0</v>
      </c>
      <c r="CH29" s="81">
        <f ca="1">IFERROR(__xludf.DUMMYFUNCTION("IMPORTRANGE(""https://docs.google.com/spreadsheets/d/1ubs5cl16eYL9gHbdHTJtmtYb9MGzHBs7CAphn8kNCgM/edit?usp=sharing"",""อุตรดิตถ์!L231"")"),0)</f>
        <v>0</v>
      </c>
      <c r="CI29" s="81">
        <f ca="1">IFERROR(__xludf.DUMMYFUNCTION("IMPORTRANGE(""https://docs.google.com/spreadsheets/d/1ubs5cl16eYL9gHbdHTJtmtYb9MGzHBs7CAphn8kNCgM/edit?usp=sharing"",""อุตรดิตถ์!N231"")"),0)</f>
        <v>0</v>
      </c>
      <c r="CJ29" s="82">
        <f t="shared" ca="1" si="105"/>
        <v>0</v>
      </c>
      <c r="CK29" s="81">
        <f ca="1">IFERROR(__xludf.DUMMYFUNCTION("IMPORTRANGE(""https://docs.google.com/spreadsheets/d/1ubs5cl16eYL9gHbdHTJtmtYb9MGzHBs7CAphn8kNCgM/edit?usp=sharing"",""อุตรดิตถ์!I233"")"),0)</f>
        <v>0</v>
      </c>
      <c r="CL29" s="81">
        <f ca="1">IFERROR(__xludf.DUMMYFUNCTION("IMPORTRANGE(""https://docs.google.com/spreadsheets/d/1ubs5cl16eYL9gHbdHTJtmtYb9MGzHBs7CAphn8kNCgM/edit?usp=sharing"",""อุตรดิตถ์!J233"")"),0)</f>
        <v>0</v>
      </c>
      <c r="CM29" s="82">
        <f t="shared" ca="1" si="106"/>
        <v>0</v>
      </c>
      <c r="CN29" s="81">
        <f ca="1">IFERROR(__xludf.DUMMYFUNCTION("IMPORTRANGE(""https://docs.google.com/spreadsheets/d/1ubs5cl16eYL9gHbdHTJtmtYb9MGzHBs7CAphn8kNCgM/edit?usp=sharing"",""อุตรดิตถ์!J235"")"),0)</f>
        <v>0</v>
      </c>
      <c r="CO29" s="81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4">
        <v>17</v>
      </c>
      <c r="B30" s="85" t="s">
        <v>52</v>
      </c>
      <c r="C30" s="86">
        <f t="shared" ca="1" si="0"/>
        <v>63500</v>
      </c>
      <c r="D30" s="87">
        <f t="shared" ca="1" si="133"/>
        <v>63500</v>
      </c>
      <c r="E30" s="88">
        <f ca="1">IFERROR(__xludf.DUMMYFUNCTION("IMPORTRANGE(""https://docs.google.com/spreadsheets/d/1MeEWN-I1oV_STSDYn1IFDPWt_1FKiwhDph83XaGc0o0/edit?usp=sharing"",""งบพรบ!CP30"")"),0)</f>
        <v>0</v>
      </c>
      <c r="F30" s="88">
        <f ca="1">IFERROR(__xludf.DUMMYFUNCTION("IMPORTRANGE(""https://docs.google.com/spreadsheets/d/1MeEWN-I1oV_STSDYn1IFDPWt_1FKiwhDph83XaGc0o0/edit?usp=sharing"",""งบพรบ!CQ30"")"),63500)</f>
        <v>63500</v>
      </c>
      <c r="G30" s="88">
        <f ca="1">IFERROR(__xludf.DUMMYFUNCTION("IMPORTRANGE(""https://docs.google.com/spreadsheets/d/1MeEWN-I1oV_STSDYn1IFDPWt_1FKiwhDph83XaGc0o0/edit?usp=sharing"",""งบพรบ!CR30"")"),0)</f>
        <v>0</v>
      </c>
      <c r="H30" s="88">
        <f ca="1">IFERROR(__xludf.DUMMYFUNCTION("IMPORTRANGE(""https://docs.google.com/spreadsheets/d/1MeEWN-I1oV_STSDYn1IFDPWt_1FKiwhDph83XaGc0o0/edit?usp=sharing"",""งบพรบ!CT30"")"),63500)</f>
        <v>63500</v>
      </c>
      <c r="I30" s="88">
        <f ca="1">IFERROR(__xludf.DUMMYFUNCTION("IMPORTRANGE(""https://docs.google.com/spreadsheets/d/1MeEWN-I1oV_STSDYn1IFDPWt_1FKiwhDph83XaGc0o0/edit?usp=sharing"",""งบพรบ!CU30"")"),0)</f>
        <v>0</v>
      </c>
      <c r="J30" s="88">
        <f t="shared" ca="1" si="3"/>
        <v>58280</v>
      </c>
      <c r="K30" s="89">
        <f t="shared" ca="1" si="4"/>
        <v>91.779527559055111</v>
      </c>
      <c r="L30" s="88">
        <f ca="1">IFERROR(__xludf.DUMMYFUNCTION("IMPORTRANGE(""https://docs.google.com/spreadsheets/d/1MeEWN-I1oV_STSDYn1IFDPWt_1FKiwhDph83XaGc0o0/edit?usp=sharing"",""งบพรบ!CV30"")"),58280)</f>
        <v>58280</v>
      </c>
      <c r="M30" s="90">
        <f t="shared" ca="1" si="5"/>
        <v>91.779527559055111</v>
      </c>
      <c r="N30" s="90">
        <f t="shared" ca="1" si="6"/>
        <v>91.779527559055111</v>
      </c>
      <c r="O30" s="91">
        <f ca="1">IFERROR(__xludf.DUMMYFUNCTION("IMPORTRANGE(""https://docs.google.com/spreadsheets/d/1MeEWN-I1oV_STSDYn1IFDPWt_1FKiwhDph83XaGc0o0/edit?usp=sharing"",""งบพรบ!CW30"")"),0)</f>
        <v>0</v>
      </c>
      <c r="P30" s="91">
        <f t="shared" ca="1" si="10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IFERROR(__xludf.DUMMYFUNCTION("IMPORTRANGE(""https://docs.google.com/spreadsheets/d/1kII0BjS6CtVrBvI8IrytgPdxDrlyQDyigzMsohRtDMs/edit?usp=sharing"",""อุทัยธานี!L191"")"),6000)</f>
        <v>6000</v>
      </c>
      <c r="S30" s="92">
        <f ca="1">IFERROR(__xludf.DUMMYFUNCTION("IMPORTRANGE(""https://docs.google.com/spreadsheets/d/1kII0BjS6CtVrBvI8IrytgPdxDrlyQDyigzMsohRtDMs/edit?usp=sharing"",""อุทัยธานี!N191"")"),6000)</f>
        <v>6000</v>
      </c>
      <c r="T30" s="93">
        <f t="shared" ca="1" si="84"/>
        <v>100</v>
      </c>
      <c r="U30" s="92">
        <f ca="1">IFERROR(__xludf.DUMMYFUNCTION("IMPORTRANGE(""https://docs.google.com/spreadsheets/d/1kII0BjS6CtVrBvI8IrytgPdxDrlyQDyigzMsohRtDMs/edit?usp=sharing"",""อุทัยธานี!I193"")"),4)</f>
        <v>4</v>
      </c>
      <c r="V30" s="92">
        <f ca="1">IFERROR(__xludf.DUMMYFUNCTION("IMPORTRANGE(""https://docs.google.com/spreadsheets/d/1kII0BjS6CtVrBvI8IrytgPdxDrlyQDyigzMsohRtDMs/edit?usp=sharing"",""อุทัยธานี!J193"")"),4)</f>
        <v>4</v>
      </c>
      <c r="W30" s="93">
        <f t="shared" ca="1" si="85"/>
        <v>100</v>
      </c>
      <c r="X30" s="92">
        <f t="shared" ca="1" si="134"/>
        <v>40</v>
      </c>
      <c r="Y30" s="92">
        <f ca="1">IFERROR(__xludf.DUMMYFUNCTION("IMPORTRANGE(""https://docs.google.com/spreadsheets/d/1kII0BjS6CtVrBvI8IrytgPdxDrlyQDyigzMsohRtDMs/edit?usp=sharing"",""อุทัยธานี!J195"")"),40)</f>
        <v>40</v>
      </c>
      <c r="Z30" s="92">
        <f ca="1">IFERROR(__xludf.DUMMYFUNCTION("IMPORTRANGE(""https://docs.google.com/spreadsheets/d/1kII0BjS6CtVrBvI8IrytgPdxDrlyQDyigzMsohRtDMs/edit?usp=sharing"",""อุทัยธานี!J196"")"),0)</f>
        <v>0</v>
      </c>
      <c r="AA30" s="92">
        <f ca="1">IFERROR(__xludf.DUMMYFUNCTION("IMPORTRANGE(""https://docs.google.com/spreadsheets/d/1kII0BjS6CtVrBvI8IrytgPdxDrlyQDyigzMsohRtDMs/edit?usp=sharing"",""อุทัยธานี!L199"")"),3000)</f>
        <v>3000</v>
      </c>
      <c r="AB30" s="92">
        <f ca="1">IFERROR(__xludf.DUMMYFUNCTION("IMPORTRANGE(""https://docs.google.com/spreadsheets/d/1kII0BjS6CtVrBvI8IrytgPdxDrlyQDyigzMsohRtDMs/edit?usp=sharing"",""อุทัยธานี!N199"")"),3000)</f>
        <v>3000</v>
      </c>
      <c r="AC30" s="93">
        <f t="shared" ca="1" si="86"/>
        <v>100</v>
      </c>
      <c r="AD30" s="92">
        <f ca="1">IFERROR(__xludf.DUMMYFUNCTION("IMPORTRANGE(""https://docs.google.com/spreadsheets/d/1kII0BjS6CtVrBvI8IrytgPdxDrlyQDyigzMsohRtDMs/edit?usp=sharing"",""อุทัยธานี!L200"")"),24000)</f>
        <v>24000</v>
      </c>
      <c r="AE30" s="92">
        <f ca="1">IFERROR(__xludf.DUMMYFUNCTION("IMPORTRANGE(""https://docs.google.com/spreadsheets/d/1kII0BjS6CtVrBvI8IrytgPdxDrlyQDyigzMsohRtDMs/edit?usp=sharing"",""อุทัยธานี!N200"")"),24000)</f>
        <v>24000</v>
      </c>
      <c r="AF30" s="93">
        <f t="shared" ca="1" si="87"/>
        <v>100</v>
      </c>
      <c r="AG30" s="92">
        <f ca="1">IFERROR(__xludf.DUMMYFUNCTION("IMPORTRANGE(""https://docs.google.com/spreadsheets/d/1kII0BjS6CtVrBvI8IrytgPdxDrlyQDyigzMsohRtDMs/edit?usp=sharing"",""อุทัยธานี!L201"")"),12000)</f>
        <v>12000</v>
      </c>
      <c r="AH30" s="92">
        <f ca="1">IFERROR(__xludf.DUMMYFUNCTION("IMPORTRANGE(""https://docs.google.com/spreadsheets/d/1kII0BjS6CtVrBvI8IrytgPdxDrlyQDyigzMsohRtDMs/edit?usp=sharing"",""อุทัยธานี!N201"")"),12000)</f>
        <v>12000</v>
      </c>
      <c r="AI30" s="93">
        <f t="shared" ca="1" si="88"/>
        <v>100</v>
      </c>
      <c r="AJ30" s="92">
        <f ca="1">IFERROR(__xludf.DUMMYFUNCTION("IMPORTRANGE(""https://docs.google.com/spreadsheets/d/1kII0BjS6CtVrBvI8IrytgPdxDrlyQDyigzMsohRtDMs/edit?usp=sharing"",""อุทัยธานี!L202"")"),0)</f>
        <v>0</v>
      </c>
      <c r="AK30" s="92">
        <f ca="1">IFERROR(__xludf.DUMMYFUNCTION("IMPORTRANGE(""https://docs.google.com/spreadsheets/d/1kII0BjS6CtVrBvI8IrytgPdxDrlyQDyigzMsohRtDMs/edit?usp=sharing"",""อุทัยธานี!N202"")"),0)</f>
        <v>0</v>
      </c>
      <c r="AL30" s="93">
        <f t="shared" ca="1" si="89"/>
        <v>0</v>
      </c>
      <c r="AM30" s="92">
        <f ca="1">IFERROR(__xludf.DUMMYFUNCTION("IMPORTRANGE(""https://docs.google.com/spreadsheets/d/1kII0BjS6CtVrBvI8IrytgPdxDrlyQDyigzMsohRtDMs/edit?usp=sharing"",""อุทัยธานี!I204"")"),3)</f>
        <v>3</v>
      </c>
      <c r="AN30" s="92">
        <f ca="1">IFERROR(__xludf.DUMMYFUNCTION("IMPORTRANGE(""https://docs.google.com/spreadsheets/d/1kII0BjS6CtVrBvI8IrytgPdxDrlyQDyigzMsohRtDMs/edit?usp=sharing"",""อุทัยธานี!J204"")"),3)</f>
        <v>3</v>
      </c>
      <c r="AO30" s="93">
        <f t="shared" ca="1" si="90"/>
        <v>100</v>
      </c>
      <c r="AP30" s="298">
        <f ca="1">IFERROR(__xludf.DUMMYFUNCTION("IMPORTRANGE(""https://docs.google.com/spreadsheets/d/1kII0BjS6CtVrBvI8IrytgPdxDrlyQDyigzMsohRtDMs/edit?usp=sharing"",""อุทัยธานี!J206"")"),3)</f>
        <v>3</v>
      </c>
      <c r="AQ30" s="298">
        <f ca="1">IFERROR(__xludf.DUMMYFUNCTION("IMPORTRANGE(""https://docs.google.com/spreadsheets/d/1kII0BjS6CtVrBvI8IrytgPdxDrlyQDyigzMsohRtDMs/edit?usp=sharing"",""อุทัยธานี!J207"")"),0)</f>
        <v>0</v>
      </c>
      <c r="AR30" s="92">
        <f ca="1">IFERROR(__xludf.DUMMYFUNCTION("IMPORTRANGE(""https://docs.google.com/spreadsheets/d/1kII0BjS6CtVrBvI8IrytgPdxDrlyQDyigzMsohRtDMs/edit?usp=sharing"",""อุทัยธานี!L210"")"),0)</f>
        <v>0</v>
      </c>
      <c r="AS30" s="92">
        <f ca="1">IFERROR(__xludf.DUMMYFUNCTION("IMPORTRANGE(""https://docs.google.com/spreadsheets/d/1kII0BjS6CtVrBvI8IrytgPdxDrlyQDyigzMsohRtDMs/edit?usp=sharing"",""อุทัยธานี!N210"")"),0)</f>
        <v>0</v>
      </c>
      <c r="AT30" s="93">
        <f t="shared" ca="1" si="91"/>
        <v>0</v>
      </c>
      <c r="AU30" s="92">
        <f ca="1">IFERROR(__xludf.DUMMYFUNCTION("IMPORTRANGE(""https://docs.google.com/spreadsheets/d/1kII0BjS6CtVrBvI8IrytgPdxDrlyQDyigzMsohRtDMs/edit?usp=sharing"",""อุทัยธานี!L211"")"),0)</f>
        <v>0</v>
      </c>
      <c r="AV30" s="92">
        <f ca="1">IFERROR(__xludf.DUMMYFUNCTION("IMPORTRANGE(""https://docs.google.com/spreadsheets/d/1kII0BjS6CtVrBvI8IrytgPdxDrlyQDyigzMsohRtDMs/edit?usp=sharing"",""อุทัยธานี!N211"")"),0)</f>
        <v>0</v>
      </c>
      <c r="AW30" s="93">
        <f t="shared" ca="1" si="92"/>
        <v>0</v>
      </c>
      <c r="AX30" s="92">
        <f ca="1">IFERROR(__xludf.DUMMYFUNCTION("IMPORTRANGE(""https://docs.google.com/spreadsheets/d/1kII0BjS6CtVrBvI8IrytgPdxDrlyQDyigzMsohRtDMs/edit?usp=sharing"",""อุทัยธานี!L212"")"),0)</f>
        <v>0</v>
      </c>
      <c r="AY30" s="92">
        <f ca="1">IFERROR(__xludf.DUMMYFUNCTION("IMPORTRANGE(""https://docs.google.com/spreadsheets/d/1kII0BjS6CtVrBvI8IrytgPdxDrlyQDyigzMsohRtDMs/edit?usp=sharing"",""อุทัยธานี!N212"")"),0)</f>
        <v>0</v>
      </c>
      <c r="AZ30" s="93">
        <f t="shared" ca="1" si="93"/>
        <v>0</v>
      </c>
      <c r="BA30" s="92">
        <f ca="1">IFERROR(__xludf.DUMMYFUNCTION("IMPORTRANGE(""https://docs.google.com/spreadsheets/d/1kII0BjS6CtVrBvI8IrytgPdxDrlyQDyigzMsohRtDMs/edit?usp=sharing"",""อุทัยธานี!I214"")"),0)</f>
        <v>0</v>
      </c>
      <c r="BB30" s="92">
        <f ca="1">IFERROR(__xludf.DUMMYFUNCTION("IMPORTRANGE(""https://docs.google.com/spreadsheets/d/1kII0BjS6CtVrBvI8IrytgPdxDrlyQDyigzMsohRtDMs/edit?usp=sharing"",""อุทัยธานี!J214"")"),0)</f>
        <v>0</v>
      </c>
      <c r="BC30" s="93">
        <f t="shared" ca="1" si="94"/>
        <v>0</v>
      </c>
      <c r="BD30" s="92">
        <f ca="1">IFERROR(__xludf.DUMMYFUNCTION("IMPORTRANGE(""https://docs.google.com/spreadsheets/d/1kII0BjS6CtVrBvI8IrytgPdxDrlyQDyigzMsohRtDMs/edit?usp=sharing"",""อุทัยธานี!I215"")"),0)</f>
        <v>0</v>
      </c>
      <c r="BE30" s="92">
        <f ca="1">IFERROR(__xludf.DUMMYFUNCTION("IMPORTRANGE(""https://docs.google.com/spreadsheets/d/1kII0BjS6CtVrBvI8IrytgPdxDrlyQDyigzMsohRtDMs/edit?usp=sharing"",""อุทัยธานี!J215"")"),0)</f>
        <v>0</v>
      </c>
      <c r="BF30" s="93">
        <f t="shared" ca="1" si="95"/>
        <v>0</v>
      </c>
      <c r="BG30" s="92">
        <f ca="1">IFERROR(__xludf.DUMMYFUNCTION("IMPORTRANGE(""https://docs.google.com/spreadsheets/d/1kII0BjS6CtVrBvI8IrytgPdxDrlyQDyigzMsohRtDMs/edit?usp=sharing"",""อุทัยธานี!L218"")"),5000)</f>
        <v>5000</v>
      </c>
      <c r="BH30" s="92">
        <f ca="1">IFERROR(__xludf.DUMMYFUNCTION("IMPORTRANGE(""https://docs.google.com/spreadsheets/d/1kII0BjS6CtVrBvI8IrytgPdxDrlyQDyigzMsohRtDMs/edit?usp=sharing"",""อุทัยธานี!N218"")"),3830)</f>
        <v>3830</v>
      </c>
      <c r="BI30" s="93">
        <f t="shared" ca="1" si="96"/>
        <v>76.599999999999994</v>
      </c>
      <c r="BJ30" s="92">
        <f ca="1">IFERROR(__xludf.DUMMYFUNCTION("IMPORTRANGE(""https://docs.google.com/spreadsheets/d/1kII0BjS6CtVrBvI8IrytgPdxDrlyQDyigzMsohRtDMs/edit?usp=sharing"",""อุทัยธานี!L219"")"),13500)</f>
        <v>13500</v>
      </c>
      <c r="BK30" s="92">
        <f ca="1">IFERROR(__xludf.DUMMYFUNCTION("IMPORTRANGE(""https://docs.google.com/spreadsheets/d/1kII0BjS6CtVrBvI8IrytgPdxDrlyQDyigzMsohRtDMs/edit?usp=sharing"",""อุทัยธานี!N219"")"),6000)</f>
        <v>6000</v>
      </c>
      <c r="BL30" s="93">
        <f t="shared" ca="1" si="97"/>
        <v>44.444444444444443</v>
      </c>
      <c r="BM30" s="92">
        <f ca="1">IFERROR(__xludf.DUMMYFUNCTION("IMPORTRANGE(""https://docs.google.com/spreadsheets/d/1kII0BjS6CtVrBvI8IrytgPdxDrlyQDyigzMsohRtDMs/edit?usp=sharing"",""อุทัยธานี!L220"")"),0)</f>
        <v>0</v>
      </c>
      <c r="BN30" s="92">
        <f ca="1">IFERROR(__xludf.DUMMYFUNCTION("IMPORTRANGE(""https://docs.google.com/spreadsheets/d/1kII0BjS6CtVrBvI8IrytgPdxDrlyQDyigzMsohRtDMs/edit?usp=sharing"",""อุทัยธานี!N220"")"),0)</f>
        <v>0</v>
      </c>
      <c r="BO30" s="93">
        <f t="shared" ca="1" si="98"/>
        <v>0</v>
      </c>
      <c r="BP30" s="92">
        <f ca="1">IFERROR(__xludf.DUMMYFUNCTION("IMPORTRANGE(""https://docs.google.com/spreadsheets/d/1kII0BjS6CtVrBvI8IrytgPdxDrlyQDyigzMsohRtDMs/edit?usp=sharing"",""อุทัยธานี!I223"")"),50000)</f>
        <v>50000</v>
      </c>
      <c r="BQ30" s="92">
        <f ca="1">IFERROR(__xludf.DUMMYFUNCTION("IMPORTRANGE(""https://docs.google.com/spreadsheets/d/1kII0BjS6CtVrBvI8IrytgPdxDrlyQDyigzMsohRtDMs/edit?usp=sharing"",""อุทัยธานี!J223"")"),50000)</f>
        <v>50000</v>
      </c>
      <c r="BR30" s="93">
        <f t="shared" ca="1" si="99"/>
        <v>100</v>
      </c>
      <c r="BS30" s="92">
        <f ca="1">IFERROR(__xludf.DUMMYFUNCTION("IMPORTRANGE(""https://docs.google.com/spreadsheets/d/1kII0BjS6CtVrBvI8IrytgPdxDrlyQDyigzMsohRtDMs/edit?usp=sharing"",""อุทัยธานี!I224"")"),50000)</f>
        <v>50000</v>
      </c>
      <c r="BT30" s="92">
        <f ca="1">IFERROR(__xludf.DUMMYFUNCTION("IMPORTRANGE(""https://docs.google.com/spreadsheets/d/1kII0BjS6CtVrBvI8IrytgPdxDrlyQDyigzMsohRtDMs/edit?usp=sharing"",""อุทัยธานี!J224"")"),50000)</f>
        <v>50000</v>
      </c>
      <c r="BU30" s="93">
        <f t="shared" ca="1" si="100"/>
        <v>100</v>
      </c>
      <c r="BV30" s="92">
        <f ca="1">IFERROR(__xludf.DUMMYFUNCTION("IMPORTRANGE(""https://docs.google.com/spreadsheets/d/1kII0BjS6CtVrBvI8IrytgPdxDrlyQDyigzMsohRtDMs/edit?usp=sharing"",""อุทัยธานี!I225"")"),0)</f>
        <v>0</v>
      </c>
      <c r="BW30" s="92">
        <f ca="1">IFERROR(__xludf.DUMMYFUNCTION("IMPORTRANGE(""https://docs.google.com/spreadsheets/d/1kII0BjS6CtVrBvI8IrytgPdxDrlyQDyigzMsohRtDMs/edit?usp=sharing"",""อุทัยธานี!J225"")"),0)</f>
        <v>0</v>
      </c>
      <c r="BX30" s="93">
        <f t="shared" ca="1" si="101"/>
        <v>0</v>
      </c>
      <c r="BY30" s="92">
        <f ca="1">IFERROR(__xludf.DUMMYFUNCTION("IMPORTRANGE(""https://docs.google.com/spreadsheets/d/1kII0BjS6CtVrBvI8IrytgPdxDrlyQDyigzMsohRtDMs/edit?usp=sharing"",""อุทัยธานี!L228"")"),0)</f>
        <v>0</v>
      </c>
      <c r="BZ30" s="92">
        <f ca="1">IFERROR(__xludf.DUMMYFUNCTION("IMPORTRANGE(""https://docs.google.com/spreadsheets/d/1kII0BjS6CtVrBvI8IrytgPdxDrlyQDyigzMsohRtDMs/edit?usp=sharing"",""อุทัยธานี!N228"")"),0)</f>
        <v>0</v>
      </c>
      <c r="CA30" s="93">
        <f t="shared" ca="1" si="102"/>
        <v>0</v>
      </c>
      <c r="CB30" s="92">
        <f ca="1">IFERROR(__xludf.DUMMYFUNCTION("IMPORTRANGE(""https://docs.google.com/spreadsheets/d/1kII0BjS6CtVrBvI8IrytgPdxDrlyQDyigzMsohRtDMs/edit?usp=sharing"",""อุทัยธานี!L229"")"),0)</f>
        <v>0</v>
      </c>
      <c r="CC30" s="92">
        <f ca="1">IFERROR(__xludf.DUMMYFUNCTION("IMPORTRANGE(""https://docs.google.com/spreadsheets/d/1kII0BjS6CtVrBvI8IrytgPdxDrlyQDyigzMsohRtDMs/edit?usp=sharing"",""อุทัยธานี!N229"")"),0)</f>
        <v>0</v>
      </c>
      <c r="CD30" s="93">
        <f t="shared" ca="1" si="103"/>
        <v>0</v>
      </c>
      <c r="CE30" s="92">
        <f ca="1">IFERROR(__xludf.DUMMYFUNCTION("IMPORTRANGE(""https://docs.google.com/spreadsheets/d/1kII0BjS6CtVrBvI8IrytgPdxDrlyQDyigzMsohRtDMs/edit?usp=sharing"",""อุทัยธานี!L230"")"),0)</f>
        <v>0</v>
      </c>
      <c r="CF30" s="92">
        <f ca="1">IFERROR(__xludf.DUMMYFUNCTION("IMPORTRANGE(""https://docs.google.com/spreadsheets/d/1kII0BjS6CtVrBvI8IrytgPdxDrlyQDyigzMsohRtDMs/edit?usp=sharing"",""อุทัยธานี!N230"")"),0)</f>
        <v>0</v>
      </c>
      <c r="CG30" s="93">
        <f t="shared" ca="1" si="104"/>
        <v>0</v>
      </c>
      <c r="CH30" s="92">
        <f ca="1">IFERROR(__xludf.DUMMYFUNCTION("IMPORTRANGE(""https://docs.google.com/spreadsheets/d/1kII0BjS6CtVrBvI8IrytgPdxDrlyQDyigzMsohRtDMs/edit?usp=sharing"",""อุทัยธานี!L231"")"),0)</f>
        <v>0</v>
      </c>
      <c r="CI30" s="92">
        <f ca="1">IFERROR(__xludf.DUMMYFUNCTION("IMPORTRANGE(""https://docs.google.com/spreadsheets/d/1kII0BjS6CtVrBvI8IrytgPdxDrlyQDyigzMsohRtDMs/edit?usp=sharing"",""อุทัยธานี!N231"")"),0)</f>
        <v>0</v>
      </c>
      <c r="CJ30" s="93">
        <f t="shared" ca="1" si="105"/>
        <v>0</v>
      </c>
      <c r="CK30" s="92">
        <f ca="1">IFERROR(__xludf.DUMMYFUNCTION("IMPORTRANGE(""https://docs.google.com/spreadsheets/d/1kII0BjS6CtVrBvI8IrytgPdxDrlyQDyigzMsohRtDMs/edit?usp=sharing"",""อุทัยธานี!I233"")"),0)</f>
        <v>0</v>
      </c>
      <c r="CL30" s="92">
        <f ca="1">IFERROR(__xludf.DUMMYFUNCTION("IMPORTRANGE(""https://docs.google.com/spreadsheets/d/1kII0BjS6CtVrBvI8IrytgPdxDrlyQDyigzMsohRtDMs/edit?usp=sharing"",""อุทัยธานี!J233"")"),0)</f>
        <v>0</v>
      </c>
      <c r="CM30" s="93">
        <f t="shared" ca="1" si="106"/>
        <v>0</v>
      </c>
      <c r="CN30" s="92">
        <f ca="1">IFERROR(__xludf.DUMMYFUNCTION("IMPORTRANGE(""https://docs.google.com/spreadsheets/d/1kII0BjS6CtVrBvI8IrytgPdxDrlyQDyigzMsohRtDMs/edit?usp=sharing"",""อุทัยธานี!J235"")"),0)</f>
        <v>0</v>
      </c>
      <c r="CO30" s="92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383" t="s">
        <v>53</v>
      </c>
      <c r="B31" s="384"/>
      <c r="C31" s="94">
        <f t="shared" ca="1" si="0"/>
        <v>3671300</v>
      </c>
      <c r="D31" s="57">
        <f t="shared" ref="D31:I31" ca="1" si="135">SUM(D32:D51)</f>
        <v>3671300</v>
      </c>
      <c r="E31" s="57">
        <f t="shared" ca="1" si="135"/>
        <v>1465000</v>
      </c>
      <c r="F31" s="57">
        <f t="shared" ca="1" si="135"/>
        <v>2206300</v>
      </c>
      <c r="G31" s="57">
        <f t="shared" ca="1" si="135"/>
        <v>0</v>
      </c>
      <c r="H31" s="57">
        <f t="shared" ca="1" si="135"/>
        <v>3949820</v>
      </c>
      <c r="I31" s="57">
        <f t="shared" ca="1" si="135"/>
        <v>0</v>
      </c>
      <c r="J31" s="57">
        <f t="shared" ca="1" si="3"/>
        <v>3602426.66</v>
      </c>
      <c r="K31" s="95">
        <f t="shared" ca="1" si="4"/>
        <v>98.124006755100368</v>
      </c>
      <c r="L31" s="57">
        <f ca="1">SUM(L32:L51)</f>
        <v>3602426.66</v>
      </c>
      <c r="M31" s="96">
        <f t="shared" ca="1" si="5"/>
        <v>98.124006755100368</v>
      </c>
      <c r="N31" s="96">
        <f t="shared" ca="1" si="6"/>
        <v>91.20483110622763</v>
      </c>
      <c r="O31" s="97">
        <f ca="1">SUM(O32:O51)</f>
        <v>0</v>
      </c>
      <c r="P31" s="97">
        <f t="shared" ca="1" si="108"/>
        <v>0</v>
      </c>
      <c r="Q31" s="96">
        <f t="shared" ca="1" si="8"/>
        <v>0</v>
      </c>
      <c r="R31" s="57">
        <f t="shared" ref="R31:S31" ca="1" si="136">SUM(R32:R51)</f>
        <v>120000</v>
      </c>
      <c r="S31" s="57">
        <f t="shared" ca="1" si="136"/>
        <v>71580</v>
      </c>
      <c r="T31" s="96">
        <f t="shared" ca="1" si="84"/>
        <v>59.65</v>
      </c>
      <c r="U31" s="57">
        <f t="shared" ref="U31:V31" ca="1" si="137">SUM(U32:U51)</f>
        <v>80</v>
      </c>
      <c r="V31" s="57">
        <f t="shared" ca="1" si="137"/>
        <v>77</v>
      </c>
      <c r="W31" s="96">
        <f t="shared" ca="1" si="85"/>
        <v>96.25</v>
      </c>
      <c r="X31" s="57">
        <f t="shared" ref="X31:AB31" ca="1" si="138">SUM(X32:X51)</f>
        <v>1950</v>
      </c>
      <c r="Y31" s="57">
        <f t="shared" ca="1" si="138"/>
        <v>1935</v>
      </c>
      <c r="Z31" s="57">
        <f t="shared" ca="1" si="138"/>
        <v>15</v>
      </c>
      <c r="AA31" s="57">
        <f t="shared" ca="1" si="138"/>
        <v>58000</v>
      </c>
      <c r="AB31" s="57">
        <f t="shared" ca="1" si="138"/>
        <v>74230</v>
      </c>
      <c r="AC31" s="96">
        <f t="shared" ca="1" si="86"/>
        <v>127.98275862068965</v>
      </c>
      <c r="AD31" s="57">
        <f t="shared" ref="AD31:AE31" ca="1" si="139">SUM(AD32:AD51)</f>
        <v>464000</v>
      </c>
      <c r="AE31" s="57">
        <f t="shared" ca="1" si="139"/>
        <v>470450</v>
      </c>
      <c r="AF31" s="96">
        <f t="shared" ca="1" si="87"/>
        <v>101.39008620689656</v>
      </c>
      <c r="AG31" s="57">
        <f t="shared" ref="AG31:AH31" ca="1" si="140">SUM(AG32:AG51)</f>
        <v>232000</v>
      </c>
      <c r="AH31" s="57">
        <f t="shared" ca="1" si="140"/>
        <v>225760</v>
      </c>
      <c r="AI31" s="96">
        <f t="shared" ca="1" si="88"/>
        <v>97.310344827586206</v>
      </c>
      <c r="AJ31" s="57">
        <f t="shared" ref="AJ31:AK31" ca="1" si="141">SUM(AJ32:AJ51)</f>
        <v>35000</v>
      </c>
      <c r="AK31" s="57">
        <f t="shared" ca="1" si="141"/>
        <v>35000</v>
      </c>
      <c r="AL31" s="96">
        <f t="shared" ca="1" si="89"/>
        <v>100</v>
      </c>
      <c r="AM31" s="57">
        <f t="shared" ref="AM31:AN31" ca="1" si="142">SUM(AM32:AM51)</f>
        <v>58</v>
      </c>
      <c r="AN31" s="57">
        <f t="shared" ca="1" si="142"/>
        <v>58</v>
      </c>
      <c r="AO31" s="96">
        <f t="shared" ca="1" si="90"/>
        <v>100</v>
      </c>
      <c r="AP31" s="294">
        <f t="shared" ref="AP31:AS31" ca="1" si="143">SUM(AP32:AP51)</f>
        <v>58</v>
      </c>
      <c r="AQ31" s="294">
        <f t="shared" ca="1" si="143"/>
        <v>7</v>
      </c>
      <c r="AR31" s="57">
        <f t="shared" ca="1" si="143"/>
        <v>27000</v>
      </c>
      <c r="AS31" s="57">
        <f t="shared" ca="1" si="143"/>
        <v>25963.25</v>
      </c>
      <c r="AT31" s="96">
        <f t="shared" ca="1" si="91"/>
        <v>96.160185185185185</v>
      </c>
      <c r="AU31" s="57">
        <f t="shared" ref="AU31:AV31" ca="1" si="144">SUM(AU32:AU51)</f>
        <v>135000</v>
      </c>
      <c r="AV31" s="57">
        <f t="shared" ca="1" si="144"/>
        <v>135000</v>
      </c>
      <c r="AW31" s="96">
        <f t="shared" ca="1" si="92"/>
        <v>100</v>
      </c>
      <c r="AX31" s="57">
        <f t="shared" ref="AX31:AY31" ca="1" si="145">SUM(AX32:AX51)</f>
        <v>216000</v>
      </c>
      <c r="AY31" s="57">
        <f t="shared" ca="1" si="145"/>
        <v>213132</v>
      </c>
      <c r="AZ31" s="96">
        <f t="shared" ca="1" si="93"/>
        <v>98.672222222222217</v>
      </c>
      <c r="BA31" s="57">
        <f t="shared" ref="BA31:BB31" ca="1" si="146">SUM(BA32:BA51)</f>
        <v>27</v>
      </c>
      <c r="BB31" s="57">
        <f t="shared" ca="1" si="146"/>
        <v>27</v>
      </c>
      <c r="BC31" s="96">
        <f t="shared" ca="1" si="94"/>
        <v>100</v>
      </c>
      <c r="BD31" s="57">
        <f t="shared" ref="BD31:BE31" ca="1" si="147">SUM(BD32:BD51)</f>
        <v>27</v>
      </c>
      <c r="BE31" s="57">
        <f t="shared" ca="1" si="147"/>
        <v>27</v>
      </c>
      <c r="BF31" s="96">
        <f t="shared" ca="1" si="95"/>
        <v>100</v>
      </c>
      <c r="BG31" s="57">
        <f t="shared" ref="BG31:BH31" ca="1" si="148">SUM(BG32:BG51)</f>
        <v>90000</v>
      </c>
      <c r="BH31" s="57">
        <f t="shared" ca="1" si="148"/>
        <v>74980</v>
      </c>
      <c r="BI31" s="96">
        <f t="shared" ca="1" si="96"/>
        <v>83.311111111111117</v>
      </c>
      <c r="BJ31" s="57">
        <f t="shared" ref="BJ31:BK31" ca="1" si="149">SUM(BJ32:BJ51)</f>
        <v>233300</v>
      </c>
      <c r="BK31" s="57">
        <f t="shared" ca="1" si="149"/>
        <v>224010</v>
      </c>
      <c r="BL31" s="96">
        <f t="shared" ca="1" si="97"/>
        <v>96.018002571795975</v>
      </c>
      <c r="BM31" s="57">
        <f t="shared" ref="BM31:BN31" ca="1" si="150">SUM(BM32:BM51)</f>
        <v>40000</v>
      </c>
      <c r="BN31" s="57">
        <f t="shared" ca="1" si="150"/>
        <v>37200</v>
      </c>
      <c r="BO31" s="96">
        <f t="shared" ca="1" si="98"/>
        <v>93</v>
      </c>
      <c r="BP31" s="57">
        <f t="shared" ref="BP31:BQ31" ca="1" si="151">SUM(BP32:BP51)</f>
        <v>858800</v>
      </c>
      <c r="BQ31" s="57">
        <f t="shared" ca="1" si="151"/>
        <v>858800</v>
      </c>
      <c r="BR31" s="96">
        <f t="shared" ca="1" si="99"/>
        <v>100</v>
      </c>
      <c r="BS31" s="57">
        <f t="shared" ref="BS31:BT31" ca="1" si="152">SUM(BS32:BS51)</f>
        <v>858800</v>
      </c>
      <c r="BT31" s="57">
        <f t="shared" ca="1" si="152"/>
        <v>858800</v>
      </c>
      <c r="BU31" s="96">
        <f t="shared" ca="1" si="100"/>
        <v>100</v>
      </c>
      <c r="BV31" s="57">
        <f t="shared" ref="BV31:BW31" ca="1" si="153">SUM(BV32:BV51)</f>
        <v>40</v>
      </c>
      <c r="BW31" s="57">
        <f t="shared" ca="1" si="153"/>
        <v>40</v>
      </c>
      <c r="BX31" s="96">
        <f t="shared" ca="1" si="101"/>
        <v>100</v>
      </c>
      <c r="BY31" s="57">
        <f t="shared" ref="BY31:BZ31" ca="1" si="154">SUM(BY32:BY51)</f>
        <v>326000</v>
      </c>
      <c r="BZ31" s="57">
        <f t="shared" ca="1" si="154"/>
        <v>248935</v>
      </c>
      <c r="CA31" s="96">
        <f t="shared" ca="1" si="102"/>
        <v>76.360429447852766</v>
      </c>
      <c r="CB31" s="57">
        <f t="shared" ref="CB31:CC31" ca="1" si="155">SUM(CB32:CB51)</f>
        <v>190000</v>
      </c>
      <c r="CC31" s="57">
        <f t="shared" ca="1" si="155"/>
        <v>190000</v>
      </c>
      <c r="CD31" s="96">
        <f t="shared" ca="1" si="103"/>
        <v>100</v>
      </c>
      <c r="CE31" s="57">
        <f t="shared" ref="CE31:CF31" ca="1" si="156">SUM(CE32:CE51)</f>
        <v>20000</v>
      </c>
      <c r="CF31" s="57">
        <f t="shared" ca="1" si="156"/>
        <v>20000</v>
      </c>
      <c r="CG31" s="96">
        <f t="shared" ca="1" si="104"/>
        <v>100</v>
      </c>
      <c r="CH31" s="57">
        <f t="shared" ref="CH31:CI31" ca="1" si="157">SUM(CH32:CH51)</f>
        <v>20000</v>
      </c>
      <c r="CI31" s="57">
        <f t="shared" ca="1" si="157"/>
        <v>20000</v>
      </c>
      <c r="CJ31" s="96">
        <f t="shared" ca="1" si="105"/>
        <v>100</v>
      </c>
      <c r="CK31" s="57">
        <f t="shared" ref="CK31:CL31" ca="1" si="158">SUM(CK32:CK51)</f>
        <v>80</v>
      </c>
      <c r="CL31" s="57">
        <f t="shared" ca="1" si="158"/>
        <v>80</v>
      </c>
      <c r="CM31" s="96">
        <f t="shared" ca="1" si="106"/>
        <v>100</v>
      </c>
      <c r="CN31" s="57">
        <f t="shared" ref="CN31:CO31" ca="1" si="159">SUM(CN32:CN51)</f>
        <v>40</v>
      </c>
      <c r="CO31" s="57">
        <f t="shared" ca="1" si="159"/>
        <v>2</v>
      </c>
    </row>
    <row r="32" spans="1:93" ht="21" customHeight="1" x14ac:dyDescent="0.3">
      <c r="A32" s="63">
        <v>1</v>
      </c>
      <c r="B32" s="64" t="s">
        <v>54</v>
      </c>
      <c r="C32" s="98">
        <f t="shared" ca="1" si="0"/>
        <v>67900</v>
      </c>
      <c r="D32" s="66">
        <f t="shared" ref="D32:D51" ca="1" si="160">+E32+F32</f>
        <v>67900</v>
      </c>
      <c r="E32" s="67">
        <f ca="1">IFERROR(__xludf.DUMMYFUNCTION("IMPORTRANGE(""https://docs.google.com/spreadsheets/d/1MeEWN-I1oV_STSDYn1IFDPWt_1FKiwhDph83XaGc0o0/edit?usp=sharing"",""งบพรบ!CP32"")"),0)</f>
        <v>0</v>
      </c>
      <c r="F32" s="67">
        <f ca="1">IFERROR(__xludf.DUMMYFUNCTION("IMPORTRANGE(""https://docs.google.com/spreadsheets/d/1MeEWN-I1oV_STSDYn1IFDPWt_1FKiwhDph83XaGc0o0/edit?usp=sharing"",""งบพรบ!CQ32"")"),67900)</f>
        <v>67900</v>
      </c>
      <c r="G32" s="68">
        <f ca="1">IFERROR(__xludf.DUMMYFUNCTION("IMPORTRANGE(""https://docs.google.com/spreadsheets/d/1MeEWN-I1oV_STSDYn1IFDPWt_1FKiwhDph83XaGc0o0/edit?usp=sharing"",""งบพรบ!CR32"")"),0)</f>
        <v>0</v>
      </c>
      <c r="H32" s="68">
        <f ca="1">IFERROR(__xludf.DUMMYFUNCTION("IMPORTRANGE(""https://docs.google.com/spreadsheets/d/1MeEWN-I1oV_STSDYn1IFDPWt_1FKiwhDph83XaGc0o0/edit?usp=sharing"",""งบพรบ!CT32"")"),67900)</f>
        <v>67900</v>
      </c>
      <c r="I32" s="68">
        <f ca="1">IFERROR(__xludf.DUMMYFUNCTION("IMPORTRANGE(""https://docs.google.com/spreadsheets/d/1MeEWN-I1oV_STSDYn1IFDPWt_1FKiwhDph83XaGc0o0/edit?usp=sharing"",""งบพรบ!CU32"")"),0)</f>
        <v>0</v>
      </c>
      <c r="J32" s="68">
        <f t="shared" ca="1" si="3"/>
        <v>66800</v>
      </c>
      <c r="K32" s="69">
        <f t="shared" ca="1" si="4"/>
        <v>98.379970544919004</v>
      </c>
      <c r="L32" s="68">
        <f ca="1">IFERROR(__xludf.DUMMYFUNCTION("IMPORTRANGE(""https://docs.google.com/spreadsheets/d/1MeEWN-I1oV_STSDYn1IFDPWt_1FKiwhDph83XaGc0o0/edit?usp=sharing"",""งบพรบ!CV32"")"),66800)</f>
        <v>66800</v>
      </c>
      <c r="M32" s="70">
        <f t="shared" ca="1" si="5"/>
        <v>98.379970544919004</v>
      </c>
      <c r="N32" s="70">
        <f t="shared" ca="1" si="6"/>
        <v>98.379970544919004</v>
      </c>
      <c r="O32" s="71">
        <f ca="1">IFERROR(__xludf.DUMMYFUNCTION("IMPORTRANGE(""https://docs.google.com/spreadsheets/d/1MeEWN-I1oV_STSDYn1IFDPWt_1FKiwhDph83XaGc0o0/edit?usp=sharing"",""งบพรบ!CW32"")"),0)</f>
        <v>0</v>
      </c>
      <c r="P32" s="71">
        <f t="shared" ca="1" si="10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IFERROR(__xludf.DUMMYFUNCTION("IMPORTRANGE(""https://docs.google.com/spreadsheets/d/1fb2B9NLcpJgjIieIJvenUTNPn0TimZDUi0OtYeiSQ_s/edit?usp=sharing"",""กาฬสินธุ์!L191"")"),6000)</f>
        <v>6000</v>
      </c>
      <c r="S32" s="68">
        <f ca="1">IFERROR(__xludf.DUMMYFUNCTION("IMPORTRANGE(""https://docs.google.com/spreadsheets/d/1fb2B9NLcpJgjIieIJvenUTNPn0TimZDUi0OtYeiSQ_s/edit?usp=sharing"",""กาฬสินธุ์!N191"")"),1500)</f>
        <v>1500</v>
      </c>
      <c r="T32" s="72">
        <f t="shared" ca="1" si="84"/>
        <v>25</v>
      </c>
      <c r="U32" s="68">
        <f ca="1">IFERROR(__xludf.DUMMYFUNCTION("IMPORTRANGE(""https://docs.google.com/spreadsheets/d/1fb2B9NLcpJgjIieIJvenUTNPn0TimZDUi0OtYeiSQ_s/edit?usp=sharing"",""กาฬสินธุ์!I193"")"),4)</f>
        <v>4</v>
      </c>
      <c r="V32" s="68">
        <f ca="1">IFERROR(__xludf.DUMMYFUNCTION("IMPORTRANGE(""https://docs.google.com/spreadsheets/d/1fb2B9NLcpJgjIieIJvenUTNPn0TimZDUi0OtYeiSQ_s/edit?usp=sharing"",""กาฬสินธุ์!J193"")"),4)</f>
        <v>4</v>
      </c>
      <c r="W32" s="72">
        <f t="shared" ca="1" si="85"/>
        <v>100</v>
      </c>
      <c r="X32" s="68">
        <f t="shared" ref="X32:X51" ca="1" si="161">Y32+Z32</f>
        <v>75</v>
      </c>
      <c r="Y32" s="68">
        <f ca="1">IFERROR(__xludf.DUMMYFUNCTION("IMPORTRANGE(""https://docs.google.com/spreadsheets/d/1fb2B9NLcpJgjIieIJvenUTNPn0TimZDUi0OtYeiSQ_s/edit?usp=sharing"",""กาฬสินธุ์!J195"")"),75)</f>
        <v>75</v>
      </c>
      <c r="Z32" s="68">
        <f ca="1">IFERROR(__xludf.DUMMYFUNCTION("IMPORTRANGE(""https://docs.google.com/spreadsheets/d/1fb2B9NLcpJgjIieIJvenUTNPn0TimZDUi0OtYeiSQ_s/edit?usp=sharing"",""กาฬสินธุ์!J196"")"),0)</f>
        <v>0</v>
      </c>
      <c r="AA32" s="68">
        <f ca="1">IFERROR(__xludf.DUMMYFUNCTION("IMPORTRANGE(""https://docs.google.com/spreadsheets/d/1fb2B9NLcpJgjIieIJvenUTNPn0TimZDUi0OtYeiSQ_s/edit?usp=sharing"",""กาฬสินธุ์!L199"")"),3000)</f>
        <v>3000</v>
      </c>
      <c r="AB32" s="68">
        <f ca="1">IFERROR(__xludf.DUMMYFUNCTION("IMPORTRANGE(""https://docs.google.com/spreadsheets/d/1fb2B9NLcpJgjIieIJvenUTNPn0TimZDUi0OtYeiSQ_s/edit?usp=sharing"",""กาฬสินธุ์!N199"")"),3000)</f>
        <v>3000</v>
      </c>
      <c r="AC32" s="72">
        <f t="shared" ca="1" si="86"/>
        <v>100</v>
      </c>
      <c r="AD32" s="68">
        <f ca="1">IFERROR(__xludf.DUMMYFUNCTION("IMPORTRANGE(""https://docs.google.com/spreadsheets/d/1fb2B9NLcpJgjIieIJvenUTNPn0TimZDUi0OtYeiSQ_s/edit?usp=sharing"",""กาฬสินธุ์!L200"")"),24000)</f>
        <v>24000</v>
      </c>
      <c r="AE32" s="68">
        <f ca="1">IFERROR(__xludf.DUMMYFUNCTION("IMPORTRANGE(""https://docs.google.com/spreadsheets/d/1fb2B9NLcpJgjIieIJvenUTNPn0TimZDUi0OtYeiSQ_s/edit?usp=sharing"",""กาฬสินธุ์!N200"")"),24000)</f>
        <v>24000</v>
      </c>
      <c r="AF32" s="72">
        <f t="shared" ca="1" si="87"/>
        <v>100</v>
      </c>
      <c r="AG32" s="68">
        <f ca="1">IFERROR(__xludf.DUMMYFUNCTION("IMPORTRANGE(""https://docs.google.com/spreadsheets/d/1fb2B9NLcpJgjIieIJvenUTNPn0TimZDUi0OtYeiSQ_s/edit?usp=sharing"",""กาฬสินธุ์!L201"")"),12000)</f>
        <v>12000</v>
      </c>
      <c r="AH32" s="68">
        <f ca="1">IFERROR(__xludf.DUMMYFUNCTION("IMPORTRANGE(""https://docs.google.com/spreadsheets/d/1fb2B9NLcpJgjIieIJvenUTNPn0TimZDUi0OtYeiSQ_s/edit?usp=sharing"",""กาฬสินธุ์!N201"")"),12000)</f>
        <v>12000</v>
      </c>
      <c r="AI32" s="72">
        <f t="shared" ca="1" si="88"/>
        <v>100</v>
      </c>
      <c r="AJ32" s="68">
        <f ca="1">IFERROR(__xludf.DUMMYFUNCTION("IMPORTRANGE(""https://docs.google.com/spreadsheets/d/1fb2B9NLcpJgjIieIJvenUTNPn0TimZDUi0OtYeiSQ_s/edit?usp=sharing"",""กาฬสินธุ์!L202"")"),0)</f>
        <v>0</v>
      </c>
      <c r="AK32" s="68">
        <f ca="1">IFERROR(__xludf.DUMMYFUNCTION("IMPORTRANGE(""https://docs.google.com/spreadsheets/d/1fb2B9NLcpJgjIieIJvenUTNPn0TimZDUi0OtYeiSQ_s/edit?usp=sharing"",""กาฬสินธุ์!N202"")"),0)</f>
        <v>0</v>
      </c>
      <c r="AL32" s="72">
        <f t="shared" ca="1" si="89"/>
        <v>0</v>
      </c>
      <c r="AM32" s="68">
        <f ca="1">IFERROR(__xludf.DUMMYFUNCTION("IMPORTRANGE(""https://docs.google.com/spreadsheets/d/1fb2B9NLcpJgjIieIJvenUTNPn0TimZDUi0OtYeiSQ_s/edit?usp=sharing"",""กาฬสินธุ์!I204"")"),3)</f>
        <v>3</v>
      </c>
      <c r="AN32" s="68">
        <f ca="1">IFERROR(__xludf.DUMMYFUNCTION("IMPORTRANGE(""https://docs.google.com/spreadsheets/d/1fb2B9NLcpJgjIieIJvenUTNPn0TimZDUi0OtYeiSQ_s/edit?usp=sharing"",""กาฬสินธุ์!J204"")"),3)</f>
        <v>3</v>
      </c>
      <c r="AO32" s="72">
        <f t="shared" ca="1" si="90"/>
        <v>100</v>
      </c>
      <c r="AP32" s="297">
        <f ca="1">IFERROR(__xludf.DUMMYFUNCTION("IMPORTRANGE(""https://docs.google.com/spreadsheets/d/1fb2B9NLcpJgjIieIJvenUTNPn0TimZDUi0OtYeiSQ_s/edit?usp=sharing"",""กาฬสินธุ์!J206"")"),3)</f>
        <v>3</v>
      </c>
      <c r="AQ32" s="297">
        <f ca="1">IFERROR(__xludf.DUMMYFUNCTION("IMPORTRANGE(""https://docs.google.com/spreadsheets/d/1fb2B9NLcpJgjIieIJvenUTNPn0TimZDUi0OtYeiSQ_s/edit?usp=sharing"",""กาฬสินธุ์!J207"")"),0)</f>
        <v>0</v>
      </c>
      <c r="AR32" s="68">
        <f ca="1">IFERROR(__xludf.DUMMYFUNCTION("IMPORTRANGE(""https://docs.google.com/spreadsheets/d/1fb2B9NLcpJgjIieIJvenUTNPn0TimZDUi0OtYeiSQ_s/edit?usp=sharing"",""กาฬสินธุ์!L210"")"),0)</f>
        <v>0</v>
      </c>
      <c r="AS32" s="68">
        <f ca="1">IFERROR(__xludf.DUMMYFUNCTION("IMPORTRANGE(""https://docs.google.com/spreadsheets/d/1fb2B9NLcpJgjIieIJvenUTNPn0TimZDUi0OtYeiSQ_s/edit?usp=sharing"",""กาฬสินธุ์!N210"")"),0)</f>
        <v>0</v>
      </c>
      <c r="AT32" s="72">
        <f t="shared" ca="1" si="91"/>
        <v>0</v>
      </c>
      <c r="AU32" s="68">
        <f ca="1">IFERROR(__xludf.DUMMYFUNCTION("IMPORTRANGE(""https://docs.google.com/spreadsheets/d/1fb2B9NLcpJgjIieIJvenUTNPn0TimZDUi0OtYeiSQ_s/edit?usp=sharing"",""กาฬสินธุ์!L211"")"),0)</f>
        <v>0</v>
      </c>
      <c r="AV32" s="68">
        <f ca="1">IFERROR(__xludf.DUMMYFUNCTION("IMPORTRANGE(""https://docs.google.com/spreadsheets/d/1fb2B9NLcpJgjIieIJvenUTNPn0TimZDUi0OtYeiSQ_s/edit?usp=sharing"",""กาฬสินธุ์!N211"")"),0)</f>
        <v>0</v>
      </c>
      <c r="AW32" s="72">
        <f t="shared" ca="1" si="92"/>
        <v>0</v>
      </c>
      <c r="AX32" s="68">
        <f ca="1">IFERROR(__xludf.DUMMYFUNCTION("IMPORTRANGE(""https://docs.google.com/spreadsheets/d/1fb2B9NLcpJgjIieIJvenUTNPn0TimZDUi0OtYeiSQ_s/edit?usp=sharing"",""กาฬสินธุ์!L212"")"),0)</f>
        <v>0</v>
      </c>
      <c r="AY32" s="68">
        <f ca="1">IFERROR(__xludf.DUMMYFUNCTION("IMPORTRANGE(""https://docs.google.com/spreadsheets/d/1fb2B9NLcpJgjIieIJvenUTNPn0TimZDUi0OtYeiSQ_s/edit?usp=sharing"",""กาฬสินธุ์!N212"")"),0)</f>
        <v>0</v>
      </c>
      <c r="AZ32" s="72">
        <f t="shared" ca="1" si="93"/>
        <v>0</v>
      </c>
      <c r="BA32" s="68">
        <f ca="1">IFERROR(__xludf.DUMMYFUNCTION("IMPORTRANGE(""https://docs.google.com/spreadsheets/d/1fb2B9NLcpJgjIieIJvenUTNPn0TimZDUi0OtYeiSQ_s/edit?usp=sharing"",""กาฬสินธุ์!I214"")"),0)</f>
        <v>0</v>
      </c>
      <c r="BB32" s="68">
        <f ca="1">IFERROR(__xludf.DUMMYFUNCTION("IMPORTRANGE(""https://docs.google.com/spreadsheets/d/1fb2B9NLcpJgjIieIJvenUTNPn0TimZDUi0OtYeiSQ_s/edit?usp=sharing"",""กาฬสินธุ์!J214"")"),0)</f>
        <v>0</v>
      </c>
      <c r="BC32" s="72">
        <f t="shared" ca="1" si="94"/>
        <v>0</v>
      </c>
      <c r="BD32" s="68">
        <f ca="1">IFERROR(__xludf.DUMMYFUNCTION("IMPORTRANGE(""https://docs.google.com/spreadsheets/d/1fb2B9NLcpJgjIieIJvenUTNPn0TimZDUi0OtYeiSQ_s/edit?usp=sharing"",""กาฬสินธุ์!I215"")"),0)</f>
        <v>0</v>
      </c>
      <c r="BE32" s="68">
        <f ca="1">IFERROR(__xludf.DUMMYFUNCTION("IMPORTRANGE(""https://docs.google.com/spreadsheets/d/1fb2B9NLcpJgjIieIJvenUTNPn0TimZDUi0OtYeiSQ_s/edit?usp=sharing"",""กาฬสินธุ์!J215"")"),0)</f>
        <v>0</v>
      </c>
      <c r="BF32" s="72">
        <f t="shared" ca="1" si="95"/>
        <v>0</v>
      </c>
      <c r="BG32" s="68">
        <f ca="1">IFERROR(__xludf.DUMMYFUNCTION("IMPORTRANGE(""https://docs.google.com/spreadsheets/d/1fb2B9NLcpJgjIieIJvenUTNPn0TimZDUi0OtYeiSQ_s/edit?usp=sharing"",""กาฬสินธุ์!L218"")"),5000)</f>
        <v>5000</v>
      </c>
      <c r="BH32" s="68">
        <f ca="1">IFERROR(__xludf.DUMMYFUNCTION("IMPORTRANGE(""https://docs.google.com/spreadsheets/d/1fb2B9NLcpJgjIieIJvenUTNPn0TimZDUi0OtYeiSQ_s/edit?usp=sharing"",""กาฬสินธุ์!N218"")"),0)</f>
        <v>0</v>
      </c>
      <c r="BI32" s="72">
        <f t="shared" ca="1" si="96"/>
        <v>0</v>
      </c>
      <c r="BJ32" s="68">
        <f ca="1">IFERROR(__xludf.DUMMYFUNCTION("IMPORTRANGE(""https://docs.google.com/spreadsheets/d/1fb2B9NLcpJgjIieIJvenUTNPn0TimZDUi0OtYeiSQ_s/edit?usp=sharing"",""กาฬสินธุ์!L219"")"),17900)</f>
        <v>17900</v>
      </c>
      <c r="BK32" s="68">
        <f ca="1">IFERROR(__xludf.DUMMYFUNCTION("IMPORTRANGE(""https://docs.google.com/spreadsheets/d/1fb2B9NLcpJgjIieIJvenUTNPn0TimZDUi0OtYeiSQ_s/edit?usp=sharing"",""กาฬสินธุ์!N219"")"),16900)</f>
        <v>16900</v>
      </c>
      <c r="BL32" s="72">
        <f t="shared" ca="1" si="97"/>
        <v>94.413407821229043</v>
      </c>
      <c r="BM32" s="68">
        <f ca="1">IFERROR(__xludf.DUMMYFUNCTION("IMPORTRANGE(""https://docs.google.com/spreadsheets/d/1fb2B9NLcpJgjIieIJvenUTNPn0TimZDUi0OtYeiSQ_s/edit?usp=sharing"",""กาฬสินธุ์!L220"")"),0)</f>
        <v>0</v>
      </c>
      <c r="BN32" s="68">
        <f ca="1">IFERROR(__xludf.DUMMYFUNCTION("IMPORTRANGE(""https://docs.google.com/spreadsheets/d/1fb2B9NLcpJgjIieIJvenUTNPn0TimZDUi0OtYeiSQ_s/edit?usp=sharing"",""กาฬสินธุ์!N220"")"),0)</f>
        <v>0</v>
      </c>
      <c r="BO32" s="72">
        <f t="shared" ca="1" si="98"/>
        <v>0</v>
      </c>
      <c r="BP32" s="68">
        <f ca="1">IFERROR(__xludf.DUMMYFUNCTION("IMPORTRANGE(""https://docs.google.com/spreadsheets/d/1fb2B9NLcpJgjIieIJvenUTNPn0TimZDUi0OtYeiSQ_s/edit?usp=sharing"",""กาฬสินธุ์!I223"")"),65000)</f>
        <v>65000</v>
      </c>
      <c r="BQ32" s="68">
        <f ca="1">IFERROR(__xludf.DUMMYFUNCTION("IMPORTRANGE(""https://docs.google.com/spreadsheets/d/1fb2B9NLcpJgjIieIJvenUTNPn0TimZDUi0OtYeiSQ_s/edit?usp=sharing"",""กาฬสินธุ์!J223"")"),65000)</f>
        <v>65000</v>
      </c>
      <c r="BR32" s="72">
        <f t="shared" ca="1" si="99"/>
        <v>100</v>
      </c>
      <c r="BS32" s="68">
        <f ca="1">IFERROR(__xludf.DUMMYFUNCTION("IMPORTRANGE(""https://docs.google.com/spreadsheets/d/1fb2B9NLcpJgjIieIJvenUTNPn0TimZDUi0OtYeiSQ_s/edit?usp=sharing"",""กาฬสินธุ์!I224"")"),65000)</f>
        <v>65000</v>
      </c>
      <c r="BT32" s="68">
        <f ca="1">IFERROR(__xludf.DUMMYFUNCTION("IMPORTRANGE(""https://docs.google.com/spreadsheets/d/1fb2B9NLcpJgjIieIJvenUTNPn0TimZDUi0OtYeiSQ_s/edit?usp=sharing"",""กาฬสินธุ์!J224"")"),65000)</f>
        <v>65000</v>
      </c>
      <c r="BU32" s="72">
        <f t="shared" ca="1" si="100"/>
        <v>100</v>
      </c>
      <c r="BV32" s="68">
        <f ca="1">IFERROR(__xludf.DUMMYFUNCTION("IMPORTRANGE(""https://docs.google.com/spreadsheets/d/1fb2B9NLcpJgjIieIJvenUTNPn0TimZDUi0OtYeiSQ_s/edit?usp=sharing"",""กาฬสินธุ์!I225"")"),0)</f>
        <v>0</v>
      </c>
      <c r="BW32" s="68">
        <f ca="1">IFERROR(__xludf.DUMMYFUNCTION("IMPORTRANGE(""https://docs.google.com/spreadsheets/d/1fb2B9NLcpJgjIieIJvenUTNPn0TimZDUi0OtYeiSQ_s/edit?usp=sharing"",""กาฬสินธุ์!J225"")"),0)</f>
        <v>0</v>
      </c>
      <c r="BX32" s="72">
        <f t="shared" ca="1" si="101"/>
        <v>0</v>
      </c>
      <c r="BY32" s="68">
        <f ca="1">IFERROR(__xludf.DUMMYFUNCTION("IMPORTRANGE(""https://docs.google.com/spreadsheets/d/1fb2B9NLcpJgjIieIJvenUTNPn0TimZDUi0OtYeiSQ_s/edit?usp=sharing"",""กาฬสินธุ์!L228"")"),0)</f>
        <v>0</v>
      </c>
      <c r="BZ32" s="68">
        <f ca="1">IFERROR(__xludf.DUMMYFUNCTION("IMPORTRANGE(""https://docs.google.com/spreadsheets/d/1fb2B9NLcpJgjIieIJvenUTNPn0TimZDUi0OtYeiSQ_s/edit?usp=sharing"",""กาฬสินธุ์!N228"")"),0)</f>
        <v>0</v>
      </c>
      <c r="CA32" s="72">
        <f t="shared" ca="1" si="102"/>
        <v>0</v>
      </c>
      <c r="CB32" s="68">
        <f ca="1">IFERROR(__xludf.DUMMYFUNCTION("IMPORTRANGE(""https://docs.google.com/spreadsheets/d/1fb2B9NLcpJgjIieIJvenUTNPn0TimZDUi0OtYeiSQ_s/edit?usp=sharing"",""กาฬสินธุ์!L229"")"),0)</f>
        <v>0</v>
      </c>
      <c r="CC32" s="68">
        <f ca="1">IFERROR(__xludf.DUMMYFUNCTION("IMPORTRANGE(""https://docs.google.com/spreadsheets/d/1fb2B9NLcpJgjIieIJvenUTNPn0TimZDUi0OtYeiSQ_s/edit?usp=sharing"",""กาฬสินธุ์!N229"")"),0)</f>
        <v>0</v>
      </c>
      <c r="CD32" s="72">
        <f t="shared" ca="1" si="103"/>
        <v>0</v>
      </c>
      <c r="CE32" s="68">
        <f ca="1">IFERROR(__xludf.DUMMYFUNCTION("IMPORTRANGE(""https://docs.google.com/spreadsheets/d/1fb2B9NLcpJgjIieIJvenUTNPn0TimZDUi0OtYeiSQ_s/edit?usp=sharing"",""กาฬสินธุ์!L230"")"),0)</f>
        <v>0</v>
      </c>
      <c r="CF32" s="68">
        <f ca="1">IFERROR(__xludf.DUMMYFUNCTION("IMPORTRANGE(""https://docs.google.com/spreadsheets/d/1fb2B9NLcpJgjIieIJvenUTNPn0TimZDUi0OtYeiSQ_s/edit?usp=sharing"",""กาฬสินธุ์!N230"")"),0)</f>
        <v>0</v>
      </c>
      <c r="CG32" s="72">
        <f t="shared" ca="1" si="104"/>
        <v>0</v>
      </c>
      <c r="CH32" s="68">
        <f ca="1">IFERROR(__xludf.DUMMYFUNCTION("IMPORTRANGE(""https://docs.google.com/spreadsheets/d/1fb2B9NLcpJgjIieIJvenUTNPn0TimZDUi0OtYeiSQ_s/edit?usp=sharing"",""กาฬสินธุ์!L231"")"),0)</f>
        <v>0</v>
      </c>
      <c r="CI32" s="68">
        <f ca="1">IFERROR(__xludf.DUMMYFUNCTION("IMPORTRANGE(""https://docs.google.com/spreadsheets/d/1fb2B9NLcpJgjIieIJvenUTNPn0TimZDUi0OtYeiSQ_s/edit?usp=sharing"",""กาฬสินธุ์!N231"")"),0)</f>
        <v>0</v>
      </c>
      <c r="CJ32" s="72">
        <f t="shared" ca="1" si="105"/>
        <v>0</v>
      </c>
      <c r="CK32" s="68">
        <f ca="1">IFERROR(__xludf.DUMMYFUNCTION("IMPORTRANGE(""https://docs.google.com/spreadsheets/d/1fb2B9NLcpJgjIieIJvenUTNPn0TimZDUi0OtYeiSQ_s/edit?usp=sharing"",""กาฬสินธุ์!I233"")"),0)</f>
        <v>0</v>
      </c>
      <c r="CL32" s="68">
        <f ca="1">IFERROR(__xludf.DUMMYFUNCTION("IMPORTRANGE(""https://docs.google.com/spreadsheets/d/1fb2B9NLcpJgjIieIJvenUTNPn0TimZDUi0OtYeiSQ_s/edit?usp=sharing"",""กาฬสินธุ์!J233"")"),0)</f>
        <v>0</v>
      </c>
      <c r="CM32" s="72">
        <f t="shared" ca="1" si="106"/>
        <v>0</v>
      </c>
      <c r="CN32" s="68">
        <f ca="1">IFERROR(__xludf.DUMMYFUNCTION("IMPORTRANGE(""https://docs.google.com/spreadsheets/d/1fb2B9NLcpJgjIieIJvenUTNPn0TimZDUi0OtYeiSQ_s/edit?usp=sharing"",""กาฬสินธุ์!J235"")"),0)</f>
        <v>0</v>
      </c>
      <c r="CO32" s="68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3">
        <v>2</v>
      </c>
      <c r="B33" s="74" t="s">
        <v>55</v>
      </c>
      <c r="C33" s="75">
        <f t="shared" ca="1" si="0"/>
        <v>63500</v>
      </c>
      <c r="D33" s="76">
        <f t="shared" ca="1" si="160"/>
        <v>63500</v>
      </c>
      <c r="E33" s="77">
        <f ca="1">IFERROR(__xludf.DUMMYFUNCTION("IMPORTRANGE(""https://docs.google.com/spreadsheets/d/1MeEWN-I1oV_STSDYn1IFDPWt_1FKiwhDph83XaGc0o0/edit?usp=sharing"",""งบพรบ!CP33"")"),0)</f>
        <v>0</v>
      </c>
      <c r="F33" s="77">
        <f ca="1">IFERROR(__xludf.DUMMYFUNCTION("IMPORTRANGE(""https://docs.google.com/spreadsheets/d/1MeEWN-I1oV_STSDYn1IFDPWt_1FKiwhDph83XaGc0o0/edit?usp=sharing"",""งบพรบ!CQ33"")"),63500)</f>
        <v>63500</v>
      </c>
      <c r="G33" s="77">
        <f ca="1">IFERROR(__xludf.DUMMYFUNCTION("IMPORTRANGE(""https://docs.google.com/spreadsheets/d/1MeEWN-I1oV_STSDYn1IFDPWt_1FKiwhDph83XaGc0o0/edit?usp=sharing"",""งบพรบ!CR33"")"),0)</f>
        <v>0</v>
      </c>
      <c r="H33" s="77">
        <f ca="1">IFERROR(__xludf.DUMMYFUNCTION("IMPORTRANGE(""https://docs.google.com/spreadsheets/d/1MeEWN-I1oV_STSDYn1IFDPWt_1FKiwhDph83XaGc0o0/edit?usp=sharing"",""งบพรบ!CT33"")"),121300)</f>
        <v>121300</v>
      </c>
      <c r="I33" s="77">
        <f ca="1">IFERROR(__xludf.DUMMYFUNCTION("IMPORTRANGE(""https://docs.google.com/spreadsheets/d/1MeEWN-I1oV_STSDYn1IFDPWt_1FKiwhDph83XaGc0o0/edit?usp=sharing"",""งบพรบ!CU33"")"),0)</f>
        <v>0</v>
      </c>
      <c r="J33" s="77">
        <f t="shared" ca="1" si="3"/>
        <v>108562</v>
      </c>
      <c r="K33" s="78">
        <f t="shared" ca="1" si="4"/>
        <v>170.96377952755907</v>
      </c>
      <c r="L33" s="77">
        <f ca="1">IFERROR(__xludf.DUMMYFUNCTION("IMPORTRANGE(""https://docs.google.com/spreadsheets/d/1MeEWN-I1oV_STSDYn1IFDPWt_1FKiwhDph83XaGc0o0/edit?usp=sharing"",""งบพรบ!CV33"")"),108562)</f>
        <v>108562</v>
      </c>
      <c r="M33" s="79">
        <f t="shared" ca="1" si="5"/>
        <v>170.96377952755907</v>
      </c>
      <c r="N33" s="79">
        <f t="shared" ca="1" si="6"/>
        <v>89.498763396537512</v>
      </c>
      <c r="O33" s="80">
        <f ca="1">IFERROR(__xludf.DUMMYFUNCTION("IMPORTRANGE(""https://docs.google.com/spreadsheets/d/1MeEWN-I1oV_STSDYn1IFDPWt_1FKiwhDph83XaGc0o0/edit?usp=sharing"",""งบพรบ!CW33"")"),0)</f>
        <v>0</v>
      </c>
      <c r="P33" s="80">
        <f t="shared" ca="1" si="10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IFERROR(__xludf.DUMMYFUNCTION("IMPORTRANGE(""https://docs.google.com/spreadsheets/d/1SaMnqrwRGmFYNR0MhpWmHuL5niYUd5E7vDq8X7whAlI/edit?usp=sharing"",""ขอนแก่น!L191"")"),6000)</f>
        <v>6000</v>
      </c>
      <c r="S33" s="81">
        <f ca="1">IFERROR(__xludf.DUMMYFUNCTION("IMPORTRANGE(""https://docs.google.com/spreadsheets/d/1SaMnqrwRGmFYNR0MhpWmHuL5niYUd5E7vDq8X7whAlI/edit?usp=sharing"",""ขอนแก่น!N191"")"),0)</f>
        <v>0</v>
      </c>
      <c r="T33" s="82">
        <f t="shared" ca="1" si="84"/>
        <v>0</v>
      </c>
      <c r="U33" s="81">
        <f ca="1">IFERROR(__xludf.DUMMYFUNCTION("IMPORTRANGE(""https://docs.google.com/spreadsheets/d/1SaMnqrwRGmFYNR0MhpWmHuL5niYUd5E7vDq8X7whAlI/edit?usp=sharing"",""ขอนแก่น!I193"")"),4)</f>
        <v>4</v>
      </c>
      <c r="V33" s="81">
        <f ca="1">IFERROR(__xludf.DUMMYFUNCTION("IMPORTRANGE(""https://docs.google.com/spreadsheets/d/1SaMnqrwRGmFYNR0MhpWmHuL5niYUd5E7vDq8X7whAlI/edit?usp=sharing"",""ขอนแก่น!J193"")"),4)</f>
        <v>4</v>
      </c>
      <c r="W33" s="82">
        <f t="shared" ca="1" si="85"/>
        <v>100</v>
      </c>
      <c r="X33" s="81">
        <f t="shared" ca="1" si="161"/>
        <v>48</v>
      </c>
      <c r="Y33" s="81">
        <f ca="1">IFERROR(__xludf.DUMMYFUNCTION("IMPORTRANGE(""https://docs.google.com/spreadsheets/d/1SaMnqrwRGmFYNR0MhpWmHuL5niYUd5E7vDq8X7whAlI/edit?usp=sharing"",""ขอนแก่น!J195"")"),48)</f>
        <v>48</v>
      </c>
      <c r="Z33" s="81">
        <f ca="1">IFERROR(__xludf.DUMMYFUNCTION("IMPORTRANGE(""https://docs.google.com/spreadsheets/d/1SaMnqrwRGmFYNR0MhpWmHuL5niYUd5E7vDq8X7whAlI/edit?usp=sharing"",""ขอนแก่น!J196"")"),0)</f>
        <v>0</v>
      </c>
      <c r="AA33" s="81">
        <f ca="1">IFERROR(__xludf.DUMMYFUNCTION("IMPORTRANGE(""https://docs.google.com/spreadsheets/d/1SaMnqrwRGmFYNR0MhpWmHuL5niYUd5E7vDq8X7whAlI/edit?usp=sharing"",""ขอนแก่น!L199"")"),3000)</f>
        <v>3000</v>
      </c>
      <c r="AB33" s="81">
        <f ca="1">IFERROR(__xludf.DUMMYFUNCTION("IMPORTRANGE(""https://docs.google.com/spreadsheets/d/1SaMnqrwRGmFYNR0MhpWmHuL5niYUd5E7vDq8X7whAlI/edit?usp=sharing"",""ขอนแก่น!N199"")"),2480)</f>
        <v>2480</v>
      </c>
      <c r="AC33" s="82">
        <f t="shared" ca="1" si="86"/>
        <v>82.666666666666671</v>
      </c>
      <c r="AD33" s="81">
        <f ca="1">IFERROR(__xludf.DUMMYFUNCTION("IMPORTRANGE(""https://docs.google.com/spreadsheets/d/1SaMnqrwRGmFYNR0MhpWmHuL5niYUd5E7vDq8X7whAlI/edit?usp=sharing"",""ขอนแก่น!L200"")"),24000)</f>
        <v>24000</v>
      </c>
      <c r="AE33" s="81">
        <f ca="1">IFERROR(__xludf.DUMMYFUNCTION("IMPORTRANGE(""https://docs.google.com/spreadsheets/d/1SaMnqrwRGmFYNR0MhpWmHuL5niYUd5E7vDq8X7whAlI/edit?usp=sharing"",""ขอนแก่น!N200"")"),29550)</f>
        <v>29550</v>
      </c>
      <c r="AF33" s="82">
        <f t="shared" ca="1" si="87"/>
        <v>123.125</v>
      </c>
      <c r="AG33" s="81">
        <f ca="1">IFERROR(__xludf.DUMMYFUNCTION("IMPORTRANGE(""https://docs.google.com/spreadsheets/d/1SaMnqrwRGmFYNR0MhpWmHuL5niYUd5E7vDq8X7whAlI/edit?usp=sharing"",""ขอนแก่น!L201"")"),12000)</f>
        <v>12000</v>
      </c>
      <c r="AH33" s="81">
        <f ca="1">IFERROR(__xludf.DUMMYFUNCTION("IMPORTRANGE(""https://docs.google.com/spreadsheets/d/1SaMnqrwRGmFYNR0MhpWmHuL5niYUd5E7vDq8X7whAlI/edit?usp=sharing"",""ขอนแก่น!N201"")"),6970)</f>
        <v>6970</v>
      </c>
      <c r="AI33" s="82">
        <f t="shared" ca="1" si="88"/>
        <v>58.083333333333336</v>
      </c>
      <c r="AJ33" s="81">
        <f ca="1">IFERROR(__xludf.DUMMYFUNCTION("IMPORTRANGE(""https://docs.google.com/spreadsheets/d/1SaMnqrwRGmFYNR0MhpWmHuL5niYUd5E7vDq8X7whAlI/edit?usp=sharing"",""ขอนแก่น!L202"")"),0)</f>
        <v>0</v>
      </c>
      <c r="AK33" s="81">
        <f ca="1">IFERROR(__xludf.DUMMYFUNCTION("IMPORTRANGE(""https://docs.google.com/spreadsheets/d/1SaMnqrwRGmFYNR0MhpWmHuL5niYUd5E7vDq8X7whAlI/edit?usp=sharing"",""ขอนแก่น!N202"")"),0)</f>
        <v>0</v>
      </c>
      <c r="AL33" s="82">
        <f t="shared" ca="1" si="89"/>
        <v>0</v>
      </c>
      <c r="AM33" s="81">
        <f ca="1">IFERROR(__xludf.DUMMYFUNCTION("IMPORTRANGE(""https://docs.google.com/spreadsheets/d/1SaMnqrwRGmFYNR0MhpWmHuL5niYUd5E7vDq8X7whAlI/edit?usp=sharing"",""ขอนแก่น!I204"")"),3)</f>
        <v>3</v>
      </c>
      <c r="AN33" s="81">
        <f ca="1">IFERROR(__xludf.DUMMYFUNCTION("IMPORTRANGE(""https://docs.google.com/spreadsheets/d/1SaMnqrwRGmFYNR0MhpWmHuL5niYUd5E7vDq8X7whAlI/edit?usp=sharing"",""ขอนแก่น!J204"")"),3)</f>
        <v>3</v>
      </c>
      <c r="AO33" s="82">
        <f t="shared" ca="1" si="90"/>
        <v>100</v>
      </c>
      <c r="AP33" s="297">
        <f ca="1">IFERROR(__xludf.DUMMYFUNCTION("IMPORTRANGE(""https://docs.google.com/spreadsheets/d/1SaMnqrwRGmFYNR0MhpWmHuL5niYUd5E7vDq8X7whAlI/edit?usp=sharing"",""ขอนแก่น!J206"")"),3)</f>
        <v>3</v>
      </c>
      <c r="AQ33" s="297">
        <f ca="1">IFERROR(__xludf.DUMMYFUNCTION("IMPORTRANGE(""https://docs.google.com/spreadsheets/d/1SaMnqrwRGmFYNR0MhpWmHuL5niYUd5E7vDq8X7whAlI/edit?usp=sharing"",""ขอนแก่น!J207"")"),0)</f>
        <v>0</v>
      </c>
      <c r="AR33" s="81">
        <f ca="1">IFERROR(__xludf.DUMMYFUNCTION("IMPORTRANGE(""https://docs.google.com/spreadsheets/d/1SaMnqrwRGmFYNR0MhpWmHuL5niYUd5E7vDq8X7whAlI/edit?usp=sharing"",""ขอนแก่น!L210"")"),0)</f>
        <v>0</v>
      </c>
      <c r="AS33" s="81">
        <f ca="1">IFERROR(__xludf.DUMMYFUNCTION("IMPORTRANGE(""https://docs.google.com/spreadsheets/d/1SaMnqrwRGmFYNR0MhpWmHuL5niYUd5E7vDq8X7whAlI/edit?usp=sharing"",""ขอนแก่น!N210"")"),0)</f>
        <v>0</v>
      </c>
      <c r="AT33" s="82">
        <f t="shared" ca="1" si="91"/>
        <v>0</v>
      </c>
      <c r="AU33" s="81">
        <f ca="1">IFERROR(__xludf.DUMMYFUNCTION("IMPORTRANGE(""https://docs.google.com/spreadsheets/d/1SaMnqrwRGmFYNR0MhpWmHuL5niYUd5E7vDq8X7whAlI/edit?usp=sharing"",""ขอนแก่น!L211"")"),0)</f>
        <v>0</v>
      </c>
      <c r="AV33" s="81">
        <f ca="1">IFERROR(__xludf.DUMMYFUNCTION("IMPORTRANGE(""https://docs.google.com/spreadsheets/d/1SaMnqrwRGmFYNR0MhpWmHuL5niYUd5E7vDq8X7whAlI/edit?usp=sharing"",""ขอนแก่น!N211"")"),0)</f>
        <v>0</v>
      </c>
      <c r="AW33" s="82">
        <f t="shared" ca="1" si="92"/>
        <v>0</v>
      </c>
      <c r="AX33" s="81">
        <f ca="1">IFERROR(__xludf.DUMMYFUNCTION("IMPORTRANGE(""https://docs.google.com/spreadsheets/d/1SaMnqrwRGmFYNR0MhpWmHuL5niYUd5E7vDq8X7whAlI/edit?usp=sharing"",""ขอนแก่น!L212"")"),0)</f>
        <v>0</v>
      </c>
      <c r="AY33" s="81">
        <f ca="1">IFERROR(__xludf.DUMMYFUNCTION("IMPORTRANGE(""https://docs.google.com/spreadsheets/d/1SaMnqrwRGmFYNR0MhpWmHuL5niYUd5E7vDq8X7whAlI/edit?usp=sharing"",""ขอนแก่น!N212"")"),0)</f>
        <v>0</v>
      </c>
      <c r="AZ33" s="82">
        <f t="shared" ca="1" si="93"/>
        <v>0</v>
      </c>
      <c r="BA33" s="81">
        <f ca="1">IFERROR(__xludf.DUMMYFUNCTION("IMPORTRANGE(""https://docs.google.com/spreadsheets/d/1SaMnqrwRGmFYNR0MhpWmHuL5niYUd5E7vDq8X7whAlI/edit?usp=sharing"",""ขอนแก่น!I214"")"),0)</f>
        <v>0</v>
      </c>
      <c r="BB33" s="81">
        <f ca="1">IFERROR(__xludf.DUMMYFUNCTION("IMPORTRANGE(""https://docs.google.com/spreadsheets/d/1SaMnqrwRGmFYNR0MhpWmHuL5niYUd5E7vDq8X7whAlI/edit?usp=sharing"",""ขอนแก่น!J214"")"),0)</f>
        <v>0</v>
      </c>
      <c r="BC33" s="82">
        <f t="shared" ca="1" si="94"/>
        <v>0</v>
      </c>
      <c r="BD33" s="81">
        <f ca="1">IFERROR(__xludf.DUMMYFUNCTION("IMPORTRANGE(""https://docs.google.com/spreadsheets/d/1SaMnqrwRGmFYNR0MhpWmHuL5niYUd5E7vDq8X7whAlI/edit?usp=sharing"",""ขอนแก่น!I215"")"),0)</f>
        <v>0</v>
      </c>
      <c r="BE33" s="81">
        <f ca="1">IFERROR(__xludf.DUMMYFUNCTION("IMPORTRANGE(""https://docs.google.com/spreadsheets/d/1SaMnqrwRGmFYNR0MhpWmHuL5niYUd5E7vDq8X7whAlI/edit?usp=sharing"",""ขอนแก่น!J215"")"),0)</f>
        <v>0</v>
      </c>
      <c r="BF33" s="82">
        <f t="shared" ca="1" si="95"/>
        <v>0</v>
      </c>
      <c r="BG33" s="81">
        <f ca="1">IFERROR(__xludf.DUMMYFUNCTION("IMPORTRANGE(""https://docs.google.com/spreadsheets/d/1SaMnqrwRGmFYNR0MhpWmHuL5niYUd5E7vDq8X7whAlI/edit?usp=sharing"",""ขอนแก่น!L218"")"),5000)</f>
        <v>5000</v>
      </c>
      <c r="BH33" s="81">
        <f ca="1">IFERROR(__xludf.DUMMYFUNCTION("IMPORTRANGE(""https://docs.google.com/spreadsheets/d/1SaMnqrwRGmFYNR0MhpWmHuL5niYUd5E7vDq8X7whAlI/edit?usp=sharing"",""ขอนแก่น!N218"")"),5000)</f>
        <v>5000</v>
      </c>
      <c r="BI33" s="82">
        <f t="shared" ca="1" si="96"/>
        <v>100</v>
      </c>
      <c r="BJ33" s="81">
        <f ca="1">IFERROR(__xludf.DUMMYFUNCTION("IMPORTRANGE(""https://docs.google.com/spreadsheets/d/1SaMnqrwRGmFYNR0MhpWmHuL5niYUd5E7vDq8X7whAlI/edit?usp=sharing"",""ขอนแก่น!L219"")"),13500)</f>
        <v>13500</v>
      </c>
      <c r="BK33" s="81">
        <f ca="1">IFERROR(__xludf.DUMMYFUNCTION("IMPORTRANGE(""https://docs.google.com/spreadsheets/d/1SaMnqrwRGmFYNR0MhpWmHuL5niYUd5E7vDq8X7whAlI/edit?usp=sharing"",""ขอนแก่น!N219"")"),13500)</f>
        <v>13500</v>
      </c>
      <c r="BL33" s="82">
        <f t="shared" ca="1" si="97"/>
        <v>100</v>
      </c>
      <c r="BM33" s="81">
        <f ca="1">IFERROR(__xludf.DUMMYFUNCTION("IMPORTRANGE(""https://docs.google.com/spreadsheets/d/1SaMnqrwRGmFYNR0MhpWmHuL5niYUd5E7vDq8X7whAlI/edit?usp=sharing"",""ขอนแก่น!L220"")"),0)</f>
        <v>0</v>
      </c>
      <c r="BN33" s="81">
        <f ca="1">IFERROR(__xludf.DUMMYFUNCTION("IMPORTRANGE(""https://docs.google.com/spreadsheets/d/1SaMnqrwRGmFYNR0MhpWmHuL5niYUd5E7vDq8X7whAlI/edit?usp=sharing"",""ขอนแก่น!N220"")"),0)</f>
        <v>0</v>
      </c>
      <c r="BO33" s="82">
        <f t="shared" ca="1" si="98"/>
        <v>0</v>
      </c>
      <c r="BP33" s="81">
        <f ca="1">IFERROR(__xludf.DUMMYFUNCTION("IMPORTRANGE(""https://docs.google.com/spreadsheets/d/1SaMnqrwRGmFYNR0MhpWmHuL5niYUd5E7vDq8X7whAlI/edit?usp=sharing"",""ขอนแก่น!I223"")"),50000)</f>
        <v>50000</v>
      </c>
      <c r="BQ33" s="81">
        <f ca="1">IFERROR(__xludf.DUMMYFUNCTION("IMPORTRANGE(""https://docs.google.com/spreadsheets/d/1SaMnqrwRGmFYNR0MhpWmHuL5niYUd5E7vDq8X7whAlI/edit?usp=sharing"",""ขอนแก่น!J223"")"),50000)</f>
        <v>50000</v>
      </c>
      <c r="BR33" s="82">
        <f t="shared" ca="1" si="99"/>
        <v>100</v>
      </c>
      <c r="BS33" s="81">
        <f ca="1">IFERROR(__xludf.DUMMYFUNCTION("IMPORTRANGE(""https://docs.google.com/spreadsheets/d/1SaMnqrwRGmFYNR0MhpWmHuL5niYUd5E7vDq8X7whAlI/edit?usp=sharing"",""ขอนแก่น!I224"")"),50000)</f>
        <v>50000</v>
      </c>
      <c r="BT33" s="81">
        <f ca="1">IFERROR(__xludf.DUMMYFUNCTION("IMPORTRANGE(""https://docs.google.com/spreadsheets/d/1SaMnqrwRGmFYNR0MhpWmHuL5niYUd5E7vDq8X7whAlI/edit?usp=sharing"",""ขอนแก่น!J224"")"),50000)</f>
        <v>50000</v>
      </c>
      <c r="BU33" s="82">
        <f t="shared" ca="1" si="100"/>
        <v>100</v>
      </c>
      <c r="BV33" s="81">
        <f ca="1">IFERROR(__xludf.DUMMYFUNCTION("IMPORTRANGE(""https://docs.google.com/spreadsheets/d/1SaMnqrwRGmFYNR0MhpWmHuL5niYUd5E7vDq8X7whAlI/edit?usp=sharing"",""ขอนแก่น!I225"")"),0)</f>
        <v>0</v>
      </c>
      <c r="BW33" s="81">
        <f ca="1">IFERROR(__xludf.DUMMYFUNCTION("IMPORTRANGE(""https://docs.google.com/spreadsheets/d/1SaMnqrwRGmFYNR0MhpWmHuL5niYUd5E7vDq8X7whAlI/edit?usp=sharing"",""ขอนแก่น!J225"")"),0)</f>
        <v>0</v>
      </c>
      <c r="BX33" s="82">
        <f t="shared" ca="1" si="101"/>
        <v>0</v>
      </c>
      <c r="BY33" s="81">
        <f ca="1">IFERROR(__xludf.DUMMYFUNCTION("IMPORTRANGE(""https://docs.google.com/spreadsheets/d/1SaMnqrwRGmFYNR0MhpWmHuL5niYUd5E7vDq8X7whAlI/edit?usp=sharing"",""ขอนแก่น!L228"")"),0)</f>
        <v>0</v>
      </c>
      <c r="BZ33" s="81">
        <f ca="1">IFERROR(__xludf.DUMMYFUNCTION("IMPORTRANGE(""https://docs.google.com/spreadsheets/d/1SaMnqrwRGmFYNR0MhpWmHuL5niYUd5E7vDq8X7whAlI/edit?usp=sharing"",""ขอนแก่น!N228"")"),0)</f>
        <v>0</v>
      </c>
      <c r="CA33" s="82">
        <f t="shared" ca="1" si="102"/>
        <v>0</v>
      </c>
      <c r="CB33" s="81">
        <f ca="1">IFERROR(__xludf.DUMMYFUNCTION("IMPORTRANGE(""https://docs.google.com/spreadsheets/d/1SaMnqrwRGmFYNR0MhpWmHuL5niYUd5E7vDq8X7whAlI/edit?usp=sharing"",""ขอนแก่น!L229"")"),0)</f>
        <v>0</v>
      </c>
      <c r="CC33" s="81">
        <f ca="1">IFERROR(__xludf.DUMMYFUNCTION("IMPORTRANGE(""https://docs.google.com/spreadsheets/d/1SaMnqrwRGmFYNR0MhpWmHuL5niYUd5E7vDq8X7whAlI/edit?usp=sharing"",""ขอนแก่น!N229"")"),0)</f>
        <v>0</v>
      </c>
      <c r="CD33" s="82">
        <f t="shared" ca="1" si="103"/>
        <v>0</v>
      </c>
      <c r="CE33" s="81">
        <f ca="1">IFERROR(__xludf.DUMMYFUNCTION("IMPORTRANGE(""https://docs.google.com/spreadsheets/d/1SaMnqrwRGmFYNR0MhpWmHuL5niYUd5E7vDq8X7whAlI/edit?usp=sharing"",""ขอนแก่น!L230"")"),0)</f>
        <v>0</v>
      </c>
      <c r="CF33" s="81">
        <f ca="1">IFERROR(__xludf.DUMMYFUNCTION("IMPORTRANGE(""https://docs.google.com/spreadsheets/d/1SaMnqrwRGmFYNR0MhpWmHuL5niYUd5E7vDq8X7whAlI/edit?usp=sharing"",""ขอนแก่น!N230"")"),0)</f>
        <v>0</v>
      </c>
      <c r="CG33" s="82">
        <f t="shared" ca="1" si="104"/>
        <v>0</v>
      </c>
      <c r="CH33" s="81">
        <f ca="1">IFERROR(__xludf.DUMMYFUNCTION("IMPORTRANGE(""https://docs.google.com/spreadsheets/d/1SaMnqrwRGmFYNR0MhpWmHuL5niYUd5E7vDq8X7whAlI/edit?usp=sharing"",""ขอนแก่น!L231"")"),0)</f>
        <v>0</v>
      </c>
      <c r="CI33" s="81">
        <f ca="1">IFERROR(__xludf.DUMMYFUNCTION("IMPORTRANGE(""https://docs.google.com/spreadsheets/d/1SaMnqrwRGmFYNR0MhpWmHuL5niYUd5E7vDq8X7whAlI/edit?usp=sharing"",""ขอนแก่น!N231"")"),0)</f>
        <v>0</v>
      </c>
      <c r="CJ33" s="82">
        <f t="shared" ca="1" si="105"/>
        <v>0</v>
      </c>
      <c r="CK33" s="81">
        <f ca="1">IFERROR(__xludf.DUMMYFUNCTION("IMPORTRANGE(""https://docs.google.com/spreadsheets/d/1SaMnqrwRGmFYNR0MhpWmHuL5niYUd5E7vDq8X7whAlI/edit?usp=sharing"",""ขอนแก่น!I233"")"),0)</f>
        <v>0</v>
      </c>
      <c r="CL33" s="81">
        <f ca="1">IFERROR(__xludf.DUMMYFUNCTION("IMPORTRANGE(""https://docs.google.com/spreadsheets/d/1SaMnqrwRGmFYNR0MhpWmHuL5niYUd5E7vDq8X7whAlI/edit?usp=sharing"",""ขอนแก่น!J233"")"),0)</f>
        <v>0</v>
      </c>
      <c r="CM33" s="82">
        <f t="shared" ca="1" si="106"/>
        <v>0</v>
      </c>
      <c r="CN33" s="81">
        <f ca="1">IFERROR(__xludf.DUMMYFUNCTION("IMPORTRANGE(""https://docs.google.com/spreadsheets/d/1SaMnqrwRGmFYNR0MhpWmHuL5niYUd5E7vDq8X7whAlI/edit?usp=sharing"",""ขอนแก่น!J235"")"),0)</f>
        <v>0</v>
      </c>
      <c r="CO33" s="81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3">
        <v>3</v>
      </c>
      <c r="B34" s="74" t="s">
        <v>56</v>
      </c>
      <c r="C34" s="75">
        <f t="shared" ca="1" si="0"/>
        <v>362500</v>
      </c>
      <c r="D34" s="76">
        <f t="shared" ca="1" si="160"/>
        <v>362500</v>
      </c>
      <c r="E34" s="77">
        <f ca="1">IFERROR(__xludf.DUMMYFUNCTION("IMPORTRANGE(""https://docs.google.com/spreadsheets/d/1MeEWN-I1oV_STSDYn1IFDPWt_1FKiwhDph83XaGc0o0/edit?usp=sharing"",""งบพรบ!CP34"")"),286000)</f>
        <v>286000</v>
      </c>
      <c r="F34" s="77">
        <f ca="1">IFERROR(__xludf.DUMMYFUNCTION("IMPORTRANGE(""https://docs.google.com/spreadsheets/d/1MeEWN-I1oV_STSDYn1IFDPWt_1FKiwhDph83XaGc0o0/edit?usp=sharing"",""งบพรบ!CQ34"")"),76500)</f>
        <v>76500</v>
      </c>
      <c r="G34" s="77">
        <f ca="1">IFERROR(__xludf.DUMMYFUNCTION("IMPORTRANGE(""https://docs.google.com/spreadsheets/d/1MeEWN-I1oV_STSDYn1IFDPWt_1FKiwhDph83XaGc0o0/edit?usp=sharing"",""งบพรบ!CR34"")"),0)</f>
        <v>0</v>
      </c>
      <c r="H34" s="77">
        <f ca="1">IFERROR(__xludf.DUMMYFUNCTION("IMPORTRANGE(""https://docs.google.com/spreadsheets/d/1MeEWN-I1oV_STSDYn1IFDPWt_1FKiwhDph83XaGc0o0/edit?usp=sharing"",""งบพรบ!CT34"")"),362500)</f>
        <v>362500</v>
      </c>
      <c r="I34" s="77">
        <f ca="1">IFERROR(__xludf.DUMMYFUNCTION("IMPORTRANGE(""https://docs.google.com/spreadsheets/d/1MeEWN-I1oV_STSDYn1IFDPWt_1FKiwhDph83XaGc0o0/edit?usp=sharing"",""งบพรบ!CU34"")"),0)</f>
        <v>0</v>
      </c>
      <c r="J34" s="77">
        <f t="shared" ca="1" si="3"/>
        <v>269146</v>
      </c>
      <c r="K34" s="78">
        <f t="shared" ca="1" si="4"/>
        <v>74.247172413793109</v>
      </c>
      <c r="L34" s="77">
        <f ca="1">IFERROR(__xludf.DUMMYFUNCTION("IMPORTRANGE(""https://docs.google.com/spreadsheets/d/1MeEWN-I1oV_STSDYn1IFDPWt_1FKiwhDph83XaGc0o0/edit?usp=sharing"",""งบพรบ!CV34"")"),269146)</f>
        <v>269146</v>
      </c>
      <c r="M34" s="79">
        <f t="shared" ca="1" si="5"/>
        <v>74.247172413793109</v>
      </c>
      <c r="N34" s="79">
        <f t="shared" ca="1" si="6"/>
        <v>74.247172413793109</v>
      </c>
      <c r="O34" s="80">
        <f ca="1">IFERROR(__xludf.DUMMYFUNCTION("IMPORTRANGE(""https://docs.google.com/spreadsheets/d/1MeEWN-I1oV_STSDYn1IFDPWt_1FKiwhDph83XaGc0o0/edit?usp=sharing"",""งบพรบ!CW34"")"),0)</f>
        <v>0</v>
      </c>
      <c r="P34" s="80">
        <f t="shared" ca="1" si="10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IFERROR(__xludf.DUMMYFUNCTION("IMPORTRANGE(""https://docs.google.com/spreadsheets/d/1xQzEtGHhTTgxHh6YUkKY1P4dRyjVhS74dGswLfAASA4/edit?usp=sharing"",""ชัยภูมิ!L191"")"),6000)</f>
        <v>6000</v>
      </c>
      <c r="S34" s="81">
        <f ca="1">IFERROR(__xludf.DUMMYFUNCTION("IMPORTRANGE(""https://docs.google.com/spreadsheets/d/1xQzEtGHhTTgxHh6YUkKY1P4dRyjVhS74dGswLfAASA4/edit?usp=sharing"",""ชัยภูมิ!N191"")"),4760)</f>
        <v>4760</v>
      </c>
      <c r="T34" s="82">
        <f t="shared" ca="1" si="84"/>
        <v>79.333333333333329</v>
      </c>
      <c r="U34" s="81">
        <f ca="1">IFERROR(__xludf.DUMMYFUNCTION("IMPORTRANGE(""https://docs.google.com/spreadsheets/d/1xQzEtGHhTTgxHh6YUkKY1P4dRyjVhS74dGswLfAASA4/edit?usp=sharing"",""ชัยภูมิ!I193"")"),4)</f>
        <v>4</v>
      </c>
      <c r="V34" s="81">
        <f ca="1">IFERROR(__xludf.DUMMYFUNCTION("IMPORTRANGE(""https://docs.google.com/spreadsheets/d/1xQzEtGHhTTgxHh6YUkKY1P4dRyjVhS74dGswLfAASA4/edit?usp=sharing"",""ชัยภูมิ!J193"")"),4)</f>
        <v>4</v>
      </c>
      <c r="W34" s="82">
        <f t="shared" ca="1" si="85"/>
        <v>100</v>
      </c>
      <c r="X34" s="81">
        <f t="shared" ca="1" si="161"/>
        <v>90</v>
      </c>
      <c r="Y34" s="81">
        <f ca="1">IFERROR(__xludf.DUMMYFUNCTION("IMPORTRANGE(""https://docs.google.com/spreadsheets/d/1xQzEtGHhTTgxHh6YUkKY1P4dRyjVhS74dGswLfAASA4/edit?usp=sharing"",""ชัยภูมิ!J195"")"),90)</f>
        <v>90</v>
      </c>
      <c r="Z34" s="81">
        <f ca="1">IFERROR(__xludf.DUMMYFUNCTION("IMPORTRANGE(""https://docs.google.com/spreadsheets/d/1xQzEtGHhTTgxHh6YUkKY1P4dRyjVhS74dGswLfAASA4/edit?usp=sharing"",""ชัยภูมิ!J196"")"),0)</f>
        <v>0</v>
      </c>
      <c r="AA34" s="81">
        <f ca="1">IFERROR(__xludf.DUMMYFUNCTION("IMPORTRANGE(""https://docs.google.com/spreadsheets/d/1xQzEtGHhTTgxHh6YUkKY1P4dRyjVhS74dGswLfAASA4/edit?usp=sharing"",""ชัยภูมิ!L199"")"),4000)</f>
        <v>4000</v>
      </c>
      <c r="AB34" s="81">
        <f ca="1">IFERROR(__xludf.DUMMYFUNCTION("IMPORTRANGE(""https://docs.google.com/spreadsheets/d/1xQzEtGHhTTgxHh6YUkKY1P4dRyjVhS74dGswLfAASA4/edit?usp=sharing"",""ชัยภูมิ!N199"")"),4000)</f>
        <v>4000</v>
      </c>
      <c r="AC34" s="82">
        <f t="shared" ca="1" si="86"/>
        <v>100</v>
      </c>
      <c r="AD34" s="81">
        <f ca="1">IFERROR(__xludf.DUMMYFUNCTION("IMPORTRANGE(""https://docs.google.com/spreadsheets/d/1xQzEtGHhTTgxHh6YUkKY1P4dRyjVhS74dGswLfAASA4/edit?usp=sharing"",""ชัยภูมิ!L200"")"),32000)</f>
        <v>32000</v>
      </c>
      <c r="AE34" s="81">
        <f ca="1">IFERROR(__xludf.DUMMYFUNCTION("IMPORTRANGE(""https://docs.google.com/spreadsheets/d/1xQzEtGHhTTgxHh6YUkKY1P4dRyjVhS74dGswLfAASA4/edit?usp=sharing"",""ชัยภูมิ!N200"")"),32000)</f>
        <v>32000</v>
      </c>
      <c r="AF34" s="82">
        <f t="shared" ca="1" si="87"/>
        <v>100</v>
      </c>
      <c r="AG34" s="81">
        <f ca="1">IFERROR(__xludf.DUMMYFUNCTION("IMPORTRANGE(""https://docs.google.com/spreadsheets/d/1xQzEtGHhTTgxHh6YUkKY1P4dRyjVhS74dGswLfAASA4/edit?usp=sharing"",""ชัยภูมิ!L201"")"),16000)</f>
        <v>16000</v>
      </c>
      <c r="AH34" s="81">
        <f ca="1">IFERROR(__xludf.DUMMYFUNCTION("IMPORTRANGE(""https://docs.google.com/spreadsheets/d/1xQzEtGHhTTgxHh6YUkKY1P4dRyjVhS74dGswLfAASA4/edit?usp=sharing"",""ชัยภูมิ!N201"")"),16000)</f>
        <v>16000</v>
      </c>
      <c r="AI34" s="82">
        <f t="shared" ca="1" si="88"/>
        <v>100</v>
      </c>
      <c r="AJ34" s="81">
        <f ca="1">IFERROR(__xludf.DUMMYFUNCTION("IMPORTRANGE(""https://docs.google.com/spreadsheets/d/1xQzEtGHhTTgxHh6YUkKY1P4dRyjVhS74dGswLfAASA4/edit?usp=sharing"",""ชัยภูมิ!L202"")"),0)</f>
        <v>0</v>
      </c>
      <c r="AK34" s="81">
        <f ca="1">IFERROR(__xludf.DUMMYFUNCTION("IMPORTRANGE(""https://docs.google.com/spreadsheets/d/1xQzEtGHhTTgxHh6YUkKY1P4dRyjVhS74dGswLfAASA4/edit?usp=sharing"",""ชัยภูมิ!N202"")"),0)</f>
        <v>0</v>
      </c>
      <c r="AL34" s="82">
        <f t="shared" ca="1" si="89"/>
        <v>0</v>
      </c>
      <c r="AM34" s="81">
        <f ca="1">IFERROR(__xludf.DUMMYFUNCTION("IMPORTRANGE(""https://docs.google.com/spreadsheets/d/1xQzEtGHhTTgxHh6YUkKY1P4dRyjVhS74dGswLfAASA4/edit?usp=sharing"",""ชัยภูมิ!I204"")"),4)</f>
        <v>4</v>
      </c>
      <c r="AN34" s="81">
        <f ca="1">IFERROR(__xludf.DUMMYFUNCTION("IMPORTRANGE(""https://docs.google.com/spreadsheets/d/1xQzEtGHhTTgxHh6YUkKY1P4dRyjVhS74dGswLfAASA4/edit?usp=sharing"",""ชัยภูมิ!J204"")"),4)</f>
        <v>4</v>
      </c>
      <c r="AO34" s="82">
        <f t="shared" ca="1" si="90"/>
        <v>100</v>
      </c>
      <c r="AP34" s="297">
        <f ca="1">IFERROR(__xludf.DUMMYFUNCTION("IMPORTRANGE(""https://docs.google.com/spreadsheets/d/1xQzEtGHhTTgxHh6YUkKY1P4dRyjVhS74dGswLfAASA4/edit?usp=sharing"",""ชัยภูมิ!J206"")"),4)</f>
        <v>4</v>
      </c>
      <c r="AQ34" s="297">
        <f ca="1">IFERROR(__xludf.DUMMYFUNCTION("IMPORTRANGE(""https://docs.google.com/spreadsheets/d/1xQzEtGHhTTgxHh6YUkKY1P4dRyjVhS74dGswLfAASA4/edit?usp=sharing"",""ชัยภูมิ!J207"")"),0)</f>
        <v>0</v>
      </c>
      <c r="AR34" s="81">
        <f ca="1">IFERROR(__xludf.DUMMYFUNCTION("IMPORTRANGE(""https://docs.google.com/spreadsheets/d/1xQzEtGHhTTgxHh6YUkKY1P4dRyjVhS74dGswLfAASA4/edit?usp=sharing"",""ชัยภูมิ!L210"")"),0)</f>
        <v>0</v>
      </c>
      <c r="AS34" s="81">
        <f ca="1">IFERROR(__xludf.DUMMYFUNCTION("IMPORTRANGE(""https://docs.google.com/spreadsheets/d/1xQzEtGHhTTgxHh6YUkKY1P4dRyjVhS74dGswLfAASA4/edit?usp=sharing"",""ชัยภูมิ!N210"")"),0)</f>
        <v>0</v>
      </c>
      <c r="AT34" s="82">
        <f t="shared" ca="1" si="91"/>
        <v>0</v>
      </c>
      <c r="AU34" s="81">
        <f ca="1">IFERROR(__xludf.DUMMYFUNCTION("IMPORTRANGE(""https://docs.google.com/spreadsheets/d/1xQzEtGHhTTgxHh6YUkKY1P4dRyjVhS74dGswLfAASA4/edit?usp=sharing"",""ชัยภูมิ!L211"")"),0)</f>
        <v>0</v>
      </c>
      <c r="AV34" s="81">
        <f ca="1">IFERROR(__xludf.DUMMYFUNCTION("IMPORTRANGE(""https://docs.google.com/spreadsheets/d/1xQzEtGHhTTgxHh6YUkKY1P4dRyjVhS74dGswLfAASA4/edit?usp=sharing"",""ชัยภูมิ!N211"")"),0)</f>
        <v>0</v>
      </c>
      <c r="AW34" s="82">
        <f t="shared" ca="1" si="92"/>
        <v>0</v>
      </c>
      <c r="AX34" s="81">
        <f ca="1">IFERROR(__xludf.DUMMYFUNCTION("IMPORTRANGE(""https://docs.google.com/spreadsheets/d/1xQzEtGHhTTgxHh6YUkKY1P4dRyjVhS74dGswLfAASA4/edit?usp=sharing"",""ชัยภูมิ!L212"")"),0)</f>
        <v>0</v>
      </c>
      <c r="AY34" s="81">
        <f ca="1">IFERROR(__xludf.DUMMYFUNCTION("IMPORTRANGE(""https://docs.google.com/spreadsheets/d/1xQzEtGHhTTgxHh6YUkKY1P4dRyjVhS74dGswLfAASA4/edit?usp=sharing"",""ชัยภูมิ!N212"")"),0)</f>
        <v>0</v>
      </c>
      <c r="AZ34" s="82">
        <f t="shared" ca="1" si="93"/>
        <v>0</v>
      </c>
      <c r="BA34" s="81">
        <f ca="1">IFERROR(__xludf.DUMMYFUNCTION("IMPORTRANGE(""https://docs.google.com/spreadsheets/d/1xQzEtGHhTTgxHh6YUkKY1P4dRyjVhS74dGswLfAASA4/edit?usp=sharing"",""ชัยภูมิ!I214"")"),0)</f>
        <v>0</v>
      </c>
      <c r="BB34" s="81">
        <f ca="1">IFERROR(__xludf.DUMMYFUNCTION("IMPORTRANGE(""https://docs.google.com/spreadsheets/d/1xQzEtGHhTTgxHh6YUkKY1P4dRyjVhS74dGswLfAASA4/edit?usp=sharing"",""ชัยภูมิ!J214"")"),0)</f>
        <v>0</v>
      </c>
      <c r="BC34" s="82">
        <f t="shared" ca="1" si="94"/>
        <v>0</v>
      </c>
      <c r="BD34" s="81">
        <f ca="1">IFERROR(__xludf.DUMMYFUNCTION("IMPORTRANGE(""https://docs.google.com/spreadsheets/d/1xQzEtGHhTTgxHh6YUkKY1P4dRyjVhS74dGswLfAASA4/edit?usp=sharing"",""ชัยภูมิ!I215"")"),0)</f>
        <v>0</v>
      </c>
      <c r="BE34" s="81">
        <f ca="1">IFERROR(__xludf.DUMMYFUNCTION("IMPORTRANGE(""https://docs.google.com/spreadsheets/d/1xQzEtGHhTTgxHh6YUkKY1P4dRyjVhS74dGswLfAASA4/edit?usp=sharing"",""ชัยภูมิ!J215"")"),0)</f>
        <v>0</v>
      </c>
      <c r="BF34" s="82">
        <f t="shared" ca="1" si="95"/>
        <v>0</v>
      </c>
      <c r="BG34" s="81">
        <f ca="1">IFERROR(__xludf.DUMMYFUNCTION("IMPORTRANGE(""https://docs.google.com/spreadsheets/d/1xQzEtGHhTTgxHh6YUkKY1P4dRyjVhS74dGswLfAASA4/edit?usp=sharing"",""ชัยภูมิ!L218"")"),5000)</f>
        <v>5000</v>
      </c>
      <c r="BH34" s="81">
        <f ca="1">IFERROR(__xludf.DUMMYFUNCTION("IMPORTRANGE(""https://docs.google.com/spreadsheets/d/1xQzEtGHhTTgxHh6YUkKY1P4dRyjVhS74dGswLfAASA4/edit?usp=sharing"",""ชัยภูมิ!N218"")"),5000)</f>
        <v>5000</v>
      </c>
      <c r="BI34" s="82">
        <f t="shared" ca="1" si="96"/>
        <v>100</v>
      </c>
      <c r="BJ34" s="81">
        <f ca="1">IFERROR(__xludf.DUMMYFUNCTION("IMPORTRANGE(""https://docs.google.com/spreadsheets/d/1xQzEtGHhTTgxHh6YUkKY1P4dRyjVhS74dGswLfAASA4/edit?usp=sharing"",""ชัยภูมิ!L219"")"),13500)</f>
        <v>13500</v>
      </c>
      <c r="BK34" s="81">
        <f ca="1">IFERROR(__xludf.DUMMYFUNCTION("IMPORTRANGE(""https://docs.google.com/spreadsheets/d/1xQzEtGHhTTgxHh6YUkKY1P4dRyjVhS74dGswLfAASA4/edit?usp=sharing"",""ชัยภูมิ!N219"")"),13500)</f>
        <v>13500</v>
      </c>
      <c r="BL34" s="82">
        <f t="shared" ca="1" si="97"/>
        <v>100</v>
      </c>
      <c r="BM34" s="81">
        <f ca="1">IFERROR(__xludf.DUMMYFUNCTION("IMPORTRANGE(""https://docs.google.com/spreadsheets/d/1xQzEtGHhTTgxHh6YUkKY1P4dRyjVhS74dGswLfAASA4/edit?usp=sharing"",""ชัยภูมิ!L220"")"),0)</f>
        <v>0</v>
      </c>
      <c r="BN34" s="81">
        <f ca="1">IFERROR(__xludf.DUMMYFUNCTION("IMPORTRANGE(""https://docs.google.com/spreadsheets/d/1xQzEtGHhTTgxHh6YUkKY1P4dRyjVhS74dGswLfAASA4/edit?usp=sharing"",""ชัยภูมิ!N220"")"),0)</f>
        <v>0</v>
      </c>
      <c r="BO34" s="82">
        <f t="shared" ca="1" si="98"/>
        <v>0</v>
      </c>
      <c r="BP34" s="81">
        <f ca="1">IFERROR(__xludf.DUMMYFUNCTION("IMPORTRANGE(""https://docs.google.com/spreadsheets/d/1xQzEtGHhTTgxHh6YUkKY1P4dRyjVhS74dGswLfAASA4/edit?usp=sharing"",""ชัยภูมิ!I223"")"),50000)</f>
        <v>50000</v>
      </c>
      <c r="BQ34" s="81">
        <f ca="1">IFERROR(__xludf.DUMMYFUNCTION("IMPORTRANGE(""https://docs.google.com/spreadsheets/d/1xQzEtGHhTTgxHh6YUkKY1P4dRyjVhS74dGswLfAASA4/edit?usp=sharing"",""ชัยภูมิ!J223"")"),50000)</f>
        <v>50000</v>
      </c>
      <c r="BR34" s="82">
        <f t="shared" ca="1" si="99"/>
        <v>100</v>
      </c>
      <c r="BS34" s="81">
        <f ca="1">IFERROR(__xludf.DUMMYFUNCTION("IMPORTRANGE(""https://docs.google.com/spreadsheets/d/1xQzEtGHhTTgxHh6YUkKY1P4dRyjVhS74dGswLfAASA4/edit?usp=sharing"",""ชัยภูมิ!I224"")"),50000)</f>
        <v>50000</v>
      </c>
      <c r="BT34" s="81">
        <f ca="1">IFERROR(__xludf.DUMMYFUNCTION("IMPORTRANGE(""https://docs.google.com/spreadsheets/d/1xQzEtGHhTTgxHh6YUkKY1P4dRyjVhS74dGswLfAASA4/edit?usp=sharing"",""ชัยภูมิ!J224"")"),50000)</f>
        <v>50000</v>
      </c>
      <c r="BU34" s="82">
        <f t="shared" ca="1" si="100"/>
        <v>100</v>
      </c>
      <c r="BV34" s="81">
        <f ca="1">IFERROR(__xludf.DUMMYFUNCTION("IMPORTRANGE(""https://docs.google.com/spreadsheets/d/1xQzEtGHhTTgxHh6YUkKY1P4dRyjVhS74dGswLfAASA4/edit?usp=sharing"",""ชัยภูมิ!I225"")"),0)</f>
        <v>0</v>
      </c>
      <c r="BW34" s="81">
        <f ca="1">IFERROR(__xludf.DUMMYFUNCTION("IMPORTRANGE(""https://docs.google.com/spreadsheets/d/1xQzEtGHhTTgxHh6YUkKY1P4dRyjVhS74dGswLfAASA4/edit?usp=sharing"",""ชัยภูมิ!J225"")"),0)</f>
        <v>0</v>
      </c>
      <c r="BX34" s="82">
        <f t="shared" ca="1" si="101"/>
        <v>0</v>
      </c>
      <c r="BY34" s="81">
        <f ca="1">IFERROR(__xludf.DUMMYFUNCTION("IMPORTRANGE(""https://docs.google.com/spreadsheets/d/1xQzEtGHhTTgxHh6YUkKY1P4dRyjVhS74dGswLfAASA4/edit?usp=sharing"",""ชัยภูมิ!L228"")"),0)</f>
        <v>0</v>
      </c>
      <c r="BZ34" s="81">
        <f ca="1">IFERROR(__xludf.DUMMYFUNCTION("IMPORTRANGE(""https://docs.google.com/spreadsheets/d/1xQzEtGHhTTgxHh6YUkKY1P4dRyjVhS74dGswLfAASA4/edit?usp=sharing"",""ชัยภูมิ!N228"")"),0)</f>
        <v>0</v>
      </c>
      <c r="CA34" s="82">
        <f t="shared" ca="1" si="102"/>
        <v>0</v>
      </c>
      <c r="CB34" s="81">
        <f ca="1">IFERROR(__xludf.DUMMYFUNCTION("IMPORTRANGE(""https://docs.google.com/spreadsheets/d/1xQzEtGHhTTgxHh6YUkKY1P4dRyjVhS74dGswLfAASA4/edit?usp=sharing"",""ชัยภูมิ!L229"")"),0)</f>
        <v>0</v>
      </c>
      <c r="CC34" s="81">
        <f ca="1">IFERROR(__xludf.DUMMYFUNCTION("IMPORTRANGE(""https://docs.google.com/spreadsheets/d/1xQzEtGHhTTgxHh6YUkKY1P4dRyjVhS74dGswLfAASA4/edit?usp=sharing"",""ชัยภูมิ!N229"")"),0)</f>
        <v>0</v>
      </c>
      <c r="CD34" s="82">
        <f t="shared" ca="1" si="103"/>
        <v>0</v>
      </c>
      <c r="CE34" s="81">
        <f ca="1">IFERROR(__xludf.DUMMYFUNCTION("IMPORTRANGE(""https://docs.google.com/spreadsheets/d/1xQzEtGHhTTgxHh6YUkKY1P4dRyjVhS74dGswLfAASA4/edit?usp=sharing"",""ชัยภูมิ!L230"")"),0)</f>
        <v>0</v>
      </c>
      <c r="CF34" s="81">
        <f ca="1">IFERROR(__xludf.DUMMYFUNCTION("IMPORTRANGE(""https://docs.google.com/spreadsheets/d/1xQzEtGHhTTgxHh6YUkKY1P4dRyjVhS74dGswLfAASA4/edit?usp=sharing"",""ชัยภูมิ!N230"")"),0)</f>
        <v>0</v>
      </c>
      <c r="CG34" s="82">
        <f t="shared" ca="1" si="104"/>
        <v>0</v>
      </c>
      <c r="CH34" s="81">
        <f ca="1">IFERROR(__xludf.DUMMYFUNCTION("IMPORTRANGE(""https://docs.google.com/spreadsheets/d/1xQzEtGHhTTgxHh6YUkKY1P4dRyjVhS74dGswLfAASA4/edit?usp=sharing"",""ชัยภูมิ!L231"")"),0)</f>
        <v>0</v>
      </c>
      <c r="CI34" s="81">
        <f ca="1">IFERROR(__xludf.DUMMYFUNCTION("IMPORTRANGE(""https://docs.google.com/spreadsheets/d/1xQzEtGHhTTgxHh6YUkKY1P4dRyjVhS74dGswLfAASA4/edit?usp=sharing"",""ชัยภูมิ!N231"")"),0)</f>
        <v>0</v>
      </c>
      <c r="CJ34" s="82">
        <f t="shared" ca="1" si="105"/>
        <v>0</v>
      </c>
      <c r="CK34" s="81">
        <f ca="1">IFERROR(__xludf.DUMMYFUNCTION("IMPORTRANGE(""https://docs.google.com/spreadsheets/d/1xQzEtGHhTTgxHh6YUkKY1P4dRyjVhS74dGswLfAASA4/edit?usp=sharing"",""ชัยภูมิ!I233"")"),0)</f>
        <v>0</v>
      </c>
      <c r="CL34" s="81">
        <f ca="1">IFERROR(__xludf.DUMMYFUNCTION("IMPORTRANGE(""https://docs.google.com/spreadsheets/d/1xQzEtGHhTTgxHh6YUkKY1P4dRyjVhS74dGswLfAASA4/edit?usp=sharing"",""ชัยภูมิ!J233"")"),0)</f>
        <v>0</v>
      </c>
      <c r="CM34" s="82">
        <f t="shared" ca="1" si="106"/>
        <v>0</v>
      </c>
      <c r="CN34" s="81">
        <f ca="1">IFERROR(__xludf.DUMMYFUNCTION("IMPORTRANGE(""https://docs.google.com/spreadsheets/d/1xQzEtGHhTTgxHh6YUkKY1P4dRyjVhS74dGswLfAASA4/edit?usp=sharing"",""ชัยภูมิ!J235"")"),0)</f>
        <v>0</v>
      </c>
      <c r="CO34" s="81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3">
        <v>4</v>
      </c>
      <c r="B35" s="74" t="s">
        <v>57</v>
      </c>
      <c r="C35" s="75">
        <f t="shared" ca="1" si="0"/>
        <v>65500</v>
      </c>
      <c r="D35" s="76">
        <f t="shared" ca="1" si="160"/>
        <v>65500</v>
      </c>
      <c r="E35" s="77">
        <f ca="1">IFERROR(__xludf.DUMMYFUNCTION("IMPORTRANGE(""https://docs.google.com/spreadsheets/d/1MeEWN-I1oV_STSDYn1IFDPWt_1FKiwhDph83XaGc0o0/edit?usp=sharing"",""งบพรบ!CP35"")"),0)</f>
        <v>0</v>
      </c>
      <c r="F35" s="77">
        <f ca="1">IFERROR(__xludf.DUMMYFUNCTION("IMPORTRANGE(""https://docs.google.com/spreadsheets/d/1MeEWN-I1oV_STSDYn1IFDPWt_1FKiwhDph83XaGc0o0/edit?usp=sharing"",""งบพรบ!CQ35"")"),65500)</f>
        <v>65500</v>
      </c>
      <c r="G35" s="77">
        <f ca="1">IFERROR(__xludf.DUMMYFUNCTION("IMPORTRANGE(""https://docs.google.com/spreadsheets/d/1MeEWN-I1oV_STSDYn1IFDPWt_1FKiwhDph83XaGc0o0/edit?usp=sharing"",""งบพรบ!CR35"")"),0)</f>
        <v>0</v>
      </c>
      <c r="H35" s="77">
        <f ca="1">IFERROR(__xludf.DUMMYFUNCTION("IMPORTRANGE(""https://docs.google.com/spreadsheets/d/1MeEWN-I1oV_STSDYn1IFDPWt_1FKiwhDph83XaGc0o0/edit?usp=sharing"",""งบพรบ!CT35"")"),65500)</f>
        <v>65500</v>
      </c>
      <c r="I35" s="77">
        <f ca="1">IFERROR(__xludf.DUMMYFUNCTION("IMPORTRANGE(""https://docs.google.com/spreadsheets/d/1MeEWN-I1oV_STSDYn1IFDPWt_1FKiwhDph83XaGc0o0/edit?usp=sharing"",""งบพรบ!CU35"")"),0)</f>
        <v>0</v>
      </c>
      <c r="J35" s="77">
        <f t="shared" ca="1" si="3"/>
        <v>60440</v>
      </c>
      <c r="K35" s="78">
        <f t="shared" ca="1" si="4"/>
        <v>92.274809160305338</v>
      </c>
      <c r="L35" s="77">
        <f ca="1">IFERROR(__xludf.DUMMYFUNCTION("IMPORTRANGE(""https://docs.google.com/spreadsheets/d/1MeEWN-I1oV_STSDYn1IFDPWt_1FKiwhDph83XaGc0o0/edit?usp=sharing"",""งบพรบ!CV35"")"),60440)</f>
        <v>60440</v>
      </c>
      <c r="M35" s="79">
        <f t="shared" ca="1" si="5"/>
        <v>92.274809160305338</v>
      </c>
      <c r="N35" s="79">
        <f t="shared" ca="1" si="6"/>
        <v>92.274809160305338</v>
      </c>
      <c r="O35" s="80">
        <f ca="1">IFERROR(__xludf.DUMMYFUNCTION("IMPORTRANGE(""https://docs.google.com/spreadsheets/d/1MeEWN-I1oV_STSDYn1IFDPWt_1FKiwhDph83XaGc0o0/edit?usp=sharing"",""งบพรบ!CW35"")"),0)</f>
        <v>0</v>
      </c>
      <c r="P35" s="80">
        <f t="shared" ca="1" si="10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IFERROR(__xludf.DUMMYFUNCTION("IMPORTRANGE(""https://docs.google.com/spreadsheets/d/1EXMBoBxU3OFbjT2TRpneM33qFjqDzrKmn9ydcflfI0o/edit?usp=sharing"",""นครพนม!L191"")"),6000)</f>
        <v>6000</v>
      </c>
      <c r="S35" s="81">
        <f ca="1">IFERROR(__xludf.DUMMYFUNCTION("IMPORTRANGE(""https://docs.google.com/spreadsheets/d/1EXMBoBxU3OFbjT2TRpneM33qFjqDzrKmn9ydcflfI0o/edit?usp=sharing"",""นครพนม!N191"")"),940)</f>
        <v>940</v>
      </c>
      <c r="T35" s="82">
        <f t="shared" ca="1" si="84"/>
        <v>15.666666666666666</v>
      </c>
      <c r="U35" s="81">
        <f ca="1">IFERROR(__xludf.DUMMYFUNCTION("IMPORTRANGE(""https://docs.google.com/spreadsheets/d/1EXMBoBxU3OFbjT2TRpneM33qFjqDzrKmn9ydcflfI0o/edit?usp=sharing"",""นครพนม!I193"")"),4)</f>
        <v>4</v>
      </c>
      <c r="V35" s="81">
        <f ca="1">IFERROR(__xludf.DUMMYFUNCTION("IMPORTRANGE(""https://docs.google.com/spreadsheets/d/1EXMBoBxU3OFbjT2TRpneM33qFjqDzrKmn9ydcflfI0o/edit?usp=sharing"",""นครพนม!J193"")"),4)</f>
        <v>4</v>
      </c>
      <c r="W35" s="82">
        <f t="shared" ca="1" si="85"/>
        <v>100</v>
      </c>
      <c r="X35" s="81">
        <f t="shared" ca="1" si="161"/>
        <v>126</v>
      </c>
      <c r="Y35" s="81">
        <f ca="1">IFERROR(__xludf.DUMMYFUNCTION("IMPORTRANGE(""https://docs.google.com/spreadsheets/d/1EXMBoBxU3OFbjT2TRpneM33qFjqDzrKmn9ydcflfI0o/edit?usp=sharing"",""นครพนม!J195"")"),126)</f>
        <v>126</v>
      </c>
      <c r="Z35" s="81">
        <f ca="1">IFERROR(__xludf.DUMMYFUNCTION("IMPORTRANGE(""https://docs.google.com/spreadsheets/d/1EXMBoBxU3OFbjT2TRpneM33qFjqDzrKmn9ydcflfI0o/edit?usp=sharing"",""นครพนม!J196"")"),0)</f>
        <v>0</v>
      </c>
      <c r="AA35" s="81">
        <f ca="1">IFERROR(__xludf.DUMMYFUNCTION("IMPORTRANGE(""https://docs.google.com/spreadsheets/d/1EXMBoBxU3OFbjT2TRpneM33qFjqDzrKmn9ydcflfI0o/edit?usp=sharing"",""นครพนม!L199"")"),3000)</f>
        <v>3000</v>
      </c>
      <c r="AB35" s="81">
        <f ca="1">IFERROR(__xludf.DUMMYFUNCTION("IMPORTRANGE(""https://docs.google.com/spreadsheets/d/1EXMBoBxU3OFbjT2TRpneM33qFjqDzrKmn9ydcflfI0o/edit?usp=sharing"",""นครพนม!N199"")"),3000)</f>
        <v>3000</v>
      </c>
      <c r="AC35" s="82">
        <f t="shared" ca="1" si="86"/>
        <v>100</v>
      </c>
      <c r="AD35" s="81">
        <f ca="1">IFERROR(__xludf.DUMMYFUNCTION("IMPORTRANGE(""https://docs.google.com/spreadsheets/d/1EXMBoBxU3OFbjT2TRpneM33qFjqDzrKmn9ydcflfI0o/edit?usp=sharing"",""นครพนม!L200"")"),24000)</f>
        <v>24000</v>
      </c>
      <c r="AE35" s="81">
        <f ca="1">IFERROR(__xludf.DUMMYFUNCTION("IMPORTRANGE(""https://docs.google.com/spreadsheets/d/1EXMBoBxU3OFbjT2TRpneM33qFjqDzrKmn9ydcflfI0o/edit?usp=sharing"",""นครพนม!N200"")"),24000)</f>
        <v>24000</v>
      </c>
      <c r="AF35" s="82">
        <f t="shared" ca="1" si="87"/>
        <v>100</v>
      </c>
      <c r="AG35" s="81">
        <f ca="1">IFERROR(__xludf.DUMMYFUNCTION("IMPORTRANGE(""https://docs.google.com/spreadsheets/d/1EXMBoBxU3OFbjT2TRpneM33qFjqDzrKmn9ydcflfI0o/edit?usp=sharing"",""นครพนม!L201"")"),12000)</f>
        <v>12000</v>
      </c>
      <c r="AH35" s="81">
        <f ca="1">IFERROR(__xludf.DUMMYFUNCTION("IMPORTRANGE(""https://docs.google.com/spreadsheets/d/1EXMBoBxU3OFbjT2TRpneM33qFjqDzrKmn9ydcflfI0o/edit?usp=sharing"",""นครพนม!N201"")"),12000)</f>
        <v>12000</v>
      </c>
      <c r="AI35" s="82">
        <f t="shared" ca="1" si="88"/>
        <v>100</v>
      </c>
      <c r="AJ35" s="81">
        <f ca="1">IFERROR(__xludf.DUMMYFUNCTION("IMPORTRANGE(""https://docs.google.com/spreadsheets/d/1EXMBoBxU3OFbjT2TRpneM33qFjqDzrKmn9ydcflfI0o/edit?usp=sharing"",""นครพนม!L202"")"),0)</f>
        <v>0</v>
      </c>
      <c r="AK35" s="81">
        <f ca="1">IFERROR(__xludf.DUMMYFUNCTION("IMPORTRANGE(""https://docs.google.com/spreadsheets/d/1EXMBoBxU3OFbjT2TRpneM33qFjqDzrKmn9ydcflfI0o/edit?usp=sharing"",""นครพนม!N202"")"),0)</f>
        <v>0</v>
      </c>
      <c r="AL35" s="82">
        <f t="shared" ca="1" si="89"/>
        <v>0</v>
      </c>
      <c r="AM35" s="81">
        <f ca="1">IFERROR(__xludf.DUMMYFUNCTION("IMPORTRANGE(""https://docs.google.com/spreadsheets/d/1EXMBoBxU3OFbjT2TRpneM33qFjqDzrKmn9ydcflfI0o/edit?usp=sharing"",""นครพนม!I204"")"),3)</f>
        <v>3</v>
      </c>
      <c r="AN35" s="81">
        <f ca="1">IFERROR(__xludf.DUMMYFUNCTION("IMPORTRANGE(""https://docs.google.com/spreadsheets/d/1EXMBoBxU3OFbjT2TRpneM33qFjqDzrKmn9ydcflfI0o/edit?usp=sharing"",""นครพนม!J204"")"),3)</f>
        <v>3</v>
      </c>
      <c r="AO35" s="82">
        <f t="shared" ca="1" si="90"/>
        <v>100</v>
      </c>
      <c r="AP35" s="297">
        <f ca="1">IFERROR(__xludf.DUMMYFUNCTION("IMPORTRANGE(""https://docs.google.com/spreadsheets/d/1EXMBoBxU3OFbjT2TRpneM33qFjqDzrKmn9ydcflfI0o/edit?usp=sharing"",""นครพนม!J206"")"),3)</f>
        <v>3</v>
      </c>
      <c r="AQ35" s="297">
        <f ca="1">IFERROR(__xludf.DUMMYFUNCTION("IMPORTRANGE(""https://docs.google.com/spreadsheets/d/1EXMBoBxU3OFbjT2TRpneM33qFjqDzrKmn9ydcflfI0o/edit?usp=sharing"",""นครพนม!J207"")"),0)</f>
        <v>0</v>
      </c>
      <c r="AR35" s="81">
        <f ca="1">IFERROR(__xludf.DUMMYFUNCTION("IMPORTRANGE(""https://docs.google.com/spreadsheets/d/1EXMBoBxU3OFbjT2TRpneM33qFjqDzrKmn9ydcflfI0o/edit?usp=sharing"",""นครพนม!L210"")"),1000)</f>
        <v>1000</v>
      </c>
      <c r="AS35" s="81">
        <f ca="1">IFERROR(__xludf.DUMMYFUNCTION("IMPORTRANGE(""https://docs.google.com/spreadsheets/d/1EXMBoBxU3OFbjT2TRpneM33qFjqDzrKmn9ydcflfI0o/edit?usp=sharing"",""นครพนม!N210"")"),1000)</f>
        <v>1000</v>
      </c>
      <c r="AT35" s="82">
        <f t="shared" ca="1" si="91"/>
        <v>100</v>
      </c>
      <c r="AU35" s="81">
        <f ca="1">IFERROR(__xludf.DUMMYFUNCTION("IMPORTRANGE(""https://docs.google.com/spreadsheets/d/1EXMBoBxU3OFbjT2TRpneM33qFjqDzrKmn9ydcflfI0o/edit?usp=sharing"",""นครพนม!L211"")"),5000)</f>
        <v>5000</v>
      </c>
      <c r="AV35" s="81">
        <f ca="1">IFERROR(__xludf.DUMMYFUNCTION("IMPORTRANGE(""https://docs.google.com/spreadsheets/d/1EXMBoBxU3OFbjT2TRpneM33qFjqDzrKmn9ydcflfI0o/edit?usp=sharing"",""นครพนม!N211"")"),5000)</f>
        <v>5000</v>
      </c>
      <c r="AW35" s="82">
        <f t="shared" ca="1" si="92"/>
        <v>100</v>
      </c>
      <c r="AX35" s="81">
        <f ca="1">IFERROR(__xludf.DUMMYFUNCTION("IMPORTRANGE(""https://docs.google.com/spreadsheets/d/1EXMBoBxU3OFbjT2TRpneM33qFjqDzrKmn9ydcflfI0o/edit?usp=sharing"",""นครพนม!L212"")"),8000)</f>
        <v>8000</v>
      </c>
      <c r="AY35" s="81">
        <f ca="1">IFERROR(__xludf.DUMMYFUNCTION("IMPORTRANGE(""https://docs.google.com/spreadsheets/d/1EXMBoBxU3OFbjT2TRpneM33qFjqDzrKmn9ydcflfI0o/edit?usp=sharing"",""นครพนม!N212"")"),8000)</f>
        <v>8000</v>
      </c>
      <c r="AZ35" s="82">
        <f t="shared" ca="1" si="93"/>
        <v>100</v>
      </c>
      <c r="BA35" s="81">
        <f ca="1">IFERROR(__xludf.DUMMYFUNCTION("IMPORTRANGE(""https://docs.google.com/spreadsheets/d/1EXMBoBxU3OFbjT2TRpneM33qFjqDzrKmn9ydcflfI0o/edit?usp=sharing"",""นครพนม!I214"")"),1)</f>
        <v>1</v>
      </c>
      <c r="BB35" s="81">
        <f ca="1">IFERROR(__xludf.DUMMYFUNCTION("IMPORTRANGE(""https://docs.google.com/spreadsheets/d/1EXMBoBxU3OFbjT2TRpneM33qFjqDzrKmn9ydcflfI0o/edit?usp=sharing"",""นครพนม!J214"")"),1)</f>
        <v>1</v>
      </c>
      <c r="BC35" s="82">
        <f t="shared" ca="1" si="94"/>
        <v>100</v>
      </c>
      <c r="BD35" s="81">
        <f ca="1">IFERROR(__xludf.DUMMYFUNCTION("IMPORTRANGE(""https://docs.google.com/spreadsheets/d/1EXMBoBxU3OFbjT2TRpneM33qFjqDzrKmn9ydcflfI0o/edit?usp=sharing"",""นครพนม!I215"")"),1)</f>
        <v>1</v>
      </c>
      <c r="BE35" s="81">
        <f ca="1">IFERROR(__xludf.DUMMYFUNCTION("IMPORTRANGE(""https://docs.google.com/spreadsheets/d/1EXMBoBxU3OFbjT2TRpneM33qFjqDzrKmn9ydcflfI0o/edit?usp=sharing"",""นครพนม!J215"")"),1)</f>
        <v>1</v>
      </c>
      <c r="BF35" s="82">
        <f t="shared" ca="1" si="95"/>
        <v>100</v>
      </c>
      <c r="BG35" s="81">
        <f ca="1">IFERROR(__xludf.DUMMYFUNCTION("IMPORTRANGE(""https://docs.google.com/spreadsheets/d/1EXMBoBxU3OFbjT2TRpneM33qFjqDzrKmn9ydcflfI0o/edit?usp=sharing"",""นครพนม!L218"")"),3000)</f>
        <v>3000</v>
      </c>
      <c r="BH35" s="81">
        <f ca="1">IFERROR(__xludf.DUMMYFUNCTION("IMPORTRANGE(""https://docs.google.com/spreadsheets/d/1EXMBoBxU3OFbjT2TRpneM33qFjqDzrKmn9ydcflfI0o/edit?usp=sharing"",""นครพนม!N218"")"),3000)</f>
        <v>3000</v>
      </c>
      <c r="BI35" s="82">
        <f t="shared" ca="1" si="96"/>
        <v>100</v>
      </c>
      <c r="BJ35" s="81">
        <f ca="1">IFERROR(__xludf.DUMMYFUNCTION("IMPORTRANGE(""https://docs.google.com/spreadsheets/d/1EXMBoBxU3OFbjT2TRpneM33qFjqDzrKmn9ydcflfI0o/edit?usp=sharing"",""นครพนม!L219"")"),3500)</f>
        <v>3500</v>
      </c>
      <c r="BK35" s="81">
        <f ca="1">IFERROR(__xludf.DUMMYFUNCTION("IMPORTRANGE(""https://docs.google.com/spreadsheets/d/1EXMBoBxU3OFbjT2TRpneM33qFjqDzrKmn9ydcflfI0o/edit?usp=sharing"",""นครพนม!N219"")"),3500)</f>
        <v>3500</v>
      </c>
      <c r="BL35" s="82">
        <f t="shared" ca="1" si="97"/>
        <v>100</v>
      </c>
      <c r="BM35" s="81">
        <f ca="1">IFERROR(__xludf.DUMMYFUNCTION("IMPORTRANGE(""https://docs.google.com/spreadsheets/d/1EXMBoBxU3OFbjT2TRpneM33qFjqDzrKmn9ydcflfI0o/edit?usp=sharing"",""นครพนม!L220"")"),0)</f>
        <v>0</v>
      </c>
      <c r="BN35" s="81">
        <f ca="1">IFERROR(__xludf.DUMMYFUNCTION("IMPORTRANGE(""https://docs.google.com/spreadsheets/d/1EXMBoBxU3OFbjT2TRpneM33qFjqDzrKmn9ydcflfI0o/edit?usp=sharing"",""นครพนม!N220"")"),0)</f>
        <v>0</v>
      </c>
      <c r="BO35" s="82">
        <f t="shared" ca="1" si="98"/>
        <v>0</v>
      </c>
      <c r="BP35" s="81">
        <f ca="1">IFERROR(__xludf.DUMMYFUNCTION("IMPORTRANGE(""https://docs.google.com/spreadsheets/d/1EXMBoBxU3OFbjT2TRpneM33qFjqDzrKmn9ydcflfI0o/edit?usp=sharing"",""นครพนม!I223"")"),10000)</f>
        <v>10000</v>
      </c>
      <c r="BQ35" s="81">
        <f ca="1">IFERROR(__xludf.DUMMYFUNCTION("IMPORTRANGE(""https://docs.google.com/spreadsheets/d/1EXMBoBxU3OFbjT2TRpneM33qFjqDzrKmn9ydcflfI0o/edit?usp=sharing"",""นครพนม!J223"")"),10000)</f>
        <v>10000</v>
      </c>
      <c r="BR35" s="82">
        <f t="shared" ca="1" si="99"/>
        <v>100</v>
      </c>
      <c r="BS35" s="81">
        <f ca="1">IFERROR(__xludf.DUMMYFUNCTION("IMPORTRANGE(""https://docs.google.com/spreadsheets/d/1EXMBoBxU3OFbjT2TRpneM33qFjqDzrKmn9ydcflfI0o/edit?usp=sharing"",""นครพนม!I224"")"),10000)</f>
        <v>10000</v>
      </c>
      <c r="BT35" s="81">
        <f ca="1">IFERROR(__xludf.DUMMYFUNCTION("IMPORTRANGE(""https://docs.google.com/spreadsheets/d/1EXMBoBxU3OFbjT2TRpneM33qFjqDzrKmn9ydcflfI0o/edit?usp=sharing"",""นครพนม!J224"")"),10000)</f>
        <v>10000</v>
      </c>
      <c r="BU35" s="82">
        <f t="shared" ca="1" si="100"/>
        <v>100</v>
      </c>
      <c r="BV35" s="81">
        <f ca="1">IFERROR(__xludf.DUMMYFUNCTION("IMPORTRANGE(""https://docs.google.com/spreadsheets/d/1EXMBoBxU3OFbjT2TRpneM33qFjqDzrKmn9ydcflfI0o/edit?usp=sharing"",""นครพนม!I225"")"),0)</f>
        <v>0</v>
      </c>
      <c r="BW35" s="81">
        <f ca="1">IFERROR(__xludf.DUMMYFUNCTION("IMPORTRANGE(""https://docs.google.com/spreadsheets/d/1EXMBoBxU3OFbjT2TRpneM33qFjqDzrKmn9ydcflfI0o/edit?usp=sharing"",""นครพนม!J225"")"),0)</f>
        <v>0</v>
      </c>
      <c r="BX35" s="82">
        <f t="shared" ca="1" si="101"/>
        <v>0</v>
      </c>
      <c r="BY35" s="81">
        <f ca="1">IFERROR(__xludf.DUMMYFUNCTION("IMPORTRANGE(""https://docs.google.com/spreadsheets/d/1EXMBoBxU3OFbjT2TRpneM33qFjqDzrKmn9ydcflfI0o/edit?usp=sharing"",""นครพนม!L228"")"),0)</f>
        <v>0</v>
      </c>
      <c r="BZ35" s="81">
        <f ca="1">IFERROR(__xludf.DUMMYFUNCTION("IMPORTRANGE(""https://docs.google.com/spreadsheets/d/1EXMBoBxU3OFbjT2TRpneM33qFjqDzrKmn9ydcflfI0o/edit?usp=sharing"",""นครพนม!N228"")"),0)</f>
        <v>0</v>
      </c>
      <c r="CA35" s="82">
        <f t="shared" ca="1" si="102"/>
        <v>0</v>
      </c>
      <c r="CB35" s="81">
        <f ca="1">IFERROR(__xludf.DUMMYFUNCTION("IMPORTRANGE(""https://docs.google.com/spreadsheets/d/1EXMBoBxU3OFbjT2TRpneM33qFjqDzrKmn9ydcflfI0o/edit?usp=sharing"",""นครพนม!L229"")"),0)</f>
        <v>0</v>
      </c>
      <c r="CC35" s="81">
        <f ca="1">IFERROR(__xludf.DUMMYFUNCTION("IMPORTRANGE(""https://docs.google.com/spreadsheets/d/1EXMBoBxU3OFbjT2TRpneM33qFjqDzrKmn9ydcflfI0o/edit?usp=sharing"",""นครพนม!N229"")"),0)</f>
        <v>0</v>
      </c>
      <c r="CD35" s="82">
        <f t="shared" ca="1" si="103"/>
        <v>0</v>
      </c>
      <c r="CE35" s="81">
        <f ca="1">IFERROR(__xludf.DUMMYFUNCTION("IMPORTRANGE(""https://docs.google.com/spreadsheets/d/1EXMBoBxU3OFbjT2TRpneM33qFjqDzrKmn9ydcflfI0o/edit?usp=sharing"",""นครพนม!L230"")"),0)</f>
        <v>0</v>
      </c>
      <c r="CF35" s="81">
        <f ca="1">IFERROR(__xludf.DUMMYFUNCTION("IMPORTRANGE(""https://docs.google.com/spreadsheets/d/1EXMBoBxU3OFbjT2TRpneM33qFjqDzrKmn9ydcflfI0o/edit?usp=sharing"",""นครพนม!N230"")"),0)</f>
        <v>0</v>
      </c>
      <c r="CG35" s="82">
        <f t="shared" ca="1" si="104"/>
        <v>0</v>
      </c>
      <c r="CH35" s="81">
        <f ca="1">IFERROR(__xludf.DUMMYFUNCTION("IMPORTRANGE(""https://docs.google.com/spreadsheets/d/1EXMBoBxU3OFbjT2TRpneM33qFjqDzrKmn9ydcflfI0o/edit?usp=sharing"",""นครพนม!L231"")"),0)</f>
        <v>0</v>
      </c>
      <c r="CI35" s="81">
        <f ca="1">IFERROR(__xludf.DUMMYFUNCTION("IMPORTRANGE(""https://docs.google.com/spreadsheets/d/1EXMBoBxU3OFbjT2TRpneM33qFjqDzrKmn9ydcflfI0o/edit?usp=sharing"",""นครพนม!N231"")"),0)</f>
        <v>0</v>
      </c>
      <c r="CJ35" s="82">
        <f t="shared" ca="1" si="105"/>
        <v>0</v>
      </c>
      <c r="CK35" s="81">
        <f ca="1">IFERROR(__xludf.DUMMYFUNCTION("IMPORTRANGE(""https://docs.google.com/spreadsheets/d/1EXMBoBxU3OFbjT2TRpneM33qFjqDzrKmn9ydcflfI0o/edit?usp=sharing"",""นครพนม!I233"")"),0)</f>
        <v>0</v>
      </c>
      <c r="CL35" s="81">
        <f ca="1">IFERROR(__xludf.DUMMYFUNCTION("IMPORTRANGE(""https://docs.google.com/spreadsheets/d/1EXMBoBxU3OFbjT2TRpneM33qFjqDzrKmn9ydcflfI0o/edit?usp=sharing"",""นครพนม!J233"")"),0)</f>
        <v>0</v>
      </c>
      <c r="CM35" s="82">
        <f t="shared" ca="1" si="106"/>
        <v>0</v>
      </c>
      <c r="CN35" s="81">
        <f ca="1">IFERROR(__xludf.DUMMYFUNCTION("IMPORTRANGE(""https://docs.google.com/spreadsheets/d/1EXMBoBxU3OFbjT2TRpneM33qFjqDzrKmn9ydcflfI0o/edit?usp=sharing"",""นครพนม!J235"")"),0)</f>
        <v>0</v>
      </c>
      <c r="CO35" s="81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3">
        <v>5</v>
      </c>
      <c r="B36" s="74" t="s">
        <v>58</v>
      </c>
      <c r="C36" s="75">
        <f t="shared" ca="1" si="0"/>
        <v>583500</v>
      </c>
      <c r="D36" s="76">
        <f t="shared" ca="1" si="160"/>
        <v>583500</v>
      </c>
      <c r="E36" s="77">
        <f ca="1">IFERROR(__xludf.DUMMYFUNCTION("IMPORTRANGE(""https://docs.google.com/spreadsheets/d/1MeEWN-I1oV_STSDYn1IFDPWt_1FKiwhDph83XaGc0o0/edit?usp=sharing"",""งบพรบ!CP36"")"),518000)</f>
        <v>518000</v>
      </c>
      <c r="F36" s="77">
        <f ca="1">IFERROR(__xludf.DUMMYFUNCTION("IMPORTRANGE(""https://docs.google.com/spreadsheets/d/1MeEWN-I1oV_STSDYn1IFDPWt_1FKiwhDph83XaGc0o0/edit?usp=sharing"",""งบพรบ!CQ36"")"),65500)</f>
        <v>65500</v>
      </c>
      <c r="G36" s="77">
        <f ca="1">IFERROR(__xludf.DUMMYFUNCTION("IMPORTRANGE(""https://docs.google.com/spreadsheets/d/1MeEWN-I1oV_STSDYn1IFDPWt_1FKiwhDph83XaGc0o0/edit?usp=sharing"",""งบพรบ!CR36"")"),0)</f>
        <v>0</v>
      </c>
      <c r="H36" s="77">
        <f ca="1">IFERROR(__xludf.DUMMYFUNCTION("IMPORTRANGE(""https://docs.google.com/spreadsheets/d/1MeEWN-I1oV_STSDYn1IFDPWt_1FKiwhDph83XaGc0o0/edit?usp=sharing"",""งบพรบ!CT36"")"),591460)</f>
        <v>591460</v>
      </c>
      <c r="I36" s="77">
        <f ca="1">IFERROR(__xludf.DUMMYFUNCTION("IMPORTRANGE(""https://docs.google.com/spreadsheets/d/1MeEWN-I1oV_STSDYn1IFDPWt_1FKiwhDph83XaGc0o0/edit?usp=sharing"",""งบพรบ!CU36"")"),0)</f>
        <v>0</v>
      </c>
      <c r="J36" s="77">
        <f t="shared" ca="1" si="3"/>
        <v>514441.7</v>
      </c>
      <c r="K36" s="78">
        <f t="shared" ca="1" si="4"/>
        <v>88.164815766923738</v>
      </c>
      <c r="L36" s="77">
        <f ca="1">IFERROR(__xludf.DUMMYFUNCTION("IMPORTRANGE(""https://docs.google.com/spreadsheets/d/1MeEWN-I1oV_STSDYn1IFDPWt_1FKiwhDph83XaGc0o0/edit?usp=sharing"",""งบพรบ!CV36"")"),514441.7)</f>
        <v>514441.7</v>
      </c>
      <c r="M36" s="79">
        <f t="shared" ca="1" si="5"/>
        <v>88.164815766923738</v>
      </c>
      <c r="N36" s="79">
        <f t="shared" ca="1" si="6"/>
        <v>86.978274101376257</v>
      </c>
      <c r="O36" s="80">
        <f ca="1">IFERROR(__xludf.DUMMYFUNCTION("IMPORTRANGE(""https://docs.google.com/spreadsheets/d/1MeEWN-I1oV_STSDYn1IFDPWt_1FKiwhDph83XaGc0o0/edit?usp=sharing"",""งบพรบ!CW36"")"),0)</f>
        <v>0</v>
      </c>
      <c r="P36" s="80">
        <f t="shared" ca="1" si="10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IFERROR(__xludf.DUMMYFUNCTION("IMPORTRANGE(""https://docs.google.com/spreadsheets/d/1bDQrolntRWtHumK8W-x-HXKntwxB9S3sF5aDeRS66Ko/edit?usp=sharing"",""นครราชสีมา!L191"")"),6000)</f>
        <v>6000</v>
      </c>
      <c r="S36" s="81">
        <f ca="1">IFERROR(__xludf.DUMMYFUNCTION("IMPORTRANGE(""https://docs.google.com/spreadsheets/d/1bDQrolntRWtHumK8W-x-HXKntwxB9S3sF5aDeRS66Ko/edit?usp=sharing"",""นครราชสีมา!N191"")"),6000)</f>
        <v>6000</v>
      </c>
      <c r="T36" s="82">
        <f t="shared" ca="1" si="84"/>
        <v>100</v>
      </c>
      <c r="U36" s="81">
        <f ca="1">IFERROR(__xludf.DUMMYFUNCTION("IMPORTRANGE(""https://docs.google.com/spreadsheets/d/1bDQrolntRWtHumK8W-x-HXKntwxB9S3sF5aDeRS66Ko/edit?usp=sharing"",""นครราชสีมา!I193"")"),4)</f>
        <v>4</v>
      </c>
      <c r="V36" s="81">
        <f ca="1">IFERROR(__xludf.DUMMYFUNCTION("IMPORTRANGE(""https://docs.google.com/spreadsheets/d/1bDQrolntRWtHumK8W-x-HXKntwxB9S3sF5aDeRS66Ko/edit?usp=sharing"",""นครราชสีมา!J193"")"),4)</f>
        <v>4</v>
      </c>
      <c r="W36" s="82">
        <f t="shared" ca="1" si="85"/>
        <v>100</v>
      </c>
      <c r="X36" s="81">
        <f t="shared" ca="1" si="161"/>
        <v>320</v>
      </c>
      <c r="Y36" s="81">
        <f ca="1">IFERROR(__xludf.DUMMYFUNCTION("IMPORTRANGE(""https://docs.google.com/spreadsheets/d/1bDQrolntRWtHumK8W-x-HXKntwxB9S3sF5aDeRS66Ko/edit?usp=sharing"",""นครราชสีมา!J195"")"),320)</f>
        <v>320</v>
      </c>
      <c r="Z36" s="81">
        <f ca="1">IFERROR(__xludf.DUMMYFUNCTION("IMPORTRANGE(""https://docs.google.com/spreadsheets/d/1bDQrolntRWtHumK8W-x-HXKntwxB9S3sF5aDeRS66Ko/edit?usp=sharing"",""นครราชสีมา!J196"")"),0)</f>
        <v>0</v>
      </c>
      <c r="AA36" s="81">
        <f ca="1">IFERROR(__xludf.DUMMYFUNCTION("IMPORTRANGE(""https://docs.google.com/spreadsheets/d/1bDQrolntRWtHumK8W-x-HXKntwxB9S3sF5aDeRS66Ko/edit?usp=sharing"",""นครราชสีมา!L199"")"),2000)</f>
        <v>2000</v>
      </c>
      <c r="AB36" s="81">
        <f ca="1">IFERROR(__xludf.DUMMYFUNCTION("IMPORTRANGE(""https://docs.google.com/spreadsheets/d/1bDQrolntRWtHumK8W-x-HXKntwxB9S3sF5aDeRS66Ko/edit?usp=sharing"",""นครราชสีมา!N199"")"),2000)</f>
        <v>2000</v>
      </c>
      <c r="AC36" s="82">
        <f t="shared" ca="1" si="86"/>
        <v>100</v>
      </c>
      <c r="AD36" s="81">
        <f ca="1">IFERROR(__xludf.DUMMYFUNCTION("IMPORTRANGE(""https://docs.google.com/spreadsheets/d/1bDQrolntRWtHumK8W-x-HXKntwxB9S3sF5aDeRS66Ko/edit?usp=sharing"",""นครราชสีมา!L200"")"),16000)</f>
        <v>16000</v>
      </c>
      <c r="AE36" s="81">
        <f ca="1">IFERROR(__xludf.DUMMYFUNCTION("IMPORTRANGE(""https://docs.google.com/spreadsheets/d/1bDQrolntRWtHumK8W-x-HXKntwxB9S3sF5aDeRS66Ko/edit?usp=sharing"",""นครราชสีมา!N200"")"),16000)</f>
        <v>16000</v>
      </c>
      <c r="AF36" s="82">
        <f t="shared" ca="1" si="87"/>
        <v>100</v>
      </c>
      <c r="AG36" s="81">
        <f ca="1">IFERROR(__xludf.DUMMYFUNCTION("IMPORTRANGE(""https://docs.google.com/spreadsheets/d/1bDQrolntRWtHumK8W-x-HXKntwxB9S3sF5aDeRS66Ko/edit?usp=sharing"",""นครราชสีมา!L201"")"),8000)</f>
        <v>8000</v>
      </c>
      <c r="AH36" s="81">
        <f ca="1">IFERROR(__xludf.DUMMYFUNCTION("IMPORTRANGE(""https://docs.google.com/spreadsheets/d/1bDQrolntRWtHumK8W-x-HXKntwxB9S3sF5aDeRS66Ko/edit?usp=sharing"",""นครราชสีมา!N201"")"),8000)</f>
        <v>8000</v>
      </c>
      <c r="AI36" s="82">
        <f t="shared" ca="1" si="88"/>
        <v>100</v>
      </c>
      <c r="AJ36" s="81">
        <f ca="1">IFERROR(__xludf.DUMMYFUNCTION("IMPORTRANGE(""https://docs.google.com/spreadsheets/d/1bDQrolntRWtHumK8W-x-HXKntwxB9S3sF5aDeRS66Ko/edit?usp=sharing"",""นครราชสีมา!L202"")"),0)</f>
        <v>0</v>
      </c>
      <c r="AK36" s="81">
        <f ca="1">IFERROR(__xludf.DUMMYFUNCTION("IMPORTRANGE(""https://docs.google.com/spreadsheets/d/1bDQrolntRWtHumK8W-x-HXKntwxB9S3sF5aDeRS66Ko/edit?usp=sharing"",""นครราชสีมา!N202"")"),0)</f>
        <v>0</v>
      </c>
      <c r="AL36" s="82">
        <f t="shared" ca="1" si="89"/>
        <v>0</v>
      </c>
      <c r="AM36" s="81">
        <f ca="1">IFERROR(__xludf.DUMMYFUNCTION("IMPORTRANGE(""https://docs.google.com/spreadsheets/d/1bDQrolntRWtHumK8W-x-HXKntwxB9S3sF5aDeRS66Ko/edit?usp=sharing"",""นครราชสีมา!I204"")"),2)</f>
        <v>2</v>
      </c>
      <c r="AN36" s="81">
        <f ca="1">IFERROR(__xludf.DUMMYFUNCTION("IMPORTRANGE(""https://docs.google.com/spreadsheets/d/1bDQrolntRWtHumK8W-x-HXKntwxB9S3sF5aDeRS66Ko/edit?usp=sharing"",""นครราชสีมา!J204"")"),2)</f>
        <v>2</v>
      </c>
      <c r="AO36" s="82">
        <f t="shared" ca="1" si="90"/>
        <v>100</v>
      </c>
      <c r="AP36" s="297">
        <f ca="1">IFERROR(__xludf.DUMMYFUNCTION("IMPORTRANGE(""https://docs.google.com/spreadsheets/d/1bDQrolntRWtHumK8W-x-HXKntwxB9S3sF5aDeRS66Ko/edit?usp=sharing"",""นครราชสีมา!J206"")"),2)</f>
        <v>2</v>
      </c>
      <c r="AQ36" s="297">
        <f ca="1">IFERROR(__xludf.DUMMYFUNCTION("IMPORTRANGE(""https://docs.google.com/spreadsheets/d/1bDQrolntRWtHumK8W-x-HXKntwxB9S3sF5aDeRS66Ko/edit?usp=sharing"",""นครราชสีมา!J207"")"),0)</f>
        <v>0</v>
      </c>
      <c r="AR36" s="81">
        <f ca="1">IFERROR(__xludf.DUMMYFUNCTION("IMPORTRANGE(""https://docs.google.com/spreadsheets/d/1bDQrolntRWtHumK8W-x-HXKntwxB9S3sF5aDeRS66Ko/edit?usp=sharing"",""นครราชสีมา!L210"")"),0)</f>
        <v>0</v>
      </c>
      <c r="AS36" s="81">
        <f ca="1">IFERROR(__xludf.DUMMYFUNCTION("IMPORTRANGE(""https://docs.google.com/spreadsheets/d/1bDQrolntRWtHumK8W-x-HXKntwxB9S3sF5aDeRS66Ko/edit?usp=sharing"",""นครราชสีมา!N210"")"),0)</f>
        <v>0</v>
      </c>
      <c r="AT36" s="82">
        <f t="shared" ca="1" si="91"/>
        <v>0</v>
      </c>
      <c r="AU36" s="81">
        <f ca="1">IFERROR(__xludf.DUMMYFUNCTION("IMPORTRANGE(""https://docs.google.com/spreadsheets/d/1bDQrolntRWtHumK8W-x-HXKntwxB9S3sF5aDeRS66Ko/edit?usp=sharing"",""นครราชสีมา!L211"")"),0)</f>
        <v>0</v>
      </c>
      <c r="AV36" s="81">
        <f ca="1">IFERROR(__xludf.DUMMYFUNCTION("IMPORTRANGE(""https://docs.google.com/spreadsheets/d/1bDQrolntRWtHumK8W-x-HXKntwxB9S3sF5aDeRS66Ko/edit?usp=sharing"",""นครราชสีมา!N211"")"),0)</f>
        <v>0</v>
      </c>
      <c r="AW36" s="82">
        <f t="shared" ca="1" si="92"/>
        <v>0</v>
      </c>
      <c r="AX36" s="81">
        <f ca="1">IFERROR(__xludf.DUMMYFUNCTION("IMPORTRANGE(""https://docs.google.com/spreadsheets/d/1bDQrolntRWtHumK8W-x-HXKntwxB9S3sF5aDeRS66Ko/edit?usp=sharing"",""นครราชสีมา!L212"")"),0)</f>
        <v>0</v>
      </c>
      <c r="AY36" s="81">
        <f ca="1">IFERROR(__xludf.DUMMYFUNCTION("IMPORTRANGE(""https://docs.google.com/spreadsheets/d/1bDQrolntRWtHumK8W-x-HXKntwxB9S3sF5aDeRS66Ko/edit?usp=sharing"",""นครราชสีมา!N212"")"),0)</f>
        <v>0</v>
      </c>
      <c r="AZ36" s="82">
        <f t="shared" ca="1" si="93"/>
        <v>0</v>
      </c>
      <c r="BA36" s="81">
        <f ca="1">IFERROR(__xludf.DUMMYFUNCTION("IMPORTRANGE(""https://docs.google.com/spreadsheets/d/1bDQrolntRWtHumK8W-x-HXKntwxB9S3sF5aDeRS66Ko/edit?usp=sharing"",""นครราชสีมา!I214"")"),0)</f>
        <v>0</v>
      </c>
      <c r="BB36" s="81">
        <f ca="1">IFERROR(__xludf.DUMMYFUNCTION("IMPORTRANGE(""https://docs.google.com/spreadsheets/d/1bDQrolntRWtHumK8W-x-HXKntwxB9S3sF5aDeRS66Ko/edit?usp=sharing"",""นครราชสีมา!J214"")"),0)</f>
        <v>0</v>
      </c>
      <c r="BC36" s="82">
        <f t="shared" ca="1" si="94"/>
        <v>0</v>
      </c>
      <c r="BD36" s="81">
        <f ca="1">IFERROR(__xludf.DUMMYFUNCTION("IMPORTRANGE(""https://docs.google.com/spreadsheets/d/1bDQrolntRWtHumK8W-x-HXKntwxB9S3sF5aDeRS66Ko/edit?usp=sharing"",""นครราชสีมา!I215"")"),0)</f>
        <v>0</v>
      </c>
      <c r="BE36" s="81">
        <f ca="1">IFERROR(__xludf.DUMMYFUNCTION("IMPORTRANGE(""https://docs.google.com/spreadsheets/d/1bDQrolntRWtHumK8W-x-HXKntwxB9S3sF5aDeRS66Ko/edit?usp=sharing"",""นครราชสีมา!J215"")"),0)</f>
        <v>0</v>
      </c>
      <c r="BF36" s="82">
        <f t="shared" ca="1" si="95"/>
        <v>0</v>
      </c>
      <c r="BG36" s="81">
        <f ca="1">IFERROR(__xludf.DUMMYFUNCTION("IMPORTRANGE(""https://docs.google.com/spreadsheets/d/1bDQrolntRWtHumK8W-x-HXKntwxB9S3sF5aDeRS66Ko/edit?usp=sharing"",""นครราชสีมา!L218"")"),5000)</f>
        <v>5000</v>
      </c>
      <c r="BH36" s="81">
        <f ca="1">IFERROR(__xludf.DUMMYFUNCTION("IMPORTRANGE(""https://docs.google.com/spreadsheets/d/1bDQrolntRWtHumK8W-x-HXKntwxB9S3sF5aDeRS66Ko/edit?usp=sharing"",""นครราชสีมา!N218"")"),4795)</f>
        <v>4795</v>
      </c>
      <c r="BI36" s="82">
        <f t="shared" ca="1" si="96"/>
        <v>95.9</v>
      </c>
      <c r="BJ36" s="81">
        <f ca="1">IFERROR(__xludf.DUMMYFUNCTION("IMPORTRANGE(""https://docs.google.com/spreadsheets/d/1bDQrolntRWtHumK8W-x-HXKntwxB9S3sF5aDeRS66Ko/edit?usp=sharing"",""นครราชสีมา!L219"")"),18500)</f>
        <v>18500</v>
      </c>
      <c r="BK36" s="81">
        <f ca="1">IFERROR(__xludf.DUMMYFUNCTION("IMPORTRANGE(""https://docs.google.com/spreadsheets/d/1bDQrolntRWtHumK8W-x-HXKntwxB9S3sF5aDeRS66Ko/edit?usp=sharing"",""นครราชสีมา!N219"")"),18500)</f>
        <v>18500</v>
      </c>
      <c r="BL36" s="82">
        <f t="shared" ca="1" si="97"/>
        <v>100</v>
      </c>
      <c r="BM36" s="81">
        <f ca="1">IFERROR(__xludf.DUMMYFUNCTION("IMPORTRANGE(""https://docs.google.com/spreadsheets/d/1bDQrolntRWtHumK8W-x-HXKntwxB9S3sF5aDeRS66Ko/edit?usp=sharing"",""นครราชสีมา!L220"")"),10000)</f>
        <v>10000</v>
      </c>
      <c r="BN36" s="81">
        <f ca="1">IFERROR(__xludf.DUMMYFUNCTION("IMPORTRANGE(""https://docs.google.com/spreadsheets/d/1bDQrolntRWtHumK8W-x-HXKntwxB9S3sF5aDeRS66Ko/edit?usp=sharing"",""นครราชสีมา!N220"")"),10000)</f>
        <v>10000</v>
      </c>
      <c r="BO36" s="82">
        <f t="shared" ca="1" si="98"/>
        <v>100</v>
      </c>
      <c r="BP36" s="81">
        <f ca="1">IFERROR(__xludf.DUMMYFUNCTION("IMPORTRANGE(""https://docs.google.com/spreadsheets/d/1bDQrolntRWtHumK8W-x-HXKntwxB9S3sF5aDeRS66Ko/edit?usp=sharing"",""นครราชสีมา!I223"")"),70000)</f>
        <v>70000</v>
      </c>
      <c r="BQ36" s="81">
        <f ca="1">IFERROR(__xludf.DUMMYFUNCTION("IMPORTRANGE(""https://docs.google.com/spreadsheets/d/1bDQrolntRWtHumK8W-x-HXKntwxB9S3sF5aDeRS66Ko/edit?usp=sharing"",""นครราชสีมา!J223"")"),70000)</f>
        <v>70000</v>
      </c>
      <c r="BR36" s="82">
        <f t="shared" ca="1" si="99"/>
        <v>100</v>
      </c>
      <c r="BS36" s="81">
        <f ca="1">IFERROR(__xludf.DUMMYFUNCTION("IMPORTRANGE(""https://docs.google.com/spreadsheets/d/1bDQrolntRWtHumK8W-x-HXKntwxB9S3sF5aDeRS66Ko/edit?usp=sharing"",""นครราชสีมา!I224"")"),70000)</f>
        <v>70000</v>
      </c>
      <c r="BT36" s="81">
        <f ca="1">IFERROR(__xludf.DUMMYFUNCTION("IMPORTRANGE(""https://docs.google.com/spreadsheets/d/1bDQrolntRWtHumK8W-x-HXKntwxB9S3sF5aDeRS66Ko/edit?usp=sharing"",""นครราชสีมา!J224"")"),70000)</f>
        <v>70000</v>
      </c>
      <c r="BU36" s="82">
        <f t="shared" ca="1" si="100"/>
        <v>100</v>
      </c>
      <c r="BV36" s="81">
        <f ca="1">IFERROR(__xludf.DUMMYFUNCTION("IMPORTRANGE(""https://docs.google.com/spreadsheets/d/1bDQrolntRWtHumK8W-x-HXKntwxB9S3sF5aDeRS66Ko/edit?usp=sharing"",""นครราชสีมา!I225"")"),10)</f>
        <v>10</v>
      </c>
      <c r="BW36" s="81">
        <f ca="1">IFERROR(__xludf.DUMMYFUNCTION("IMPORTRANGE(""https://docs.google.com/spreadsheets/d/1bDQrolntRWtHumK8W-x-HXKntwxB9S3sF5aDeRS66Ko/edit?usp=sharing"",""นครราชสีมา!J225"")"),10)</f>
        <v>10</v>
      </c>
      <c r="BX36" s="82">
        <f t="shared" ca="1" si="101"/>
        <v>100</v>
      </c>
      <c r="BY36" s="81">
        <f ca="1">IFERROR(__xludf.DUMMYFUNCTION("IMPORTRANGE(""https://docs.google.com/spreadsheets/d/1bDQrolntRWtHumK8W-x-HXKntwxB9S3sF5aDeRS66Ko/edit?usp=sharing"",""นครราชสีมา!L228"")"),0)</f>
        <v>0</v>
      </c>
      <c r="BZ36" s="81">
        <f ca="1">IFERROR(__xludf.DUMMYFUNCTION("IMPORTRANGE(""https://docs.google.com/spreadsheets/d/1bDQrolntRWtHumK8W-x-HXKntwxB9S3sF5aDeRS66Ko/edit?usp=sharing"",""นครราชสีมา!N228"")"),0)</f>
        <v>0</v>
      </c>
      <c r="CA36" s="82">
        <f t="shared" ca="1" si="102"/>
        <v>0</v>
      </c>
      <c r="CB36" s="81">
        <f ca="1">IFERROR(__xludf.DUMMYFUNCTION("IMPORTRANGE(""https://docs.google.com/spreadsheets/d/1bDQrolntRWtHumK8W-x-HXKntwxB9S3sF5aDeRS66Ko/edit?usp=sharing"",""นครราชสีมา!L229"")"),0)</f>
        <v>0</v>
      </c>
      <c r="CC36" s="81">
        <f ca="1">IFERROR(__xludf.DUMMYFUNCTION("IMPORTRANGE(""https://docs.google.com/spreadsheets/d/1bDQrolntRWtHumK8W-x-HXKntwxB9S3sF5aDeRS66Ko/edit?usp=sharing"",""นครราชสีมา!N229"")"),0)</f>
        <v>0</v>
      </c>
      <c r="CD36" s="82">
        <f t="shared" ca="1" si="103"/>
        <v>0</v>
      </c>
      <c r="CE36" s="81">
        <f ca="1">IFERROR(__xludf.DUMMYFUNCTION("IMPORTRANGE(""https://docs.google.com/spreadsheets/d/1bDQrolntRWtHumK8W-x-HXKntwxB9S3sF5aDeRS66Ko/edit?usp=sharing"",""นครราชสีมา!L230"")"),0)</f>
        <v>0</v>
      </c>
      <c r="CF36" s="81">
        <f ca="1">IFERROR(__xludf.DUMMYFUNCTION("IMPORTRANGE(""https://docs.google.com/spreadsheets/d/1bDQrolntRWtHumK8W-x-HXKntwxB9S3sF5aDeRS66Ko/edit?usp=sharing"",""นครราชสีมา!N230"")"),0)</f>
        <v>0</v>
      </c>
      <c r="CG36" s="82">
        <f t="shared" ca="1" si="104"/>
        <v>0</v>
      </c>
      <c r="CH36" s="81">
        <f ca="1">IFERROR(__xludf.DUMMYFUNCTION("IMPORTRANGE(""https://docs.google.com/spreadsheets/d/1bDQrolntRWtHumK8W-x-HXKntwxB9S3sF5aDeRS66Ko/edit?usp=sharing"",""นครราชสีมา!L231"")"),0)</f>
        <v>0</v>
      </c>
      <c r="CI36" s="81">
        <f ca="1">IFERROR(__xludf.DUMMYFUNCTION("IMPORTRANGE(""https://docs.google.com/spreadsheets/d/1bDQrolntRWtHumK8W-x-HXKntwxB9S3sF5aDeRS66Ko/edit?usp=sharing"",""นครราชสีมา!N231"")"),0)</f>
        <v>0</v>
      </c>
      <c r="CJ36" s="82">
        <f t="shared" ca="1" si="105"/>
        <v>0</v>
      </c>
      <c r="CK36" s="81">
        <f ca="1">IFERROR(__xludf.DUMMYFUNCTION("IMPORTRANGE(""https://docs.google.com/spreadsheets/d/1bDQrolntRWtHumK8W-x-HXKntwxB9S3sF5aDeRS66Ko/edit?usp=sharing"",""นครราชสีมา!I233"")"),0)</f>
        <v>0</v>
      </c>
      <c r="CL36" s="81">
        <f ca="1">IFERROR(__xludf.DUMMYFUNCTION("IMPORTRANGE(""https://docs.google.com/spreadsheets/d/1bDQrolntRWtHumK8W-x-HXKntwxB9S3sF5aDeRS66Ko/edit?usp=sharing"",""นครราชสีมา!J233"")"),0)</f>
        <v>0</v>
      </c>
      <c r="CM36" s="82">
        <f t="shared" ca="1" si="106"/>
        <v>0</v>
      </c>
      <c r="CN36" s="81">
        <f ca="1">IFERROR(__xludf.DUMMYFUNCTION("IMPORTRANGE(""https://docs.google.com/spreadsheets/d/1bDQrolntRWtHumK8W-x-HXKntwxB9S3sF5aDeRS66Ko/edit?usp=sharing"",""นครราชสีมา!J235"")"),0)</f>
        <v>0</v>
      </c>
      <c r="CO36" s="81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3">
        <v>6</v>
      </c>
      <c r="B37" s="74" t="s">
        <v>59</v>
      </c>
      <c r="C37" s="75">
        <f t="shared" ca="1" si="0"/>
        <v>134000</v>
      </c>
      <c r="D37" s="76">
        <f t="shared" ca="1" si="160"/>
        <v>134000</v>
      </c>
      <c r="E37" s="77">
        <f ca="1">IFERROR(__xludf.DUMMYFUNCTION("IMPORTRANGE(""https://docs.google.com/spreadsheets/d/1MeEWN-I1oV_STSDYn1IFDPWt_1FKiwhDph83XaGc0o0/edit?usp=sharing"",""งบพรบ!CP37"")"),0)</f>
        <v>0</v>
      </c>
      <c r="F37" s="77">
        <f ca="1">IFERROR(__xludf.DUMMYFUNCTION("IMPORTRANGE(""https://docs.google.com/spreadsheets/d/1MeEWN-I1oV_STSDYn1IFDPWt_1FKiwhDph83XaGc0o0/edit?usp=sharing"",""งบพรบ!CQ37"")"),134000)</f>
        <v>134000</v>
      </c>
      <c r="G37" s="77">
        <f ca="1">IFERROR(__xludf.DUMMYFUNCTION("IMPORTRANGE(""https://docs.google.com/spreadsheets/d/1MeEWN-I1oV_STSDYn1IFDPWt_1FKiwhDph83XaGc0o0/edit?usp=sharing"",""งบพรบ!CR37"")"),0)</f>
        <v>0</v>
      </c>
      <c r="H37" s="77">
        <f ca="1">IFERROR(__xludf.DUMMYFUNCTION("IMPORTRANGE(""https://docs.google.com/spreadsheets/d/1MeEWN-I1oV_STSDYn1IFDPWt_1FKiwhDph83XaGc0o0/edit?usp=sharing"",""งบพรบ!CT37"")"),269040)</f>
        <v>269040</v>
      </c>
      <c r="I37" s="77">
        <f ca="1">IFERROR(__xludf.DUMMYFUNCTION("IMPORTRANGE(""https://docs.google.com/spreadsheets/d/1MeEWN-I1oV_STSDYn1IFDPWt_1FKiwhDph83XaGc0o0/edit?usp=sharing"",""งบพรบ!CU37"")"),0)</f>
        <v>0</v>
      </c>
      <c r="J37" s="77">
        <f t="shared" ca="1" si="3"/>
        <v>204360</v>
      </c>
      <c r="K37" s="78">
        <f t="shared" ca="1" si="4"/>
        <v>152.50746268656715</v>
      </c>
      <c r="L37" s="77">
        <f ca="1">IFERROR(__xludf.DUMMYFUNCTION("IMPORTRANGE(""https://docs.google.com/spreadsheets/d/1MeEWN-I1oV_STSDYn1IFDPWt_1FKiwhDph83XaGc0o0/edit?usp=sharing"",""งบพรบ!CV37"")"),204360)</f>
        <v>204360</v>
      </c>
      <c r="M37" s="79">
        <f t="shared" ca="1" si="5"/>
        <v>152.50746268656715</v>
      </c>
      <c r="N37" s="79">
        <f t="shared" ca="1" si="6"/>
        <v>75.958965209634258</v>
      </c>
      <c r="O37" s="80">
        <f ca="1">IFERROR(__xludf.DUMMYFUNCTION("IMPORTRANGE(""https://docs.google.com/spreadsheets/d/1MeEWN-I1oV_STSDYn1IFDPWt_1FKiwhDph83XaGc0o0/edit?usp=sharing"",""งบพรบ!CW37"")"),0)</f>
        <v>0</v>
      </c>
      <c r="P37" s="80">
        <f t="shared" ca="1" si="10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IFERROR(__xludf.DUMMYFUNCTION("IMPORTRANGE(""https://docs.google.com/spreadsheets/d/1_MzZ-2gVPiCW-d2VcafoCmFJQTSrZ6SQyFcMqRRQQ2w/edit?usp=sharing"",""บึงกาฬ!L191"")"),6000)</f>
        <v>6000</v>
      </c>
      <c r="S37" s="81">
        <f ca="1">IFERROR(__xludf.DUMMYFUNCTION("IMPORTRANGE(""https://docs.google.com/spreadsheets/d/1_MzZ-2gVPiCW-d2VcafoCmFJQTSrZ6SQyFcMqRRQQ2w/edit?usp=sharing"",""บึงกาฬ!N191"")"),0)</f>
        <v>0</v>
      </c>
      <c r="T37" s="82">
        <f t="shared" ca="1" si="84"/>
        <v>0</v>
      </c>
      <c r="U37" s="81">
        <f ca="1">IFERROR(__xludf.DUMMYFUNCTION("IMPORTRANGE(""https://docs.google.com/spreadsheets/d/1_MzZ-2gVPiCW-d2VcafoCmFJQTSrZ6SQyFcMqRRQQ2w/edit?usp=sharing"",""บึงกาฬ!I193"")"),4)</f>
        <v>4</v>
      </c>
      <c r="V37" s="81">
        <f ca="1">IFERROR(__xludf.DUMMYFUNCTION("IMPORTRANGE(""https://docs.google.com/spreadsheets/d/1_MzZ-2gVPiCW-d2VcafoCmFJQTSrZ6SQyFcMqRRQQ2w/edit?usp=sharing"",""บึงกาฬ!J193"")"),4)</f>
        <v>4</v>
      </c>
      <c r="W37" s="82">
        <f t="shared" ca="1" si="85"/>
        <v>100</v>
      </c>
      <c r="X37" s="81">
        <f t="shared" ca="1" si="161"/>
        <v>0</v>
      </c>
      <c r="Y37" s="81">
        <f ca="1">IFERROR(__xludf.DUMMYFUNCTION("IMPORTRANGE(""https://docs.google.com/spreadsheets/d/1_MzZ-2gVPiCW-d2VcafoCmFJQTSrZ6SQyFcMqRRQQ2w/edit?usp=sharing"",""บึงกาฬ!J195"")"),0)</f>
        <v>0</v>
      </c>
      <c r="Z37" s="81">
        <f ca="1">IFERROR(__xludf.DUMMYFUNCTION("IMPORTRANGE(""https://docs.google.com/spreadsheets/d/1_MzZ-2gVPiCW-d2VcafoCmFJQTSrZ6SQyFcMqRRQQ2w/edit?usp=sharing"",""บึงกาฬ!J196"")"),0)</f>
        <v>0</v>
      </c>
      <c r="AA37" s="81">
        <f ca="1">IFERROR(__xludf.DUMMYFUNCTION("IMPORTRANGE(""https://docs.google.com/spreadsheets/d/1_MzZ-2gVPiCW-d2VcafoCmFJQTSrZ6SQyFcMqRRQQ2w/edit?usp=sharing"",""บึงกาฬ!L199"")"),2000)</f>
        <v>2000</v>
      </c>
      <c r="AB37" s="81">
        <f ca="1">IFERROR(__xludf.DUMMYFUNCTION("IMPORTRANGE(""https://docs.google.com/spreadsheets/d/1_MzZ-2gVPiCW-d2VcafoCmFJQTSrZ6SQyFcMqRRQQ2w/edit?usp=sharing"",""บึงกาฬ!N199"")"),2000)</f>
        <v>2000</v>
      </c>
      <c r="AC37" s="82">
        <f t="shared" ca="1" si="86"/>
        <v>100</v>
      </c>
      <c r="AD37" s="81">
        <f ca="1">IFERROR(__xludf.DUMMYFUNCTION("IMPORTRANGE(""https://docs.google.com/spreadsheets/d/1_MzZ-2gVPiCW-d2VcafoCmFJQTSrZ6SQyFcMqRRQQ2w/edit?usp=sharing"",""บึงกาฬ!L200"")"),16000)</f>
        <v>16000</v>
      </c>
      <c r="AE37" s="81">
        <f ca="1">IFERROR(__xludf.DUMMYFUNCTION("IMPORTRANGE(""https://docs.google.com/spreadsheets/d/1_MzZ-2gVPiCW-d2VcafoCmFJQTSrZ6SQyFcMqRRQQ2w/edit?usp=sharing"",""บึงกาฬ!N200"")"),16000)</f>
        <v>16000</v>
      </c>
      <c r="AF37" s="82">
        <f t="shared" ca="1" si="87"/>
        <v>100</v>
      </c>
      <c r="AG37" s="81">
        <f ca="1">IFERROR(__xludf.DUMMYFUNCTION("IMPORTRANGE(""https://docs.google.com/spreadsheets/d/1_MzZ-2gVPiCW-d2VcafoCmFJQTSrZ6SQyFcMqRRQQ2w/edit?usp=sharing"",""บึงกาฬ!L201"")"),8000)</f>
        <v>8000</v>
      </c>
      <c r="AH37" s="81">
        <f ca="1">IFERROR(__xludf.DUMMYFUNCTION("IMPORTRANGE(""https://docs.google.com/spreadsheets/d/1_MzZ-2gVPiCW-d2VcafoCmFJQTSrZ6SQyFcMqRRQQ2w/edit?usp=sharing"",""บึงกาฬ!N201"")"),8000)</f>
        <v>8000</v>
      </c>
      <c r="AI37" s="82">
        <f t="shared" ca="1" si="88"/>
        <v>100</v>
      </c>
      <c r="AJ37" s="81">
        <f ca="1">IFERROR(__xludf.DUMMYFUNCTION("IMPORTRANGE(""https://docs.google.com/spreadsheets/d/1_MzZ-2gVPiCW-d2VcafoCmFJQTSrZ6SQyFcMqRRQQ2w/edit?usp=sharing"",""บึงกาฬ!L202"")"),10000)</f>
        <v>10000</v>
      </c>
      <c r="AK37" s="81">
        <f ca="1">IFERROR(__xludf.DUMMYFUNCTION("IMPORTRANGE(""https://docs.google.com/spreadsheets/d/1_MzZ-2gVPiCW-d2VcafoCmFJQTSrZ6SQyFcMqRRQQ2w/edit?usp=sharing"",""บึงกาฬ!N202"")"),10000)</f>
        <v>10000</v>
      </c>
      <c r="AL37" s="82">
        <f t="shared" ca="1" si="89"/>
        <v>100</v>
      </c>
      <c r="AM37" s="81">
        <f ca="1">IFERROR(__xludf.DUMMYFUNCTION("IMPORTRANGE(""https://docs.google.com/spreadsheets/d/1_MzZ-2gVPiCW-d2VcafoCmFJQTSrZ6SQyFcMqRRQQ2w/edit?usp=sharing"",""บึงกาฬ!I204"")"),2)</f>
        <v>2</v>
      </c>
      <c r="AN37" s="81">
        <f ca="1">IFERROR(__xludf.DUMMYFUNCTION("IMPORTRANGE(""https://docs.google.com/spreadsheets/d/1_MzZ-2gVPiCW-d2VcafoCmFJQTSrZ6SQyFcMqRRQQ2w/edit?usp=sharing"",""บึงกาฬ!J204"")"),2)</f>
        <v>2</v>
      </c>
      <c r="AO37" s="82">
        <f t="shared" ca="1" si="90"/>
        <v>100</v>
      </c>
      <c r="AP37" s="297">
        <f ca="1">IFERROR(__xludf.DUMMYFUNCTION("IMPORTRANGE(""https://docs.google.com/spreadsheets/d/1_MzZ-2gVPiCW-d2VcafoCmFJQTSrZ6SQyFcMqRRQQ2w/edit?usp=sharing"",""บึงกาฬ!J206"")"),2)</f>
        <v>2</v>
      </c>
      <c r="AQ37" s="297">
        <f ca="1">IFERROR(__xludf.DUMMYFUNCTION("IMPORTRANGE(""https://docs.google.com/spreadsheets/d/1_MzZ-2gVPiCW-d2VcafoCmFJQTSrZ6SQyFcMqRRQQ2w/edit?usp=sharing"",""บึงกาฬ!J207"")"),2)</f>
        <v>2</v>
      </c>
      <c r="AR37" s="81">
        <f ca="1">IFERROR(__xludf.DUMMYFUNCTION("IMPORTRANGE(""https://docs.google.com/spreadsheets/d/1_MzZ-2gVPiCW-d2VcafoCmFJQTSrZ6SQyFcMqRRQQ2w/edit?usp=sharing"",""บึงกาฬ!L210"")"),6000)</f>
        <v>6000</v>
      </c>
      <c r="AS37" s="81">
        <f ca="1">IFERROR(__xludf.DUMMYFUNCTION("IMPORTRANGE(""https://docs.google.com/spreadsheets/d/1_MzZ-2gVPiCW-d2VcafoCmFJQTSrZ6SQyFcMqRRQQ2w/edit?usp=sharing"",""บึงกาฬ!N210"")"),6000)</f>
        <v>6000</v>
      </c>
      <c r="AT37" s="82">
        <f t="shared" ca="1" si="91"/>
        <v>100</v>
      </c>
      <c r="AU37" s="81">
        <f ca="1">IFERROR(__xludf.DUMMYFUNCTION("IMPORTRANGE(""https://docs.google.com/spreadsheets/d/1_MzZ-2gVPiCW-d2VcafoCmFJQTSrZ6SQyFcMqRRQQ2w/edit?usp=sharing"",""บึงกาฬ!L211"")"),30000)</f>
        <v>30000</v>
      </c>
      <c r="AV37" s="81">
        <f ca="1">IFERROR(__xludf.DUMMYFUNCTION("IMPORTRANGE(""https://docs.google.com/spreadsheets/d/1_MzZ-2gVPiCW-d2VcafoCmFJQTSrZ6SQyFcMqRRQQ2w/edit?usp=sharing"",""บึงกาฬ!N211"")"),30000)</f>
        <v>30000</v>
      </c>
      <c r="AW37" s="82">
        <f t="shared" ca="1" si="92"/>
        <v>100</v>
      </c>
      <c r="AX37" s="81">
        <f ca="1">IFERROR(__xludf.DUMMYFUNCTION("IMPORTRANGE(""https://docs.google.com/spreadsheets/d/1_MzZ-2gVPiCW-d2VcafoCmFJQTSrZ6SQyFcMqRRQQ2w/edit?usp=sharing"",""บึงกาฬ!L212"")"),48000)</f>
        <v>48000</v>
      </c>
      <c r="AY37" s="81">
        <f ca="1">IFERROR(__xludf.DUMMYFUNCTION("IMPORTRANGE(""https://docs.google.com/spreadsheets/d/1_MzZ-2gVPiCW-d2VcafoCmFJQTSrZ6SQyFcMqRRQQ2w/edit?usp=sharing"",""บึงกาฬ!N212"")"),48000)</f>
        <v>48000</v>
      </c>
      <c r="AZ37" s="82">
        <f t="shared" ca="1" si="93"/>
        <v>100</v>
      </c>
      <c r="BA37" s="81">
        <f ca="1">IFERROR(__xludf.DUMMYFUNCTION("IMPORTRANGE(""https://docs.google.com/spreadsheets/d/1_MzZ-2gVPiCW-d2VcafoCmFJQTSrZ6SQyFcMqRRQQ2w/edit?usp=sharing"",""บึงกาฬ!I214"")"),6)</f>
        <v>6</v>
      </c>
      <c r="BB37" s="81">
        <f ca="1">IFERROR(__xludf.DUMMYFUNCTION("IMPORTRANGE(""https://docs.google.com/spreadsheets/d/1_MzZ-2gVPiCW-d2VcafoCmFJQTSrZ6SQyFcMqRRQQ2w/edit?usp=sharing"",""บึงกาฬ!J214"")"),6)</f>
        <v>6</v>
      </c>
      <c r="BC37" s="82">
        <f t="shared" ca="1" si="94"/>
        <v>100</v>
      </c>
      <c r="BD37" s="81">
        <f ca="1">IFERROR(__xludf.DUMMYFUNCTION("IMPORTRANGE(""https://docs.google.com/spreadsheets/d/1_MzZ-2gVPiCW-d2VcafoCmFJQTSrZ6SQyFcMqRRQQ2w/edit?usp=sharing"",""บึงกาฬ!I215"")"),6)</f>
        <v>6</v>
      </c>
      <c r="BE37" s="81">
        <f ca="1">IFERROR(__xludf.DUMMYFUNCTION("IMPORTRANGE(""https://docs.google.com/spreadsheets/d/1_MzZ-2gVPiCW-d2VcafoCmFJQTSrZ6SQyFcMqRRQQ2w/edit?usp=sharing"",""บึงกาฬ!J215"")"),6)</f>
        <v>6</v>
      </c>
      <c r="BF37" s="82">
        <f t="shared" ca="1" si="95"/>
        <v>100</v>
      </c>
      <c r="BG37" s="81">
        <f ca="1">IFERROR(__xludf.DUMMYFUNCTION("IMPORTRANGE(""https://docs.google.com/spreadsheets/d/1_MzZ-2gVPiCW-d2VcafoCmFJQTSrZ6SQyFcMqRRQQ2w/edit?usp=sharing"",""บึงกาฬ!L218"")"),3000)</f>
        <v>3000</v>
      </c>
      <c r="BH37" s="81">
        <f ca="1">IFERROR(__xludf.DUMMYFUNCTION("IMPORTRANGE(""https://docs.google.com/spreadsheets/d/1_MzZ-2gVPiCW-d2VcafoCmFJQTSrZ6SQyFcMqRRQQ2w/edit?usp=sharing"",""บึงกาฬ!N218"")"),3000)</f>
        <v>3000</v>
      </c>
      <c r="BI37" s="82">
        <f t="shared" ca="1" si="96"/>
        <v>100</v>
      </c>
      <c r="BJ37" s="81">
        <f ca="1">IFERROR(__xludf.DUMMYFUNCTION("IMPORTRANGE(""https://docs.google.com/spreadsheets/d/1_MzZ-2gVPiCW-d2VcafoCmFJQTSrZ6SQyFcMqRRQQ2w/edit?usp=sharing"",""บึงกาฬ!L219"")"),5000)</f>
        <v>5000</v>
      </c>
      <c r="BK37" s="81">
        <f ca="1">IFERROR(__xludf.DUMMYFUNCTION("IMPORTRANGE(""https://docs.google.com/spreadsheets/d/1_MzZ-2gVPiCW-d2VcafoCmFJQTSrZ6SQyFcMqRRQQ2w/edit?usp=sharing"",""บึงกาฬ!N219"")"),5000)</f>
        <v>5000</v>
      </c>
      <c r="BL37" s="82">
        <f t="shared" ca="1" si="97"/>
        <v>100</v>
      </c>
      <c r="BM37" s="81">
        <f ca="1">IFERROR(__xludf.DUMMYFUNCTION("IMPORTRANGE(""https://docs.google.com/spreadsheets/d/1_MzZ-2gVPiCW-d2VcafoCmFJQTSrZ6SQyFcMqRRQQ2w/edit?usp=sharing"",""บึงกาฬ!L220"")"),0)</f>
        <v>0</v>
      </c>
      <c r="BN37" s="81">
        <f ca="1">IFERROR(__xludf.DUMMYFUNCTION("IMPORTRANGE(""https://docs.google.com/spreadsheets/d/1_MzZ-2gVPiCW-d2VcafoCmFJQTSrZ6SQyFcMqRRQQ2w/edit?usp=sharing"",""บึงกาฬ!N220"")"),0)</f>
        <v>0</v>
      </c>
      <c r="BO37" s="82">
        <f t="shared" ca="1" si="98"/>
        <v>0</v>
      </c>
      <c r="BP37" s="81">
        <f ca="1">IFERROR(__xludf.DUMMYFUNCTION("IMPORTRANGE(""https://docs.google.com/spreadsheets/d/1_MzZ-2gVPiCW-d2VcafoCmFJQTSrZ6SQyFcMqRRQQ2w/edit?usp=sharing"",""บึงกาฬ!I223"")"),20000)</f>
        <v>20000</v>
      </c>
      <c r="BQ37" s="81">
        <f ca="1">IFERROR(__xludf.DUMMYFUNCTION("IMPORTRANGE(""https://docs.google.com/spreadsheets/d/1_MzZ-2gVPiCW-d2VcafoCmFJQTSrZ6SQyFcMqRRQQ2w/edit?usp=sharing"",""บึงกาฬ!J223"")"),20000)</f>
        <v>20000</v>
      </c>
      <c r="BR37" s="82">
        <f t="shared" ca="1" si="99"/>
        <v>100</v>
      </c>
      <c r="BS37" s="81">
        <f ca="1">IFERROR(__xludf.DUMMYFUNCTION("IMPORTRANGE(""https://docs.google.com/spreadsheets/d/1_MzZ-2gVPiCW-d2VcafoCmFJQTSrZ6SQyFcMqRRQQ2w/edit?usp=sharing"",""บึงกาฬ!I224"")"),20000)</f>
        <v>20000</v>
      </c>
      <c r="BT37" s="81">
        <f ca="1">IFERROR(__xludf.DUMMYFUNCTION("IMPORTRANGE(""https://docs.google.com/spreadsheets/d/1_MzZ-2gVPiCW-d2VcafoCmFJQTSrZ6SQyFcMqRRQQ2w/edit?usp=sharing"",""บึงกาฬ!J224"")"),20000)</f>
        <v>20000</v>
      </c>
      <c r="BU37" s="82">
        <f t="shared" ca="1" si="100"/>
        <v>100</v>
      </c>
      <c r="BV37" s="81">
        <f ca="1">IFERROR(__xludf.DUMMYFUNCTION("IMPORTRANGE(""https://docs.google.com/spreadsheets/d/1_MzZ-2gVPiCW-d2VcafoCmFJQTSrZ6SQyFcMqRRQQ2w/edit?usp=sharing"",""บึงกาฬ!I225"")"),0)</f>
        <v>0</v>
      </c>
      <c r="BW37" s="81">
        <f ca="1">IFERROR(__xludf.DUMMYFUNCTION("IMPORTRANGE(""https://docs.google.com/spreadsheets/d/1_MzZ-2gVPiCW-d2VcafoCmFJQTSrZ6SQyFcMqRRQQ2w/edit?usp=sharing"",""บึงกาฬ!J225"")"),0)</f>
        <v>0</v>
      </c>
      <c r="BX37" s="82">
        <f t="shared" ca="1" si="101"/>
        <v>0</v>
      </c>
      <c r="BY37" s="81">
        <f ca="1">IFERROR(__xludf.DUMMYFUNCTION("IMPORTRANGE(""https://docs.google.com/spreadsheets/d/1_MzZ-2gVPiCW-d2VcafoCmFJQTSrZ6SQyFcMqRRQQ2w/edit?usp=sharing"",""บึงกาฬ!L228"")"),0)</f>
        <v>0</v>
      </c>
      <c r="BZ37" s="81">
        <f ca="1">IFERROR(__xludf.DUMMYFUNCTION("IMPORTRANGE(""https://docs.google.com/spreadsheets/d/1_MzZ-2gVPiCW-d2VcafoCmFJQTSrZ6SQyFcMqRRQQ2w/edit?usp=sharing"",""บึงกาฬ!N228"")"),0)</f>
        <v>0</v>
      </c>
      <c r="CA37" s="82">
        <f t="shared" ca="1" si="102"/>
        <v>0</v>
      </c>
      <c r="CB37" s="81">
        <f ca="1">IFERROR(__xludf.DUMMYFUNCTION("IMPORTRANGE(""https://docs.google.com/spreadsheets/d/1_MzZ-2gVPiCW-d2VcafoCmFJQTSrZ6SQyFcMqRRQQ2w/edit?usp=sharing"",""บึงกาฬ!L229"")"),0)</f>
        <v>0</v>
      </c>
      <c r="CC37" s="81">
        <f ca="1">IFERROR(__xludf.DUMMYFUNCTION("IMPORTRANGE(""https://docs.google.com/spreadsheets/d/1_MzZ-2gVPiCW-d2VcafoCmFJQTSrZ6SQyFcMqRRQQ2w/edit?usp=sharing"",""บึงกาฬ!N229"")"),0)</f>
        <v>0</v>
      </c>
      <c r="CD37" s="82">
        <f t="shared" ca="1" si="103"/>
        <v>0</v>
      </c>
      <c r="CE37" s="81">
        <f ca="1">IFERROR(__xludf.DUMMYFUNCTION("IMPORTRANGE(""https://docs.google.com/spreadsheets/d/1_MzZ-2gVPiCW-d2VcafoCmFJQTSrZ6SQyFcMqRRQQ2w/edit?usp=sharing"",""บึงกาฬ!L230"")"),0)</f>
        <v>0</v>
      </c>
      <c r="CF37" s="81">
        <f ca="1">IFERROR(__xludf.DUMMYFUNCTION("IMPORTRANGE(""https://docs.google.com/spreadsheets/d/1_MzZ-2gVPiCW-d2VcafoCmFJQTSrZ6SQyFcMqRRQQ2w/edit?usp=sharing"",""บึงกาฬ!N230"")"),0)</f>
        <v>0</v>
      </c>
      <c r="CG37" s="82">
        <f t="shared" ca="1" si="104"/>
        <v>0</v>
      </c>
      <c r="CH37" s="81">
        <f ca="1">IFERROR(__xludf.DUMMYFUNCTION("IMPORTRANGE(""https://docs.google.com/spreadsheets/d/1_MzZ-2gVPiCW-d2VcafoCmFJQTSrZ6SQyFcMqRRQQ2w/edit?usp=sharing"",""บึงกาฬ!L231"")"),0)</f>
        <v>0</v>
      </c>
      <c r="CI37" s="81">
        <f ca="1">IFERROR(__xludf.DUMMYFUNCTION("IMPORTRANGE(""https://docs.google.com/spreadsheets/d/1_MzZ-2gVPiCW-d2VcafoCmFJQTSrZ6SQyFcMqRRQQ2w/edit?usp=sharing"",""บึงกาฬ!N231"")"),0)</f>
        <v>0</v>
      </c>
      <c r="CJ37" s="82">
        <f t="shared" ca="1" si="105"/>
        <v>0</v>
      </c>
      <c r="CK37" s="81">
        <f ca="1">IFERROR(__xludf.DUMMYFUNCTION("IMPORTRANGE(""https://docs.google.com/spreadsheets/d/1_MzZ-2gVPiCW-d2VcafoCmFJQTSrZ6SQyFcMqRRQQ2w/edit?usp=sharing"",""บึงกาฬ!I233"")"),0)</f>
        <v>0</v>
      </c>
      <c r="CL37" s="81">
        <f ca="1">IFERROR(__xludf.DUMMYFUNCTION("IMPORTRANGE(""https://docs.google.com/spreadsheets/d/1_MzZ-2gVPiCW-d2VcafoCmFJQTSrZ6SQyFcMqRRQQ2w/edit?usp=sharing"",""บึงกาฬ!J233"")"),0)</f>
        <v>0</v>
      </c>
      <c r="CM37" s="82">
        <f t="shared" ca="1" si="106"/>
        <v>0</v>
      </c>
      <c r="CN37" s="81">
        <f ca="1">IFERROR(__xludf.DUMMYFUNCTION("IMPORTRANGE(""https://docs.google.com/spreadsheets/d/1_MzZ-2gVPiCW-d2VcafoCmFJQTSrZ6SQyFcMqRRQQ2w/edit?usp=sharing"",""บึงกาฬ!J235"")"),0)</f>
        <v>0</v>
      </c>
      <c r="CO37" s="81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3">
        <v>7</v>
      </c>
      <c r="B38" s="74" t="s">
        <v>60</v>
      </c>
      <c r="C38" s="75">
        <f t="shared" ca="1" si="0"/>
        <v>90000</v>
      </c>
      <c r="D38" s="76">
        <f t="shared" ca="1" si="160"/>
        <v>90000</v>
      </c>
      <c r="E38" s="77">
        <f ca="1">IFERROR(__xludf.DUMMYFUNCTION("IMPORTRANGE(""https://docs.google.com/spreadsheets/d/1MeEWN-I1oV_STSDYn1IFDPWt_1FKiwhDph83XaGc0o0/edit?usp=sharing"",""งบพรบ!CP38"")"),0)</f>
        <v>0</v>
      </c>
      <c r="F38" s="77">
        <f ca="1">IFERROR(__xludf.DUMMYFUNCTION("IMPORTRANGE(""https://docs.google.com/spreadsheets/d/1MeEWN-I1oV_STSDYn1IFDPWt_1FKiwhDph83XaGc0o0/edit?usp=sharing"",""งบพรบ!CQ38"")"),90000)</f>
        <v>90000</v>
      </c>
      <c r="G38" s="77">
        <f ca="1">IFERROR(__xludf.DUMMYFUNCTION("IMPORTRANGE(""https://docs.google.com/spreadsheets/d/1MeEWN-I1oV_STSDYn1IFDPWt_1FKiwhDph83XaGc0o0/edit?usp=sharing"",""งบพรบ!CR38"")"),0)</f>
        <v>0</v>
      </c>
      <c r="H38" s="77">
        <f ca="1">IFERROR(__xludf.DUMMYFUNCTION("IMPORTRANGE(""https://docs.google.com/spreadsheets/d/1MeEWN-I1oV_STSDYn1IFDPWt_1FKiwhDph83XaGc0o0/edit?usp=sharing"",""งบพรบ!CT38"")"),90000)</f>
        <v>90000</v>
      </c>
      <c r="I38" s="77">
        <f ca="1">IFERROR(__xludf.DUMMYFUNCTION("IMPORTRANGE(""https://docs.google.com/spreadsheets/d/1MeEWN-I1oV_STSDYn1IFDPWt_1FKiwhDph83XaGc0o0/edit?usp=sharing"",""งบพรบ!CU38"")"),0)</f>
        <v>0</v>
      </c>
      <c r="J38" s="77">
        <f t="shared" ca="1" si="3"/>
        <v>87810</v>
      </c>
      <c r="K38" s="78">
        <f t="shared" ca="1" si="4"/>
        <v>97.566666666666663</v>
      </c>
      <c r="L38" s="77">
        <f ca="1">IFERROR(__xludf.DUMMYFUNCTION("IMPORTRANGE(""https://docs.google.com/spreadsheets/d/1MeEWN-I1oV_STSDYn1IFDPWt_1FKiwhDph83XaGc0o0/edit?usp=sharing"",""งบพรบ!CV38"")"),87810)</f>
        <v>87810</v>
      </c>
      <c r="M38" s="79">
        <f t="shared" ca="1" si="5"/>
        <v>97.566666666666663</v>
      </c>
      <c r="N38" s="79">
        <f t="shared" ca="1" si="6"/>
        <v>97.566666666666663</v>
      </c>
      <c r="O38" s="80">
        <f ca="1">IFERROR(__xludf.DUMMYFUNCTION("IMPORTRANGE(""https://docs.google.com/spreadsheets/d/1MeEWN-I1oV_STSDYn1IFDPWt_1FKiwhDph83XaGc0o0/edit?usp=sharing"",""งบพรบ!CW38"")"),0)</f>
        <v>0</v>
      </c>
      <c r="P38" s="80">
        <f t="shared" ca="1" si="10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IFERROR(__xludf.DUMMYFUNCTION("IMPORTRANGE(""https://docs.google.com/spreadsheets/d/1B3lPpzOuaNwVItLwLEZYl_qEblfcx7dRnbRkAw0l-pE/edit?usp=sharing"",""บุรีรัมย์!L191"")"),6000)</f>
        <v>6000</v>
      </c>
      <c r="S38" s="81">
        <f ca="1">IFERROR(__xludf.DUMMYFUNCTION("IMPORTRANGE(""https://docs.google.com/spreadsheets/d/1B3lPpzOuaNwVItLwLEZYl_qEblfcx7dRnbRkAw0l-pE/edit?usp=sharing"",""บุรีรัมย์!N191"")"),6000)</f>
        <v>6000</v>
      </c>
      <c r="T38" s="82">
        <f t="shared" ca="1" si="84"/>
        <v>100</v>
      </c>
      <c r="U38" s="81">
        <f ca="1">IFERROR(__xludf.DUMMYFUNCTION("IMPORTRANGE(""https://docs.google.com/spreadsheets/d/1B3lPpzOuaNwVItLwLEZYl_qEblfcx7dRnbRkAw0l-pE/edit?usp=sharing"",""บุรีรัมย์!I193"")"),4)</f>
        <v>4</v>
      </c>
      <c r="V38" s="81">
        <f ca="1">IFERROR(__xludf.DUMMYFUNCTION("IMPORTRANGE(""https://docs.google.com/spreadsheets/d/1B3lPpzOuaNwVItLwLEZYl_qEblfcx7dRnbRkAw0l-pE/edit?usp=sharing"",""บุรีรัมย์!J193"")"),4)</f>
        <v>4</v>
      </c>
      <c r="W38" s="82">
        <f t="shared" ca="1" si="85"/>
        <v>100</v>
      </c>
      <c r="X38" s="81">
        <f t="shared" ca="1" si="161"/>
        <v>125</v>
      </c>
      <c r="Y38" s="81">
        <f ca="1">IFERROR(__xludf.DUMMYFUNCTION("IMPORTRANGE(""https://docs.google.com/spreadsheets/d/1B3lPpzOuaNwVItLwLEZYl_qEblfcx7dRnbRkAw0l-pE/edit?usp=sharing"",""บุรีรัมย์!J195"")"),125)</f>
        <v>125</v>
      </c>
      <c r="Z38" s="81">
        <f ca="1">IFERROR(__xludf.DUMMYFUNCTION("IMPORTRANGE(""https://docs.google.com/spreadsheets/d/1B3lPpzOuaNwVItLwLEZYl_qEblfcx7dRnbRkAw0l-pE/edit?usp=sharing"",""บุรีรัมย์!J196"")"),0)</f>
        <v>0</v>
      </c>
      <c r="AA38" s="81">
        <f ca="1">IFERROR(__xludf.DUMMYFUNCTION("IMPORTRANGE(""https://docs.google.com/spreadsheets/d/1B3lPpzOuaNwVItLwLEZYl_qEblfcx7dRnbRkAw0l-pE/edit?usp=sharing"",""บุรีรัมย์!L199"")"),3000)</f>
        <v>3000</v>
      </c>
      <c r="AB38" s="81">
        <f ca="1">IFERROR(__xludf.DUMMYFUNCTION("IMPORTRANGE(""https://docs.google.com/spreadsheets/d/1B3lPpzOuaNwVItLwLEZYl_qEblfcx7dRnbRkAw0l-pE/edit?usp=sharing"",""บุรีรัมย์!N199"")"),3000)</f>
        <v>3000</v>
      </c>
      <c r="AC38" s="82">
        <f t="shared" ca="1" si="86"/>
        <v>100</v>
      </c>
      <c r="AD38" s="81">
        <f ca="1">IFERROR(__xludf.DUMMYFUNCTION("IMPORTRANGE(""https://docs.google.com/spreadsheets/d/1B3lPpzOuaNwVItLwLEZYl_qEblfcx7dRnbRkAw0l-pE/edit?usp=sharing"",""บุรีรัมย์!L200"")"),24000)</f>
        <v>24000</v>
      </c>
      <c r="AE38" s="81">
        <f ca="1">IFERROR(__xludf.DUMMYFUNCTION("IMPORTRANGE(""https://docs.google.com/spreadsheets/d/1B3lPpzOuaNwVItLwLEZYl_qEblfcx7dRnbRkAw0l-pE/edit?usp=sharing"",""บุรีรัมย์!N200"")"),24000)</f>
        <v>24000</v>
      </c>
      <c r="AF38" s="82">
        <f t="shared" ca="1" si="87"/>
        <v>100</v>
      </c>
      <c r="AG38" s="81">
        <f ca="1">IFERROR(__xludf.DUMMYFUNCTION("IMPORTRANGE(""https://docs.google.com/spreadsheets/d/1B3lPpzOuaNwVItLwLEZYl_qEblfcx7dRnbRkAw0l-pE/edit?usp=sharing"",""บุรีรัมย์!L201"")"),12000)</f>
        <v>12000</v>
      </c>
      <c r="AH38" s="81">
        <f ca="1">IFERROR(__xludf.DUMMYFUNCTION("IMPORTRANGE(""https://docs.google.com/spreadsheets/d/1B3lPpzOuaNwVItLwLEZYl_qEblfcx7dRnbRkAw0l-pE/edit?usp=sharing"",""บุรีรัมย์!N201"")"),12000)</f>
        <v>12000</v>
      </c>
      <c r="AI38" s="82">
        <f t="shared" ca="1" si="88"/>
        <v>100</v>
      </c>
      <c r="AJ38" s="81">
        <f ca="1">IFERROR(__xludf.DUMMYFUNCTION("IMPORTRANGE(""https://docs.google.com/spreadsheets/d/1B3lPpzOuaNwVItLwLEZYl_qEblfcx7dRnbRkAw0l-pE/edit?usp=sharing"",""บุรีรัมย์!L202"")"),0)</f>
        <v>0</v>
      </c>
      <c r="AK38" s="81">
        <f ca="1">IFERROR(__xludf.DUMMYFUNCTION("IMPORTRANGE(""https://docs.google.com/spreadsheets/d/1B3lPpzOuaNwVItLwLEZYl_qEblfcx7dRnbRkAw0l-pE/edit?usp=sharing"",""บุรีรัมย์!N202"")"),0)</f>
        <v>0</v>
      </c>
      <c r="AL38" s="82">
        <f t="shared" ca="1" si="89"/>
        <v>0</v>
      </c>
      <c r="AM38" s="81">
        <f ca="1">IFERROR(__xludf.DUMMYFUNCTION("IMPORTRANGE(""https://docs.google.com/spreadsheets/d/1B3lPpzOuaNwVItLwLEZYl_qEblfcx7dRnbRkAw0l-pE/edit?usp=sharing"",""บุรีรัมย์!I204"")"),3)</f>
        <v>3</v>
      </c>
      <c r="AN38" s="81">
        <f ca="1">IFERROR(__xludf.DUMMYFUNCTION("IMPORTRANGE(""https://docs.google.com/spreadsheets/d/1B3lPpzOuaNwVItLwLEZYl_qEblfcx7dRnbRkAw0l-pE/edit?usp=sharing"",""บุรีรัมย์!J204"")"),3)</f>
        <v>3</v>
      </c>
      <c r="AO38" s="82">
        <f t="shared" ca="1" si="90"/>
        <v>100</v>
      </c>
      <c r="AP38" s="297">
        <f ca="1">IFERROR(__xludf.DUMMYFUNCTION("IMPORTRANGE(""https://docs.google.com/spreadsheets/d/1B3lPpzOuaNwVItLwLEZYl_qEblfcx7dRnbRkAw0l-pE/edit?usp=sharing"",""บุรีรัมย์!J206"")"),3)</f>
        <v>3</v>
      </c>
      <c r="AQ38" s="297">
        <f ca="1">IFERROR(__xludf.DUMMYFUNCTION("IMPORTRANGE(""https://docs.google.com/spreadsheets/d/1B3lPpzOuaNwVItLwLEZYl_qEblfcx7dRnbRkAw0l-pE/edit?usp=sharing"",""บุรีรัมย์!J207"")"),0)</f>
        <v>0</v>
      </c>
      <c r="AR38" s="81">
        <f ca="1">IFERROR(__xludf.DUMMYFUNCTION("IMPORTRANGE(""https://docs.google.com/spreadsheets/d/1B3lPpzOuaNwVItLwLEZYl_qEblfcx7dRnbRkAw0l-pE/edit?usp=sharing"",""บุรีรัมย์!L210"")"),1000)</f>
        <v>1000</v>
      </c>
      <c r="AS38" s="81">
        <f ca="1">IFERROR(__xludf.DUMMYFUNCTION("IMPORTRANGE(""https://docs.google.com/spreadsheets/d/1B3lPpzOuaNwVItLwLEZYl_qEblfcx7dRnbRkAw0l-pE/edit?usp=sharing"",""บุรีรัมย์!N210"")"),1000)</f>
        <v>1000</v>
      </c>
      <c r="AT38" s="82">
        <f t="shared" ca="1" si="91"/>
        <v>100</v>
      </c>
      <c r="AU38" s="81">
        <f ca="1">IFERROR(__xludf.DUMMYFUNCTION("IMPORTRANGE(""https://docs.google.com/spreadsheets/d/1B3lPpzOuaNwVItLwLEZYl_qEblfcx7dRnbRkAw0l-pE/edit?usp=sharing"",""บุรีรัมย์!L211"")"),5000)</f>
        <v>5000</v>
      </c>
      <c r="AV38" s="81">
        <f ca="1">IFERROR(__xludf.DUMMYFUNCTION("IMPORTRANGE(""https://docs.google.com/spreadsheets/d/1B3lPpzOuaNwVItLwLEZYl_qEblfcx7dRnbRkAw0l-pE/edit?usp=sharing"",""บุรีรัมย์!N211"")"),5000)</f>
        <v>5000</v>
      </c>
      <c r="AW38" s="82">
        <f t="shared" ca="1" si="92"/>
        <v>100</v>
      </c>
      <c r="AX38" s="81">
        <f ca="1">IFERROR(__xludf.DUMMYFUNCTION("IMPORTRANGE(""https://docs.google.com/spreadsheets/d/1B3lPpzOuaNwVItLwLEZYl_qEblfcx7dRnbRkAw0l-pE/edit?usp=sharing"",""บุรีรัมย์!L212"")"),8000)</f>
        <v>8000</v>
      </c>
      <c r="AY38" s="81">
        <f ca="1">IFERROR(__xludf.DUMMYFUNCTION("IMPORTRANGE(""https://docs.google.com/spreadsheets/d/1B3lPpzOuaNwVItLwLEZYl_qEblfcx7dRnbRkAw0l-pE/edit?usp=sharing"",""บุรีรัมย์!N212"")"),8000)</f>
        <v>8000</v>
      </c>
      <c r="AZ38" s="82">
        <f t="shared" ca="1" si="93"/>
        <v>100</v>
      </c>
      <c r="BA38" s="81">
        <f ca="1">IFERROR(__xludf.DUMMYFUNCTION("IMPORTRANGE(""https://docs.google.com/spreadsheets/d/1B3lPpzOuaNwVItLwLEZYl_qEblfcx7dRnbRkAw0l-pE/edit?usp=sharing"",""บุรีรัมย์!I214"")"),1)</f>
        <v>1</v>
      </c>
      <c r="BB38" s="81">
        <f ca="1">IFERROR(__xludf.DUMMYFUNCTION("IMPORTRANGE(""https://docs.google.com/spreadsheets/d/1B3lPpzOuaNwVItLwLEZYl_qEblfcx7dRnbRkAw0l-pE/edit?usp=sharing"",""บุรีรัมย์!J214"")"),1)</f>
        <v>1</v>
      </c>
      <c r="BC38" s="82">
        <f t="shared" ca="1" si="94"/>
        <v>100</v>
      </c>
      <c r="BD38" s="81">
        <f ca="1">IFERROR(__xludf.DUMMYFUNCTION("IMPORTRANGE(""https://docs.google.com/spreadsheets/d/1B3lPpzOuaNwVItLwLEZYl_qEblfcx7dRnbRkAw0l-pE/edit?usp=sharing"",""บุรีรัมย์!I215"")"),1)</f>
        <v>1</v>
      </c>
      <c r="BE38" s="81">
        <f ca="1">IFERROR(__xludf.DUMMYFUNCTION("IMPORTRANGE(""https://docs.google.com/spreadsheets/d/1B3lPpzOuaNwVItLwLEZYl_qEblfcx7dRnbRkAw0l-pE/edit?usp=sharing"",""บุรีรัมย์!J215"")"),1)</f>
        <v>1</v>
      </c>
      <c r="BF38" s="82">
        <f t="shared" ca="1" si="95"/>
        <v>100</v>
      </c>
      <c r="BG38" s="81">
        <f ca="1">IFERROR(__xludf.DUMMYFUNCTION("IMPORTRANGE(""https://docs.google.com/spreadsheets/d/1B3lPpzOuaNwVItLwLEZYl_qEblfcx7dRnbRkAw0l-pE/edit?usp=sharing"",""บุรีรัมย์!L218"")"),6000)</f>
        <v>6000</v>
      </c>
      <c r="BH38" s="81">
        <f ca="1">IFERROR(__xludf.DUMMYFUNCTION("IMPORTRANGE(""https://docs.google.com/spreadsheets/d/1B3lPpzOuaNwVItLwLEZYl_qEblfcx7dRnbRkAw0l-pE/edit?usp=sharing"",""บุรีรัมย์!N218"")"),3810)</f>
        <v>3810</v>
      </c>
      <c r="BI38" s="82">
        <f t="shared" ca="1" si="96"/>
        <v>63.5</v>
      </c>
      <c r="BJ38" s="81">
        <f ca="1">IFERROR(__xludf.DUMMYFUNCTION("IMPORTRANGE(""https://docs.google.com/spreadsheets/d/1B3lPpzOuaNwVItLwLEZYl_qEblfcx7dRnbRkAw0l-pE/edit?usp=sharing"",""บุรีรัมย์!L219"")"),25000)</f>
        <v>25000</v>
      </c>
      <c r="BK38" s="81">
        <f ca="1">IFERROR(__xludf.DUMMYFUNCTION("IMPORTRANGE(""https://docs.google.com/spreadsheets/d/1B3lPpzOuaNwVItLwLEZYl_qEblfcx7dRnbRkAw0l-pE/edit?usp=sharing"",""บุรีรัมย์!N219"")"),25000)</f>
        <v>25000</v>
      </c>
      <c r="BL38" s="82">
        <f t="shared" ca="1" si="97"/>
        <v>100</v>
      </c>
      <c r="BM38" s="81">
        <f ca="1">IFERROR(__xludf.DUMMYFUNCTION("IMPORTRANGE(""https://docs.google.com/spreadsheets/d/1B3lPpzOuaNwVItLwLEZYl_qEblfcx7dRnbRkAw0l-pE/edit?usp=sharing"",""บุรีรัมย์!L220"")"),0)</f>
        <v>0</v>
      </c>
      <c r="BN38" s="81">
        <f ca="1">IFERROR(__xludf.DUMMYFUNCTION("IMPORTRANGE(""https://docs.google.com/spreadsheets/d/1B3lPpzOuaNwVItLwLEZYl_qEblfcx7dRnbRkAw0l-pE/edit?usp=sharing"",""บุรีรัมย์!N220"")"),0)</f>
        <v>0</v>
      </c>
      <c r="BO38" s="82">
        <f t="shared" ca="1" si="98"/>
        <v>0</v>
      </c>
      <c r="BP38" s="81">
        <f ca="1">IFERROR(__xludf.DUMMYFUNCTION("IMPORTRANGE(""https://docs.google.com/spreadsheets/d/1B3lPpzOuaNwVItLwLEZYl_qEblfcx7dRnbRkAw0l-pE/edit?usp=sharing"",""บุรีรัมย์!I223"")"),100000)</f>
        <v>100000</v>
      </c>
      <c r="BQ38" s="81">
        <f ca="1">IFERROR(__xludf.DUMMYFUNCTION("IMPORTRANGE(""https://docs.google.com/spreadsheets/d/1B3lPpzOuaNwVItLwLEZYl_qEblfcx7dRnbRkAw0l-pE/edit?usp=sharing"",""บุรีรัมย์!J223"")"),100000)</f>
        <v>100000</v>
      </c>
      <c r="BR38" s="82">
        <f t="shared" ca="1" si="99"/>
        <v>100</v>
      </c>
      <c r="BS38" s="81">
        <f ca="1">IFERROR(__xludf.DUMMYFUNCTION("IMPORTRANGE(""https://docs.google.com/spreadsheets/d/1B3lPpzOuaNwVItLwLEZYl_qEblfcx7dRnbRkAw0l-pE/edit?usp=sharing"",""บุรีรัมย์!I224"")"),100000)</f>
        <v>100000</v>
      </c>
      <c r="BT38" s="81">
        <f ca="1">IFERROR(__xludf.DUMMYFUNCTION("IMPORTRANGE(""https://docs.google.com/spreadsheets/d/1B3lPpzOuaNwVItLwLEZYl_qEblfcx7dRnbRkAw0l-pE/edit?usp=sharing"",""บุรีรัมย์!J224"")"),100000)</f>
        <v>100000</v>
      </c>
      <c r="BU38" s="82">
        <f t="shared" ca="1" si="100"/>
        <v>100</v>
      </c>
      <c r="BV38" s="81">
        <f ca="1">IFERROR(__xludf.DUMMYFUNCTION("IMPORTRANGE(""https://docs.google.com/spreadsheets/d/1B3lPpzOuaNwVItLwLEZYl_qEblfcx7dRnbRkAw0l-pE/edit?usp=sharing"",""บุรีรัมย์!I225"")"),0)</f>
        <v>0</v>
      </c>
      <c r="BW38" s="81">
        <f ca="1">IFERROR(__xludf.DUMMYFUNCTION("IMPORTRANGE(""https://docs.google.com/spreadsheets/d/1B3lPpzOuaNwVItLwLEZYl_qEblfcx7dRnbRkAw0l-pE/edit?usp=sharing"",""บุรีรัมย์!J225"")"),0)</f>
        <v>0</v>
      </c>
      <c r="BX38" s="82">
        <f t="shared" ca="1" si="101"/>
        <v>0</v>
      </c>
      <c r="BY38" s="81">
        <f ca="1">IFERROR(__xludf.DUMMYFUNCTION("IMPORTRANGE(""https://docs.google.com/spreadsheets/d/1B3lPpzOuaNwVItLwLEZYl_qEblfcx7dRnbRkAw0l-pE/edit?usp=sharing"",""บุรีรัมย์!L228"")"),0)</f>
        <v>0</v>
      </c>
      <c r="BZ38" s="81">
        <f ca="1">IFERROR(__xludf.DUMMYFUNCTION("IMPORTRANGE(""https://docs.google.com/spreadsheets/d/1B3lPpzOuaNwVItLwLEZYl_qEblfcx7dRnbRkAw0l-pE/edit?usp=sharing"",""บุรีรัมย์!N228"")"),0)</f>
        <v>0</v>
      </c>
      <c r="CA38" s="82">
        <f t="shared" ca="1" si="102"/>
        <v>0</v>
      </c>
      <c r="CB38" s="81">
        <f ca="1">IFERROR(__xludf.DUMMYFUNCTION("IMPORTRANGE(""https://docs.google.com/spreadsheets/d/1B3lPpzOuaNwVItLwLEZYl_qEblfcx7dRnbRkAw0l-pE/edit?usp=sharing"",""บุรีรัมย์!L229"")"),0)</f>
        <v>0</v>
      </c>
      <c r="CC38" s="81">
        <f ca="1">IFERROR(__xludf.DUMMYFUNCTION("IMPORTRANGE(""https://docs.google.com/spreadsheets/d/1B3lPpzOuaNwVItLwLEZYl_qEblfcx7dRnbRkAw0l-pE/edit?usp=sharing"",""บุรีรัมย์!N229"")"),0)</f>
        <v>0</v>
      </c>
      <c r="CD38" s="82">
        <f t="shared" ca="1" si="103"/>
        <v>0</v>
      </c>
      <c r="CE38" s="81">
        <f ca="1">IFERROR(__xludf.DUMMYFUNCTION("IMPORTRANGE(""https://docs.google.com/spreadsheets/d/1B3lPpzOuaNwVItLwLEZYl_qEblfcx7dRnbRkAw0l-pE/edit?usp=sharing"",""บุรีรัมย์!L230"")"),0)</f>
        <v>0</v>
      </c>
      <c r="CF38" s="81">
        <f ca="1">IFERROR(__xludf.DUMMYFUNCTION("IMPORTRANGE(""https://docs.google.com/spreadsheets/d/1B3lPpzOuaNwVItLwLEZYl_qEblfcx7dRnbRkAw0l-pE/edit?usp=sharing"",""บุรีรัมย์!N230"")"),0)</f>
        <v>0</v>
      </c>
      <c r="CG38" s="82">
        <f t="shared" ca="1" si="104"/>
        <v>0</v>
      </c>
      <c r="CH38" s="81">
        <f ca="1">IFERROR(__xludf.DUMMYFUNCTION("IMPORTRANGE(""https://docs.google.com/spreadsheets/d/1B3lPpzOuaNwVItLwLEZYl_qEblfcx7dRnbRkAw0l-pE/edit?usp=sharing"",""บุรีรัมย์!L231"")"),0)</f>
        <v>0</v>
      </c>
      <c r="CI38" s="81">
        <f ca="1">IFERROR(__xludf.DUMMYFUNCTION("IMPORTRANGE(""https://docs.google.com/spreadsheets/d/1B3lPpzOuaNwVItLwLEZYl_qEblfcx7dRnbRkAw0l-pE/edit?usp=sharing"",""บุรีรัมย์!N231"")"),0)</f>
        <v>0</v>
      </c>
      <c r="CJ38" s="82">
        <f t="shared" ca="1" si="105"/>
        <v>0</v>
      </c>
      <c r="CK38" s="81">
        <f ca="1">IFERROR(__xludf.DUMMYFUNCTION("IMPORTRANGE(""https://docs.google.com/spreadsheets/d/1B3lPpzOuaNwVItLwLEZYl_qEblfcx7dRnbRkAw0l-pE/edit?usp=sharing"",""บุรีรัมย์!I233"")"),0)</f>
        <v>0</v>
      </c>
      <c r="CL38" s="81">
        <f ca="1">IFERROR(__xludf.DUMMYFUNCTION("IMPORTRANGE(""https://docs.google.com/spreadsheets/d/1B3lPpzOuaNwVItLwLEZYl_qEblfcx7dRnbRkAw0l-pE/edit?usp=sharing"",""บุรีรัมย์!J233"")"),0)</f>
        <v>0</v>
      </c>
      <c r="CM38" s="82">
        <f t="shared" ca="1" si="106"/>
        <v>0</v>
      </c>
      <c r="CN38" s="81">
        <f ca="1">IFERROR(__xludf.DUMMYFUNCTION("IMPORTRANGE(""https://docs.google.com/spreadsheets/d/1B3lPpzOuaNwVItLwLEZYl_qEblfcx7dRnbRkAw0l-pE/edit?usp=sharing"",""บุรีรัมย์!J235"")"),0)</f>
        <v>0</v>
      </c>
      <c r="CO38" s="81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3">
        <v>8</v>
      </c>
      <c r="B39" s="74" t="s">
        <v>61</v>
      </c>
      <c r="C39" s="75">
        <f t="shared" ca="1" si="0"/>
        <v>55500</v>
      </c>
      <c r="D39" s="76">
        <f t="shared" ca="1" si="160"/>
        <v>55500</v>
      </c>
      <c r="E39" s="77">
        <f ca="1">IFERROR(__xludf.DUMMYFUNCTION("IMPORTRANGE(""https://docs.google.com/spreadsheets/d/1MeEWN-I1oV_STSDYn1IFDPWt_1FKiwhDph83XaGc0o0/edit?usp=sharing"",""งบพรบ!CP39"")"),0)</f>
        <v>0</v>
      </c>
      <c r="F39" s="77">
        <f ca="1">IFERROR(__xludf.DUMMYFUNCTION("IMPORTRANGE(""https://docs.google.com/spreadsheets/d/1MeEWN-I1oV_STSDYn1IFDPWt_1FKiwhDph83XaGc0o0/edit?usp=sharing"",""งบพรบ!CQ39"")"),55500)</f>
        <v>55500</v>
      </c>
      <c r="G39" s="77">
        <f ca="1">IFERROR(__xludf.DUMMYFUNCTION("IMPORTRANGE(""https://docs.google.com/spreadsheets/d/1MeEWN-I1oV_STSDYn1IFDPWt_1FKiwhDph83XaGc0o0/edit?usp=sharing"",""งบพรบ!CR39"")"),0)</f>
        <v>0</v>
      </c>
      <c r="H39" s="77">
        <f ca="1">IFERROR(__xludf.DUMMYFUNCTION("IMPORTRANGE(""https://docs.google.com/spreadsheets/d/1MeEWN-I1oV_STSDYn1IFDPWt_1FKiwhDph83XaGc0o0/edit?usp=sharing"",""งบพรบ!CT39"")"),55500)</f>
        <v>55500</v>
      </c>
      <c r="I39" s="77">
        <f ca="1">IFERROR(__xludf.DUMMYFUNCTION("IMPORTRANGE(""https://docs.google.com/spreadsheets/d/1MeEWN-I1oV_STSDYn1IFDPWt_1FKiwhDph83XaGc0o0/edit?usp=sharing"",""งบพรบ!CU39"")"),0)</f>
        <v>0</v>
      </c>
      <c r="J39" s="77">
        <f t="shared" ca="1" si="3"/>
        <v>55500</v>
      </c>
      <c r="K39" s="78">
        <f t="shared" ca="1" si="4"/>
        <v>100</v>
      </c>
      <c r="L39" s="77">
        <f ca="1">IFERROR(__xludf.DUMMYFUNCTION("IMPORTRANGE(""https://docs.google.com/spreadsheets/d/1MeEWN-I1oV_STSDYn1IFDPWt_1FKiwhDph83XaGc0o0/edit?usp=sharing"",""งบพรบ!CV39"")"),55500)</f>
        <v>55500</v>
      </c>
      <c r="M39" s="79">
        <f t="shared" ca="1" si="5"/>
        <v>100</v>
      </c>
      <c r="N39" s="79">
        <f t="shared" ca="1" si="6"/>
        <v>100</v>
      </c>
      <c r="O39" s="80">
        <f ca="1">IFERROR(__xludf.DUMMYFUNCTION("IMPORTRANGE(""https://docs.google.com/spreadsheets/d/1MeEWN-I1oV_STSDYn1IFDPWt_1FKiwhDph83XaGc0o0/edit?usp=sharing"",""งบพรบ!CW39"")"),0)</f>
        <v>0</v>
      </c>
      <c r="P39" s="80">
        <f t="shared" ca="1" si="10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IFERROR(__xludf.DUMMYFUNCTION("IMPORTRANGE(""https://docs.google.com/spreadsheets/d/19GOkiOqnzYbevLYWrMk4qFOXe3rX14BkSA8X-mq-a40/edit?usp=sharing"",""มหาสารคาม!L191"")"),6000)</f>
        <v>6000</v>
      </c>
      <c r="S39" s="81">
        <f ca="1">IFERROR(__xludf.DUMMYFUNCTION("IMPORTRANGE(""https://docs.google.com/spreadsheets/d/19GOkiOqnzYbevLYWrMk4qFOXe3rX14BkSA8X-mq-a40/edit?usp=sharing"",""มหาสารคาม!N191"")"),6000)</f>
        <v>6000</v>
      </c>
      <c r="T39" s="82">
        <f t="shared" ca="1" si="84"/>
        <v>100</v>
      </c>
      <c r="U39" s="81">
        <f ca="1">IFERROR(__xludf.DUMMYFUNCTION("IMPORTRANGE(""https://docs.google.com/spreadsheets/d/19GOkiOqnzYbevLYWrMk4qFOXe3rX14BkSA8X-mq-a40/edit?usp=sharing"",""มหาสารคาม!I193"")"),4)</f>
        <v>4</v>
      </c>
      <c r="V39" s="81">
        <f ca="1">IFERROR(__xludf.DUMMYFUNCTION("IMPORTRANGE(""https://docs.google.com/spreadsheets/d/19GOkiOqnzYbevLYWrMk4qFOXe3rX14BkSA8X-mq-a40/edit?usp=sharing"",""มหาสารคาม!J193"")"),4)</f>
        <v>4</v>
      </c>
      <c r="W39" s="82">
        <f t="shared" ca="1" si="85"/>
        <v>100</v>
      </c>
      <c r="X39" s="81">
        <f t="shared" ca="1" si="161"/>
        <v>104</v>
      </c>
      <c r="Y39" s="81">
        <f ca="1">IFERROR(__xludf.DUMMYFUNCTION("IMPORTRANGE(""https://docs.google.com/spreadsheets/d/19GOkiOqnzYbevLYWrMk4qFOXe3rX14BkSA8X-mq-a40/edit?usp=sharing"",""มหาสารคาม!J195"")"),104)</f>
        <v>104</v>
      </c>
      <c r="Z39" s="81">
        <f ca="1">IFERROR(__xludf.DUMMYFUNCTION("IMPORTRANGE(""https://docs.google.com/spreadsheets/d/19GOkiOqnzYbevLYWrMk4qFOXe3rX14BkSA8X-mq-a40/edit?usp=sharing"",""มหาสารคาม!J196"")"),0)</f>
        <v>0</v>
      </c>
      <c r="AA39" s="81">
        <f ca="1">IFERROR(__xludf.DUMMYFUNCTION("IMPORTRANGE(""https://docs.google.com/spreadsheets/d/19GOkiOqnzYbevLYWrMk4qFOXe3rX14BkSA8X-mq-a40/edit?usp=sharing"",""มหาสารคาม!L199"")"),2000)</f>
        <v>2000</v>
      </c>
      <c r="AB39" s="81">
        <f ca="1">IFERROR(__xludf.DUMMYFUNCTION("IMPORTRANGE(""https://docs.google.com/spreadsheets/d/19GOkiOqnzYbevLYWrMk4qFOXe3rX14BkSA8X-mq-a40/edit?usp=sharing"",""มหาสารคาม!N199"")"),2000)</f>
        <v>2000</v>
      </c>
      <c r="AC39" s="82">
        <f t="shared" ca="1" si="86"/>
        <v>100</v>
      </c>
      <c r="AD39" s="81">
        <f ca="1">IFERROR(__xludf.DUMMYFUNCTION("IMPORTRANGE(""https://docs.google.com/spreadsheets/d/19GOkiOqnzYbevLYWrMk4qFOXe3rX14BkSA8X-mq-a40/edit?usp=sharing"",""มหาสารคาม!L200"")"),16000)</f>
        <v>16000</v>
      </c>
      <c r="AE39" s="81">
        <f ca="1">IFERROR(__xludf.DUMMYFUNCTION("IMPORTRANGE(""https://docs.google.com/spreadsheets/d/19GOkiOqnzYbevLYWrMk4qFOXe3rX14BkSA8X-mq-a40/edit?usp=sharing"",""มหาสารคาม!N200"")"),16000)</f>
        <v>16000</v>
      </c>
      <c r="AF39" s="82">
        <f t="shared" ca="1" si="87"/>
        <v>100</v>
      </c>
      <c r="AG39" s="81">
        <f ca="1">IFERROR(__xludf.DUMMYFUNCTION("IMPORTRANGE(""https://docs.google.com/spreadsheets/d/19GOkiOqnzYbevLYWrMk4qFOXe3rX14BkSA8X-mq-a40/edit?usp=sharing"",""มหาสารคาม!L201"")"),8000)</f>
        <v>8000</v>
      </c>
      <c r="AH39" s="81">
        <f ca="1">IFERROR(__xludf.DUMMYFUNCTION("IMPORTRANGE(""https://docs.google.com/spreadsheets/d/19GOkiOqnzYbevLYWrMk4qFOXe3rX14BkSA8X-mq-a40/edit?usp=sharing"",""มหาสารคาม!N201"")"),8000)</f>
        <v>8000</v>
      </c>
      <c r="AI39" s="82">
        <f t="shared" ca="1" si="88"/>
        <v>100</v>
      </c>
      <c r="AJ39" s="81">
        <f ca="1">IFERROR(__xludf.DUMMYFUNCTION("IMPORTRANGE(""https://docs.google.com/spreadsheets/d/19GOkiOqnzYbevLYWrMk4qFOXe3rX14BkSA8X-mq-a40/edit?usp=sharing"",""มหาสารคาม!L202"")"),5000)</f>
        <v>5000</v>
      </c>
      <c r="AK39" s="81">
        <f ca="1">IFERROR(__xludf.DUMMYFUNCTION("IMPORTRANGE(""https://docs.google.com/spreadsheets/d/19GOkiOqnzYbevLYWrMk4qFOXe3rX14BkSA8X-mq-a40/edit?usp=sharing"",""มหาสารคาม!N202"")"),5000)</f>
        <v>5000</v>
      </c>
      <c r="AL39" s="82">
        <f t="shared" ca="1" si="89"/>
        <v>100</v>
      </c>
      <c r="AM39" s="81">
        <f ca="1">IFERROR(__xludf.DUMMYFUNCTION("IMPORTRANGE(""https://docs.google.com/spreadsheets/d/19GOkiOqnzYbevLYWrMk4qFOXe3rX14BkSA8X-mq-a40/edit?usp=sharing"",""มหาสารคาม!I204"")"),2)</f>
        <v>2</v>
      </c>
      <c r="AN39" s="81">
        <f ca="1">IFERROR(__xludf.DUMMYFUNCTION("IMPORTRANGE(""https://docs.google.com/spreadsheets/d/19GOkiOqnzYbevLYWrMk4qFOXe3rX14BkSA8X-mq-a40/edit?usp=sharing"",""มหาสารคาม!J204"")"),2)</f>
        <v>2</v>
      </c>
      <c r="AO39" s="82">
        <f t="shared" ca="1" si="90"/>
        <v>100</v>
      </c>
      <c r="AP39" s="297">
        <f ca="1">IFERROR(__xludf.DUMMYFUNCTION("IMPORTRANGE(""https://docs.google.com/spreadsheets/d/19GOkiOqnzYbevLYWrMk4qFOXe3rX14BkSA8X-mq-a40/edit?usp=sharing"",""มหาสารคาม!J206"")"),2)</f>
        <v>2</v>
      </c>
      <c r="AQ39" s="297">
        <f ca="1">IFERROR(__xludf.DUMMYFUNCTION("IMPORTRANGE(""https://docs.google.com/spreadsheets/d/19GOkiOqnzYbevLYWrMk4qFOXe3rX14BkSA8X-mq-a40/edit?usp=sharing"",""มหาสารคาม!J207"")"),1)</f>
        <v>1</v>
      </c>
      <c r="AR39" s="81">
        <f ca="1">IFERROR(__xludf.DUMMYFUNCTION("IMPORTRANGE(""https://docs.google.com/spreadsheets/d/19GOkiOqnzYbevLYWrMk4qFOXe3rX14BkSA8X-mq-a40/edit?usp=sharing"",""มหาสารคาม!L210"")"),0)</f>
        <v>0</v>
      </c>
      <c r="AS39" s="81">
        <f ca="1">IFERROR(__xludf.DUMMYFUNCTION("IMPORTRANGE(""https://docs.google.com/spreadsheets/d/19GOkiOqnzYbevLYWrMk4qFOXe3rX14BkSA8X-mq-a40/edit?usp=sharing"",""มหาสารคาม!N210"")"),0)</f>
        <v>0</v>
      </c>
      <c r="AT39" s="82">
        <f t="shared" ca="1" si="91"/>
        <v>0</v>
      </c>
      <c r="AU39" s="81">
        <f ca="1">IFERROR(__xludf.DUMMYFUNCTION("IMPORTRANGE(""https://docs.google.com/spreadsheets/d/19GOkiOqnzYbevLYWrMk4qFOXe3rX14BkSA8X-mq-a40/edit?usp=sharing"",""มหาสารคาม!L211"")"),0)</f>
        <v>0</v>
      </c>
      <c r="AV39" s="81">
        <f ca="1">IFERROR(__xludf.DUMMYFUNCTION("IMPORTRANGE(""https://docs.google.com/spreadsheets/d/19GOkiOqnzYbevLYWrMk4qFOXe3rX14BkSA8X-mq-a40/edit?usp=sharing"",""มหาสารคาม!N211"")"),0)</f>
        <v>0</v>
      </c>
      <c r="AW39" s="82">
        <f t="shared" ca="1" si="92"/>
        <v>0</v>
      </c>
      <c r="AX39" s="81">
        <f ca="1">IFERROR(__xludf.DUMMYFUNCTION("IMPORTRANGE(""https://docs.google.com/spreadsheets/d/19GOkiOqnzYbevLYWrMk4qFOXe3rX14BkSA8X-mq-a40/edit?usp=sharing"",""มหาสารคาม!L212"")"),0)</f>
        <v>0</v>
      </c>
      <c r="AY39" s="81">
        <f ca="1">IFERROR(__xludf.DUMMYFUNCTION("IMPORTRANGE(""https://docs.google.com/spreadsheets/d/19GOkiOqnzYbevLYWrMk4qFOXe3rX14BkSA8X-mq-a40/edit?usp=sharing"",""มหาสารคาม!N212"")"),0)</f>
        <v>0</v>
      </c>
      <c r="AZ39" s="82">
        <f t="shared" ca="1" si="93"/>
        <v>0</v>
      </c>
      <c r="BA39" s="81">
        <f ca="1">IFERROR(__xludf.DUMMYFUNCTION("IMPORTRANGE(""https://docs.google.com/spreadsheets/d/19GOkiOqnzYbevLYWrMk4qFOXe3rX14BkSA8X-mq-a40/edit?usp=sharing"",""มหาสารคาม!I214"")"),0)</f>
        <v>0</v>
      </c>
      <c r="BB39" s="81">
        <f ca="1">IFERROR(__xludf.DUMMYFUNCTION("IMPORTRANGE(""https://docs.google.com/spreadsheets/d/19GOkiOqnzYbevLYWrMk4qFOXe3rX14BkSA8X-mq-a40/edit?usp=sharing"",""มหาสารคาม!J214"")"),0)</f>
        <v>0</v>
      </c>
      <c r="BC39" s="82">
        <f t="shared" ca="1" si="94"/>
        <v>0</v>
      </c>
      <c r="BD39" s="81">
        <f ca="1">IFERROR(__xludf.DUMMYFUNCTION("IMPORTRANGE(""https://docs.google.com/spreadsheets/d/19GOkiOqnzYbevLYWrMk4qFOXe3rX14BkSA8X-mq-a40/edit?usp=sharing"",""มหาสารคาม!I215"")"),0)</f>
        <v>0</v>
      </c>
      <c r="BE39" s="81">
        <f ca="1">IFERROR(__xludf.DUMMYFUNCTION("IMPORTRANGE(""https://docs.google.com/spreadsheets/d/19GOkiOqnzYbevLYWrMk4qFOXe3rX14BkSA8X-mq-a40/edit?usp=sharing"",""มหาสารคาม!J215"")"),0)</f>
        <v>0</v>
      </c>
      <c r="BF39" s="82">
        <f t="shared" ca="1" si="95"/>
        <v>0</v>
      </c>
      <c r="BG39" s="81">
        <f ca="1">IFERROR(__xludf.DUMMYFUNCTION("IMPORTRANGE(""https://docs.google.com/spreadsheets/d/19GOkiOqnzYbevLYWrMk4qFOXe3rX14BkSA8X-mq-a40/edit?usp=sharing"",""มหาสารคาม!L218"")"),5000)</f>
        <v>5000</v>
      </c>
      <c r="BH39" s="81">
        <f ca="1">IFERROR(__xludf.DUMMYFUNCTION("IMPORTRANGE(""https://docs.google.com/spreadsheets/d/19GOkiOqnzYbevLYWrMk4qFOXe3rX14BkSA8X-mq-a40/edit?usp=sharing"",""มหาสารคาม!N218"")"),5000)</f>
        <v>5000</v>
      </c>
      <c r="BI39" s="82">
        <f t="shared" ca="1" si="96"/>
        <v>100</v>
      </c>
      <c r="BJ39" s="81">
        <f ca="1">IFERROR(__xludf.DUMMYFUNCTION("IMPORTRANGE(""https://docs.google.com/spreadsheets/d/19GOkiOqnzYbevLYWrMk4qFOXe3rX14BkSA8X-mq-a40/edit?usp=sharing"",""มหาสารคาม!L219"")"),13500)</f>
        <v>13500</v>
      </c>
      <c r="BK39" s="81">
        <f ca="1">IFERROR(__xludf.DUMMYFUNCTION("IMPORTRANGE(""https://docs.google.com/spreadsheets/d/19GOkiOqnzYbevLYWrMk4qFOXe3rX14BkSA8X-mq-a40/edit?usp=sharing"",""มหาสารคาม!N219"")"),13500)</f>
        <v>13500</v>
      </c>
      <c r="BL39" s="82">
        <f t="shared" ca="1" si="97"/>
        <v>100</v>
      </c>
      <c r="BM39" s="81">
        <f ca="1">IFERROR(__xludf.DUMMYFUNCTION("IMPORTRANGE(""https://docs.google.com/spreadsheets/d/19GOkiOqnzYbevLYWrMk4qFOXe3rX14BkSA8X-mq-a40/edit?usp=sharing"",""มหาสารคาม!L220"")"),0)</f>
        <v>0</v>
      </c>
      <c r="BN39" s="81">
        <f ca="1">IFERROR(__xludf.DUMMYFUNCTION("IMPORTRANGE(""https://docs.google.com/spreadsheets/d/19GOkiOqnzYbevLYWrMk4qFOXe3rX14BkSA8X-mq-a40/edit?usp=sharing"",""มหาสารคาม!N220"")"),0)</f>
        <v>0</v>
      </c>
      <c r="BO39" s="82">
        <f t="shared" ca="1" si="98"/>
        <v>0</v>
      </c>
      <c r="BP39" s="81">
        <f ca="1">IFERROR(__xludf.DUMMYFUNCTION("IMPORTRANGE(""https://docs.google.com/spreadsheets/d/19GOkiOqnzYbevLYWrMk4qFOXe3rX14BkSA8X-mq-a40/edit?usp=sharing"",""มหาสารคาม!I223"")"),50000)</f>
        <v>50000</v>
      </c>
      <c r="BQ39" s="81">
        <f ca="1">IFERROR(__xludf.DUMMYFUNCTION("IMPORTRANGE(""https://docs.google.com/spreadsheets/d/19GOkiOqnzYbevLYWrMk4qFOXe3rX14BkSA8X-mq-a40/edit?usp=sharing"",""มหาสารคาม!J223"")"),50000)</f>
        <v>50000</v>
      </c>
      <c r="BR39" s="82">
        <f t="shared" ca="1" si="99"/>
        <v>100</v>
      </c>
      <c r="BS39" s="81">
        <f ca="1">IFERROR(__xludf.DUMMYFUNCTION("IMPORTRANGE(""https://docs.google.com/spreadsheets/d/19GOkiOqnzYbevLYWrMk4qFOXe3rX14BkSA8X-mq-a40/edit?usp=sharing"",""มหาสารคาม!I224"")"),50000)</f>
        <v>50000</v>
      </c>
      <c r="BT39" s="81">
        <f ca="1">IFERROR(__xludf.DUMMYFUNCTION("IMPORTRANGE(""https://docs.google.com/spreadsheets/d/19GOkiOqnzYbevLYWrMk4qFOXe3rX14BkSA8X-mq-a40/edit?usp=sharing"",""มหาสารคาม!J224"")"),50000)</f>
        <v>50000</v>
      </c>
      <c r="BU39" s="82">
        <f t="shared" ca="1" si="100"/>
        <v>100</v>
      </c>
      <c r="BV39" s="81">
        <f ca="1">IFERROR(__xludf.DUMMYFUNCTION("IMPORTRANGE(""https://docs.google.com/spreadsheets/d/19GOkiOqnzYbevLYWrMk4qFOXe3rX14BkSA8X-mq-a40/edit?usp=sharing"",""มหาสารคาม!I225"")"),0)</f>
        <v>0</v>
      </c>
      <c r="BW39" s="81">
        <f ca="1">IFERROR(__xludf.DUMMYFUNCTION("IMPORTRANGE(""https://docs.google.com/spreadsheets/d/19GOkiOqnzYbevLYWrMk4qFOXe3rX14BkSA8X-mq-a40/edit?usp=sharing"",""มหาสารคาม!J225"")"),0)</f>
        <v>0</v>
      </c>
      <c r="BX39" s="82">
        <f t="shared" ca="1" si="101"/>
        <v>0</v>
      </c>
      <c r="BY39" s="81">
        <f ca="1">IFERROR(__xludf.DUMMYFUNCTION("IMPORTRANGE(""https://docs.google.com/spreadsheets/d/19GOkiOqnzYbevLYWrMk4qFOXe3rX14BkSA8X-mq-a40/edit?usp=sharing"",""มหาสารคาม!L228"")"),0)</f>
        <v>0</v>
      </c>
      <c r="BZ39" s="81">
        <f ca="1">IFERROR(__xludf.DUMMYFUNCTION("IMPORTRANGE(""https://docs.google.com/spreadsheets/d/19GOkiOqnzYbevLYWrMk4qFOXe3rX14BkSA8X-mq-a40/edit?usp=sharing"",""มหาสารคาม!N228"")"),0)</f>
        <v>0</v>
      </c>
      <c r="CA39" s="82">
        <f t="shared" ca="1" si="102"/>
        <v>0</v>
      </c>
      <c r="CB39" s="81">
        <f ca="1">IFERROR(__xludf.DUMMYFUNCTION("IMPORTRANGE(""https://docs.google.com/spreadsheets/d/19GOkiOqnzYbevLYWrMk4qFOXe3rX14BkSA8X-mq-a40/edit?usp=sharing"",""มหาสารคาม!L229"")"),0)</f>
        <v>0</v>
      </c>
      <c r="CC39" s="81">
        <f ca="1">IFERROR(__xludf.DUMMYFUNCTION("IMPORTRANGE(""https://docs.google.com/spreadsheets/d/19GOkiOqnzYbevLYWrMk4qFOXe3rX14BkSA8X-mq-a40/edit?usp=sharing"",""มหาสารคาม!N229"")"),0)</f>
        <v>0</v>
      </c>
      <c r="CD39" s="82">
        <f t="shared" ca="1" si="103"/>
        <v>0</v>
      </c>
      <c r="CE39" s="81">
        <f ca="1">IFERROR(__xludf.DUMMYFUNCTION("IMPORTRANGE(""https://docs.google.com/spreadsheets/d/19GOkiOqnzYbevLYWrMk4qFOXe3rX14BkSA8X-mq-a40/edit?usp=sharing"",""มหาสารคาม!L230"")"),0)</f>
        <v>0</v>
      </c>
      <c r="CF39" s="81">
        <f ca="1">IFERROR(__xludf.DUMMYFUNCTION("IMPORTRANGE(""https://docs.google.com/spreadsheets/d/19GOkiOqnzYbevLYWrMk4qFOXe3rX14BkSA8X-mq-a40/edit?usp=sharing"",""มหาสารคาม!N230"")"),0)</f>
        <v>0</v>
      </c>
      <c r="CG39" s="82">
        <f t="shared" ca="1" si="104"/>
        <v>0</v>
      </c>
      <c r="CH39" s="81">
        <f ca="1">IFERROR(__xludf.DUMMYFUNCTION("IMPORTRANGE(""https://docs.google.com/spreadsheets/d/19GOkiOqnzYbevLYWrMk4qFOXe3rX14BkSA8X-mq-a40/edit?usp=sharing"",""มหาสารคาม!L231"")"),0)</f>
        <v>0</v>
      </c>
      <c r="CI39" s="81">
        <f ca="1">IFERROR(__xludf.DUMMYFUNCTION("IMPORTRANGE(""https://docs.google.com/spreadsheets/d/19GOkiOqnzYbevLYWrMk4qFOXe3rX14BkSA8X-mq-a40/edit?usp=sharing"",""มหาสารคาม!N231"")"),0)</f>
        <v>0</v>
      </c>
      <c r="CJ39" s="82">
        <f t="shared" ca="1" si="105"/>
        <v>0</v>
      </c>
      <c r="CK39" s="81">
        <f ca="1">IFERROR(__xludf.DUMMYFUNCTION("IMPORTRANGE(""https://docs.google.com/spreadsheets/d/19GOkiOqnzYbevLYWrMk4qFOXe3rX14BkSA8X-mq-a40/edit?usp=sharing"",""มหาสารคาม!I233"")"),0)</f>
        <v>0</v>
      </c>
      <c r="CL39" s="81">
        <f ca="1">IFERROR(__xludf.DUMMYFUNCTION("IMPORTRANGE(""https://docs.google.com/spreadsheets/d/19GOkiOqnzYbevLYWrMk4qFOXe3rX14BkSA8X-mq-a40/edit?usp=sharing"",""มหาสารคาม!J233"")"),0)</f>
        <v>0</v>
      </c>
      <c r="CM39" s="82">
        <f t="shared" ca="1" si="106"/>
        <v>0</v>
      </c>
      <c r="CN39" s="81">
        <f ca="1">IFERROR(__xludf.DUMMYFUNCTION("IMPORTRANGE(""https://docs.google.com/spreadsheets/d/19GOkiOqnzYbevLYWrMk4qFOXe3rX14BkSA8X-mq-a40/edit?usp=sharing"",""มหาสารคาม!J235"")"),0)</f>
        <v>0</v>
      </c>
      <c r="CO39" s="81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3">
        <v>9</v>
      </c>
      <c r="B40" s="74" t="s">
        <v>62</v>
      </c>
      <c r="C40" s="75">
        <f t="shared" ca="1" si="0"/>
        <v>84000</v>
      </c>
      <c r="D40" s="76">
        <f t="shared" ca="1" si="160"/>
        <v>84000</v>
      </c>
      <c r="E40" s="77">
        <f ca="1">IFERROR(__xludf.DUMMYFUNCTION("IMPORTRANGE(""https://docs.google.com/spreadsheets/d/1MeEWN-I1oV_STSDYn1IFDPWt_1FKiwhDph83XaGc0o0/edit?usp=sharing"",""งบพรบ!CP40"")"),0)</f>
        <v>0</v>
      </c>
      <c r="F40" s="77">
        <f ca="1">IFERROR(__xludf.DUMMYFUNCTION("IMPORTRANGE(""https://docs.google.com/spreadsheets/d/1MeEWN-I1oV_STSDYn1IFDPWt_1FKiwhDph83XaGc0o0/edit?usp=sharing"",""งบพรบ!CQ40"")"),84000)</f>
        <v>84000</v>
      </c>
      <c r="G40" s="77">
        <f ca="1">IFERROR(__xludf.DUMMYFUNCTION("IMPORTRANGE(""https://docs.google.com/spreadsheets/d/1MeEWN-I1oV_STSDYn1IFDPWt_1FKiwhDph83XaGc0o0/edit?usp=sharing"",""งบพรบ!CR40"")"),0)</f>
        <v>0</v>
      </c>
      <c r="H40" s="77">
        <f ca="1">IFERROR(__xludf.DUMMYFUNCTION("IMPORTRANGE(""https://docs.google.com/spreadsheets/d/1MeEWN-I1oV_STSDYn1IFDPWt_1FKiwhDph83XaGc0o0/edit?usp=sharing"",""งบพรบ!CT40"")"),84000)</f>
        <v>84000</v>
      </c>
      <c r="I40" s="77">
        <f ca="1">IFERROR(__xludf.DUMMYFUNCTION("IMPORTRANGE(""https://docs.google.com/spreadsheets/d/1MeEWN-I1oV_STSDYn1IFDPWt_1FKiwhDph83XaGc0o0/edit?usp=sharing"",""งบพรบ!CU40"")"),0)</f>
        <v>0</v>
      </c>
      <c r="J40" s="77">
        <f t="shared" ca="1" si="3"/>
        <v>77968</v>
      </c>
      <c r="K40" s="78">
        <f t="shared" ca="1" si="4"/>
        <v>92.819047619047623</v>
      </c>
      <c r="L40" s="77">
        <f ca="1">IFERROR(__xludf.DUMMYFUNCTION("IMPORTRANGE(""https://docs.google.com/spreadsheets/d/1MeEWN-I1oV_STSDYn1IFDPWt_1FKiwhDph83XaGc0o0/edit?usp=sharing"",""งบพรบ!CV40"")"),77968)</f>
        <v>77968</v>
      </c>
      <c r="M40" s="79">
        <f t="shared" ca="1" si="5"/>
        <v>92.819047619047623</v>
      </c>
      <c r="N40" s="79">
        <f t="shared" ca="1" si="6"/>
        <v>92.819047619047623</v>
      </c>
      <c r="O40" s="80">
        <f ca="1">IFERROR(__xludf.DUMMYFUNCTION("IMPORTRANGE(""https://docs.google.com/spreadsheets/d/1MeEWN-I1oV_STSDYn1IFDPWt_1FKiwhDph83XaGc0o0/edit?usp=sharing"",""งบพรบ!CW40"")"),0)</f>
        <v>0</v>
      </c>
      <c r="P40" s="80">
        <f t="shared" ca="1" si="10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IFERROR(__xludf.DUMMYFUNCTION("IMPORTRANGE(""https://docs.google.com/spreadsheets/d/1uMKqWwuNQ-TCKboGA3Bb1qXb5uj2-faACNUINCz8PN4/edit?usp=sharing"",""มุกดาหาร!L191"")"),6000)</f>
        <v>6000</v>
      </c>
      <c r="S40" s="81">
        <f ca="1">IFERROR(__xludf.DUMMYFUNCTION("IMPORTRANGE(""https://docs.google.com/spreadsheets/d/1uMKqWwuNQ-TCKboGA3Bb1qXb5uj2-faACNUINCz8PN4/edit?usp=sharing"",""มุกดาหาร!N191"")"),0)</f>
        <v>0</v>
      </c>
      <c r="T40" s="82">
        <f t="shared" ca="1" si="84"/>
        <v>0</v>
      </c>
      <c r="U40" s="81">
        <f ca="1">IFERROR(__xludf.DUMMYFUNCTION("IMPORTRANGE(""https://docs.google.com/spreadsheets/d/1uMKqWwuNQ-TCKboGA3Bb1qXb5uj2-faACNUINCz8PN4/edit?usp=sharing"",""มุกดาหาร!I193"")"),4)</f>
        <v>4</v>
      </c>
      <c r="V40" s="81">
        <f ca="1">IFERROR(__xludf.DUMMYFUNCTION("IMPORTRANGE(""https://docs.google.com/spreadsheets/d/1uMKqWwuNQ-TCKboGA3Bb1qXb5uj2-faACNUINCz8PN4/edit?usp=sharing"",""มุกดาหาร!J193"")"),4)</f>
        <v>4</v>
      </c>
      <c r="W40" s="82">
        <f t="shared" ca="1" si="85"/>
        <v>100</v>
      </c>
      <c r="X40" s="81">
        <f t="shared" ca="1" si="161"/>
        <v>82</v>
      </c>
      <c r="Y40" s="81">
        <f ca="1">IFERROR(__xludf.DUMMYFUNCTION("IMPORTRANGE(""https://docs.google.com/spreadsheets/d/1uMKqWwuNQ-TCKboGA3Bb1qXb5uj2-faACNUINCz8PN4/edit?usp=sharing"",""มุกดาหาร!J195"")"),82)</f>
        <v>82</v>
      </c>
      <c r="Z40" s="81">
        <f ca="1">IFERROR(__xludf.DUMMYFUNCTION("IMPORTRANGE(""https://docs.google.com/spreadsheets/d/1uMKqWwuNQ-TCKboGA3Bb1qXb5uj2-faACNUINCz8PN4/edit?usp=sharing"",""มุกดาหาร!J196"")"),0)</f>
        <v>0</v>
      </c>
      <c r="AA40" s="81">
        <f ca="1">IFERROR(__xludf.DUMMYFUNCTION("IMPORTRANGE(""https://docs.google.com/spreadsheets/d/1uMKqWwuNQ-TCKboGA3Bb1qXb5uj2-faACNUINCz8PN4/edit?usp=sharing"",""มุกดาหาร!L199"")"),3000)</f>
        <v>3000</v>
      </c>
      <c r="AB40" s="81">
        <f ca="1">IFERROR(__xludf.DUMMYFUNCTION("IMPORTRANGE(""https://docs.google.com/spreadsheets/d/1uMKqWwuNQ-TCKboGA3Bb1qXb5uj2-faACNUINCz8PN4/edit?usp=sharing"",""มุกดาหาร!N199"")"),3000)</f>
        <v>3000</v>
      </c>
      <c r="AC40" s="82">
        <f t="shared" ca="1" si="86"/>
        <v>100</v>
      </c>
      <c r="AD40" s="81">
        <f ca="1">IFERROR(__xludf.DUMMYFUNCTION("IMPORTRANGE(""https://docs.google.com/spreadsheets/d/1uMKqWwuNQ-TCKboGA3Bb1qXb5uj2-faACNUINCz8PN4/edit?usp=sharing"",""มุกดาหาร!L200"")"),24000)</f>
        <v>24000</v>
      </c>
      <c r="AE40" s="81">
        <f ca="1">IFERROR(__xludf.DUMMYFUNCTION("IMPORTRANGE(""https://docs.google.com/spreadsheets/d/1uMKqWwuNQ-TCKboGA3Bb1qXb5uj2-faACNUINCz8PN4/edit?usp=sharing"",""มุกดาหาร!N200"")"),24000)</f>
        <v>24000</v>
      </c>
      <c r="AF40" s="82">
        <f t="shared" ca="1" si="87"/>
        <v>100</v>
      </c>
      <c r="AG40" s="81">
        <f ca="1">IFERROR(__xludf.DUMMYFUNCTION("IMPORTRANGE(""https://docs.google.com/spreadsheets/d/1uMKqWwuNQ-TCKboGA3Bb1qXb5uj2-faACNUINCz8PN4/edit?usp=sharing"",""มุกดาหาร!L201"")"),12000)</f>
        <v>12000</v>
      </c>
      <c r="AH40" s="81">
        <f ca="1">IFERROR(__xludf.DUMMYFUNCTION("IMPORTRANGE(""https://docs.google.com/spreadsheets/d/1uMKqWwuNQ-TCKboGA3Bb1qXb5uj2-faACNUINCz8PN4/edit?usp=sharing"",""มุกดาหาร!N201"")"),12000)</f>
        <v>12000</v>
      </c>
      <c r="AI40" s="82">
        <f t="shared" ca="1" si="88"/>
        <v>100</v>
      </c>
      <c r="AJ40" s="81">
        <f ca="1">IFERROR(__xludf.DUMMYFUNCTION("IMPORTRANGE(""https://docs.google.com/spreadsheets/d/1uMKqWwuNQ-TCKboGA3Bb1qXb5uj2-faACNUINCz8PN4/edit?usp=sharing"",""มุกดาหาร!L202"")"),0)</f>
        <v>0</v>
      </c>
      <c r="AK40" s="81">
        <f ca="1">IFERROR(__xludf.DUMMYFUNCTION("IMPORTRANGE(""https://docs.google.com/spreadsheets/d/1uMKqWwuNQ-TCKboGA3Bb1qXb5uj2-faACNUINCz8PN4/edit?usp=sharing"",""มุกดาหาร!N202"")"),0)</f>
        <v>0</v>
      </c>
      <c r="AL40" s="82">
        <f t="shared" ca="1" si="89"/>
        <v>0</v>
      </c>
      <c r="AM40" s="81">
        <f ca="1">IFERROR(__xludf.DUMMYFUNCTION("IMPORTRANGE(""https://docs.google.com/spreadsheets/d/1uMKqWwuNQ-TCKboGA3Bb1qXb5uj2-faACNUINCz8PN4/edit?usp=sharing"",""มุกดาหาร!I204"")"),3)</f>
        <v>3</v>
      </c>
      <c r="AN40" s="81">
        <f ca="1">IFERROR(__xludf.DUMMYFUNCTION("IMPORTRANGE(""https://docs.google.com/spreadsheets/d/1uMKqWwuNQ-TCKboGA3Bb1qXb5uj2-faACNUINCz8PN4/edit?usp=sharing"",""มุกดาหาร!J204"")"),3)</f>
        <v>3</v>
      </c>
      <c r="AO40" s="82">
        <f t="shared" ca="1" si="90"/>
        <v>100</v>
      </c>
      <c r="AP40" s="297">
        <f ca="1">IFERROR(__xludf.DUMMYFUNCTION("IMPORTRANGE(""https://docs.google.com/spreadsheets/d/1uMKqWwuNQ-TCKboGA3Bb1qXb5uj2-faACNUINCz8PN4/edit?usp=sharing"",""มุกดาหาร!J206"")"),3)</f>
        <v>3</v>
      </c>
      <c r="AQ40" s="297">
        <f ca="1">IFERROR(__xludf.DUMMYFUNCTION("IMPORTRANGE(""https://docs.google.com/spreadsheets/d/1uMKqWwuNQ-TCKboGA3Bb1qXb5uj2-faACNUINCz8PN4/edit?usp=sharing"",""มุกดาหาร!J207"")"),0)</f>
        <v>0</v>
      </c>
      <c r="AR40" s="81">
        <f ca="1">IFERROR(__xludf.DUMMYFUNCTION("IMPORTRANGE(""https://docs.google.com/spreadsheets/d/1uMKqWwuNQ-TCKboGA3Bb1qXb5uj2-faACNUINCz8PN4/edit?usp=sharing"",""มุกดาหาร!L210"")"),1000)</f>
        <v>1000</v>
      </c>
      <c r="AS40" s="81">
        <f ca="1">IFERROR(__xludf.DUMMYFUNCTION("IMPORTRANGE(""https://docs.google.com/spreadsheets/d/1uMKqWwuNQ-TCKboGA3Bb1qXb5uj2-faACNUINCz8PN4/edit?usp=sharing"",""มุกดาหาร!N210"")"),4070)</f>
        <v>4070</v>
      </c>
      <c r="AT40" s="82">
        <f t="shared" ca="1" si="91"/>
        <v>407</v>
      </c>
      <c r="AU40" s="81">
        <f ca="1">IFERROR(__xludf.DUMMYFUNCTION("IMPORTRANGE(""https://docs.google.com/spreadsheets/d/1uMKqWwuNQ-TCKboGA3Bb1qXb5uj2-faACNUINCz8PN4/edit?usp=sharing"",""มุกดาหาร!L211"")"),5000)</f>
        <v>5000</v>
      </c>
      <c r="AV40" s="81">
        <f ca="1">IFERROR(__xludf.DUMMYFUNCTION("IMPORTRANGE(""https://docs.google.com/spreadsheets/d/1uMKqWwuNQ-TCKboGA3Bb1qXb5uj2-faACNUINCz8PN4/edit?usp=sharing"",""มุกดาหาร!N211"")"),5000)</f>
        <v>5000</v>
      </c>
      <c r="AW40" s="82">
        <f t="shared" ca="1" si="92"/>
        <v>100</v>
      </c>
      <c r="AX40" s="81">
        <f ca="1">IFERROR(__xludf.DUMMYFUNCTION("IMPORTRANGE(""https://docs.google.com/spreadsheets/d/1uMKqWwuNQ-TCKboGA3Bb1qXb5uj2-faACNUINCz8PN4/edit?usp=sharing"",""มุกดาหาร!L212"")"),8000)</f>
        <v>8000</v>
      </c>
      <c r="AY40" s="81">
        <f ca="1">IFERROR(__xludf.DUMMYFUNCTION("IMPORTRANGE(""https://docs.google.com/spreadsheets/d/1uMKqWwuNQ-TCKboGA3Bb1qXb5uj2-faACNUINCz8PN4/edit?usp=sharing"",""มุกดาหาร!N212"")"),4930)</f>
        <v>4930</v>
      </c>
      <c r="AZ40" s="82">
        <f t="shared" ca="1" si="93"/>
        <v>61.625</v>
      </c>
      <c r="BA40" s="81">
        <f ca="1">IFERROR(__xludf.DUMMYFUNCTION("IMPORTRANGE(""https://docs.google.com/spreadsheets/d/1uMKqWwuNQ-TCKboGA3Bb1qXb5uj2-faACNUINCz8PN4/edit?usp=sharing"",""มุกดาหาร!I214"")"),1)</f>
        <v>1</v>
      </c>
      <c r="BB40" s="81">
        <f ca="1">IFERROR(__xludf.DUMMYFUNCTION("IMPORTRANGE(""https://docs.google.com/spreadsheets/d/1uMKqWwuNQ-TCKboGA3Bb1qXb5uj2-faACNUINCz8PN4/edit?usp=sharing"",""มุกดาหาร!J214"")"),1)</f>
        <v>1</v>
      </c>
      <c r="BC40" s="82">
        <f t="shared" ca="1" si="94"/>
        <v>100</v>
      </c>
      <c r="BD40" s="81">
        <f ca="1">IFERROR(__xludf.DUMMYFUNCTION("IMPORTRANGE(""https://docs.google.com/spreadsheets/d/1uMKqWwuNQ-TCKboGA3Bb1qXb5uj2-faACNUINCz8PN4/edit?usp=sharing"",""มุกดาหาร!I215"")"),1)</f>
        <v>1</v>
      </c>
      <c r="BE40" s="81">
        <f ca="1">IFERROR(__xludf.DUMMYFUNCTION("IMPORTRANGE(""https://docs.google.com/spreadsheets/d/1uMKqWwuNQ-TCKboGA3Bb1qXb5uj2-faACNUINCz8PN4/edit?usp=sharing"",""มุกดาหาร!J215"")"),1)</f>
        <v>1</v>
      </c>
      <c r="BF40" s="82">
        <f t="shared" ca="1" si="95"/>
        <v>100</v>
      </c>
      <c r="BG40" s="81">
        <f ca="1">IFERROR(__xludf.DUMMYFUNCTION("IMPORTRANGE(""https://docs.google.com/spreadsheets/d/1uMKqWwuNQ-TCKboGA3Bb1qXb5uj2-faACNUINCz8PN4/edit?usp=sharing"",""มุกดาหาร!L218"")"),5000)</f>
        <v>5000</v>
      </c>
      <c r="BH40" s="81">
        <f ca="1">IFERROR(__xludf.DUMMYFUNCTION("IMPORTRANGE(""https://docs.google.com/spreadsheets/d/1uMKqWwuNQ-TCKboGA3Bb1qXb5uj2-faACNUINCz8PN4/edit?usp=sharing"",""มุกดาหาร!N218"")"),6500)</f>
        <v>6500</v>
      </c>
      <c r="BI40" s="82">
        <f t="shared" ca="1" si="96"/>
        <v>130</v>
      </c>
      <c r="BJ40" s="81">
        <f ca="1">IFERROR(__xludf.DUMMYFUNCTION("IMPORTRANGE(""https://docs.google.com/spreadsheets/d/1uMKqWwuNQ-TCKboGA3Bb1qXb5uj2-faACNUINCz8PN4/edit?usp=sharing"",""มุกดาหาร!L219"")"),10000)</f>
        <v>10000</v>
      </c>
      <c r="BK40" s="81">
        <f ca="1">IFERROR(__xludf.DUMMYFUNCTION("IMPORTRANGE(""https://docs.google.com/spreadsheets/d/1uMKqWwuNQ-TCKboGA3Bb1qXb5uj2-faACNUINCz8PN4/edit?usp=sharing"",""มุกดาหาร!N219"")"),11268)</f>
        <v>11268</v>
      </c>
      <c r="BL40" s="82">
        <f t="shared" ca="1" si="97"/>
        <v>112.68</v>
      </c>
      <c r="BM40" s="81">
        <f ca="1">IFERROR(__xludf.DUMMYFUNCTION("IMPORTRANGE(""https://docs.google.com/spreadsheets/d/1uMKqWwuNQ-TCKboGA3Bb1qXb5uj2-faACNUINCz8PN4/edit?usp=sharing"",""มุกดาหาร!L220"")"),10000)</f>
        <v>10000</v>
      </c>
      <c r="BN40" s="81">
        <f ca="1">IFERROR(__xludf.DUMMYFUNCTION("IMPORTRANGE(""https://docs.google.com/spreadsheets/d/1uMKqWwuNQ-TCKboGA3Bb1qXb5uj2-faACNUINCz8PN4/edit?usp=sharing"",""มุกดาหาร!N220"")"),7200)</f>
        <v>7200</v>
      </c>
      <c r="BO40" s="82">
        <f t="shared" ca="1" si="98"/>
        <v>72</v>
      </c>
      <c r="BP40" s="81">
        <f ca="1">IFERROR(__xludf.DUMMYFUNCTION("IMPORTRANGE(""https://docs.google.com/spreadsheets/d/1uMKqWwuNQ-TCKboGA3Bb1qXb5uj2-faACNUINCz8PN4/edit?usp=sharing"",""มุกดาหาร!I223"")"),40000)</f>
        <v>40000</v>
      </c>
      <c r="BQ40" s="81">
        <f ca="1">IFERROR(__xludf.DUMMYFUNCTION("IMPORTRANGE(""https://docs.google.com/spreadsheets/d/1uMKqWwuNQ-TCKboGA3Bb1qXb5uj2-faACNUINCz8PN4/edit?usp=sharing"",""มุกดาหาร!J223"")"),40000)</f>
        <v>40000</v>
      </c>
      <c r="BR40" s="82">
        <f t="shared" ca="1" si="99"/>
        <v>100</v>
      </c>
      <c r="BS40" s="81">
        <f ca="1">IFERROR(__xludf.DUMMYFUNCTION("IMPORTRANGE(""https://docs.google.com/spreadsheets/d/1uMKqWwuNQ-TCKboGA3Bb1qXb5uj2-faACNUINCz8PN4/edit?usp=sharing"",""มุกดาหาร!I224"")"),40000)</f>
        <v>40000</v>
      </c>
      <c r="BT40" s="81">
        <f ca="1">IFERROR(__xludf.DUMMYFUNCTION("IMPORTRANGE(""https://docs.google.com/spreadsheets/d/1uMKqWwuNQ-TCKboGA3Bb1qXb5uj2-faACNUINCz8PN4/edit?usp=sharing"",""มุกดาหาร!J224"")"),40000)</f>
        <v>40000</v>
      </c>
      <c r="BU40" s="82">
        <f t="shared" ca="1" si="100"/>
        <v>100</v>
      </c>
      <c r="BV40" s="81">
        <f ca="1">IFERROR(__xludf.DUMMYFUNCTION("IMPORTRANGE(""https://docs.google.com/spreadsheets/d/1uMKqWwuNQ-TCKboGA3Bb1qXb5uj2-faACNUINCz8PN4/edit?usp=sharing"",""มุกดาหาร!I225"")"),10)</f>
        <v>10</v>
      </c>
      <c r="BW40" s="81">
        <f ca="1">IFERROR(__xludf.DUMMYFUNCTION("IMPORTRANGE(""https://docs.google.com/spreadsheets/d/1uMKqWwuNQ-TCKboGA3Bb1qXb5uj2-faACNUINCz8PN4/edit?usp=sharing"",""มุกดาหาร!J225"")"),10)</f>
        <v>10</v>
      </c>
      <c r="BX40" s="82">
        <f t="shared" ca="1" si="101"/>
        <v>100</v>
      </c>
      <c r="BY40" s="81">
        <f ca="1">IFERROR(__xludf.DUMMYFUNCTION("IMPORTRANGE(""https://docs.google.com/spreadsheets/d/1uMKqWwuNQ-TCKboGA3Bb1qXb5uj2-faACNUINCz8PN4/edit?usp=sharing"",""มุกดาหาร!L228"")"),0)</f>
        <v>0</v>
      </c>
      <c r="BZ40" s="81">
        <f ca="1">IFERROR(__xludf.DUMMYFUNCTION("IMPORTRANGE(""https://docs.google.com/spreadsheets/d/1uMKqWwuNQ-TCKboGA3Bb1qXb5uj2-faACNUINCz8PN4/edit?usp=sharing"",""มุกดาหาร!N228"")"),0)</f>
        <v>0</v>
      </c>
      <c r="CA40" s="82">
        <f t="shared" ca="1" si="102"/>
        <v>0</v>
      </c>
      <c r="CB40" s="81">
        <f ca="1">IFERROR(__xludf.DUMMYFUNCTION("IMPORTRANGE(""https://docs.google.com/spreadsheets/d/1uMKqWwuNQ-TCKboGA3Bb1qXb5uj2-faACNUINCz8PN4/edit?usp=sharing"",""มุกดาหาร!L229"")"),0)</f>
        <v>0</v>
      </c>
      <c r="CC40" s="81">
        <f ca="1">IFERROR(__xludf.DUMMYFUNCTION("IMPORTRANGE(""https://docs.google.com/spreadsheets/d/1uMKqWwuNQ-TCKboGA3Bb1qXb5uj2-faACNUINCz8PN4/edit?usp=sharing"",""มุกดาหาร!N229"")"),0)</f>
        <v>0</v>
      </c>
      <c r="CD40" s="82">
        <f t="shared" ca="1" si="103"/>
        <v>0</v>
      </c>
      <c r="CE40" s="81">
        <f ca="1">IFERROR(__xludf.DUMMYFUNCTION("IMPORTRANGE(""https://docs.google.com/spreadsheets/d/1uMKqWwuNQ-TCKboGA3Bb1qXb5uj2-faACNUINCz8PN4/edit?usp=sharing"",""มุกดาหาร!L230"")"),0)</f>
        <v>0</v>
      </c>
      <c r="CF40" s="81">
        <f ca="1">IFERROR(__xludf.DUMMYFUNCTION("IMPORTRANGE(""https://docs.google.com/spreadsheets/d/1uMKqWwuNQ-TCKboGA3Bb1qXb5uj2-faACNUINCz8PN4/edit?usp=sharing"",""มุกดาหาร!N230"")"),0)</f>
        <v>0</v>
      </c>
      <c r="CG40" s="82">
        <f t="shared" ca="1" si="104"/>
        <v>0</v>
      </c>
      <c r="CH40" s="81">
        <f ca="1">IFERROR(__xludf.DUMMYFUNCTION("IMPORTRANGE(""https://docs.google.com/spreadsheets/d/1uMKqWwuNQ-TCKboGA3Bb1qXb5uj2-faACNUINCz8PN4/edit?usp=sharing"",""มุกดาหาร!L231"")"),0)</f>
        <v>0</v>
      </c>
      <c r="CI40" s="81">
        <f ca="1">IFERROR(__xludf.DUMMYFUNCTION("IMPORTRANGE(""https://docs.google.com/spreadsheets/d/1uMKqWwuNQ-TCKboGA3Bb1qXb5uj2-faACNUINCz8PN4/edit?usp=sharing"",""มุกดาหาร!N231"")"),0)</f>
        <v>0</v>
      </c>
      <c r="CJ40" s="82">
        <f t="shared" ca="1" si="105"/>
        <v>0</v>
      </c>
      <c r="CK40" s="81">
        <f ca="1">IFERROR(__xludf.DUMMYFUNCTION("IMPORTRANGE(""https://docs.google.com/spreadsheets/d/1uMKqWwuNQ-TCKboGA3Bb1qXb5uj2-faACNUINCz8PN4/edit?usp=sharing"",""มุกดาหาร!I233"")"),0)</f>
        <v>0</v>
      </c>
      <c r="CL40" s="81">
        <f ca="1">IFERROR(__xludf.DUMMYFUNCTION("IMPORTRANGE(""https://docs.google.com/spreadsheets/d/1uMKqWwuNQ-TCKboGA3Bb1qXb5uj2-faACNUINCz8PN4/edit?usp=sharing"",""มุกดาหาร!J233"")"),0)</f>
        <v>0</v>
      </c>
      <c r="CM40" s="82">
        <f t="shared" ca="1" si="106"/>
        <v>0</v>
      </c>
      <c r="CN40" s="81">
        <f ca="1">IFERROR(__xludf.DUMMYFUNCTION("IMPORTRANGE(""https://docs.google.com/spreadsheets/d/1uMKqWwuNQ-TCKboGA3Bb1qXb5uj2-faACNUINCz8PN4/edit?usp=sharing"",""มุกดาหาร!J235"")"),0)</f>
        <v>0</v>
      </c>
      <c r="CO40" s="81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3">
        <v>10</v>
      </c>
      <c r="B41" s="74" t="s">
        <v>63</v>
      </c>
      <c r="C41" s="75">
        <f t="shared" ca="1" si="0"/>
        <v>72500</v>
      </c>
      <c r="D41" s="76">
        <f t="shared" ca="1" si="160"/>
        <v>72500</v>
      </c>
      <c r="E41" s="77">
        <f ca="1">IFERROR(__xludf.DUMMYFUNCTION("IMPORTRANGE(""https://docs.google.com/spreadsheets/d/1MeEWN-I1oV_STSDYn1IFDPWt_1FKiwhDph83XaGc0o0/edit?usp=sharing"",""งบพรบ!CP41"")"),0)</f>
        <v>0</v>
      </c>
      <c r="F41" s="77">
        <f ca="1">IFERROR(__xludf.DUMMYFUNCTION("IMPORTRANGE(""https://docs.google.com/spreadsheets/d/1MeEWN-I1oV_STSDYn1IFDPWt_1FKiwhDph83XaGc0o0/edit?usp=sharing"",""งบพรบ!CQ41"")"),72500)</f>
        <v>72500</v>
      </c>
      <c r="G41" s="77">
        <f ca="1">IFERROR(__xludf.DUMMYFUNCTION("IMPORTRANGE(""https://docs.google.com/spreadsheets/d/1MeEWN-I1oV_STSDYn1IFDPWt_1FKiwhDph83XaGc0o0/edit?usp=sharing"",""งบพรบ!CR41"")"),0)</f>
        <v>0</v>
      </c>
      <c r="H41" s="77">
        <f ca="1">IFERROR(__xludf.DUMMYFUNCTION("IMPORTRANGE(""https://docs.google.com/spreadsheets/d/1MeEWN-I1oV_STSDYn1IFDPWt_1FKiwhDph83XaGc0o0/edit?usp=sharing"",""งบพรบ!CT41"")"),72500)</f>
        <v>72500</v>
      </c>
      <c r="I41" s="77">
        <f ca="1">IFERROR(__xludf.DUMMYFUNCTION("IMPORTRANGE(""https://docs.google.com/spreadsheets/d/1MeEWN-I1oV_STSDYn1IFDPWt_1FKiwhDph83XaGc0o0/edit?usp=sharing"",""งบพรบ!CU41"")"),0)</f>
        <v>0</v>
      </c>
      <c r="J41" s="77">
        <f t="shared" ca="1" si="3"/>
        <v>60793</v>
      </c>
      <c r="K41" s="78">
        <f t="shared" ca="1" si="4"/>
        <v>83.852413793103452</v>
      </c>
      <c r="L41" s="77">
        <f ca="1">IFERROR(__xludf.DUMMYFUNCTION("IMPORTRANGE(""https://docs.google.com/spreadsheets/d/1MeEWN-I1oV_STSDYn1IFDPWt_1FKiwhDph83XaGc0o0/edit?usp=sharing"",""งบพรบ!CV41"")"),60793)</f>
        <v>60793</v>
      </c>
      <c r="M41" s="79">
        <f t="shared" ca="1" si="5"/>
        <v>83.852413793103452</v>
      </c>
      <c r="N41" s="79">
        <f t="shared" ca="1" si="6"/>
        <v>83.852413793103452</v>
      </c>
      <c r="O41" s="80">
        <f ca="1">IFERROR(__xludf.DUMMYFUNCTION("IMPORTRANGE(""https://docs.google.com/spreadsheets/d/1MeEWN-I1oV_STSDYn1IFDPWt_1FKiwhDph83XaGc0o0/edit?usp=sharing"",""งบพรบ!CW41"")"),0)</f>
        <v>0</v>
      </c>
      <c r="P41" s="80">
        <f t="shared" ca="1" si="10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IFERROR(__xludf.DUMMYFUNCTION("IMPORTRANGE(""https://docs.google.com/spreadsheets/d/1oKaccgDdQABndOzGr688Dbfxb_V3YcF67VqEPBtdzsc/edit?usp=sharing"",""ยโสธร!L191"")"),6000)</f>
        <v>6000</v>
      </c>
      <c r="S41" s="81">
        <f ca="1">IFERROR(__xludf.DUMMYFUNCTION("IMPORTRANGE(""https://docs.google.com/spreadsheets/d/1oKaccgDdQABndOzGr688Dbfxb_V3YcF67VqEPBtdzsc/edit?usp=sharing"",""ยโสธร!N191"")"),6000)</f>
        <v>6000</v>
      </c>
      <c r="T41" s="82">
        <f t="shared" ca="1" si="84"/>
        <v>100</v>
      </c>
      <c r="U41" s="81">
        <f ca="1">IFERROR(__xludf.DUMMYFUNCTION("IMPORTRANGE(""https://docs.google.com/spreadsheets/d/1oKaccgDdQABndOzGr688Dbfxb_V3YcF67VqEPBtdzsc/edit?usp=sharing"",""ยโสธร!I193"")"),4)</f>
        <v>4</v>
      </c>
      <c r="V41" s="81">
        <f ca="1">IFERROR(__xludf.DUMMYFUNCTION("IMPORTRANGE(""https://docs.google.com/spreadsheets/d/1oKaccgDdQABndOzGr688Dbfxb_V3YcF67VqEPBtdzsc/edit?usp=sharing"",""ยโสธร!J193"")"),4)</f>
        <v>4</v>
      </c>
      <c r="W41" s="82">
        <f t="shared" ca="1" si="85"/>
        <v>100</v>
      </c>
      <c r="X41" s="81">
        <f t="shared" ca="1" si="161"/>
        <v>69</v>
      </c>
      <c r="Y41" s="81">
        <f ca="1">IFERROR(__xludf.DUMMYFUNCTION("IMPORTRANGE(""https://docs.google.com/spreadsheets/d/1oKaccgDdQABndOzGr688Dbfxb_V3YcF67VqEPBtdzsc/edit?usp=sharing"",""ยโสธร!J195"")"),69)</f>
        <v>69</v>
      </c>
      <c r="Z41" s="81">
        <f ca="1">IFERROR(__xludf.DUMMYFUNCTION("IMPORTRANGE(""https://docs.google.com/spreadsheets/d/1oKaccgDdQABndOzGr688Dbfxb_V3YcF67VqEPBtdzsc/edit?usp=sharing"",""ยโสธร!J196"")"),0)</f>
        <v>0</v>
      </c>
      <c r="AA41" s="81">
        <f ca="1">IFERROR(__xludf.DUMMYFUNCTION("IMPORTRANGE(""https://docs.google.com/spreadsheets/d/1oKaccgDdQABndOzGr688Dbfxb_V3YcF67VqEPBtdzsc/edit?usp=sharing"",""ยโสธร!L199"")"),3000)</f>
        <v>3000</v>
      </c>
      <c r="AB41" s="81">
        <f ca="1">IFERROR(__xludf.DUMMYFUNCTION("IMPORTRANGE(""https://docs.google.com/spreadsheets/d/1oKaccgDdQABndOzGr688Dbfxb_V3YcF67VqEPBtdzsc/edit?usp=sharing"",""ยโสธร!N199"")"),3000)</f>
        <v>3000</v>
      </c>
      <c r="AC41" s="82">
        <f t="shared" ca="1" si="86"/>
        <v>100</v>
      </c>
      <c r="AD41" s="81">
        <f ca="1">IFERROR(__xludf.DUMMYFUNCTION("IMPORTRANGE(""https://docs.google.com/spreadsheets/d/1oKaccgDdQABndOzGr688Dbfxb_V3YcF67VqEPBtdzsc/edit?usp=sharing"",""ยโสธร!L200"")"),24000)</f>
        <v>24000</v>
      </c>
      <c r="AE41" s="81">
        <f ca="1">IFERROR(__xludf.DUMMYFUNCTION("IMPORTRANGE(""https://docs.google.com/spreadsheets/d/1oKaccgDdQABndOzGr688Dbfxb_V3YcF67VqEPBtdzsc/edit?usp=sharing"",""ยโสธร!N200"")"),24000)</f>
        <v>24000</v>
      </c>
      <c r="AF41" s="82">
        <f t="shared" ca="1" si="87"/>
        <v>100</v>
      </c>
      <c r="AG41" s="81">
        <f ca="1">IFERROR(__xludf.DUMMYFUNCTION("IMPORTRANGE(""https://docs.google.com/spreadsheets/d/1oKaccgDdQABndOzGr688Dbfxb_V3YcF67VqEPBtdzsc/edit?usp=sharing"",""ยโสธร!L201"")"),12000)</f>
        <v>12000</v>
      </c>
      <c r="AH41" s="81">
        <f ca="1">IFERROR(__xludf.DUMMYFUNCTION("IMPORTRANGE(""https://docs.google.com/spreadsheets/d/1oKaccgDdQABndOzGr688Dbfxb_V3YcF67VqEPBtdzsc/edit?usp=sharing"",""ยโสธร!N201"")"),12000)</f>
        <v>12000</v>
      </c>
      <c r="AI41" s="82">
        <f t="shared" ca="1" si="88"/>
        <v>100</v>
      </c>
      <c r="AJ41" s="81">
        <f ca="1">IFERROR(__xludf.DUMMYFUNCTION("IMPORTRANGE(""https://docs.google.com/spreadsheets/d/1oKaccgDdQABndOzGr688Dbfxb_V3YcF67VqEPBtdzsc/edit?usp=sharing"",""ยโสธร!L202"")"),0)</f>
        <v>0</v>
      </c>
      <c r="AK41" s="81">
        <f ca="1">IFERROR(__xludf.DUMMYFUNCTION("IMPORTRANGE(""https://docs.google.com/spreadsheets/d/1oKaccgDdQABndOzGr688Dbfxb_V3YcF67VqEPBtdzsc/edit?usp=sharing"",""ยโสธร!N202"")"),0)</f>
        <v>0</v>
      </c>
      <c r="AL41" s="82">
        <f t="shared" ca="1" si="89"/>
        <v>0</v>
      </c>
      <c r="AM41" s="81">
        <f ca="1">IFERROR(__xludf.DUMMYFUNCTION("IMPORTRANGE(""https://docs.google.com/spreadsheets/d/1oKaccgDdQABndOzGr688Dbfxb_V3YcF67VqEPBtdzsc/edit?usp=sharing"",""ยโสธร!I204"")"),3)</f>
        <v>3</v>
      </c>
      <c r="AN41" s="81">
        <f ca="1">IFERROR(__xludf.DUMMYFUNCTION("IMPORTRANGE(""https://docs.google.com/spreadsheets/d/1oKaccgDdQABndOzGr688Dbfxb_V3YcF67VqEPBtdzsc/edit?usp=sharing"",""ยโสธร!J204"")"),3)</f>
        <v>3</v>
      </c>
      <c r="AO41" s="82">
        <f t="shared" ca="1" si="90"/>
        <v>100</v>
      </c>
      <c r="AP41" s="297">
        <f ca="1">IFERROR(__xludf.DUMMYFUNCTION("IMPORTRANGE(""https://docs.google.com/spreadsheets/d/1oKaccgDdQABndOzGr688Dbfxb_V3YcF67VqEPBtdzsc/edit?usp=sharing"",""ยโสธร!J206"")"),3)</f>
        <v>3</v>
      </c>
      <c r="AQ41" s="297">
        <f ca="1">IFERROR(__xludf.DUMMYFUNCTION("IMPORTRANGE(""https://docs.google.com/spreadsheets/d/1oKaccgDdQABndOzGr688Dbfxb_V3YcF67VqEPBtdzsc/edit?usp=sharing"",""ยโสธร!J207"")"),0)</f>
        <v>0</v>
      </c>
      <c r="AR41" s="81">
        <f ca="1">IFERROR(__xludf.DUMMYFUNCTION("IMPORTRANGE(""https://docs.google.com/spreadsheets/d/1oKaccgDdQABndOzGr688Dbfxb_V3YcF67VqEPBtdzsc/edit?usp=sharing"",""ยโสธร!L210"")"),1000)</f>
        <v>1000</v>
      </c>
      <c r="AS41" s="81">
        <f ca="1">IFERROR(__xludf.DUMMYFUNCTION("IMPORTRANGE(""https://docs.google.com/spreadsheets/d/1oKaccgDdQABndOzGr688Dbfxb_V3YcF67VqEPBtdzsc/edit?usp=sharing"",""ยโสธร!N210"")"),1000)</f>
        <v>1000</v>
      </c>
      <c r="AT41" s="82">
        <f t="shared" ca="1" si="91"/>
        <v>100</v>
      </c>
      <c r="AU41" s="81">
        <f ca="1">IFERROR(__xludf.DUMMYFUNCTION("IMPORTRANGE(""https://docs.google.com/spreadsheets/d/1oKaccgDdQABndOzGr688Dbfxb_V3YcF67VqEPBtdzsc/edit?usp=sharing"",""ยโสธร!L211"")"),5000)</f>
        <v>5000</v>
      </c>
      <c r="AV41" s="81">
        <f ca="1">IFERROR(__xludf.DUMMYFUNCTION("IMPORTRANGE(""https://docs.google.com/spreadsheets/d/1oKaccgDdQABndOzGr688Dbfxb_V3YcF67VqEPBtdzsc/edit?usp=sharing"",""ยโสธร!N211"")"),5000)</f>
        <v>5000</v>
      </c>
      <c r="AW41" s="82">
        <f t="shared" ca="1" si="92"/>
        <v>100</v>
      </c>
      <c r="AX41" s="81">
        <f ca="1">IFERROR(__xludf.DUMMYFUNCTION("IMPORTRANGE(""https://docs.google.com/spreadsheets/d/1oKaccgDdQABndOzGr688Dbfxb_V3YcF67VqEPBtdzsc/edit?usp=sharing"",""ยโสธร!L212"")"),8000)</f>
        <v>8000</v>
      </c>
      <c r="AY41" s="81">
        <f ca="1">IFERROR(__xludf.DUMMYFUNCTION("IMPORTRANGE(""https://docs.google.com/spreadsheets/d/1oKaccgDdQABndOzGr688Dbfxb_V3YcF67VqEPBtdzsc/edit?usp=sharing"",""ยโสธร!N212"")"),8000)</f>
        <v>8000</v>
      </c>
      <c r="AZ41" s="82">
        <f t="shared" ca="1" si="93"/>
        <v>100</v>
      </c>
      <c r="BA41" s="81">
        <f ca="1">IFERROR(__xludf.DUMMYFUNCTION("IMPORTRANGE(""https://docs.google.com/spreadsheets/d/1oKaccgDdQABndOzGr688Dbfxb_V3YcF67VqEPBtdzsc/edit?usp=sharing"",""ยโสธร!I214"")"),1)</f>
        <v>1</v>
      </c>
      <c r="BB41" s="81">
        <f ca="1">IFERROR(__xludf.DUMMYFUNCTION("IMPORTRANGE(""https://docs.google.com/spreadsheets/d/1oKaccgDdQABndOzGr688Dbfxb_V3YcF67VqEPBtdzsc/edit?usp=sharing"",""ยโสธร!J214"")"),1)</f>
        <v>1</v>
      </c>
      <c r="BC41" s="82">
        <f t="shared" ca="1" si="94"/>
        <v>100</v>
      </c>
      <c r="BD41" s="81">
        <f ca="1">IFERROR(__xludf.DUMMYFUNCTION("IMPORTRANGE(""https://docs.google.com/spreadsheets/d/1oKaccgDdQABndOzGr688Dbfxb_V3YcF67VqEPBtdzsc/edit?usp=sharing"",""ยโสธร!I215"")"),1)</f>
        <v>1</v>
      </c>
      <c r="BE41" s="81">
        <f ca="1">IFERROR(__xludf.DUMMYFUNCTION("IMPORTRANGE(""https://docs.google.com/spreadsheets/d/1oKaccgDdQABndOzGr688Dbfxb_V3YcF67VqEPBtdzsc/edit?usp=sharing"",""ยโสธร!J215"")"),1)</f>
        <v>1</v>
      </c>
      <c r="BF41" s="82">
        <f t="shared" ca="1" si="95"/>
        <v>100</v>
      </c>
      <c r="BG41" s="81">
        <f ca="1">IFERROR(__xludf.DUMMYFUNCTION("IMPORTRANGE(""https://docs.google.com/spreadsheets/d/1oKaccgDdQABndOzGr688Dbfxb_V3YcF67VqEPBtdzsc/edit?usp=sharing"",""ยโสธร!L218"")"),5000)</f>
        <v>5000</v>
      </c>
      <c r="BH41" s="81">
        <f ca="1">IFERROR(__xludf.DUMMYFUNCTION("IMPORTRANGE(""https://docs.google.com/spreadsheets/d/1oKaccgDdQABndOzGr688Dbfxb_V3YcF67VqEPBtdzsc/edit?usp=sharing"",""ยโสธร!N218"")"),5000)</f>
        <v>5000</v>
      </c>
      <c r="BI41" s="82">
        <f t="shared" ca="1" si="96"/>
        <v>100</v>
      </c>
      <c r="BJ41" s="81">
        <f ca="1">IFERROR(__xludf.DUMMYFUNCTION("IMPORTRANGE(""https://docs.google.com/spreadsheets/d/1oKaccgDdQABndOzGr688Dbfxb_V3YcF67VqEPBtdzsc/edit?usp=sharing"",""ยโสธร!L219"")"),8500)</f>
        <v>8500</v>
      </c>
      <c r="BK41" s="81">
        <f ca="1">IFERROR(__xludf.DUMMYFUNCTION("IMPORTRANGE(""https://docs.google.com/spreadsheets/d/1oKaccgDdQABndOzGr688Dbfxb_V3YcF67VqEPBtdzsc/edit?usp=sharing"",""ยโสธร!N219"")"),8500)</f>
        <v>8500</v>
      </c>
      <c r="BL41" s="82">
        <f t="shared" ca="1" si="97"/>
        <v>100</v>
      </c>
      <c r="BM41" s="81">
        <f ca="1">IFERROR(__xludf.DUMMYFUNCTION("IMPORTRANGE(""https://docs.google.com/spreadsheets/d/1oKaccgDdQABndOzGr688Dbfxb_V3YcF67VqEPBtdzsc/edit?usp=sharing"",""ยโสธร!L220"")"),0)</f>
        <v>0</v>
      </c>
      <c r="BN41" s="81">
        <f ca="1">IFERROR(__xludf.DUMMYFUNCTION("IMPORTRANGE(""https://docs.google.com/spreadsheets/d/1oKaccgDdQABndOzGr688Dbfxb_V3YcF67VqEPBtdzsc/edit?usp=sharing"",""ยโสธร!N220"")"),0)</f>
        <v>0</v>
      </c>
      <c r="BO41" s="82">
        <f t="shared" ca="1" si="98"/>
        <v>0</v>
      </c>
      <c r="BP41" s="81">
        <f ca="1">IFERROR(__xludf.DUMMYFUNCTION("IMPORTRANGE(""https://docs.google.com/spreadsheets/d/1oKaccgDdQABndOzGr688Dbfxb_V3YcF67VqEPBtdzsc/edit?usp=sharing"",""ยโสธร!I223"")"),30000)</f>
        <v>30000</v>
      </c>
      <c r="BQ41" s="81">
        <f ca="1">IFERROR(__xludf.DUMMYFUNCTION("IMPORTRANGE(""https://docs.google.com/spreadsheets/d/1oKaccgDdQABndOzGr688Dbfxb_V3YcF67VqEPBtdzsc/edit?usp=sharing"",""ยโสธร!J223"")"),30000)</f>
        <v>30000</v>
      </c>
      <c r="BR41" s="82">
        <f t="shared" ca="1" si="99"/>
        <v>100</v>
      </c>
      <c r="BS41" s="81">
        <f ca="1">IFERROR(__xludf.DUMMYFUNCTION("IMPORTRANGE(""https://docs.google.com/spreadsheets/d/1oKaccgDdQABndOzGr688Dbfxb_V3YcF67VqEPBtdzsc/edit?usp=sharing"",""ยโสธร!I224"")"),30000)</f>
        <v>30000</v>
      </c>
      <c r="BT41" s="81">
        <f ca="1">IFERROR(__xludf.DUMMYFUNCTION("IMPORTRANGE(""https://docs.google.com/spreadsheets/d/1oKaccgDdQABndOzGr688Dbfxb_V3YcF67VqEPBtdzsc/edit?usp=sharing"",""ยโสธร!J224"")"),30000)</f>
        <v>30000</v>
      </c>
      <c r="BU41" s="82">
        <f t="shared" ca="1" si="100"/>
        <v>100</v>
      </c>
      <c r="BV41" s="81">
        <f ca="1">IFERROR(__xludf.DUMMYFUNCTION("IMPORTRANGE(""https://docs.google.com/spreadsheets/d/1oKaccgDdQABndOzGr688Dbfxb_V3YcF67VqEPBtdzsc/edit?usp=sharing"",""ยโสธร!I225"")"),0)</f>
        <v>0</v>
      </c>
      <c r="BW41" s="81">
        <f ca="1">IFERROR(__xludf.DUMMYFUNCTION("IMPORTRANGE(""https://docs.google.com/spreadsheets/d/1oKaccgDdQABndOzGr688Dbfxb_V3YcF67VqEPBtdzsc/edit?usp=sharing"",""ยโสธร!J225"")"),0)</f>
        <v>0</v>
      </c>
      <c r="BX41" s="82">
        <f t="shared" ca="1" si="101"/>
        <v>0</v>
      </c>
      <c r="BY41" s="81">
        <f ca="1">IFERROR(__xludf.DUMMYFUNCTION("IMPORTRANGE(""https://docs.google.com/spreadsheets/d/1oKaccgDdQABndOzGr688Dbfxb_V3YcF67VqEPBtdzsc/edit?usp=sharing"",""ยโสธร!L228"")"),0)</f>
        <v>0</v>
      </c>
      <c r="BZ41" s="81">
        <f ca="1">IFERROR(__xludf.DUMMYFUNCTION("IMPORTRANGE(""https://docs.google.com/spreadsheets/d/1oKaccgDdQABndOzGr688Dbfxb_V3YcF67VqEPBtdzsc/edit?usp=sharing"",""ยโสธร!N228"")"),0)</f>
        <v>0</v>
      </c>
      <c r="CA41" s="82">
        <f t="shared" ca="1" si="102"/>
        <v>0</v>
      </c>
      <c r="CB41" s="81">
        <f ca="1">IFERROR(__xludf.DUMMYFUNCTION("IMPORTRANGE(""https://docs.google.com/spreadsheets/d/1oKaccgDdQABndOzGr688Dbfxb_V3YcF67VqEPBtdzsc/edit?usp=sharing"",""ยโสธร!L229"")"),0)</f>
        <v>0</v>
      </c>
      <c r="CC41" s="81">
        <f ca="1">IFERROR(__xludf.DUMMYFUNCTION("IMPORTRANGE(""https://docs.google.com/spreadsheets/d/1oKaccgDdQABndOzGr688Dbfxb_V3YcF67VqEPBtdzsc/edit?usp=sharing"",""ยโสธร!N229"")"),0)</f>
        <v>0</v>
      </c>
      <c r="CD41" s="82">
        <f t="shared" ca="1" si="103"/>
        <v>0</v>
      </c>
      <c r="CE41" s="81">
        <f ca="1">IFERROR(__xludf.DUMMYFUNCTION("IMPORTRANGE(""https://docs.google.com/spreadsheets/d/1oKaccgDdQABndOzGr688Dbfxb_V3YcF67VqEPBtdzsc/edit?usp=sharing"",""ยโสธร!L230"")"),0)</f>
        <v>0</v>
      </c>
      <c r="CF41" s="81">
        <f ca="1">IFERROR(__xludf.DUMMYFUNCTION("IMPORTRANGE(""https://docs.google.com/spreadsheets/d/1oKaccgDdQABndOzGr688Dbfxb_V3YcF67VqEPBtdzsc/edit?usp=sharing"",""ยโสธร!N230"")"),0)</f>
        <v>0</v>
      </c>
      <c r="CG41" s="82">
        <f t="shared" ca="1" si="104"/>
        <v>0</v>
      </c>
      <c r="CH41" s="81">
        <f ca="1">IFERROR(__xludf.DUMMYFUNCTION("IMPORTRANGE(""https://docs.google.com/spreadsheets/d/1oKaccgDdQABndOzGr688Dbfxb_V3YcF67VqEPBtdzsc/edit?usp=sharing"",""ยโสธร!L231"")"),0)</f>
        <v>0</v>
      </c>
      <c r="CI41" s="81">
        <f ca="1">IFERROR(__xludf.DUMMYFUNCTION("IMPORTRANGE(""https://docs.google.com/spreadsheets/d/1oKaccgDdQABndOzGr688Dbfxb_V3YcF67VqEPBtdzsc/edit?usp=sharing"",""ยโสธร!N231"")"),0)</f>
        <v>0</v>
      </c>
      <c r="CJ41" s="82">
        <f t="shared" ca="1" si="105"/>
        <v>0</v>
      </c>
      <c r="CK41" s="81">
        <f ca="1">IFERROR(__xludf.DUMMYFUNCTION("IMPORTRANGE(""https://docs.google.com/spreadsheets/d/1oKaccgDdQABndOzGr688Dbfxb_V3YcF67VqEPBtdzsc/edit?usp=sharing"",""ยโสธร!I233"")"),0)</f>
        <v>0</v>
      </c>
      <c r="CL41" s="81">
        <f ca="1">IFERROR(__xludf.DUMMYFUNCTION("IMPORTRANGE(""https://docs.google.com/spreadsheets/d/1oKaccgDdQABndOzGr688Dbfxb_V3YcF67VqEPBtdzsc/edit?usp=sharing"",""ยโสธร!J233"")"),0)</f>
        <v>0</v>
      </c>
      <c r="CM41" s="82">
        <f t="shared" ca="1" si="106"/>
        <v>0</v>
      </c>
      <c r="CN41" s="81">
        <f ca="1">IFERROR(__xludf.DUMMYFUNCTION("IMPORTRANGE(""https://docs.google.com/spreadsheets/d/1oKaccgDdQABndOzGr688Dbfxb_V3YcF67VqEPBtdzsc/edit?usp=sharing"",""ยโสธร!J235"")"),0)</f>
        <v>0</v>
      </c>
      <c r="CO41" s="81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3">
        <v>11</v>
      </c>
      <c r="B42" s="74" t="s">
        <v>64</v>
      </c>
      <c r="C42" s="75">
        <f t="shared" ca="1" si="0"/>
        <v>67600</v>
      </c>
      <c r="D42" s="76">
        <f t="shared" ca="1" si="160"/>
        <v>67600</v>
      </c>
      <c r="E42" s="77">
        <f ca="1">IFERROR(__xludf.DUMMYFUNCTION("IMPORTRANGE(""https://docs.google.com/spreadsheets/d/1MeEWN-I1oV_STSDYn1IFDPWt_1FKiwhDph83XaGc0o0/edit?usp=sharing"",""งบพรบ!CP42"")"),0)</f>
        <v>0</v>
      </c>
      <c r="F42" s="77">
        <f ca="1">IFERROR(__xludf.DUMMYFUNCTION("IMPORTRANGE(""https://docs.google.com/spreadsheets/d/1MeEWN-I1oV_STSDYn1IFDPWt_1FKiwhDph83XaGc0o0/edit?usp=sharing"",""งบพรบ!CQ42"")"),67600)</f>
        <v>67600</v>
      </c>
      <c r="G42" s="77">
        <f ca="1">IFERROR(__xludf.DUMMYFUNCTION("IMPORTRANGE(""https://docs.google.com/spreadsheets/d/1MeEWN-I1oV_STSDYn1IFDPWt_1FKiwhDph83XaGc0o0/edit?usp=sharing"",""งบพรบ!CR42"")"),0)</f>
        <v>0</v>
      </c>
      <c r="H42" s="77">
        <f ca="1">IFERROR(__xludf.DUMMYFUNCTION("IMPORTRANGE(""https://docs.google.com/spreadsheets/d/1MeEWN-I1oV_STSDYn1IFDPWt_1FKiwhDph83XaGc0o0/edit?usp=sharing"",""งบพรบ!CT42"")"),67600)</f>
        <v>67600</v>
      </c>
      <c r="I42" s="77">
        <f ca="1">IFERROR(__xludf.DUMMYFUNCTION("IMPORTRANGE(""https://docs.google.com/spreadsheets/d/1MeEWN-I1oV_STSDYn1IFDPWt_1FKiwhDph83XaGc0o0/edit?usp=sharing"",""งบพรบ!CU42"")"),0)</f>
        <v>0</v>
      </c>
      <c r="J42" s="77">
        <f t="shared" ca="1" si="3"/>
        <v>67600</v>
      </c>
      <c r="K42" s="78">
        <f t="shared" ca="1" si="4"/>
        <v>100</v>
      </c>
      <c r="L42" s="77">
        <f ca="1">IFERROR(__xludf.DUMMYFUNCTION("IMPORTRANGE(""https://docs.google.com/spreadsheets/d/1MeEWN-I1oV_STSDYn1IFDPWt_1FKiwhDph83XaGc0o0/edit?usp=sharing"",""งบพรบ!CV42"")"),67600)</f>
        <v>67600</v>
      </c>
      <c r="M42" s="79">
        <f t="shared" ca="1" si="5"/>
        <v>100</v>
      </c>
      <c r="N42" s="79">
        <f t="shared" ca="1" si="6"/>
        <v>100</v>
      </c>
      <c r="O42" s="80">
        <f ca="1">IFERROR(__xludf.DUMMYFUNCTION("IMPORTRANGE(""https://docs.google.com/spreadsheets/d/1MeEWN-I1oV_STSDYn1IFDPWt_1FKiwhDph83XaGc0o0/edit?usp=sharing"",""งบพรบ!CW42"")"),0)</f>
        <v>0</v>
      </c>
      <c r="P42" s="80">
        <f t="shared" ca="1" si="10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IFERROR(__xludf.DUMMYFUNCTION("IMPORTRANGE(""https://docs.google.com/spreadsheets/d/1BRgc8xKpxZ0PX-gauieMVkV_IOxKSotf0yW8MabGprQ/edit?usp=sharing"",""ร้อยเอ็ด!L191"")"),6000)</f>
        <v>6000</v>
      </c>
      <c r="S42" s="81">
        <f ca="1">IFERROR(__xludf.DUMMYFUNCTION("IMPORTRANGE(""https://docs.google.com/spreadsheets/d/1BRgc8xKpxZ0PX-gauieMVkV_IOxKSotf0yW8MabGprQ/edit?usp=sharing"",""ร้อยเอ็ด!N191"")"),5250)</f>
        <v>5250</v>
      </c>
      <c r="T42" s="82">
        <f t="shared" ca="1" si="84"/>
        <v>87.5</v>
      </c>
      <c r="U42" s="81">
        <f ca="1">IFERROR(__xludf.DUMMYFUNCTION("IMPORTRANGE(""https://docs.google.com/spreadsheets/d/1BRgc8xKpxZ0PX-gauieMVkV_IOxKSotf0yW8MabGprQ/edit?usp=sharing"",""ร้อยเอ็ด!I193"")"),4)</f>
        <v>4</v>
      </c>
      <c r="V42" s="81">
        <f ca="1">IFERROR(__xludf.DUMMYFUNCTION("IMPORTRANGE(""https://docs.google.com/spreadsheets/d/1BRgc8xKpxZ0PX-gauieMVkV_IOxKSotf0yW8MabGprQ/edit?usp=sharing"",""ร้อยเอ็ด!J193"")"),4)</f>
        <v>4</v>
      </c>
      <c r="W42" s="82">
        <f t="shared" ca="1" si="85"/>
        <v>100</v>
      </c>
      <c r="X42" s="81">
        <f t="shared" ca="1" si="161"/>
        <v>65</v>
      </c>
      <c r="Y42" s="81">
        <f ca="1">IFERROR(__xludf.DUMMYFUNCTION("IMPORTRANGE(""https://docs.google.com/spreadsheets/d/1BRgc8xKpxZ0PX-gauieMVkV_IOxKSotf0yW8MabGprQ/edit?usp=sharing"",""ร้อยเอ็ด!J195"")"),65)</f>
        <v>65</v>
      </c>
      <c r="Z42" s="81">
        <f ca="1">IFERROR(__xludf.DUMMYFUNCTION("IMPORTRANGE(""https://docs.google.com/spreadsheets/d/1BRgc8xKpxZ0PX-gauieMVkV_IOxKSotf0yW8MabGprQ/edit?usp=sharing"",""ร้อยเอ็ด!J196"")"),0)</f>
        <v>0</v>
      </c>
      <c r="AA42" s="81">
        <f ca="1">IFERROR(__xludf.DUMMYFUNCTION("IMPORTRANGE(""https://docs.google.com/spreadsheets/d/1BRgc8xKpxZ0PX-gauieMVkV_IOxKSotf0yW8MabGprQ/edit?usp=sharing"",""ร้อยเอ็ด!L199"")"),3000)</f>
        <v>3000</v>
      </c>
      <c r="AB42" s="81">
        <f ca="1">IFERROR(__xludf.DUMMYFUNCTION("IMPORTRANGE(""https://docs.google.com/spreadsheets/d/1BRgc8xKpxZ0PX-gauieMVkV_IOxKSotf0yW8MabGprQ/edit?usp=sharing"",""ร้อยเอ็ด!N199"")"),3000)</f>
        <v>3000</v>
      </c>
      <c r="AC42" s="82">
        <f t="shared" ca="1" si="86"/>
        <v>100</v>
      </c>
      <c r="AD42" s="81">
        <f ca="1">IFERROR(__xludf.DUMMYFUNCTION("IMPORTRANGE(""https://docs.google.com/spreadsheets/d/1BRgc8xKpxZ0PX-gauieMVkV_IOxKSotf0yW8MabGprQ/edit?usp=sharing"",""ร้อยเอ็ด!L200"")"),24000)</f>
        <v>24000</v>
      </c>
      <c r="AE42" s="81">
        <f ca="1">IFERROR(__xludf.DUMMYFUNCTION("IMPORTRANGE(""https://docs.google.com/spreadsheets/d/1BRgc8xKpxZ0PX-gauieMVkV_IOxKSotf0yW8MabGprQ/edit?usp=sharing"",""ร้อยเอ็ด!N200"")"),24000)</f>
        <v>24000</v>
      </c>
      <c r="AF42" s="82">
        <f t="shared" ca="1" si="87"/>
        <v>100</v>
      </c>
      <c r="AG42" s="81">
        <f ca="1">IFERROR(__xludf.DUMMYFUNCTION("IMPORTRANGE(""https://docs.google.com/spreadsheets/d/1BRgc8xKpxZ0PX-gauieMVkV_IOxKSotf0yW8MabGprQ/edit?usp=sharing"",""ร้อยเอ็ด!L201"")"),12000)</f>
        <v>12000</v>
      </c>
      <c r="AH42" s="81">
        <f ca="1">IFERROR(__xludf.DUMMYFUNCTION("IMPORTRANGE(""https://docs.google.com/spreadsheets/d/1BRgc8xKpxZ0PX-gauieMVkV_IOxKSotf0yW8MabGprQ/edit?usp=sharing"",""ร้อยเอ็ด!N201"")"),12000)</f>
        <v>12000</v>
      </c>
      <c r="AI42" s="82">
        <f t="shared" ca="1" si="88"/>
        <v>100</v>
      </c>
      <c r="AJ42" s="81">
        <f ca="1">IFERROR(__xludf.DUMMYFUNCTION("IMPORTRANGE(""https://docs.google.com/spreadsheets/d/1BRgc8xKpxZ0PX-gauieMVkV_IOxKSotf0yW8MabGprQ/edit?usp=sharing"",""ร้อยเอ็ด!L202"")"),0)</f>
        <v>0</v>
      </c>
      <c r="AK42" s="81">
        <f ca="1">IFERROR(__xludf.DUMMYFUNCTION("IMPORTRANGE(""https://docs.google.com/spreadsheets/d/1BRgc8xKpxZ0PX-gauieMVkV_IOxKSotf0yW8MabGprQ/edit?usp=sharing"",""ร้อยเอ็ด!N202"")"),0)</f>
        <v>0</v>
      </c>
      <c r="AL42" s="82">
        <f t="shared" ca="1" si="89"/>
        <v>0</v>
      </c>
      <c r="AM42" s="81">
        <f ca="1">IFERROR(__xludf.DUMMYFUNCTION("IMPORTRANGE(""https://docs.google.com/spreadsheets/d/1BRgc8xKpxZ0PX-gauieMVkV_IOxKSotf0yW8MabGprQ/edit?usp=sharing"",""ร้อยเอ็ด!I204"")"),3)</f>
        <v>3</v>
      </c>
      <c r="AN42" s="81">
        <f ca="1">IFERROR(__xludf.DUMMYFUNCTION("IMPORTRANGE(""https://docs.google.com/spreadsheets/d/1BRgc8xKpxZ0PX-gauieMVkV_IOxKSotf0yW8MabGprQ/edit?usp=sharing"",""ร้อยเอ็ด!J204"")"),3)</f>
        <v>3</v>
      </c>
      <c r="AO42" s="82">
        <f t="shared" ca="1" si="90"/>
        <v>100</v>
      </c>
      <c r="AP42" s="297">
        <f ca="1">IFERROR(__xludf.DUMMYFUNCTION("IMPORTRANGE(""https://docs.google.com/spreadsheets/d/1BRgc8xKpxZ0PX-gauieMVkV_IOxKSotf0yW8MabGprQ/edit?usp=sharing"",""ร้อยเอ็ด!J206"")"),3)</f>
        <v>3</v>
      </c>
      <c r="AQ42" s="297">
        <f ca="1">IFERROR(__xludf.DUMMYFUNCTION("IMPORTRANGE(""https://docs.google.com/spreadsheets/d/1BRgc8xKpxZ0PX-gauieMVkV_IOxKSotf0yW8MabGprQ/edit?usp=sharing"",""ร้อยเอ็ด!J207"")"),0)</f>
        <v>0</v>
      </c>
      <c r="AR42" s="81">
        <f ca="1">IFERROR(__xludf.DUMMYFUNCTION("IMPORTRANGE(""https://docs.google.com/spreadsheets/d/1BRgc8xKpxZ0PX-gauieMVkV_IOxKSotf0yW8MabGprQ/edit?usp=sharing"",""ร้อยเอ็ด!L210"")"),0)</f>
        <v>0</v>
      </c>
      <c r="AS42" s="81">
        <f ca="1">IFERROR(__xludf.DUMMYFUNCTION("IMPORTRANGE(""https://docs.google.com/spreadsheets/d/1BRgc8xKpxZ0PX-gauieMVkV_IOxKSotf0yW8MabGprQ/edit?usp=sharing"",""ร้อยเอ็ด!N210"")"),0)</f>
        <v>0</v>
      </c>
      <c r="AT42" s="82">
        <f t="shared" ca="1" si="91"/>
        <v>0</v>
      </c>
      <c r="AU42" s="81">
        <f ca="1">IFERROR(__xludf.DUMMYFUNCTION("IMPORTRANGE(""https://docs.google.com/spreadsheets/d/1BRgc8xKpxZ0PX-gauieMVkV_IOxKSotf0yW8MabGprQ/edit?usp=sharing"",""ร้อยเอ็ด!L211"")"),0)</f>
        <v>0</v>
      </c>
      <c r="AV42" s="81">
        <f ca="1">IFERROR(__xludf.DUMMYFUNCTION("IMPORTRANGE(""https://docs.google.com/spreadsheets/d/1BRgc8xKpxZ0PX-gauieMVkV_IOxKSotf0yW8MabGprQ/edit?usp=sharing"",""ร้อยเอ็ด!N211"")"),0)</f>
        <v>0</v>
      </c>
      <c r="AW42" s="82">
        <f t="shared" ca="1" si="92"/>
        <v>0</v>
      </c>
      <c r="AX42" s="81">
        <f ca="1">IFERROR(__xludf.DUMMYFUNCTION("IMPORTRANGE(""https://docs.google.com/spreadsheets/d/1BRgc8xKpxZ0PX-gauieMVkV_IOxKSotf0yW8MabGprQ/edit?usp=sharing"",""ร้อยเอ็ด!L212"")"),0)</f>
        <v>0</v>
      </c>
      <c r="AY42" s="81">
        <f ca="1">IFERROR(__xludf.DUMMYFUNCTION("IMPORTRANGE(""https://docs.google.com/spreadsheets/d/1BRgc8xKpxZ0PX-gauieMVkV_IOxKSotf0yW8MabGprQ/edit?usp=sharing"",""ร้อยเอ็ด!N212"")"),0)</f>
        <v>0</v>
      </c>
      <c r="AZ42" s="82">
        <f t="shared" ca="1" si="93"/>
        <v>0</v>
      </c>
      <c r="BA42" s="81">
        <f ca="1">IFERROR(__xludf.DUMMYFUNCTION("IMPORTRANGE(""https://docs.google.com/spreadsheets/d/1BRgc8xKpxZ0PX-gauieMVkV_IOxKSotf0yW8MabGprQ/edit?usp=sharing"",""ร้อยเอ็ด!I214"")"),0)</f>
        <v>0</v>
      </c>
      <c r="BB42" s="81">
        <f ca="1">IFERROR(__xludf.DUMMYFUNCTION("IMPORTRANGE(""https://docs.google.com/spreadsheets/d/1BRgc8xKpxZ0PX-gauieMVkV_IOxKSotf0yW8MabGprQ/edit?usp=sharing"",""ร้อยเอ็ด!J214"")"),0)</f>
        <v>0</v>
      </c>
      <c r="BC42" s="82">
        <f t="shared" ca="1" si="94"/>
        <v>0</v>
      </c>
      <c r="BD42" s="81">
        <f ca="1">IFERROR(__xludf.DUMMYFUNCTION("IMPORTRANGE(""https://docs.google.com/spreadsheets/d/1BRgc8xKpxZ0PX-gauieMVkV_IOxKSotf0yW8MabGprQ/edit?usp=sharing"",""ร้อยเอ็ด!I215"")"),0)</f>
        <v>0</v>
      </c>
      <c r="BE42" s="81">
        <f ca="1">IFERROR(__xludf.DUMMYFUNCTION("IMPORTRANGE(""https://docs.google.com/spreadsheets/d/1BRgc8xKpxZ0PX-gauieMVkV_IOxKSotf0yW8MabGprQ/edit?usp=sharing"",""ร้อยเอ็ด!J215"")"),0)</f>
        <v>0</v>
      </c>
      <c r="BF42" s="82">
        <f t="shared" ca="1" si="95"/>
        <v>0</v>
      </c>
      <c r="BG42" s="81">
        <f ca="1">IFERROR(__xludf.DUMMYFUNCTION("IMPORTRANGE(""https://docs.google.com/spreadsheets/d/1BRgc8xKpxZ0PX-gauieMVkV_IOxKSotf0yW8MabGprQ/edit?usp=sharing"",""ร้อยเอ็ด!L218"")"),5000)</f>
        <v>5000</v>
      </c>
      <c r="BH42" s="81">
        <f ca="1">IFERROR(__xludf.DUMMYFUNCTION("IMPORTRANGE(""https://docs.google.com/spreadsheets/d/1BRgc8xKpxZ0PX-gauieMVkV_IOxKSotf0yW8MabGprQ/edit?usp=sharing"",""ร้อยเอ็ด!N218"")"),5000)</f>
        <v>5000</v>
      </c>
      <c r="BI42" s="82">
        <f t="shared" ca="1" si="96"/>
        <v>100</v>
      </c>
      <c r="BJ42" s="81">
        <f ca="1">IFERROR(__xludf.DUMMYFUNCTION("IMPORTRANGE(""https://docs.google.com/spreadsheets/d/1BRgc8xKpxZ0PX-gauieMVkV_IOxKSotf0yW8MabGprQ/edit?usp=sharing"",""ร้อยเอ็ด!L219"")"),17600)</f>
        <v>17600</v>
      </c>
      <c r="BK42" s="81">
        <f ca="1">IFERROR(__xludf.DUMMYFUNCTION("IMPORTRANGE(""https://docs.google.com/spreadsheets/d/1BRgc8xKpxZ0PX-gauieMVkV_IOxKSotf0yW8MabGprQ/edit?usp=sharing"",""ร้อยเอ็ด!N219"")"),15282)</f>
        <v>15282</v>
      </c>
      <c r="BL42" s="82">
        <f t="shared" ca="1" si="97"/>
        <v>86.829545454545453</v>
      </c>
      <c r="BM42" s="81">
        <f ca="1">IFERROR(__xludf.DUMMYFUNCTION("IMPORTRANGE(""https://docs.google.com/spreadsheets/d/1BRgc8xKpxZ0PX-gauieMVkV_IOxKSotf0yW8MabGprQ/edit?usp=sharing"",""ร้อยเอ็ด!L220"")"),0)</f>
        <v>0</v>
      </c>
      <c r="BN42" s="81">
        <f ca="1">IFERROR(__xludf.DUMMYFUNCTION("IMPORTRANGE(""https://docs.google.com/spreadsheets/d/1BRgc8xKpxZ0PX-gauieMVkV_IOxKSotf0yW8MabGprQ/edit?usp=sharing"",""ร้อยเอ็ด!N220"")"),0)</f>
        <v>0</v>
      </c>
      <c r="BO42" s="82">
        <f t="shared" ca="1" si="98"/>
        <v>0</v>
      </c>
      <c r="BP42" s="81">
        <f ca="1">IFERROR(__xludf.DUMMYFUNCTION("IMPORTRANGE(""https://docs.google.com/spreadsheets/d/1BRgc8xKpxZ0PX-gauieMVkV_IOxKSotf0yW8MabGprQ/edit?usp=sharing"",""ร้อยเอ็ด!I223"")"),64000)</f>
        <v>64000</v>
      </c>
      <c r="BQ42" s="81">
        <f ca="1">IFERROR(__xludf.DUMMYFUNCTION("IMPORTRANGE(""https://docs.google.com/spreadsheets/d/1BRgc8xKpxZ0PX-gauieMVkV_IOxKSotf0yW8MabGprQ/edit?usp=sharing"",""ร้อยเอ็ด!J223"")"),64000)</f>
        <v>64000</v>
      </c>
      <c r="BR42" s="82">
        <f t="shared" ca="1" si="99"/>
        <v>100</v>
      </c>
      <c r="BS42" s="81">
        <f ca="1">IFERROR(__xludf.DUMMYFUNCTION("IMPORTRANGE(""https://docs.google.com/spreadsheets/d/1BRgc8xKpxZ0PX-gauieMVkV_IOxKSotf0yW8MabGprQ/edit?usp=sharing"",""ร้อยเอ็ด!I224"")"),64000)</f>
        <v>64000</v>
      </c>
      <c r="BT42" s="81">
        <f ca="1">IFERROR(__xludf.DUMMYFUNCTION("IMPORTRANGE(""https://docs.google.com/spreadsheets/d/1BRgc8xKpxZ0PX-gauieMVkV_IOxKSotf0yW8MabGprQ/edit?usp=sharing"",""ร้อยเอ็ด!J224"")"),64000)</f>
        <v>64000</v>
      </c>
      <c r="BU42" s="82">
        <f t="shared" ca="1" si="100"/>
        <v>100</v>
      </c>
      <c r="BV42" s="81">
        <f ca="1">IFERROR(__xludf.DUMMYFUNCTION("IMPORTRANGE(""https://docs.google.com/spreadsheets/d/1BRgc8xKpxZ0PX-gauieMVkV_IOxKSotf0yW8MabGprQ/edit?usp=sharing"",""ร้อยเอ็ด!I225"")"),0)</f>
        <v>0</v>
      </c>
      <c r="BW42" s="81">
        <f ca="1">IFERROR(__xludf.DUMMYFUNCTION("IMPORTRANGE(""https://docs.google.com/spreadsheets/d/1BRgc8xKpxZ0PX-gauieMVkV_IOxKSotf0yW8MabGprQ/edit?usp=sharing"",""ร้อยเอ็ด!J225"")"),0)</f>
        <v>0</v>
      </c>
      <c r="BX42" s="82">
        <f t="shared" ca="1" si="101"/>
        <v>0</v>
      </c>
      <c r="BY42" s="81">
        <f ca="1">IFERROR(__xludf.DUMMYFUNCTION("IMPORTRANGE(""https://docs.google.com/spreadsheets/d/1BRgc8xKpxZ0PX-gauieMVkV_IOxKSotf0yW8MabGprQ/edit?usp=sharing"",""ร้อยเอ็ด!L228"")"),0)</f>
        <v>0</v>
      </c>
      <c r="BZ42" s="81">
        <f ca="1">IFERROR(__xludf.DUMMYFUNCTION("IMPORTRANGE(""https://docs.google.com/spreadsheets/d/1BRgc8xKpxZ0PX-gauieMVkV_IOxKSotf0yW8MabGprQ/edit?usp=sharing"",""ร้อยเอ็ด!N228"")"),0)</f>
        <v>0</v>
      </c>
      <c r="CA42" s="82">
        <f t="shared" ca="1" si="102"/>
        <v>0</v>
      </c>
      <c r="CB42" s="81">
        <f ca="1">IFERROR(__xludf.DUMMYFUNCTION("IMPORTRANGE(""https://docs.google.com/spreadsheets/d/1BRgc8xKpxZ0PX-gauieMVkV_IOxKSotf0yW8MabGprQ/edit?usp=sharing"",""ร้อยเอ็ด!L229"")"),0)</f>
        <v>0</v>
      </c>
      <c r="CC42" s="81">
        <f ca="1">IFERROR(__xludf.DUMMYFUNCTION("IMPORTRANGE(""https://docs.google.com/spreadsheets/d/1BRgc8xKpxZ0PX-gauieMVkV_IOxKSotf0yW8MabGprQ/edit?usp=sharing"",""ร้อยเอ็ด!N229"")"),0)</f>
        <v>0</v>
      </c>
      <c r="CD42" s="82">
        <f t="shared" ca="1" si="103"/>
        <v>0</v>
      </c>
      <c r="CE42" s="81">
        <f ca="1">IFERROR(__xludf.DUMMYFUNCTION("IMPORTRANGE(""https://docs.google.com/spreadsheets/d/1BRgc8xKpxZ0PX-gauieMVkV_IOxKSotf0yW8MabGprQ/edit?usp=sharing"",""ร้อยเอ็ด!L230"")"),0)</f>
        <v>0</v>
      </c>
      <c r="CF42" s="81">
        <f ca="1">IFERROR(__xludf.DUMMYFUNCTION("IMPORTRANGE(""https://docs.google.com/spreadsheets/d/1BRgc8xKpxZ0PX-gauieMVkV_IOxKSotf0yW8MabGprQ/edit?usp=sharing"",""ร้อยเอ็ด!N230"")"),0)</f>
        <v>0</v>
      </c>
      <c r="CG42" s="82">
        <f t="shared" ca="1" si="104"/>
        <v>0</v>
      </c>
      <c r="CH42" s="81">
        <f ca="1">IFERROR(__xludf.DUMMYFUNCTION("IMPORTRANGE(""https://docs.google.com/spreadsheets/d/1BRgc8xKpxZ0PX-gauieMVkV_IOxKSotf0yW8MabGprQ/edit?usp=sharing"",""ร้อยเอ็ด!L231"")"),0)</f>
        <v>0</v>
      </c>
      <c r="CI42" s="81">
        <f ca="1">IFERROR(__xludf.DUMMYFUNCTION("IMPORTRANGE(""https://docs.google.com/spreadsheets/d/1BRgc8xKpxZ0PX-gauieMVkV_IOxKSotf0yW8MabGprQ/edit?usp=sharing"",""ร้อยเอ็ด!N231"")"),0)</f>
        <v>0</v>
      </c>
      <c r="CJ42" s="82">
        <f t="shared" ca="1" si="105"/>
        <v>0</v>
      </c>
      <c r="CK42" s="81">
        <f ca="1">IFERROR(__xludf.DUMMYFUNCTION("IMPORTRANGE(""https://docs.google.com/spreadsheets/d/1BRgc8xKpxZ0PX-gauieMVkV_IOxKSotf0yW8MabGprQ/edit?usp=sharing"",""ร้อยเอ็ด!I233"")"),0)</f>
        <v>0</v>
      </c>
      <c r="CL42" s="81">
        <f ca="1">IFERROR(__xludf.DUMMYFUNCTION("IMPORTRANGE(""https://docs.google.com/spreadsheets/d/1BRgc8xKpxZ0PX-gauieMVkV_IOxKSotf0yW8MabGprQ/edit?usp=sharing"",""ร้อยเอ็ด!J233"")"),0)</f>
        <v>0</v>
      </c>
      <c r="CM42" s="82">
        <f t="shared" ca="1" si="106"/>
        <v>0</v>
      </c>
      <c r="CN42" s="81">
        <f ca="1">IFERROR(__xludf.DUMMYFUNCTION("IMPORTRANGE(""https://docs.google.com/spreadsheets/d/1BRgc8xKpxZ0PX-gauieMVkV_IOxKSotf0yW8MabGprQ/edit?usp=sharing"",""ร้อยเอ็ด!J235"")"),0)</f>
        <v>0</v>
      </c>
      <c r="CO42" s="81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3">
        <v>12</v>
      </c>
      <c r="B43" s="74" t="s">
        <v>65</v>
      </c>
      <c r="C43" s="75">
        <f t="shared" ca="1" si="0"/>
        <v>116200</v>
      </c>
      <c r="D43" s="76">
        <f t="shared" ca="1" si="160"/>
        <v>116200</v>
      </c>
      <c r="E43" s="77">
        <f ca="1">IFERROR(__xludf.DUMMYFUNCTION("IMPORTRANGE(""https://docs.google.com/spreadsheets/d/1MeEWN-I1oV_STSDYn1IFDPWt_1FKiwhDph83XaGc0o0/edit?usp=sharing"",""งบพรบ!CP43"")"),0)</f>
        <v>0</v>
      </c>
      <c r="F43" s="77">
        <f ca="1">IFERROR(__xludf.DUMMYFUNCTION("IMPORTRANGE(""https://docs.google.com/spreadsheets/d/1MeEWN-I1oV_STSDYn1IFDPWt_1FKiwhDph83XaGc0o0/edit?usp=sharing"",""งบพรบ!CQ43"")"),116200)</f>
        <v>116200</v>
      </c>
      <c r="G43" s="77">
        <f ca="1">IFERROR(__xludf.DUMMYFUNCTION("IMPORTRANGE(""https://docs.google.com/spreadsheets/d/1MeEWN-I1oV_STSDYn1IFDPWt_1FKiwhDph83XaGc0o0/edit?usp=sharing"",""งบพรบ!CR43"")"),0)</f>
        <v>0</v>
      </c>
      <c r="H43" s="77">
        <f ca="1">IFERROR(__xludf.DUMMYFUNCTION("IMPORTRANGE(""https://docs.google.com/spreadsheets/d/1MeEWN-I1oV_STSDYn1IFDPWt_1FKiwhDph83XaGc0o0/edit?usp=sharing"",""งบพรบ!CT43"")"),131640)</f>
        <v>131640</v>
      </c>
      <c r="I43" s="77">
        <f ca="1">IFERROR(__xludf.DUMMYFUNCTION("IMPORTRANGE(""https://docs.google.com/spreadsheets/d/1MeEWN-I1oV_STSDYn1IFDPWt_1FKiwhDph83XaGc0o0/edit?usp=sharing"",""งบพรบ!CU43"")"),0)</f>
        <v>0</v>
      </c>
      <c r="J43" s="77">
        <f t="shared" ca="1" si="3"/>
        <v>139921</v>
      </c>
      <c r="K43" s="78">
        <f t="shared" ca="1" si="4"/>
        <v>120.41394148020655</v>
      </c>
      <c r="L43" s="77">
        <f ca="1">IFERROR(__xludf.DUMMYFUNCTION("IMPORTRANGE(""https://docs.google.com/spreadsheets/d/1MeEWN-I1oV_STSDYn1IFDPWt_1FKiwhDph83XaGc0o0/edit?usp=sharing"",""งบพรบ!CV43"")"),139921)</f>
        <v>139921</v>
      </c>
      <c r="M43" s="79">
        <f t="shared" ca="1" si="5"/>
        <v>120.41394148020655</v>
      </c>
      <c r="N43" s="79">
        <f t="shared" ca="1" si="6"/>
        <v>106.29064114250987</v>
      </c>
      <c r="O43" s="80">
        <f ca="1">IFERROR(__xludf.DUMMYFUNCTION("IMPORTRANGE(""https://docs.google.com/spreadsheets/d/1MeEWN-I1oV_STSDYn1IFDPWt_1FKiwhDph83XaGc0o0/edit?usp=sharing"",""งบพรบ!CW43"")"),0)</f>
        <v>0</v>
      </c>
      <c r="P43" s="80">
        <f t="shared" ca="1" si="10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IFERROR(__xludf.DUMMYFUNCTION("IMPORTRANGE(""https://docs.google.com/spreadsheets/d/1IdolZc-dfdgMwAm_KZxYJl1sUOcIgnbGQzbWOlddedo/edit?usp=sharing"",""เลย!L191"")"),6000)</f>
        <v>6000</v>
      </c>
      <c r="S43" s="81">
        <f ca="1">IFERROR(__xludf.DUMMYFUNCTION("IMPORTRANGE(""https://docs.google.com/spreadsheets/d/1IdolZc-dfdgMwAm_KZxYJl1sUOcIgnbGQzbWOlddedo/edit?usp=sharing"",""เลย!N191"")"),500)</f>
        <v>500</v>
      </c>
      <c r="T43" s="82">
        <f t="shared" ca="1" si="84"/>
        <v>8.3333333333333339</v>
      </c>
      <c r="U43" s="81">
        <f ca="1">IFERROR(__xludf.DUMMYFUNCTION("IMPORTRANGE(""https://docs.google.com/spreadsheets/d/1IdolZc-dfdgMwAm_KZxYJl1sUOcIgnbGQzbWOlddedo/edit?usp=sharing"",""เลย!I193"")"),4)</f>
        <v>4</v>
      </c>
      <c r="V43" s="81">
        <f ca="1">IFERROR(__xludf.DUMMYFUNCTION("IMPORTRANGE(""https://docs.google.com/spreadsheets/d/1IdolZc-dfdgMwAm_KZxYJl1sUOcIgnbGQzbWOlddedo/edit?usp=sharing"",""เลย!J193"")"),3)</f>
        <v>3</v>
      </c>
      <c r="W43" s="82">
        <f t="shared" ca="1" si="85"/>
        <v>75</v>
      </c>
      <c r="X43" s="81">
        <f t="shared" ca="1" si="161"/>
        <v>68</v>
      </c>
      <c r="Y43" s="81">
        <f ca="1">IFERROR(__xludf.DUMMYFUNCTION("IMPORTRANGE(""https://docs.google.com/spreadsheets/d/1IdolZc-dfdgMwAm_KZxYJl1sUOcIgnbGQzbWOlddedo/edit?usp=sharing"",""เลย!J195"")"),68)</f>
        <v>68</v>
      </c>
      <c r="Z43" s="81">
        <f ca="1">IFERROR(__xludf.DUMMYFUNCTION("IMPORTRANGE(""https://docs.google.com/spreadsheets/d/1IdolZc-dfdgMwAm_KZxYJl1sUOcIgnbGQzbWOlddedo/edit?usp=sharing"",""เลย!J196"")"),0)</f>
        <v>0</v>
      </c>
      <c r="AA43" s="81">
        <f ca="1">IFERROR(__xludf.DUMMYFUNCTION("IMPORTRANGE(""https://docs.google.com/spreadsheets/d/1IdolZc-dfdgMwAm_KZxYJl1sUOcIgnbGQzbWOlddedo/edit?usp=sharing"",""เลย!L199"")"),2000)</f>
        <v>2000</v>
      </c>
      <c r="AB43" s="81">
        <f ca="1">IFERROR(__xludf.DUMMYFUNCTION("IMPORTRANGE(""https://docs.google.com/spreadsheets/d/1IdolZc-dfdgMwAm_KZxYJl1sUOcIgnbGQzbWOlddedo/edit?usp=sharing"",""เลย!N199"")"),2000)</f>
        <v>2000</v>
      </c>
      <c r="AC43" s="82">
        <f t="shared" ca="1" si="86"/>
        <v>100</v>
      </c>
      <c r="AD43" s="81">
        <f ca="1">IFERROR(__xludf.DUMMYFUNCTION("IMPORTRANGE(""https://docs.google.com/spreadsheets/d/1IdolZc-dfdgMwAm_KZxYJl1sUOcIgnbGQzbWOlddedo/edit?usp=sharing"",""เลย!L200"")"),16000)</f>
        <v>16000</v>
      </c>
      <c r="AE43" s="81">
        <f ca="1">IFERROR(__xludf.DUMMYFUNCTION("IMPORTRANGE(""https://docs.google.com/spreadsheets/d/1IdolZc-dfdgMwAm_KZxYJl1sUOcIgnbGQzbWOlddedo/edit?usp=sharing"",""เลย!N200"")"),16000)</f>
        <v>16000</v>
      </c>
      <c r="AF43" s="82">
        <f t="shared" ca="1" si="87"/>
        <v>100</v>
      </c>
      <c r="AG43" s="81">
        <f ca="1">IFERROR(__xludf.DUMMYFUNCTION("IMPORTRANGE(""https://docs.google.com/spreadsheets/d/1IdolZc-dfdgMwAm_KZxYJl1sUOcIgnbGQzbWOlddedo/edit?usp=sharing"",""เลย!L201"")"),8000)</f>
        <v>8000</v>
      </c>
      <c r="AH43" s="81">
        <f ca="1">IFERROR(__xludf.DUMMYFUNCTION("IMPORTRANGE(""https://docs.google.com/spreadsheets/d/1IdolZc-dfdgMwAm_KZxYJl1sUOcIgnbGQzbWOlddedo/edit?usp=sharing"",""เลย!N201"")"),8000)</f>
        <v>8000</v>
      </c>
      <c r="AI43" s="82">
        <f t="shared" ca="1" si="88"/>
        <v>100</v>
      </c>
      <c r="AJ43" s="81">
        <f ca="1">IFERROR(__xludf.DUMMYFUNCTION("IMPORTRANGE(""https://docs.google.com/spreadsheets/d/1IdolZc-dfdgMwAm_KZxYJl1sUOcIgnbGQzbWOlddedo/edit?usp=sharing"",""เลย!L202"")"),5000)</f>
        <v>5000</v>
      </c>
      <c r="AK43" s="81">
        <f ca="1">IFERROR(__xludf.DUMMYFUNCTION("IMPORTRANGE(""https://docs.google.com/spreadsheets/d/1IdolZc-dfdgMwAm_KZxYJl1sUOcIgnbGQzbWOlddedo/edit?usp=sharing"",""เลย!N202"")"),5000)</f>
        <v>5000</v>
      </c>
      <c r="AL43" s="82">
        <f t="shared" ca="1" si="89"/>
        <v>100</v>
      </c>
      <c r="AM43" s="81">
        <f ca="1">IFERROR(__xludf.DUMMYFUNCTION("IMPORTRANGE(""https://docs.google.com/spreadsheets/d/1IdolZc-dfdgMwAm_KZxYJl1sUOcIgnbGQzbWOlddedo/edit?usp=sharing"",""เลย!I204"")"),2)</f>
        <v>2</v>
      </c>
      <c r="AN43" s="81">
        <f ca="1">IFERROR(__xludf.DUMMYFUNCTION("IMPORTRANGE(""https://docs.google.com/spreadsheets/d/1IdolZc-dfdgMwAm_KZxYJl1sUOcIgnbGQzbWOlddedo/edit?usp=sharing"",""เลย!J204"")"),2)</f>
        <v>2</v>
      </c>
      <c r="AO43" s="82">
        <f t="shared" ca="1" si="90"/>
        <v>100</v>
      </c>
      <c r="AP43" s="297">
        <f ca="1">IFERROR(__xludf.DUMMYFUNCTION("IMPORTRANGE(""https://docs.google.com/spreadsheets/d/1IdolZc-dfdgMwAm_KZxYJl1sUOcIgnbGQzbWOlddedo/edit?usp=sharing"",""เลย!J206"")"),2)</f>
        <v>2</v>
      </c>
      <c r="AQ43" s="297">
        <f ca="1">IFERROR(__xludf.DUMMYFUNCTION("IMPORTRANGE(""https://docs.google.com/spreadsheets/d/1IdolZc-dfdgMwAm_KZxYJl1sUOcIgnbGQzbWOlddedo/edit?usp=sharing"",""เลย!J207"")"),1)</f>
        <v>1</v>
      </c>
      <c r="AR43" s="81">
        <f ca="1">IFERROR(__xludf.DUMMYFUNCTION("IMPORTRANGE(""https://docs.google.com/spreadsheets/d/1IdolZc-dfdgMwAm_KZxYJl1sUOcIgnbGQzbWOlddedo/edit?usp=sharing"",""เลย!L210"")"),2000)</f>
        <v>2000</v>
      </c>
      <c r="AS43" s="81">
        <f ca="1">IFERROR(__xludf.DUMMYFUNCTION("IMPORTRANGE(""https://docs.google.com/spreadsheets/d/1IdolZc-dfdgMwAm_KZxYJl1sUOcIgnbGQzbWOlddedo/edit?usp=sharing"",""เลย!N210"")"),1460)</f>
        <v>1460</v>
      </c>
      <c r="AT43" s="82">
        <f t="shared" ca="1" si="91"/>
        <v>73</v>
      </c>
      <c r="AU43" s="81">
        <f ca="1">IFERROR(__xludf.DUMMYFUNCTION("IMPORTRANGE(""https://docs.google.com/spreadsheets/d/1IdolZc-dfdgMwAm_KZxYJl1sUOcIgnbGQzbWOlddedo/edit?usp=sharing"",""เลย!L211"")"),10000)</f>
        <v>10000</v>
      </c>
      <c r="AV43" s="81">
        <f ca="1">IFERROR(__xludf.DUMMYFUNCTION("IMPORTRANGE(""https://docs.google.com/spreadsheets/d/1IdolZc-dfdgMwAm_KZxYJl1sUOcIgnbGQzbWOlddedo/edit?usp=sharing"",""เลย!N211"")"),10000)</f>
        <v>10000</v>
      </c>
      <c r="AW43" s="82">
        <f t="shared" ca="1" si="92"/>
        <v>100</v>
      </c>
      <c r="AX43" s="81">
        <f ca="1">IFERROR(__xludf.DUMMYFUNCTION("IMPORTRANGE(""https://docs.google.com/spreadsheets/d/1IdolZc-dfdgMwAm_KZxYJl1sUOcIgnbGQzbWOlddedo/edit?usp=sharing"",""เลย!L212"")"),16000)</f>
        <v>16000</v>
      </c>
      <c r="AY43" s="81">
        <f ca="1">IFERROR(__xludf.DUMMYFUNCTION("IMPORTRANGE(""https://docs.google.com/spreadsheets/d/1IdolZc-dfdgMwAm_KZxYJl1sUOcIgnbGQzbWOlddedo/edit?usp=sharing"",""เลย!N212"")"),16000)</f>
        <v>16000</v>
      </c>
      <c r="AZ43" s="82">
        <f t="shared" ca="1" si="93"/>
        <v>100</v>
      </c>
      <c r="BA43" s="81">
        <f ca="1">IFERROR(__xludf.DUMMYFUNCTION("IMPORTRANGE(""https://docs.google.com/spreadsheets/d/1IdolZc-dfdgMwAm_KZxYJl1sUOcIgnbGQzbWOlddedo/edit?usp=sharing"",""เลย!I214"")"),2)</f>
        <v>2</v>
      </c>
      <c r="BB43" s="81">
        <f ca="1">IFERROR(__xludf.DUMMYFUNCTION("IMPORTRANGE(""https://docs.google.com/spreadsheets/d/1IdolZc-dfdgMwAm_KZxYJl1sUOcIgnbGQzbWOlddedo/edit?usp=sharing"",""เลย!J214"")"),2)</f>
        <v>2</v>
      </c>
      <c r="BC43" s="82">
        <f t="shared" ca="1" si="94"/>
        <v>100</v>
      </c>
      <c r="BD43" s="81">
        <f ca="1">IFERROR(__xludf.DUMMYFUNCTION("IMPORTRANGE(""https://docs.google.com/spreadsheets/d/1IdolZc-dfdgMwAm_KZxYJl1sUOcIgnbGQzbWOlddedo/edit?usp=sharing"",""เลย!I215"")"),2)</f>
        <v>2</v>
      </c>
      <c r="BE43" s="81">
        <f ca="1">IFERROR(__xludf.DUMMYFUNCTION("IMPORTRANGE(""https://docs.google.com/spreadsheets/d/1IdolZc-dfdgMwAm_KZxYJl1sUOcIgnbGQzbWOlddedo/edit?usp=sharing"",""เลย!J215"")"),2)</f>
        <v>2</v>
      </c>
      <c r="BF43" s="82">
        <f t="shared" ca="1" si="95"/>
        <v>100</v>
      </c>
      <c r="BG43" s="81">
        <f ca="1">IFERROR(__xludf.DUMMYFUNCTION("IMPORTRANGE(""https://docs.google.com/spreadsheets/d/1IdolZc-dfdgMwAm_KZxYJl1sUOcIgnbGQzbWOlddedo/edit?usp=sharing"",""เลย!L218"")"),8000)</f>
        <v>8000</v>
      </c>
      <c r="BH43" s="81">
        <f ca="1">IFERROR(__xludf.DUMMYFUNCTION("IMPORTRANGE(""https://docs.google.com/spreadsheets/d/1IdolZc-dfdgMwAm_KZxYJl1sUOcIgnbGQzbWOlddedo/edit?usp=sharing"",""เลย!N218"")"),0)</f>
        <v>0</v>
      </c>
      <c r="BI43" s="82">
        <f t="shared" ca="1" si="96"/>
        <v>0</v>
      </c>
      <c r="BJ43" s="81">
        <f ca="1">IFERROR(__xludf.DUMMYFUNCTION("IMPORTRANGE(""https://docs.google.com/spreadsheets/d/1IdolZc-dfdgMwAm_KZxYJl1sUOcIgnbGQzbWOlddedo/edit?usp=sharing"",""เลย!L219"")"),33200)</f>
        <v>33200</v>
      </c>
      <c r="BK43" s="81">
        <f ca="1">IFERROR(__xludf.DUMMYFUNCTION("IMPORTRANGE(""https://docs.google.com/spreadsheets/d/1IdolZc-dfdgMwAm_KZxYJl1sUOcIgnbGQzbWOlddedo/edit?usp=sharing"",""เลย!N219"")"),33200)</f>
        <v>33200</v>
      </c>
      <c r="BL43" s="82">
        <f t="shared" ca="1" si="97"/>
        <v>100</v>
      </c>
      <c r="BM43" s="81">
        <f ca="1">IFERROR(__xludf.DUMMYFUNCTION("IMPORTRANGE(""https://docs.google.com/spreadsheets/d/1IdolZc-dfdgMwAm_KZxYJl1sUOcIgnbGQzbWOlddedo/edit?usp=sharing"",""เลย!L220"")"),10000)</f>
        <v>10000</v>
      </c>
      <c r="BN43" s="81">
        <f ca="1">IFERROR(__xludf.DUMMYFUNCTION("IMPORTRANGE(""https://docs.google.com/spreadsheets/d/1IdolZc-dfdgMwAm_KZxYJl1sUOcIgnbGQzbWOlddedo/edit?usp=sharing"",""เลย!N220"")"),10000)</f>
        <v>10000</v>
      </c>
      <c r="BO43" s="82">
        <f t="shared" ca="1" si="98"/>
        <v>100</v>
      </c>
      <c r="BP43" s="81">
        <f ca="1">IFERROR(__xludf.DUMMYFUNCTION("IMPORTRANGE(""https://docs.google.com/spreadsheets/d/1IdolZc-dfdgMwAm_KZxYJl1sUOcIgnbGQzbWOlddedo/edit?usp=sharing"",""เลย!I223"")"),128000)</f>
        <v>128000</v>
      </c>
      <c r="BQ43" s="81">
        <f ca="1">IFERROR(__xludf.DUMMYFUNCTION("IMPORTRANGE(""https://docs.google.com/spreadsheets/d/1IdolZc-dfdgMwAm_KZxYJl1sUOcIgnbGQzbWOlddedo/edit?usp=sharing"",""เลย!J223"")"),128000)</f>
        <v>128000</v>
      </c>
      <c r="BR43" s="82">
        <f t="shared" ca="1" si="99"/>
        <v>100</v>
      </c>
      <c r="BS43" s="81">
        <f ca="1">IFERROR(__xludf.DUMMYFUNCTION("IMPORTRANGE(""https://docs.google.com/spreadsheets/d/1IdolZc-dfdgMwAm_KZxYJl1sUOcIgnbGQzbWOlddedo/edit?usp=sharing"",""เลย!I224"")"),128000)</f>
        <v>128000</v>
      </c>
      <c r="BT43" s="81">
        <f ca="1">IFERROR(__xludf.DUMMYFUNCTION("IMPORTRANGE(""https://docs.google.com/spreadsheets/d/1IdolZc-dfdgMwAm_KZxYJl1sUOcIgnbGQzbWOlddedo/edit?usp=sharing"",""เลย!J224"")"),128000)</f>
        <v>128000</v>
      </c>
      <c r="BU43" s="82">
        <f t="shared" ca="1" si="100"/>
        <v>100</v>
      </c>
      <c r="BV43" s="81">
        <f ca="1">IFERROR(__xludf.DUMMYFUNCTION("IMPORTRANGE(""https://docs.google.com/spreadsheets/d/1IdolZc-dfdgMwAm_KZxYJl1sUOcIgnbGQzbWOlddedo/edit?usp=sharing"",""เลย!I225"")"),10)</f>
        <v>10</v>
      </c>
      <c r="BW43" s="81">
        <f ca="1">IFERROR(__xludf.DUMMYFUNCTION("IMPORTRANGE(""https://docs.google.com/spreadsheets/d/1IdolZc-dfdgMwAm_KZxYJl1sUOcIgnbGQzbWOlddedo/edit?usp=sharing"",""เลย!J225"")"),10)</f>
        <v>10</v>
      </c>
      <c r="BX43" s="82">
        <f t="shared" ca="1" si="101"/>
        <v>100</v>
      </c>
      <c r="BY43" s="81">
        <f ca="1">IFERROR(__xludf.DUMMYFUNCTION("IMPORTRANGE(""https://docs.google.com/spreadsheets/d/1IdolZc-dfdgMwAm_KZxYJl1sUOcIgnbGQzbWOlddedo/edit?usp=sharing"",""เลย!L228"")"),0)</f>
        <v>0</v>
      </c>
      <c r="BZ43" s="81">
        <f ca="1">IFERROR(__xludf.DUMMYFUNCTION("IMPORTRANGE(""https://docs.google.com/spreadsheets/d/1IdolZc-dfdgMwAm_KZxYJl1sUOcIgnbGQzbWOlddedo/edit?usp=sharing"",""เลย!N228"")"),0)</f>
        <v>0</v>
      </c>
      <c r="CA43" s="82">
        <f t="shared" ca="1" si="102"/>
        <v>0</v>
      </c>
      <c r="CB43" s="81">
        <f ca="1">IFERROR(__xludf.DUMMYFUNCTION("IMPORTRANGE(""https://docs.google.com/spreadsheets/d/1IdolZc-dfdgMwAm_KZxYJl1sUOcIgnbGQzbWOlddedo/edit?usp=sharing"",""เลย!L229"")"),0)</f>
        <v>0</v>
      </c>
      <c r="CC43" s="81">
        <f ca="1">IFERROR(__xludf.DUMMYFUNCTION("IMPORTRANGE(""https://docs.google.com/spreadsheets/d/1IdolZc-dfdgMwAm_KZxYJl1sUOcIgnbGQzbWOlddedo/edit?usp=sharing"",""เลย!N229"")"),0)</f>
        <v>0</v>
      </c>
      <c r="CD43" s="82">
        <f t="shared" ca="1" si="103"/>
        <v>0</v>
      </c>
      <c r="CE43" s="81">
        <f ca="1">IFERROR(__xludf.DUMMYFUNCTION("IMPORTRANGE(""https://docs.google.com/spreadsheets/d/1IdolZc-dfdgMwAm_KZxYJl1sUOcIgnbGQzbWOlddedo/edit?usp=sharing"",""เลย!L230"")"),0)</f>
        <v>0</v>
      </c>
      <c r="CF43" s="81">
        <f ca="1">IFERROR(__xludf.DUMMYFUNCTION("IMPORTRANGE(""https://docs.google.com/spreadsheets/d/1IdolZc-dfdgMwAm_KZxYJl1sUOcIgnbGQzbWOlddedo/edit?usp=sharing"",""เลย!N230"")"),0)</f>
        <v>0</v>
      </c>
      <c r="CG43" s="82">
        <f t="shared" ca="1" si="104"/>
        <v>0</v>
      </c>
      <c r="CH43" s="81">
        <f ca="1">IFERROR(__xludf.DUMMYFUNCTION("IMPORTRANGE(""https://docs.google.com/spreadsheets/d/1IdolZc-dfdgMwAm_KZxYJl1sUOcIgnbGQzbWOlddedo/edit?usp=sharing"",""เลย!L231"")"),0)</f>
        <v>0</v>
      </c>
      <c r="CI43" s="81">
        <f ca="1">IFERROR(__xludf.DUMMYFUNCTION("IMPORTRANGE(""https://docs.google.com/spreadsheets/d/1IdolZc-dfdgMwAm_KZxYJl1sUOcIgnbGQzbWOlddedo/edit?usp=sharing"",""เลย!N231"")"),0)</f>
        <v>0</v>
      </c>
      <c r="CJ43" s="82">
        <f t="shared" ca="1" si="105"/>
        <v>0</v>
      </c>
      <c r="CK43" s="81">
        <f ca="1">IFERROR(__xludf.DUMMYFUNCTION("IMPORTRANGE(""https://docs.google.com/spreadsheets/d/1IdolZc-dfdgMwAm_KZxYJl1sUOcIgnbGQzbWOlddedo/edit?usp=sharing"",""เลย!I233"")"),0)</f>
        <v>0</v>
      </c>
      <c r="CL43" s="81">
        <f ca="1">IFERROR(__xludf.DUMMYFUNCTION("IMPORTRANGE(""https://docs.google.com/spreadsheets/d/1IdolZc-dfdgMwAm_KZxYJl1sUOcIgnbGQzbWOlddedo/edit?usp=sharing"",""เลย!J233"")"),0)</f>
        <v>0</v>
      </c>
      <c r="CM43" s="82">
        <f t="shared" ca="1" si="106"/>
        <v>0</v>
      </c>
      <c r="CN43" s="81">
        <f ca="1">IFERROR(__xludf.DUMMYFUNCTION("IMPORTRANGE(""https://docs.google.com/spreadsheets/d/1IdolZc-dfdgMwAm_KZxYJl1sUOcIgnbGQzbWOlddedo/edit?usp=sharing"",""เลย!J235"")"),0)</f>
        <v>0</v>
      </c>
      <c r="CO43" s="81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3">
        <v>13</v>
      </c>
      <c r="B44" s="74" t="s">
        <v>66</v>
      </c>
      <c r="C44" s="75">
        <f t="shared" ca="1" si="0"/>
        <v>78500</v>
      </c>
      <c r="D44" s="76">
        <f t="shared" ca="1" si="160"/>
        <v>78500</v>
      </c>
      <c r="E44" s="77">
        <f ca="1">IFERROR(__xludf.DUMMYFUNCTION("IMPORTRANGE(""https://docs.google.com/spreadsheets/d/1MeEWN-I1oV_STSDYn1IFDPWt_1FKiwhDph83XaGc0o0/edit?usp=sharing"",""งบพรบ!CP44"")"),0)</f>
        <v>0</v>
      </c>
      <c r="F44" s="77">
        <f ca="1">IFERROR(__xludf.DUMMYFUNCTION("IMPORTRANGE(""https://docs.google.com/spreadsheets/d/1MeEWN-I1oV_STSDYn1IFDPWt_1FKiwhDph83XaGc0o0/edit?usp=sharing"",""งบพรบ!CQ44"")"),78500)</f>
        <v>78500</v>
      </c>
      <c r="G44" s="77">
        <f ca="1">IFERROR(__xludf.DUMMYFUNCTION("IMPORTRANGE(""https://docs.google.com/spreadsheets/d/1MeEWN-I1oV_STSDYn1IFDPWt_1FKiwhDph83XaGc0o0/edit?usp=sharing"",""งบพรบ!CR44"")"),0)</f>
        <v>0</v>
      </c>
      <c r="H44" s="77">
        <f ca="1">IFERROR(__xludf.DUMMYFUNCTION("IMPORTRANGE(""https://docs.google.com/spreadsheets/d/1MeEWN-I1oV_STSDYn1IFDPWt_1FKiwhDph83XaGc0o0/edit?usp=sharing"",""งบพรบ!CT44"")"),78500)</f>
        <v>78500</v>
      </c>
      <c r="I44" s="77">
        <f ca="1">IFERROR(__xludf.DUMMYFUNCTION("IMPORTRANGE(""https://docs.google.com/spreadsheets/d/1MeEWN-I1oV_STSDYn1IFDPWt_1FKiwhDph83XaGc0o0/edit?usp=sharing"",""งบพรบ!CU44"")"),0)</f>
        <v>0</v>
      </c>
      <c r="J44" s="77">
        <f t="shared" ca="1" si="3"/>
        <v>95200</v>
      </c>
      <c r="K44" s="78">
        <f t="shared" ca="1" si="4"/>
        <v>121.27388535031847</v>
      </c>
      <c r="L44" s="77">
        <f ca="1">IFERROR(__xludf.DUMMYFUNCTION("IMPORTRANGE(""https://docs.google.com/spreadsheets/d/1MeEWN-I1oV_STSDYn1IFDPWt_1FKiwhDph83XaGc0o0/edit?usp=sharing"",""งบพรบ!CV44"")"),95200)</f>
        <v>95200</v>
      </c>
      <c r="M44" s="79">
        <f t="shared" ca="1" si="5"/>
        <v>121.27388535031847</v>
      </c>
      <c r="N44" s="79">
        <f t="shared" ca="1" si="6"/>
        <v>121.27388535031847</v>
      </c>
      <c r="O44" s="80">
        <f ca="1">IFERROR(__xludf.DUMMYFUNCTION("IMPORTRANGE(""https://docs.google.com/spreadsheets/d/1MeEWN-I1oV_STSDYn1IFDPWt_1FKiwhDph83XaGc0o0/edit?usp=sharing"",""งบพรบ!CW44"")"),0)</f>
        <v>0</v>
      </c>
      <c r="P44" s="80">
        <f t="shared" ca="1" si="10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IFERROR(__xludf.DUMMYFUNCTION("IMPORTRANGE(""https://docs.google.com/spreadsheets/d/1tZ0nmtGuIRCaGAMXHlQU8EpR9LOAJvyKfc4f7EFmE34/edit?usp=sharing"",""ศรีสะเกษ!L191"")"),6000)</f>
        <v>6000</v>
      </c>
      <c r="S44" s="81">
        <f ca="1">IFERROR(__xludf.DUMMYFUNCTION("IMPORTRANGE(""https://docs.google.com/spreadsheets/d/1tZ0nmtGuIRCaGAMXHlQU8EpR9LOAJvyKfc4f7EFmE34/edit?usp=sharing"",""ศรีสะเกษ!N191"")"),6000)</f>
        <v>6000</v>
      </c>
      <c r="T44" s="82">
        <f t="shared" ca="1" si="84"/>
        <v>100</v>
      </c>
      <c r="U44" s="81">
        <f ca="1">IFERROR(__xludf.DUMMYFUNCTION("IMPORTRANGE(""https://docs.google.com/spreadsheets/d/1tZ0nmtGuIRCaGAMXHlQU8EpR9LOAJvyKfc4f7EFmE34/edit?usp=sharing"",""ศรีสะเกษ!I193"")"),4)</f>
        <v>4</v>
      </c>
      <c r="V44" s="81">
        <f ca="1">IFERROR(__xludf.DUMMYFUNCTION("IMPORTRANGE(""https://docs.google.com/spreadsheets/d/1tZ0nmtGuIRCaGAMXHlQU8EpR9LOAJvyKfc4f7EFmE34/edit?usp=sharing"",""ศรีสะเกษ!J193"")"),4)</f>
        <v>4</v>
      </c>
      <c r="W44" s="82">
        <f t="shared" ca="1" si="85"/>
        <v>100</v>
      </c>
      <c r="X44" s="81">
        <f t="shared" ca="1" si="161"/>
        <v>162</v>
      </c>
      <c r="Y44" s="81">
        <f ca="1">IFERROR(__xludf.DUMMYFUNCTION("IMPORTRANGE(""https://docs.google.com/spreadsheets/d/1tZ0nmtGuIRCaGAMXHlQU8EpR9LOAJvyKfc4f7EFmE34/edit?usp=sharing"",""ศรีสะเกษ!J195"")"),162)</f>
        <v>162</v>
      </c>
      <c r="Z44" s="81">
        <f ca="1">IFERROR(__xludf.DUMMYFUNCTION("IMPORTRANGE(""https://docs.google.com/spreadsheets/d/1tZ0nmtGuIRCaGAMXHlQU8EpR9LOAJvyKfc4f7EFmE34/edit?usp=sharing"",""ศรีสะเกษ!J196"")"),0)</f>
        <v>0</v>
      </c>
      <c r="AA44" s="81">
        <f ca="1">IFERROR(__xludf.DUMMYFUNCTION("IMPORTRANGE(""https://docs.google.com/spreadsheets/d/1tZ0nmtGuIRCaGAMXHlQU8EpR9LOAJvyKfc4f7EFmE34/edit?usp=sharing"",""ศรีสะเกษ!L199"")"),4000)</f>
        <v>4000</v>
      </c>
      <c r="AB44" s="81">
        <f ca="1">IFERROR(__xludf.DUMMYFUNCTION("IMPORTRANGE(""https://docs.google.com/spreadsheets/d/1tZ0nmtGuIRCaGAMXHlQU8EpR9LOAJvyKfc4f7EFmE34/edit?usp=sharing"",""ศรีสะเกษ!N199"")"),4000)</f>
        <v>4000</v>
      </c>
      <c r="AC44" s="82">
        <f t="shared" ca="1" si="86"/>
        <v>100</v>
      </c>
      <c r="AD44" s="81">
        <f ca="1">IFERROR(__xludf.DUMMYFUNCTION("IMPORTRANGE(""https://docs.google.com/spreadsheets/d/1tZ0nmtGuIRCaGAMXHlQU8EpR9LOAJvyKfc4f7EFmE34/edit?usp=sharing"",""ศรีสะเกษ!L200"")"),32000)</f>
        <v>32000</v>
      </c>
      <c r="AE44" s="81">
        <f ca="1">IFERROR(__xludf.DUMMYFUNCTION("IMPORTRANGE(""https://docs.google.com/spreadsheets/d/1tZ0nmtGuIRCaGAMXHlQU8EpR9LOAJvyKfc4f7EFmE34/edit?usp=sharing"",""ศรีสะเกษ!N200"")"),32000)</f>
        <v>32000</v>
      </c>
      <c r="AF44" s="82">
        <f t="shared" ca="1" si="87"/>
        <v>100</v>
      </c>
      <c r="AG44" s="81">
        <f ca="1">IFERROR(__xludf.DUMMYFUNCTION("IMPORTRANGE(""https://docs.google.com/spreadsheets/d/1tZ0nmtGuIRCaGAMXHlQU8EpR9LOAJvyKfc4f7EFmE34/edit?usp=sharing"",""ศรีสะเกษ!L201"")"),16000)</f>
        <v>16000</v>
      </c>
      <c r="AH44" s="81">
        <f ca="1">IFERROR(__xludf.DUMMYFUNCTION("IMPORTRANGE(""https://docs.google.com/spreadsheets/d/1tZ0nmtGuIRCaGAMXHlQU8EpR9LOAJvyKfc4f7EFmE34/edit?usp=sharing"",""ศรีสะเกษ!N201"")"),16000)</f>
        <v>16000</v>
      </c>
      <c r="AI44" s="82">
        <f t="shared" ca="1" si="88"/>
        <v>100</v>
      </c>
      <c r="AJ44" s="81">
        <f ca="1">IFERROR(__xludf.DUMMYFUNCTION("IMPORTRANGE(""https://docs.google.com/spreadsheets/d/1tZ0nmtGuIRCaGAMXHlQU8EpR9LOAJvyKfc4f7EFmE34/edit?usp=sharing"",""ศรีสะเกษ!L202"")"),0)</f>
        <v>0</v>
      </c>
      <c r="AK44" s="81">
        <f ca="1">IFERROR(__xludf.DUMMYFUNCTION("IMPORTRANGE(""https://docs.google.com/spreadsheets/d/1tZ0nmtGuIRCaGAMXHlQU8EpR9LOAJvyKfc4f7EFmE34/edit?usp=sharing"",""ศรีสะเกษ!N202"")"),0)</f>
        <v>0</v>
      </c>
      <c r="AL44" s="82">
        <f t="shared" ca="1" si="89"/>
        <v>0</v>
      </c>
      <c r="AM44" s="81">
        <f ca="1">IFERROR(__xludf.DUMMYFUNCTION("IMPORTRANGE(""https://docs.google.com/spreadsheets/d/1tZ0nmtGuIRCaGAMXHlQU8EpR9LOAJvyKfc4f7EFmE34/edit?usp=sharing"",""ศรีสะเกษ!I204"")"),4)</f>
        <v>4</v>
      </c>
      <c r="AN44" s="81">
        <f ca="1">IFERROR(__xludf.DUMMYFUNCTION("IMPORTRANGE(""https://docs.google.com/spreadsheets/d/1tZ0nmtGuIRCaGAMXHlQU8EpR9LOAJvyKfc4f7EFmE34/edit?usp=sharing"",""ศรีสะเกษ!J204"")"),4)</f>
        <v>4</v>
      </c>
      <c r="AO44" s="82">
        <f t="shared" ca="1" si="90"/>
        <v>100</v>
      </c>
      <c r="AP44" s="297">
        <f ca="1">IFERROR(__xludf.DUMMYFUNCTION("IMPORTRANGE(""https://docs.google.com/spreadsheets/d/1tZ0nmtGuIRCaGAMXHlQU8EpR9LOAJvyKfc4f7EFmE34/edit?usp=sharing"",""ศรีสะเกษ!J206"")"),4)</f>
        <v>4</v>
      </c>
      <c r="AQ44" s="297">
        <f ca="1">IFERROR(__xludf.DUMMYFUNCTION("IMPORTRANGE(""https://docs.google.com/spreadsheets/d/1tZ0nmtGuIRCaGAMXHlQU8EpR9LOAJvyKfc4f7EFmE34/edit?usp=sharing"",""ศรีสะเกษ!J207"")"),0)</f>
        <v>0</v>
      </c>
      <c r="AR44" s="81">
        <f ca="1">IFERROR(__xludf.DUMMYFUNCTION("IMPORTRANGE(""https://docs.google.com/spreadsheets/d/1tZ0nmtGuIRCaGAMXHlQU8EpR9LOAJvyKfc4f7EFmE34/edit?usp=sharing"",""ศรีสะเกษ!L210"")"),1000)</f>
        <v>1000</v>
      </c>
      <c r="AS44" s="81">
        <f ca="1">IFERROR(__xludf.DUMMYFUNCTION("IMPORTRANGE(""https://docs.google.com/spreadsheets/d/1tZ0nmtGuIRCaGAMXHlQU8EpR9LOAJvyKfc4f7EFmE34/edit?usp=sharing"",""ศรีสะเกษ!N210"")"),798)</f>
        <v>798</v>
      </c>
      <c r="AT44" s="82">
        <f t="shared" ca="1" si="91"/>
        <v>79.8</v>
      </c>
      <c r="AU44" s="81">
        <f ca="1">IFERROR(__xludf.DUMMYFUNCTION("IMPORTRANGE(""https://docs.google.com/spreadsheets/d/1tZ0nmtGuIRCaGAMXHlQU8EpR9LOAJvyKfc4f7EFmE34/edit?usp=sharing"",""ศรีสะเกษ!L211"")"),5000)</f>
        <v>5000</v>
      </c>
      <c r="AV44" s="81">
        <f ca="1">IFERROR(__xludf.DUMMYFUNCTION("IMPORTRANGE(""https://docs.google.com/spreadsheets/d/1tZ0nmtGuIRCaGAMXHlQU8EpR9LOAJvyKfc4f7EFmE34/edit?usp=sharing"",""ศรีสะเกษ!N211"")"),5000)</f>
        <v>5000</v>
      </c>
      <c r="AW44" s="82">
        <f t="shared" ca="1" si="92"/>
        <v>100</v>
      </c>
      <c r="AX44" s="81">
        <f ca="1">IFERROR(__xludf.DUMMYFUNCTION("IMPORTRANGE(""https://docs.google.com/spreadsheets/d/1tZ0nmtGuIRCaGAMXHlQU8EpR9LOAJvyKfc4f7EFmE34/edit?usp=sharing"",""ศรีสะเกษ!L212"")"),8000)</f>
        <v>8000</v>
      </c>
      <c r="AY44" s="81">
        <f ca="1">IFERROR(__xludf.DUMMYFUNCTION("IMPORTRANGE(""https://docs.google.com/spreadsheets/d/1tZ0nmtGuIRCaGAMXHlQU8EpR9LOAJvyKfc4f7EFmE34/edit?usp=sharing"",""ศรีสะเกษ!N212"")"),8202)</f>
        <v>8202</v>
      </c>
      <c r="AZ44" s="82">
        <f t="shared" ca="1" si="93"/>
        <v>102.52500000000001</v>
      </c>
      <c r="BA44" s="81">
        <f ca="1">IFERROR(__xludf.DUMMYFUNCTION("IMPORTRANGE(""https://docs.google.com/spreadsheets/d/1tZ0nmtGuIRCaGAMXHlQU8EpR9LOAJvyKfc4f7EFmE34/edit?usp=sharing"",""ศรีสะเกษ!I214"")"),1)</f>
        <v>1</v>
      </c>
      <c r="BB44" s="81">
        <f ca="1">IFERROR(__xludf.DUMMYFUNCTION("IMPORTRANGE(""https://docs.google.com/spreadsheets/d/1tZ0nmtGuIRCaGAMXHlQU8EpR9LOAJvyKfc4f7EFmE34/edit?usp=sharing"",""ศรีสะเกษ!J214"")"),1)</f>
        <v>1</v>
      </c>
      <c r="BC44" s="82">
        <f t="shared" ca="1" si="94"/>
        <v>100</v>
      </c>
      <c r="BD44" s="81">
        <f ca="1">IFERROR(__xludf.DUMMYFUNCTION("IMPORTRANGE(""https://docs.google.com/spreadsheets/d/1tZ0nmtGuIRCaGAMXHlQU8EpR9LOAJvyKfc4f7EFmE34/edit?usp=sharing"",""ศรีสะเกษ!I215"")"),1)</f>
        <v>1</v>
      </c>
      <c r="BE44" s="81">
        <f ca="1">IFERROR(__xludf.DUMMYFUNCTION("IMPORTRANGE(""https://docs.google.com/spreadsheets/d/1tZ0nmtGuIRCaGAMXHlQU8EpR9LOAJvyKfc4f7EFmE34/edit?usp=sharing"",""ศรีสะเกษ!J215"")"),1)</f>
        <v>1</v>
      </c>
      <c r="BF44" s="82">
        <f t="shared" ca="1" si="95"/>
        <v>100</v>
      </c>
      <c r="BG44" s="81">
        <f ca="1">IFERROR(__xludf.DUMMYFUNCTION("IMPORTRANGE(""https://docs.google.com/spreadsheets/d/1tZ0nmtGuIRCaGAMXHlQU8EpR9LOAJvyKfc4f7EFmE34/edit?usp=sharing"",""ศรีสะเกษ!L218"")"),3000)</f>
        <v>3000</v>
      </c>
      <c r="BH44" s="81">
        <f ca="1">IFERROR(__xludf.DUMMYFUNCTION("IMPORTRANGE(""https://docs.google.com/spreadsheets/d/1tZ0nmtGuIRCaGAMXHlQU8EpR9LOAJvyKfc4f7EFmE34/edit?usp=sharing"",""ศรีสะเกษ!N218"")"),3000)</f>
        <v>3000</v>
      </c>
      <c r="BI44" s="82">
        <f t="shared" ca="1" si="96"/>
        <v>100</v>
      </c>
      <c r="BJ44" s="81">
        <f ca="1">IFERROR(__xludf.DUMMYFUNCTION("IMPORTRANGE(""https://docs.google.com/spreadsheets/d/1tZ0nmtGuIRCaGAMXHlQU8EpR9LOAJvyKfc4f7EFmE34/edit?usp=sharing"",""ศรีสะเกษ!L219"")"),3500)</f>
        <v>3500</v>
      </c>
      <c r="BK44" s="81">
        <f ca="1">IFERROR(__xludf.DUMMYFUNCTION("IMPORTRANGE(""https://docs.google.com/spreadsheets/d/1tZ0nmtGuIRCaGAMXHlQU8EpR9LOAJvyKfc4f7EFmE34/edit?usp=sharing"",""ศรีสะเกษ!N219"")"),3500)</f>
        <v>3500</v>
      </c>
      <c r="BL44" s="82">
        <f t="shared" ca="1" si="97"/>
        <v>100</v>
      </c>
      <c r="BM44" s="81">
        <f ca="1">IFERROR(__xludf.DUMMYFUNCTION("IMPORTRANGE(""https://docs.google.com/spreadsheets/d/1tZ0nmtGuIRCaGAMXHlQU8EpR9LOAJvyKfc4f7EFmE34/edit?usp=sharing"",""ศรีสะเกษ!L220"")"),0)</f>
        <v>0</v>
      </c>
      <c r="BN44" s="81">
        <f ca="1">IFERROR(__xludf.DUMMYFUNCTION("IMPORTRANGE(""https://docs.google.com/spreadsheets/d/1tZ0nmtGuIRCaGAMXHlQU8EpR9LOAJvyKfc4f7EFmE34/edit?usp=sharing"",""ศรีสะเกษ!N220"")"),0)</f>
        <v>0</v>
      </c>
      <c r="BO44" s="82">
        <f t="shared" ca="1" si="98"/>
        <v>0</v>
      </c>
      <c r="BP44" s="81">
        <f ca="1">IFERROR(__xludf.DUMMYFUNCTION("IMPORTRANGE(""https://docs.google.com/spreadsheets/d/1tZ0nmtGuIRCaGAMXHlQU8EpR9LOAJvyKfc4f7EFmE34/edit?usp=sharing"",""ศรีสะเกษ!I223"")"),10000)</f>
        <v>10000</v>
      </c>
      <c r="BQ44" s="81">
        <f ca="1">IFERROR(__xludf.DUMMYFUNCTION("IMPORTRANGE(""https://docs.google.com/spreadsheets/d/1tZ0nmtGuIRCaGAMXHlQU8EpR9LOAJvyKfc4f7EFmE34/edit?usp=sharing"",""ศรีสะเกษ!J223"")"),10000)</f>
        <v>10000</v>
      </c>
      <c r="BR44" s="82">
        <f t="shared" ca="1" si="99"/>
        <v>100</v>
      </c>
      <c r="BS44" s="81">
        <f ca="1">IFERROR(__xludf.DUMMYFUNCTION("IMPORTRANGE(""https://docs.google.com/spreadsheets/d/1tZ0nmtGuIRCaGAMXHlQU8EpR9LOAJvyKfc4f7EFmE34/edit?usp=sharing"",""ศรีสะเกษ!I224"")"),10000)</f>
        <v>10000</v>
      </c>
      <c r="BT44" s="81">
        <f ca="1">IFERROR(__xludf.DUMMYFUNCTION("IMPORTRANGE(""https://docs.google.com/spreadsheets/d/1tZ0nmtGuIRCaGAMXHlQU8EpR9LOAJvyKfc4f7EFmE34/edit?usp=sharing"",""ศรีสะเกษ!J224"")"),10000)</f>
        <v>10000</v>
      </c>
      <c r="BU44" s="82">
        <f t="shared" ca="1" si="100"/>
        <v>100</v>
      </c>
      <c r="BV44" s="81">
        <f ca="1">IFERROR(__xludf.DUMMYFUNCTION("IMPORTRANGE(""https://docs.google.com/spreadsheets/d/1tZ0nmtGuIRCaGAMXHlQU8EpR9LOAJvyKfc4f7EFmE34/edit?usp=sharing"",""ศรีสะเกษ!I225"")"),0)</f>
        <v>0</v>
      </c>
      <c r="BW44" s="81">
        <f ca="1">IFERROR(__xludf.DUMMYFUNCTION("IMPORTRANGE(""https://docs.google.com/spreadsheets/d/1tZ0nmtGuIRCaGAMXHlQU8EpR9LOAJvyKfc4f7EFmE34/edit?usp=sharing"",""ศรีสะเกษ!J225"")"),0)</f>
        <v>0</v>
      </c>
      <c r="BX44" s="82">
        <f t="shared" ca="1" si="101"/>
        <v>0</v>
      </c>
      <c r="BY44" s="81">
        <f ca="1">IFERROR(__xludf.DUMMYFUNCTION("IMPORTRANGE(""https://docs.google.com/spreadsheets/d/1tZ0nmtGuIRCaGAMXHlQU8EpR9LOAJvyKfc4f7EFmE34/edit?usp=sharing"",""ศรีสะเกษ!L228"")"),0)</f>
        <v>0</v>
      </c>
      <c r="BZ44" s="81">
        <f ca="1">IFERROR(__xludf.DUMMYFUNCTION("IMPORTRANGE(""https://docs.google.com/spreadsheets/d/1tZ0nmtGuIRCaGAMXHlQU8EpR9LOAJvyKfc4f7EFmE34/edit?usp=sharing"",""ศรีสะเกษ!N228"")"),0)</f>
        <v>0</v>
      </c>
      <c r="CA44" s="82">
        <f t="shared" ca="1" si="102"/>
        <v>0</v>
      </c>
      <c r="CB44" s="81">
        <f ca="1">IFERROR(__xludf.DUMMYFUNCTION("IMPORTRANGE(""https://docs.google.com/spreadsheets/d/1tZ0nmtGuIRCaGAMXHlQU8EpR9LOAJvyKfc4f7EFmE34/edit?usp=sharing"",""ศรีสะเกษ!L229"")"),0)</f>
        <v>0</v>
      </c>
      <c r="CC44" s="81">
        <f ca="1">IFERROR(__xludf.DUMMYFUNCTION("IMPORTRANGE(""https://docs.google.com/spreadsheets/d/1tZ0nmtGuIRCaGAMXHlQU8EpR9LOAJvyKfc4f7EFmE34/edit?usp=sharing"",""ศรีสะเกษ!N229"")"),0)</f>
        <v>0</v>
      </c>
      <c r="CD44" s="82">
        <f t="shared" ca="1" si="103"/>
        <v>0</v>
      </c>
      <c r="CE44" s="81">
        <f ca="1">IFERROR(__xludf.DUMMYFUNCTION("IMPORTRANGE(""https://docs.google.com/spreadsheets/d/1tZ0nmtGuIRCaGAMXHlQU8EpR9LOAJvyKfc4f7EFmE34/edit?usp=sharing"",""ศรีสะเกษ!L230"")"),0)</f>
        <v>0</v>
      </c>
      <c r="CF44" s="81">
        <f ca="1">IFERROR(__xludf.DUMMYFUNCTION("IMPORTRANGE(""https://docs.google.com/spreadsheets/d/1tZ0nmtGuIRCaGAMXHlQU8EpR9LOAJvyKfc4f7EFmE34/edit?usp=sharing"",""ศรีสะเกษ!N230"")"),0)</f>
        <v>0</v>
      </c>
      <c r="CG44" s="82">
        <f t="shared" ca="1" si="104"/>
        <v>0</v>
      </c>
      <c r="CH44" s="81">
        <f ca="1">IFERROR(__xludf.DUMMYFUNCTION("IMPORTRANGE(""https://docs.google.com/spreadsheets/d/1tZ0nmtGuIRCaGAMXHlQU8EpR9LOAJvyKfc4f7EFmE34/edit?usp=sharing"",""ศรีสะเกษ!L231"")"),0)</f>
        <v>0</v>
      </c>
      <c r="CI44" s="81">
        <f ca="1">IFERROR(__xludf.DUMMYFUNCTION("IMPORTRANGE(""https://docs.google.com/spreadsheets/d/1tZ0nmtGuIRCaGAMXHlQU8EpR9LOAJvyKfc4f7EFmE34/edit?usp=sharing"",""ศรีสะเกษ!N231"")"),0)</f>
        <v>0</v>
      </c>
      <c r="CJ44" s="82">
        <f t="shared" ca="1" si="105"/>
        <v>0</v>
      </c>
      <c r="CK44" s="81">
        <f ca="1">IFERROR(__xludf.DUMMYFUNCTION("IMPORTRANGE(""https://docs.google.com/spreadsheets/d/1tZ0nmtGuIRCaGAMXHlQU8EpR9LOAJvyKfc4f7EFmE34/edit?usp=sharing"",""ศรีสะเกษ!I233"")"),0)</f>
        <v>0</v>
      </c>
      <c r="CL44" s="81">
        <f ca="1">IFERROR(__xludf.DUMMYFUNCTION("IMPORTRANGE(""https://docs.google.com/spreadsheets/d/1tZ0nmtGuIRCaGAMXHlQU8EpR9LOAJvyKfc4f7EFmE34/edit?usp=sharing"",""ศรีสะเกษ!J233"")"),0)</f>
        <v>0</v>
      </c>
      <c r="CM44" s="82">
        <f t="shared" ca="1" si="106"/>
        <v>0</v>
      </c>
      <c r="CN44" s="81">
        <f ca="1">IFERROR(__xludf.DUMMYFUNCTION("IMPORTRANGE(""https://docs.google.com/spreadsheets/d/1tZ0nmtGuIRCaGAMXHlQU8EpR9LOAJvyKfc4f7EFmE34/edit?usp=sharing"",""ศรีสะเกษ!J235"")"),0)</f>
        <v>0</v>
      </c>
      <c r="CO44" s="81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3">
        <v>14</v>
      </c>
      <c r="B45" s="74" t="s">
        <v>67</v>
      </c>
      <c r="C45" s="75">
        <f t="shared" ca="1" si="0"/>
        <v>571200</v>
      </c>
      <c r="D45" s="76">
        <f t="shared" ca="1" si="160"/>
        <v>571200</v>
      </c>
      <c r="E45" s="77">
        <f ca="1">IFERROR(__xludf.DUMMYFUNCTION("IMPORTRANGE(""https://docs.google.com/spreadsheets/d/1MeEWN-I1oV_STSDYn1IFDPWt_1FKiwhDph83XaGc0o0/edit?usp=sharing"",""งบพรบ!CP45"")"),175500)</f>
        <v>175500</v>
      </c>
      <c r="F45" s="77">
        <f ca="1">IFERROR(__xludf.DUMMYFUNCTION("IMPORTRANGE(""https://docs.google.com/spreadsheets/d/1MeEWN-I1oV_STSDYn1IFDPWt_1FKiwhDph83XaGc0o0/edit?usp=sharing"",""งบพรบ!CQ45"")"),395700)</f>
        <v>395700</v>
      </c>
      <c r="G45" s="77">
        <f ca="1">IFERROR(__xludf.DUMMYFUNCTION("IMPORTRANGE(""https://docs.google.com/spreadsheets/d/1MeEWN-I1oV_STSDYn1IFDPWt_1FKiwhDph83XaGc0o0/edit?usp=sharing"",""งบพรบ!CR45"")"),0)</f>
        <v>0</v>
      </c>
      <c r="H45" s="77">
        <f ca="1">IFERROR(__xludf.DUMMYFUNCTION("IMPORTRANGE(""https://docs.google.com/spreadsheets/d/1MeEWN-I1oV_STSDYn1IFDPWt_1FKiwhDph83XaGc0o0/edit?usp=sharing"",""งบพรบ!CT45"")"),585160)</f>
        <v>585160</v>
      </c>
      <c r="I45" s="77">
        <f ca="1">IFERROR(__xludf.DUMMYFUNCTION("IMPORTRANGE(""https://docs.google.com/spreadsheets/d/1MeEWN-I1oV_STSDYn1IFDPWt_1FKiwhDph83XaGc0o0/edit?usp=sharing"",""งบพรบ!CU45"")"),0)</f>
        <v>0</v>
      </c>
      <c r="J45" s="77">
        <f t="shared" ca="1" si="3"/>
        <v>540808.22</v>
      </c>
      <c r="K45" s="78">
        <f t="shared" ca="1" si="4"/>
        <v>94.679310224089633</v>
      </c>
      <c r="L45" s="77">
        <f ca="1">IFERROR(__xludf.DUMMYFUNCTION("IMPORTRANGE(""https://docs.google.com/spreadsheets/d/1MeEWN-I1oV_STSDYn1IFDPWt_1FKiwhDph83XaGc0o0/edit?usp=sharing"",""งบพรบ!CV45"")"),540808.22)</f>
        <v>540808.22</v>
      </c>
      <c r="M45" s="79">
        <f t="shared" ca="1" si="5"/>
        <v>94.679310224089633</v>
      </c>
      <c r="N45" s="79">
        <f t="shared" ca="1" si="6"/>
        <v>92.420572151206514</v>
      </c>
      <c r="O45" s="80">
        <f ca="1">IFERROR(__xludf.DUMMYFUNCTION("IMPORTRANGE(""https://docs.google.com/spreadsheets/d/1MeEWN-I1oV_STSDYn1IFDPWt_1FKiwhDph83XaGc0o0/edit?usp=sharing"",""งบพรบ!CW45"")"),0)</f>
        <v>0</v>
      </c>
      <c r="P45" s="80">
        <f t="shared" ca="1" si="10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IFERROR(__xludf.DUMMYFUNCTION("IMPORTRANGE(""https://docs.google.com/spreadsheets/d/1QC8psz9w0f9IVE9Xuc2FT_btkaOzZbbUSgYObpBuetM/edit?usp=sharing"",""สกลนคร!L191"")"),6000)</f>
        <v>6000</v>
      </c>
      <c r="S45" s="81">
        <f ca="1">IFERROR(__xludf.DUMMYFUNCTION("IMPORTRANGE(""https://docs.google.com/spreadsheets/d/1QC8psz9w0f9IVE9Xuc2FT_btkaOzZbbUSgYObpBuetM/edit?usp=sharing"",""สกลนคร!N191"")"),1240)</f>
        <v>1240</v>
      </c>
      <c r="T45" s="82">
        <f t="shared" ca="1" si="84"/>
        <v>20.666666666666668</v>
      </c>
      <c r="U45" s="81">
        <f ca="1">IFERROR(__xludf.DUMMYFUNCTION("IMPORTRANGE(""https://docs.google.com/spreadsheets/d/1QC8psz9w0f9IVE9Xuc2FT_btkaOzZbbUSgYObpBuetM/edit?usp=sharing"",""สกลนคร!I193"")"),4)</f>
        <v>4</v>
      </c>
      <c r="V45" s="81">
        <f ca="1">IFERROR(__xludf.DUMMYFUNCTION("IMPORTRANGE(""https://docs.google.com/spreadsheets/d/1QC8psz9w0f9IVE9Xuc2FT_btkaOzZbbUSgYObpBuetM/edit?usp=sharing"",""สกลนคร!J193"")"),3)</f>
        <v>3</v>
      </c>
      <c r="W45" s="82">
        <f t="shared" ca="1" si="85"/>
        <v>75</v>
      </c>
      <c r="X45" s="81">
        <f t="shared" ca="1" si="161"/>
        <v>0</v>
      </c>
      <c r="Y45" s="81">
        <f ca="1">IFERROR(__xludf.DUMMYFUNCTION("IMPORTRANGE(""https://docs.google.com/spreadsheets/d/1QC8psz9w0f9IVE9Xuc2FT_btkaOzZbbUSgYObpBuetM/edit?usp=sharing"",""สกลนคร!J195"")"),0)</f>
        <v>0</v>
      </c>
      <c r="Z45" s="81">
        <f ca="1">IFERROR(__xludf.DUMMYFUNCTION("IMPORTRANGE(""https://docs.google.com/spreadsheets/d/1QC8psz9w0f9IVE9Xuc2FT_btkaOzZbbUSgYObpBuetM/edit?usp=sharing"",""สกลนคร!J196"")"),0)</f>
        <v>0</v>
      </c>
      <c r="AA45" s="81">
        <f ca="1">IFERROR(__xludf.DUMMYFUNCTION("IMPORTRANGE(""https://docs.google.com/spreadsheets/d/1QC8psz9w0f9IVE9Xuc2FT_btkaOzZbbUSgYObpBuetM/edit?usp=sharing"",""สกลนคร!L199"")"),3000)</f>
        <v>3000</v>
      </c>
      <c r="AB45" s="81">
        <f ca="1">IFERROR(__xludf.DUMMYFUNCTION("IMPORTRANGE(""https://docs.google.com/spreadsheets/d/1QC8psz9w0f9IVE9Xuc2FT_btkaOzZbbUSgYObpBuetM/edit?usp=sharing"",""สกลนคร!N199"")"),3000)</f>
        <v>3000</v>
      </c>
      <c r="AC45" s="82">
        <f t="shared" ca="1" si="86"/>
        <v>100</v>
      </c>
      <c r="AD45" s="81">
        <f ca="1">IFERROR(__xludf.DUMMYFUNCTION("IMPORTRANGE(""https://docs.google.com/spreadsheets/d/1QC8psz9w0f9IVE9Xuc2FT_btkaOzZbbUSgYObpBuetM/edit?usp=sharing"",""สกลนคร!L200"")"),24000)</f>
        <v>24000</v>
      </c>
      <c r="AE45" s="81">
        <f ca="1">IFERROR(__xludf.DUMMYFUNCTION("IMPORTRANGE(""https://docs.google.com/spreadsheets/d/1QC8psz9w0f9IVE9Xuc2FT_btkaOzZbbUSgYObpBuetM/edit?usp=sharing"",""สกลนคร!N200"")"),24000)</f>
        <v>24000</v>
      </c>
      <c r="AF45" s="82">
        <f t="shared" ca="1" si="87"/>
        <v>100</v>
      </c>
      <c r="AG45" s="81">
        <f ca="1">IFERROR(__xludf.DUMMYFUNCTION("IMPORTRANGE(""https://docs.google.com/spreadsheets/d/1QC8psz9w0f9IVE9Xuc2FT_btkaOzZbbUSgYObpBuetM/edit?usp=sharing"",""สกลนคร!L201"")"),12000)</f>
        <v>12000</v>
      </c>
      <c r="AH45" s="81">
        <f ca="1">IFERROR(__xludf.DUMMYFUNCTION("IMPORTRANGE(""https://docs.google.com/spreadsheets/d/1QC8psz9w0f9IVE9Xuc2FT_btkaOzZbbUSgYObpBuetM/edit?usp=sharing"",""สกลนคร!N201"")"),12000)</f>
        <v>12000</v>
      </c>
      <c r="AI45" s="82">
        <f t="shared" ca="1" si="88"/>
        <v>100</v>
      </c>
      <c r="AJ45" s="81">
        <f ca="1">IFERROR(__xludf.DUMMYFUNCTION("IMPORTRANGE(""https://docs.google.com/spreadsheets/d/1QC8psz9w0f9IVE9Xuc2FT_btkaOzZbbUSgYObpBuetM/edit?usp=sharing"",""สกลนคร!L202"")"),5000)</f>
        <v>5000</v>
      </c>
      <c r="AK45" s="81">
        <f ca="1">IFERROR(__xludf.DUMMYFUNCTION("IMPORTRANGE(""https://docs.google.com/spreadsheets/d/1QC8psz9w0f9IVE9Xuc2FT_btkaOzZbbUSgYObpBuetM/edit?usp=sharing"",""สกลนคร!N202"")"),5000)</f>
        <v>5000</v>
      </c>
      <c r="AL45" s="82">
        <f t="shared" ca="1" si="89"/>
        <v>100</v>
      </c>
      <c r="AM45" s="81">
        <f ca="1">IFERROR(__xludf.DUMMYFUNCTION("IMPORTRANGE(""https://docs.google.com/spreadsheets/d/1QC8psz9w0f9IVE9Xuc2FT_btkaOzZbbUSgYObpBuetM/edit?usp=sharing"",""สกลนคร!I204"")"),3)</f>
        <v>3</v>
      </c>
      <c r="AN45" s="81">
        <f ca="1">IFERROR(__xludf.DUMMYFUNCTION("IMPORTRANGE(""https://docs.google.com/spreadsheets/d/1QC8psz9w0f9IVE9Xuc2FT_btkaOzZbbUSgYObpBuetM/edit?usp=sharing"",""สกลนคร!J204"")"),3)</f>
        <v>3</v>
      </c>
      <c r="AO45" s="82">
        <f t="shared" ca="1" si="90"/>
        <v>100</v>
      </c>
      <c r="AP45" s="297">
        <f ca="1">IFERROR(__xludf.DUMMYFUNCTION("IMPORTRANGE(""https://docs.google.com/spreadsheets/d/1QC8psz9w0f9IVE9Xuc2FT_btkaOzZbbUSgYObpBuetM/edit?usp=sharing"",""สกลนคร!J206"")"),3)</f>
        <v>3</v>
      </c>
      <c r="AQ45" s="297">
        <f ca="1">IFERROR(__xludf.DUMMYFUNCTION("IMPORTRANGE(""https://docs.google.com/spreadsheets/d/1QC8psz9w0f9IVE9Xuc2FT_btkaOzZbbUSgYObpBuetM/edit?usp=sharing"",""สกลนคร!J207"")"),1)</f>
        <v>1</v>
      </c>
      <c r="AR45" s="81">
        <f ca="1">IFERROR(__xludf.DUMMYFUNCTION("IMPORTRANGE(""https://docs.google.com/spreadsheets/d/1QC8psz9w0f9IVE9Xuc2FT_btkaOzZbbUSgYObpBuetM/edit?usp=sharing"",""สกลนคร!L210"")"),0)</f>
        <v>0</v>
      </c>
      <c r="AS45" s="81">
        <f ca="1">IFERROR(__xludf.DUMMYFUNCTION("IMPORTRANGE(""https://docs.google.com/spreadsheets/d/1QC8psz9w0f9IVE9Xuc2FT_btkaOzZbbUSgYObpBuetM/edit?usp=sharing"",""สกลนคร!N210"")"),0)</f>
        <v>0</v>
      </c>
      <c r="AT45" s="82">
        <f t="shared" ca="1" si="91"/>
        <v>0</v>
      </c>
      <c r="AU45" s="81">
        <f ca="1">IFERROR(__xludf.DUMMYFUNCTION("IMPORTRANGE(""https://docs.google.com/spreadsheets/d/1QC8psz9w0f9IVE9Xuc2FT_btkaOzZbbUSgYObpBuetM/edit?usp=sharing"",""สกลนคร!L211"")"),0)</f>
        <v>0</v>
      </c>
      <c r="AV45" s="81">
        <f ca="1">IFERROR(__xludf.DUMMYFUNCTION("IMPORTRANGE(""https://docs.google.com/spreadsheets/d/1QC8psz9w0f9IVE9Xuc2FT_btkaOzZbbUSgYObpBuetM/edit?usp=sharing"",""สกลนคร!N211"")"),0)</f>
        <v>0</v>
      </c>
      <c r="AW45" s="82">
        <f t="shared" ca="1" si="92"/>
        <v>0</v>
      </c>
      <c r="AX45" s="81">
        <f ca="1">IFERROR(__xludf.DUMMYFUNCTION("IMPORTRANGE(""https://docs.google.com/spreadsheets/d/1QC8psz9w0f9IVE9Xuc2FT_btkaOzZbbUSgYObpBuetM/edit?usp=sharing"",""สกลนคร!L212"")"),0)</f>
        <v>0</v>
      </c>
      <c r="AY45" s="81">
        <f ca="1">IFERROR(__xludf.DUMMYFUNCTION("IMPORTRANGE(""https://docs.google.com/spreadsheets/d/1QC8psz9w0f9IVE9Xuc2FT_btkaOzZbbUSgYObpBuetM/edit?usp=sharing"",""สกลนคร!N212"")"),0)</f>
        <v>0</v>
      </c>
      <c r="AZ45" s="82">
        <f t="shared" ca="1" si="93"/>
        <v>0</v>
      </c>
      <c r="BA45" s="81">
        <f ca="1">IFERROR(__xludf.DUMMYFUNCTION("IMPORTRANGE(""https://docs.google.com/spreadsheets/d/1QC8psz9w0f9IVE9Xuc2FT_btkaOzZbbUSgYObpBuetM/edit?usp=sharing"",""สกลนคร!I214"")"),0)</f>
        <v>0</v>
      </c>
      <c r="BB45" s="81">
        <f ca="1">IFERROR(__xludf.DUMMYFUNCTION("IMPORTRANGE(""https://docs.google.com/spreadsheets/d/1QC8psz9w0f9IVE9Xuc2FT_btkaOzZbbUSgYObpBuetM/edit?usp=sharing"",""สกลนคร!J214"")"),0)</f>
        <v>0</v>
      </c>
      <c r="BC45" s="82">
        <f t="shared" ca="1" si="94"/>
        <v>0</v>
      </c>
      <c r="BD45" s="81">
        <f ca="1">IFERROR(__xludf.DUMMYFUNCTION("IMPORTRANGE(""https://docs.google.com/spreadsheets/d/1QC8psz9w0f9IVE9Xuc2FT_btkaOzZbbUSgYObpBuetM/edit?usp=sharing"",""สกลนคร!I215"")"),0)</f>
        <v>0</v>
      </c>
      <c r="BE45" s="81">
        <f ca="1">IFERROR(__xludf.DUMMYFUNCTION("IMPORTRANGE(""https://docs.google.com/spreadsheets/d/1QC8psz9w0f9IVE9Xuc2FT_btkaOzZbbUSgYObpBuetM/edit?usp=sharing"",""สกลนคร!J215"")"),0)</f>
        <v>0</v>
      </c>
      <c r="BF45" s="82">
        <f t="shared" ca="1" si="95"/>
        <v>0</v>
      </c>
      <c r="BG45" s="81">
        <f ca="1">IFERROR(__xludf.DUMMYFUNCTION("IMPORTRANGE(""https://docs.google.com/spreadsheets/d/1QC8psz9w0f9IVE9Xuc2FT_btkaOzZbbUSgYObpBuetM/edit?usp=sharing"",""สกลนคร!L218"")"),3000)</f>
        <v>3000</v>
      </c>
      <c r="BH45" s="81">
        <f ca="1">IFERROR(__xludf.DUMMYFUNCTION("IMPORTRANGE(""https://docs.google.com/spreadsheets/d/1QC8psz9w0f9IVE9Xuc2FT_btkaOzZbbUSgYObpBuetM/edit?usp=sharing"",""สกลนคร!N218"")"),3000)</f>
        <v>3000</v>
      </c>
      <c r="BI45" s="82">
        <f t="shared" ca="1" si="96"/>
        <v>100</v>
      </c>
      <c r="BJ45" s="81">
        <f ca="1">IFERROR(__xludf.DUMMYFUNCTION("IMPORTRANGE(""https://docs.google.com/spreadsheets/d/1QC8psz9w0f9IVE9Xuc2FT_btkaOzZbbUSgYObpBuetM/edit?usp=sharing"",""สกลนคร!L219"")"),4100)</f>
        <v>4100</v>
      </c>
      <c r="BK45" s="81">
        <f ca="1">IFERROR(__xludf.DUMMYFUNCTION("IMPORTRANGE(""https://docs.google.com/spreadsheets/d/1QC8psz9w0f9IVE9Xuc2FT_btkaOzZbbUSgYObpBuetM/edit?usp=sharing"",""สกลนคร!N219"")"),4100)</f>
        <v>4100</v>
      </c>
      <c r="BL45" s="82">
        <f t="shared" ca="1" si="97"/>
        <v>100</v>
      </c>
      <c r="BM45" s="81">
        <f ca="1">IFERROR(__xludf.DUMMYFUNCTION("IMPORTRANGE(""https://docs.google.com/spreadsheets/d/1QC8psz9w0f9IVE9Xuc2FT_btkaOzZbbUSgYObpBuetM/edit?usp=sharing"",""สกลนคร!L220"")"),0)</f>
        <v>0</v>
      </c>
      <c r="BN45" s="81">
        <f ca="1">IFERROR(__xludf.DUMMYFUNCTION("IMPORTRANGE(""https://docs.google.com/spreadsheets/d/1QC8psz9w0f9IVE9Xuc2FT_btkaOzZbbUSgYObpBuetM/edit?usp=sharing"",""สกลนคร!N220"")"),0)</f>
        <v>0</v>
      </c>
      <c r="BO45" s="82">
        <f t="shared" ca="1" si="98"/>
        <v>0</v>
      </c>
      <c r="BP45" s="81">
        <f ca="1">IFERROR(__xludf.DUMMYFUNCTION("IMPORTRANGE(""https://docs.google.com/spreadsheets/d/1QC8psz9w0f9IVE9Xuc2FT_btkaOzZbbUSgYObpBuetM/edit?usp=sharing"",""สกลนคร!I223"")"),12800)</f>
        <v>12800</v>
      </c>
      <c r="BQ45" s="81">
        <f ca="1">IFERROR(__xludf.DUMMYFUNCTION("IMPORTRANGE(""https://docs.google.com/spreadsheets/d/1QC8psz9w0f9IVE9Xuc2FT_btkaOzZbbUSgYObpBuetM/edit?usp=sharing"",""สกลนคร!J223"")"),12800)</f>
        <v>12800</v>
      </c>
      <c r="BR45" s="82">
        <f t="shared" ca="1" si="99"/>
        <v>100</v>
      </c>
      <c r="BS45" s="81">
        <f ca="1">IFERROR(__xludf.DUMMYFUNCTION("IMPORTRANGE(""https://docs.google.com/spreadsheets/d/1QC8psz9w0f9IVE9Xuc2FT_btkaOzZbbUSgYObpBuetM/edit?usp=sharing"",""สกลนคร!I224"")"),12800)</f>
        <v>12800</v>
      </c>
      <c r="BT45" s="81">
        <f ca="1">IFERROR(__xludf.DUMMYFUNCTION("IMPORTRANGE(""https://docs.google.com/spreadsheets/d/1QC8psz9w0f9IVE9Xuc2FT_btkaOzZbbUSgYObpBuetM/edit?usp=sharing"",""สกลนคร!J224"")"),12800)</f>
        <v>12800</v>
      </c>
      <c r="BU45" s="82">
        <f t="shared" ca="1" si="100"/>
        <v>100</v>
      </c>
      <c r="BV45" s="81">
        <f ca="1">IFERROR(__xludf.DUMMYFUNCTION("IMPORTRANGE(""https://docs.google.com/spreadsheets/d/1QC8psz9w0f9IVE9Xuc2FT_btkaOzZbbUSgYObpBuetM/edit?usp=sharing"",""สกลนคร!I225"")"),0)</f>
        <v>0</v>
      </c>
      <c r="BW45" s="81">
        <f ca="1">IFERROR(__xludf.DUMMYFUNCTION("IMPORTRANGE(""https://docs.google.com/spreadsheets/d/1QC8psz9w0f9IVE9Xuc2FT_btkaOzZbbUSgYObpBuetM/edit?usp=sharing"",""สกลนคร!J225"")"),0)</f>
        <v>0</v>
      </c>
      <c r="BX45" s="82">
        <f t="shared" ca="1" si="101"/>
        <v>0</v>
      </c>
      <c r="BY45" s="81">
        <f ca="1">IFERROR(__xludf.DUMMYFUNCTION("IMPORTRANGE(""https://docs.google.com/spreadsheets/d/1QC8psz9w0f9IVE9Xuc2FT_btkaOzZbbUSgYObpBuetM/edit?usp=sharing"",""สกลนคร!L228"")"),163000)</f>
        <v>163000</v>
      </c>
      <c r="BZ45" s="81">
        <f ca="1">IFERROR(__xludf.DUMMYFUNCTION("IMPORTRANGE(""https://docs.google.com/spreadsheets/d/1QC8psz9w0f9IVE9Xuc2FT_btkaOzZbbUSgYObpBuetM/edit?usp=sharing"",""สกลนคร!N228"")"),154650)</f>
        <v>154650</v>
      </c>
      <c r="CA45" s="82">
        <f t="shared" ca="1" si="102"/>
        <v>94.877300613496928</v>
      </c>
      <c r="CB45" s="81">
        <f ca="1">IFERROR(__xludf.DUMMYFUNCTION("IMPORTRANGE(""https://docs.google.com/spreadsheets/d/1QC8psz9w0f9IVE9Xuc2FT_btkaOzZbbUSgYObpBuetM/edit?usp=sharing"",""สกลนคร!L229"")"),145600)</f>
        <v>145600</v>
      </c>
      <c r="CC45" s="81">
        <f ca="1">IFERROR(__xludf.DUMMYFUNCTION("IMPORTRANGE(""https://docs.google.com/spreadsheets/d/1QC8psz9w0f9IVE9Xuc2FT_btkaOzZbbUSgYObpBuetM/edit?usp=sharing"",""สกลนคร!N229"")"),145600)</f>
        <v>145600</v>
      </c>
      <c r="CD45" s="82">
        <f t="shared" ca="1" si="103"/>
        <v>100</v>
      </c>
      <c r="CE45" s="81">
        <f ca="1">IFERROR(__xludf.DUMMYFUNCTION("IMPORTRANGE(""https://docs.google.com/spreadsheets/d/1QC8psz9w0f9IVE9Xuc2FT_btkaOzZbbUSgYObpBuetM/edit?usp=sharing"",""สกลนคร!L230"")"),20000)</f>
        <v>20000</v>
      </c>
      <c r="CF45" s="81">
        <f ca="1">IFERROR(__xludf.DUMMYFUNCTION("IMPORTRANGE(""https://docs.google.com/spreadsheets/d/1QC8psz9w0f9IVE9Xuc2FT_btkaOzZbbUSgYObpBuetM/edit?usp=sharing"",""สกลนคร!N230"")"),20000)</f>
        <v>20000</v>
      </c>
      <c r="CG45" s="82">
        <f t="shared" ca="1" si="104"/>
        <v>100</v>
      </c>
      <c r="CH45" s="81">
        <f ca="1">IFERROR(__xludf.DUMMYFUNCTION("IMPORTRANGE(""https://docs.google.com/spreadsheets/d/1QC8psz9w0f9IVE9Xuc2FT_btkaOzZbbUSgYObpBuetM/edit?usp=sharing"",""สกลนคร!L231"")"),10000)</f>
        <v>10000</v>
      </c>
      <c r="CI45" s="81">
        <f ca="1">IFERROR(__xludf.DUMMYFUNCTION("IMPORTRANGE(""https://docs.google.com/spreadsheets/d/1QC8psz9w0f9IVE9Xuc2FT_btkaOzZbbUSgYObpBuetM/edit?usp=sharing"",""สกลนคร!N231"")"),10000)</f>
        <v>10000</v>
      </c>
      <c r="CJ45" s="82">
        <f t="shared" ca="1" si="105"/>
        <v>100</v>
      </c>
      <c r="CK45" s="81">
        <f ca="1">IFERROR(__xludf.DUMMYFUNCTION("IMPORTRANGE(""https://docs.google.com/spreadsheets/d/1QC8psz9w0f9IVE9Xuc2FT_btkaOzZbbUSgYObpBuetM/edit?usp=sharing"",""สกลนคร!I233"")"),40)</f>
        <v>40</v>
      </c>
      <c r="CL45" s="81">
        <f ca="1">IFERROR(__xludf.DUMMYFUNCTION("IMPORTRANGE(""https://docs.google.com/spreadsheets/d/1QC8psz9w0f9IVE9Xuc2FT_btkaOzZbbUSgYObpBuetM/edit?usp=sharing"",""สกลนคร!J233"")"),40)</f>
        <v>40</v>
      </c>
      <c r="CM45" s="82">
        <f t="shared" ca="1" si="106"/>
        <v>100</v>
      </c>
      <c r="CN45" s="81">
        <f ca="1">IFERROR(__xludf.DUMMYFUNCTION("IMPORTRANGE(""https://docs.google.com/spreadsheets/d/1QC8psz9w0f9IVE9Xuc2FT_btkaOzZbbUSgYObpBuetM/edit?usp=sharing"",""สกลนคร!J235"")"),40)</f>
        <v>40</v>
      </c>
      <c r="CO45" s="81">
        <f ca="1">IFERROR(__xludf.DUMMYFUNCTION("IMPORTRANGE(""https://docs.google.com/spreadsheets/d/1QC8psz9w0f9IVE9Xuc2FT_btkaOzZbbUSgYObpBuetM/edit?usp=sharing"",""สกลนคร!J236"")"),1)</f>
        <v>1</v>
      </c>
    </row>
    <row r="46" spans="1:93" ht="21" customHeight="1" x14ac:dyDescent="0.3">
      <c r="A46" s="73">
        <v>15</v>
      </c>
      <c r="B46" s="74" t="s">
        <v>68</v>
      </c>
      <c r="C46" s="75">
        <f t="shared" ca="1" si="0"/>
        <v>108400</v>
      </c>
      <c r="D46" s="76">
        <f t="shared" ca="1" si="160"/>
        <v>108400</v>
      </c>
      <c r="E46" s="77">
        <f ca="1">IFERROR(__xludf.DUMMYFUNCTION("IMPORTRANGE(""https://docs.google.com/spreadsheets/d/1MeEWN-I1oV_STSDYn1IFDPWt_1FKiwhDph83XaGc0o0/edit?usp=sharing"",""งบพรบ!CP46"")"),0)</f>
        <v>0</v>
      </c>
      <c r="F46" s="77">
        <f ca="1">IFERROR(__xludf.DUMMYFUNCTION("IMPORTRANGE(""https://docs.google.com/spreadsheets/d/1MeEWN-I1oV_STSDYn1IFDPWt_1FKiwhDph83XaGc0o0/edit?usp=sharing"",""งบพรบ!CQ46"")"),108400)</f>
        <v>108400</v>
      </c>
      <c r="G46" s="77">
        <f ca="1">IFERROR(__xludf.DUMMYFUNCTION("IMPORTRANGE(""https://docs.google.com/spreadsheets/d/1MeEWN-I1oV_STSDYn1IFDPWt_1FKiwhDph83XaGc0o0/edit?usp=sharing"",""งบพรบ!CR46"")"),0)</f>
        <v>0</v>
      </c>
      <c r="H46" s="77">
        <f ca="1">IFERROR(__xludf.DUMMYFUNCTION("IMPORTRANGE(""https://docs.google.com/spreadsheets/d/1MeEWN-I1oV_STSDYn1IFDPWt_1FKiwhDph83XaGc0o0/edit?usp=sharing"",""งบพรบ!CT46"")"),108400)</f>
        <v>108400</v>
      </c>
      <c r="I46" s="77">
        <f ca="1">IFERROR(__xludf.DUMMYFUNCTION("IMPORTRANGE(""https://docs.google.com/spreadsheets/d/1MeEWN-I1oV_STSDYn1IFDPWt_1FKiwhDph83XaGc0o0/edit?usp=sharing"",""งบพรบ!CU46"")"),0)</f>
        <v>0</v>
      </c>
      <c r="J46" s="77">
        <f t="shared" ca="1" si="3"/>
        <v>105035.25</v>
      </c>
      <c r="K46" s="78">
        <f t="shared" ca="1" si="4"/>
        <v>96.895987084870853</v>
      </c>
      <c r="L46" s="77">
        <f ca="1">IFERROR(__xludf.DUMMYFUNCTION("IMPORTRANGE(""https://docs.google.com/spreadsheets/d/1MeEWN-I1oV_STSDYn1IFDPWt_1FKiwhDph83XaGc0o0/edit?usp=sharing"",""งบพรบ!CV46"")"),105035.25)</f>
        <v>105035.25</v>
      </c>
      <c r="M46" s="79">
        <f t="shared" ca="1" si="5"/>
        <v>96.895987084870853</v>
      </c>
      <c r="N46" s="79">
        <f t="shared" ca="1" si="6"/>
        <v>96.895987084870853</v>
      </c>
      <c r="O46" s="80">
        <f ca="1">IFERROR(__xludf.DUMMYFUNCTION("IMPORTRANGE(""https://docs.google.com/spreadsheets/d/1MeEWN-I1oV_STSDYn1IFDPWt_1FKiwhDph83XaGc0o0/edit?usp=sharing"",""งบพรบ!CW46"")"),0)</f>
        <v>0</v>
      </c>
      <c r="P46" s="80">
        <f t="shared" ca="1" si="10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IFERROR(__xludf.DUMMYFUNCTION("IMPORTRANGE(""https://docs.google.com/spreadsheets/d/1wPdvRbu02d33MYVlbsCnyTiZpefEBs9NNktAnT1HZvw/edit?usp=sharing"",""สุรินทร์!L191"")"),6000)</f>
        <v>6000</v>
      </c>
      <c r="S46" s="81">
        <f ca="1">IFERROR(__xludf.DUMMYFUNCTION("IMPORTRANGE(""https://docs.google.com/spreadsheets/d/1wPdvRbu02d33MYVlbsCnyTiZpefEBs9NNktAnT1HZvw/edit?usp=sharing"",""สุรินทร์!N191"")"),6000)</f>
        <v>6000</v>
      </c>
      <c r="T46" s="82">
        <f t="shared" ca="1" si="84"/>
        <v>100</v>
      </c>
      <c r="U46" s="81">
        <f ca="1">IFERROR(__xludf.DUMMYFUNCTION("IMPORTRANGE(""https://docs.google.com/spreadsheets/d/1wPdvRbu02d33MYVlbsCnyTiZpefEBs9NNktAnT1HZvw/edit?usp=sharing"",""สุรินทร์!I193"")"),4)</f>
        <v>4</v>
      </c>
      <c r="V46" s="81">
        <f ca="1">IFERROR(__xludf.DUMMYFUNCTION("IMPORTRANGE(""https://docs.google.com/spreadsheets/d/1wPdvRbu02d33MYVlbsCnyTiZpefEBs9NNktAnT1HZvw/edit?usp=sharing"",""สุรินทร์!J193"")"),4)</f>
        <v>4</v>
      </c>
      <c r="W46" s="82">
        <f t="shared" ca="1" si="85"/>
        <v>100</v>
      </c>
      <c r="X46" s="81">
        <f t="shared" ca="1" si="161"/>
        <v>139</v>
      </c>
      <c r="Y46" s="81">
        <f ca="1">IFERROR(__xludf.DUMMYFUNCTION("IMPORTRANGE(""https://docs.google.com/spreadsheets/d/1wPdvRbu02d33MYVlbsCnyTiZpefEBs9NNktAnT1HZvw/edit?usp=sharing"",""สุรินทร์!J195"")"),139)</f>
        <v>139</v>
      </c>
      <c r="Z46" s="81">
        <f ca="1">IFERROR(__xludf.DUMMYFUNCTION("IMPORTRANGE(""https://docs.google.com/spreadsheets/d/1wPdvRbu02d33MYVlbsCnyTiZpefEBs9NNktAnT1HZvw/edit?usp=sharing"",""สุรินทร์!J196"")"),0)</f>
        <v>0</v>
      </c>
      <c r="AA46" s="81">
        <f ca="1">IFERROR(__xludf.DUMMYFUNCTION("IMPORTRANGE(""https://docs.google.com/spreadsheets/d/1wPdvRbu02d33MYVlbsCnyTiZpefEBs9NNktAnT1HZvw/edit?usp=sharing"",""สุรินทร์!L199"")"),3000)</f>
        <v>3000</v>
      </c>
      <c r="AB46" s="81">
        <f ca="1">IFERROR(__xludf.DUMMYFUNCTION("IMPORTRANGE(""https://docs.google.com/spreadsheets/d/1wPdvRbu02d33MYVlbsCnyTiZpefEBs9NNktAnT1HZvw/edit?usp=sharing"",""สุรินทร์!N199"")"),3000)</f>
        <v>3000</v>
      </c>
      <c r="AC46" s="82">
        <f t="shared" ca="1" si="86"/>
        <v>100</v>
      </c>
      <c r="AD46" s="81">
        <f ca="1">IFERROR(__xludf.DUMMYFUNCTION("IMPORTRANGE(""https://docs.google.com/spreadsheets/d/1wPdvRbu02d33MYVlbsCnyTiZpefEBs9NNktAnT1HZvw/edit?usp=sharing"",""สุรินทร์!L200"")"),24000)</f>
        <v>24000</v>
      </c>
      <c r="AE46" s="81">
        <f ca="1">IFERROR(__xludf.DUMMYFUNCTION("IMPORTRANGE(""https://docs.google.com/spreadsheets/d/1wPdvRbu02d33MYVlbsCnyTiZpefEBs9NNktAnT1HZvw/edit?usp=sharing"",""สุรินทร์!N200"")"),24000)</f>
        <v>24000</v>
      </c>
      <c r="AF46" s="82">
        <f t="shared" ca="1" si="87"/>
        <v>100</v>
      </c>
      <c r="AG46" s="81">
        <f ca="1">IFERROR(__xludf.DUMMYFUNCTION("IMPORTRANGE(""https://docs.google.com/spreadsheets/d/1wPdvRbu02d33MYVlbsCnyTiZpefEBs9NNktAnT1HZvw/edit?usp=sharing"",""สุรินทร์!L201"")"),12000)</f>
        <v>12000</v>
      </c>
      <c r="AH46" s="81">
        <f ca="1">IFERROR(__xludf.DUMMYFUNCTION("IMPORTRANGE(""https://docs.google.com/spreadsheets/d/1wPdvRbu02d33MYVlbsCnyTiZpefEBs9NNktAnT1HZvw/edit?usp=sharing"",""สุรินทร์!N201"")"),12000)</f>
        <v>12000</v>
      </c>
      <c r="AI46" s="82">
        <f t="shared" ca="1" si="88"/>
        <v>100</v>
      </c>
      <c r="AJ46" s="81">
        <f ca="1">IFERROR(__xludf.DUMMYFUNCTION("IMPORTRANGE(""https://docs.google.com/spreadsheets/d/1wPdvRbu02d33MYVlbsCnyTiZpefEBs9NNktAnT1HZvw/edit?usp=sharing"",""สุรินทร์!L202"")"),0)</f>
        <v>0</v>
      </c>
      <c r="AK46" s="81">
        <f ca="1">IFERROR(__xludf.DUMMYFUNCTION("IMPORTRANGE(""https://docs.google.com/spreadsheets/d/1wPdvRbu02d33MYVlbsCnyTiZpefEBs9NNktAnT1HZvw/edit?usp=sharing"",""สุรินทร์!N202"")"),0)</f>
        <v>0</v>
      </c>
      <c r="AL46" s="82">
        <f t="shared" ca="1" si="89"/>
        <v>0</v>
      </c>
      <c r="AM46" s="81">
        <f ca="1">IFERROR(__xludf.DUMMYFUNCTION("IMPORTRANGE(""https://docs.google.com/spreadsheets/d/1wPdvRbu02d33MYVlbsCnyTiZpefEBs9NNktAnT1HZvw/edit?usp=sharing"",""สุรินทร์!I204"")"),3)</f>
        <v>3</v>
      </c>
      <c r="AN46" s="81">
        <f ca="1">IFERROR(__xludf.DUMMYFUNCTION("IMPORTRANGE(""https://docs.google.com/spreadsheets/d/1wPdvRbu02d33MYVlbsCnyTiZpefEBs9NNktAnT1HZvw/edit?usp=sharing"",""สุรินทร์!J204"")"),3)</f>
        <v>3</v>
      </c>
      <c r="AO46" s="82">
        <f t="shared" ca="1" si="90"/>
        <v>100</v>
      </c>
      <c r="AP46" s="297">
        <f ca="1">IFERROR(__xludf.DUMMYFUNCTION("IMPORTRANGE(""https://docs.google.com/spreadsheets/d/1wPdvRbu02d33MYVlbsCnyTiZpefEBs9NNktAnT1HZvw/edit?usp=sharing"",""สุรินทร์!J206"")"),3)</f>
        <v>3</v>
      </c>
      <c r="AQ46" s="297">
        <f ca="1">IFERROR(__xludf.DUMMYFUNCTION("IMPORTRANGE(""https://docs.google.com/spreadsheets/d/1wPdvRbu02d33MYVlbsCnyTiZpefEBs9NNktAnT1HZvw/edit?usp=sharing"",""สุรินทร์!J207"")"),0)</f>
        <v>0</v>
      </c>
      <c r="AR46" s="81">
        <f ca="1">IFERROR(__xludf.DUMMYFUNCTION("IMPORTRANGE(""https://docs.google.com/spreadsheets/d/1wPdvRbu02d33MYVlbsCnyTiZpefEBs9NNktAnT1HZvw/edit?usp=sharing"",""สุรินทร์!L210"")"),4000)</f>
        <v>4000</v>
      </c>
      <c r="AS46" s="81">
        <f ca="1">IFERROR(__xludf.DUMMYFUNCTION("IMPORTRANGE(""https://docs.google.com/spreadsheets/d/1wPdvRbu02d33MYVlbsCnyTiZpefEBs9NNktAnT1HZvw/edit?usp=sharing"",""สุรินทร์!N210"")"),635.25)</f>
        <v>635.25</v>
      </c>
      <c r="AT46" s="82">
        <f t="shared" ca="1" si="91"/>
        <v>15.88125</v>
      </c>
      <c r="AU46" s="81">
        <f ca="1">IFERROR(__xludf.DUMMYFUNCTION("IMPORTRANGE(""https://docs.google.com/spreadsheets/d/1wPdvRbu02d33MYVlbsCnyTiZpefEBs9NNktAnT1HZvw/edit?usp=sharing"",""สุรินทร์!L211"")"),20000)</f>
        <v>20000</v>
      </c>
      <c r="AV46" s="81">
        <f ca="1">IFERROR(__xludf.DUMMYFUNCTION("IMPORTRANGE(""https://docs.google.com/spreadsheets/d/1wPdvRbu02d33MYVlbsCnyTiZpefEBs9NNktAnT1HZvw/edit?usp=sharing"",""สุรินทร์!N211"")"),20000)</f>
        <v>20000</v>
      </c>
      <c r="AW46" s="82">
        <f t="shared" ca="1" si="92"/>
        <v>100</v>
      </c>
      <c r="AX46" s="81">
        <f ca="1">IFERROR(__xludf.DUMMYFUNCTION("IMPORTRANGE(""https://docs.google.com/spreadsheets/d/1wPdvRbu02d33MYVlbsCnyTiZpefEBs9NNktAnT1HZvw/edit?usp=sharing"",""สุรินทร์!L212"")"),32000)</f>
        <v>32000</v>
      </c>
      <c r="AY46" s="81">
        <f ca="1">IFERROR(__xludf.DUMMYFUNCTION("IMPORTRANGE(""https://docs.google.com/spreadsheets/d/1wPdvRbu02d33MYVlbsCnyTiZpefEBs9NNktAnT1HZvw/edit?usp=sharing"",""สุรินทร์!N212"")"),32000)</f>
        <v>32000</v>
      </c>
      <c r="AZ46" s="82">
        <f t="shared" ca="1" si="93"/>
        <v>100</v>
      </c>
      <c r="BA46" s="81">
        <f ca="1">IFERROR(__xludf.DUMMYFUNCTION("IMPORTRANGE(""https://docs.google.com/spreadsheets/d/1wPdvRbu02d33MYVlbsCnyTiZpefEBs9NNktAnT1HZvw/edit?usp=sharing"",""สุรินทร์!I214"")"),4)</f>
        <v>4</v>
      </c>
      <c r="BB46" s="81">
        <f ca="1">IFERROR(__xludf.DUMMYFUNCTION("IMPORTRANGE(""https://docs.google.com/spreadsheets/d/1wPdvRbu02d33MYVlbsCnyTiZpefEBs9NNktAnT1HZvw/edit?usp=sharing"",""สุรินทร์!J214"")"),4)</f>
        <v>4</v>
      </c>
      <c r="BC46" s="82">
        <f t="shared" ca="1" si="94"/>
        <v>100</v>
      </c>
      <c r="BD46" s="81">
        <f ca="1">IFERROR(__xludf.DUMMYFUNCTION("IMPORTRANGE(""https://docs.google.com/spreadsheets/d/1wPdvRbu02d33MYVlbsCnyTiZpefEBs9NNktAnT1HZvw/edit?usp=sharing"",""สุรินทร์!I215"")"),4)</f>
        <v>4</v>
      </c>
      <c r="BE46" s="81">
        <f ca="1">IFERROR(__xludf.DUMMYFUNCTION("IMPORTRANGE(""https://docs.google.com/spreadsheets/d/1wPdvRbu02d33MYVlbsCnyTiZpefEBs9NNktAnT1HZvw/edit?usp=sharing"",""สุรินทร์!J215"")"),4)</f>
        <v>4</v>
      </c>
      <c r="BF46" s="82">
        <f t="shared" ca="1" si="95"/>
        <v>100</v>
      </c>
      <c r="BG46" s="81">
        <f ca="1">IFERROR(__xludf.DUMMYFUNCTION("IMPORTRANGE(""https://docs.google.com/spreadsheets/d/1wPdvRbu02d33MYVlbsCnyTiZpefEBs9NNktAnT1HZvw/edit?usp=sharing"",""สุรินทร์!L218"")"),3000)</f>
        <v>3000</v>
      </c>
      <c r="BH46" s="81">
        <f ca="1">IFERROR(__xludf.DUMMYFUNCTION("IMPORTRANGE(""https://docs.google.com/spreadsheets/d/1wPdvRbu02d33MYVlbsCnyTiZpefEBs9NNktAnT1HZvw/edit?usp=sharing"",""สุรินทร์!N218"")"),3000)</f>
        <v>3000</v>
      </c>
      <c r="BI46" s="82">
        <f t="shared" ca="1" si="96"/>
        <v>100</v>
      </c>
      <c r="BJ46" s="81">
        <f ca="1">IFERROR(__xludf.DUMMYFUNCTION("IMPORTRANGE(""https://docs.google.com/spreadsheets/d/1wPdvRbu02d33MYVlbsCnyTiZpefEBs9NNktAnT1HZvw/edit?usp=sharing"",""สุรินทร์!L219"")"),4400)</f>
        <v>4400</v>
      </c>
      <c r="BK46" s="81">
        <f ca="1">IFERROR(__xludf.DUMMYFUNCTION("IMPORTRANGE(""https://docs.google.com/spreadsheets/d/1wPdvRbu02d33MYVlbsCnyTiZpefEBs9NNktAnT1HZvw/edit?usp=sharing"",""สุรินทร์!N219"")"),4400)</f>
        <v>4400</v>
      </c>
      <c r="BL46" s="82">
        <f t="shared" ca="1" si="97"/>
        <v>100</v>
      </c>
      <c r="BM46" s="81">
        <f ca="1">IFERROR(__xludf.DUMMYFUNCTION("IMPORTRANGE(""https://docs.google.com/spreadsheets/d/1wPdvRbu02d33MYVlbsCnyTiZpefEBs9NNktAnT1HZvw/edit?usp=sharing"",""สุรินทร์!L220"")"),0)</f>
        <v>0</v>
      </c>
      <c r="BN46" s="81">
        <f ca="1">IFERROR(__xludf.DUMMYFUNCTION("IMPORTRANGE(""https://docs.google.com/spreadsheets/d/1wPdvRbu02d33MYVlbsCnyTiZpefEBs9NNktAnT1HZvw/edit?usp=sharing"",""สุรินทร์!N220"")"),0)</f>
        <v>0</v>
      </c>
      <c r="BO46" s="82">
        <f t="shared" ca="1" si="98"/>
        <v>0</v>
      </c>
      <c r="BP46" s="81">
        <f ca="1">IFERROR(__xludf.DUMMYFUNCTION("IMPORTRANGE(""https://docs.google.com/spreadsheets/d/1wPdvRbu02d33MYVlbsCnyTiZpefEBs9NNktAnT1HZvw/edit?usp=sharing"",""สุรินทร์!I223"")"),15000)</f>
        <v>15000</v>
      </c>
      <c r="BQ46" s="81">
        <f ca="1">IFERROR(__xludf.DUMMYFUNCTION("IMPORTRANGE(""https://docs.google.com/spreadsheets/d/1wPdvRbu02d33MYVlbsCnyTiZpefEBs9NNktAnT1HZvw/edit?usp=sharing"",""สุรินทร์!J223"")"),15000)</f>
        <v>15000</v>
      </c>
      <c r="BR46" s="82">
        <f t="shared" ca="1" si="99"/>
        <v>100</v>
      </c>
      <c r="BS46" s="81">
        <f ca="1">IFERROR(__xludf.DUMMYFUNCTION("IMPORTRANGE(""https://docs.google.com/spreadsheets/d/1wPdvRbu02d33MYVlbsCnyTiZpefEBs9NNktAnT1HZvw/edit?usp=sharing"",""สุรินทร์!I224"")"),15000)</f>
        <v>15000</v>
      </c>
      <c r="BT46" s="81">
        <f ca="1">IFERROR(__xludf.DUMMYFUNCTION("IMPORTRANGE(""https://docs.google.com/spreadsheets/d/1wPdvRbu02d33MYVlbsCnyTiZpefEBs9NNktAnT1HZvw/edit?usp=sharing"",""สุรินทร์!J224"")"),15000)</f>
        <v>15000</v>
      </c>
      <c r="BU46" s="82">
        <f t="shared" ca="1" si="100"/>
        <v>100</v>
      </c>
      <c r="BV46" s="81">
        <f ca="1">IFERROR(__xludf.DUMMYFUNCTION("IMPORTRANGE(""https://docs.google.com/spreadsheets/d/1wPdvRbu02d33MYVlbsCnyTiZpefEBs9NNktAnT1HZvw/edit?usp=sharing"",""สุรินทร์!I225"")"),0)</f>
        <v>0</v>
      </c>
      <c r="BW46" s="81">
        <f ca="1">IFERROR(__xludf.DUMMYFUNCTION("IMPORTRANGE(""https://docs.google.com/spreadsheets/d/1wPdvRbu02d33MYVlbsCnyTiZpefEBs9NNktAnT1HZvw/edit?usp=sharing"",""สุรินทร์!J225"")"),0)</f>
        <v>0</v>
      </c>
      <c r="BX46" s="82">
        <f t="shared" ca="1" si="101"/>
        <v>0</v>
      </c>
      <c r="BY46" s="81">
        <f ca="1">IFERROR(__xludf.DUMMYFUNCTION("IMPORTRANGE(""https://docs.google.com/spreadsheets/d/1wPdvRbu02d33MYVlbsCnyTiZpefEBs9NNktAnT1HZvw/edit?usp=sharing"",""สุรินทร์!L228"")"),0)</f>
        <v>0</v>
      </c>
      <c r="BZ46" s="81">
        <f ca="1">IFERROR(__xludf.DUMMYFUNCTION("IMPORTRANGE(""https://docs.google.com/spreadsheets/d/1wPdvRbu02d33MYVlbsCnyTiZpefEBs9NNktAnT1HZvw/edit?usp=sharing"",""สุรินทร์!N228"")"),0)</f>
        <v>0</v>
      </c>
      <c r="CA46" s="82">
        <f t="shared" ca="1" si="102"/>
        <v>0</v>
      </c>
      <c r="CB46" s="81">
        <f ca="1">IFERROR(__xludf.DUMMYFUNCTION("IMPORTRANGE(""https://docs.google.com/spreadsheets/d/1wPdvRbu02d33MYVlbsCnyTiZpefEBs9NNktAnT1HZvw/edit?usp=sharing"",""สุรินทร์!L229"")"),0)</f>
        <v>0</v>
      </c>
      <c r="CC46" s="81">
        <f ca="1">IFERROR(__xludf.DUMMYFUNCTION("IMPORTRANGE(""https://docs.google.com/spreadsheets/d/1wPdvRbu02d33MYVlbsCnyTiZpefEBs9NNktAnT1HZvw/edit?usp=sharing"",""สุรินทร์!N229"")"),0)</f>
        <v>0</v>
      </c>
      <c r="CD46" s="82">
        <f t="shared" ca="1" si="103"/>
        <v>0</v>
      </c>
      <c r="CE46" s="81">
        <f ca="1">IFERROR(__xludf.DUMMYFUNCTION("IMPORTRANGE(""https://docs.google.com/spreadsheets/d/1wPdvRbu02d33MYVlbsCnyTiZpefEBs9NNktAnT1HZvw/edit?usp=sharing"",""สุรินทร์!L230"")"),0)</f>
        <v>0</v>
      </c>
      <c r="CF46" s="81">
        <f ca="1">IFERROR(__xludf.DUMMYFUNCTION("IMPORTRANGE(""https://docs.google.com/spreadsheets/d/1wPdvRbu02d33MYVlbsCnyTiZpefEBs9NNktAnT1HZvw/edit?usp=sharing"",""สุรินทร์!N230"")"),0)</f>
        <v>0</v>
      </c>
      <c r="CG46" s="82">
        <f t="shared" ca="1" si="104"/>
        <v>0</v>
      </c>
      <c r="CH46" s="81">
        <f ca="1">IFERROR(__xludf.DUMMYFUNCTION("IMPORTRANGE(""https://docs.google.com/spreadsheets/d/1wPdvRbu02d33MYVlbsCnyTiZpefEBs9NNktAnT1HZvw/edit?usp=sharing"",""สุรินทร์!L231"")"),0)</f>
        <v>0</v>
      </c>
      <c r="CI46" s="81">
        <f ca="1">IFERROR(__xludf.DUMMYFUNCTION("IMPORTRANGE(""https://docs.google.com/spreadsheets/d/1wPdvRbu02d33MYVlbsCnyTiZpefEBs9NNktAnT1HZvw/edit?usp=sharing"",""สุรินทร์!N231"")"),0)</f>
        <v>0</v>
      </c>
      <c r="CJ46" s="82">
        <f t="shared" ca="1" si="105"/>
        <v>0</v>
      </c>
      <c r="CK46" s="81">
        <f ca="1">IFERROR(__xludf.DUMMYFUNCTION("IMPORTRANGE(""https://docs.google.com/spreadsheets/d/1wPdvRbu02d33MYVlbsCnyTiZpefEBs9NNktAnT1HZvw/edit?usp=sharing"",""สุรินทร์!I233"")"),0)</f>
        <v>0</v>
      </c>
      <c r="CL46" s="81">
        <f ca="1">IFERROR(__xludf.DUMMYFUNCTION("IMPORTRANGE(""https://docs.google.com/spreadsheets/d/1wPdvRbu02d33MYVlbsCnyTiZpefEBs9NNktAnT1HZvw/edit?usp=sharing"",""สุรินทร์!J233"")"),0)</f>
        <v>0</v>
      </c>
      <c r="CM46" s="82">
        <f t="shared" ca="1" si="106"/>
        <v>0</v>
      </c>
      <c r="CN46" s="81">
        <f ca="1">IFERROR(__xludf.DUMMYFUNCTION("IMPORTRANGE(""https://docs.google.com/spreadsheets/d/1wPdvRbu02d33MYVlbsCnyTiZpefEBs9NNktAnT1HZvw/edit?usp=sharing"",""สุรินทร์!J235"")"),0)</f>
        <v>0</v>
      </c>
      <c r="CO46" s="81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3">
        <v>16</v>
      </c>
      <c r="B47" s="74" t="s">
        <v>69</v>
      </c>
      <c r="C47" s="75">
        <f t="shared" ca="1" si="0"/>
        <v>77500</v>
      </c>
      <c r="D47" s="76">
        <f t="shared" ca="1" si="160"/>
        <v>77500</v>
      </c>
      <c r="E47" s="77">
        <f ca="1">IFERROR(__xludf.DUMMYFUNCTION("IMPORTRANGE(""https://docs.google.com/spreadsheets/d/1MeEWN-I1oV_STSDYn1IFDPWt_1FKiwhDph83XaGc0o0/edit?usp=sharing"",""งบพรบ!CP47"")"),0)</f>
        <v>0</v>
      </c>
      <c r="F47" s="77">
        <f ca="1">IFERROR(__xludf.DUMMYFUNCTION("IMPORTRANGE(""https://docs.google.com/spreadsheets/d/1MeEWN-I1oV_STSDYn1IFDPWt_1FKiwhDph83XaGc0o0/edit?usp=sharing"",""งบพรบ!CQ47"")"),77500)</f>
        <v>77500</v>
      </c>
      <c r="G47" s="77">
        <f ca="1">IFERROR(__xludf.DUMMYFUNCTION("IMPORTRANGE(""https://docs.google.com/spreadsheets/d/1MeEWN-I1oV_STSDYn1IFDPWt_1FKiwhDph83XaGc0o0/edit?usp=sharing"",""งบพรบ!CR47"")"),0)</f>
        <v>0</v>
      </c>
      <c r="H47" s="77">
        <f ca="1">IFERROR(__xludf.DUMMYFUNCTION("IMPORTRANGE(""https://docs.google.com/spreadsheets/d/1MeEWN-I1oV_STSDYn1IFDPWt_1FKiwhDph83XaGc0o0/edit?usp=sharing"",""งบพรบ!CT47"")"),93940)</f>
        <v>93940</v>
      </c>
      <c r="I47" s="77">
        <f ca="1">IFERROR(__xludf.DUMMYFUNCTION("IMPORTRANGE(""https://docs.google.com/spreadsheets/d/1MeEWN-I1oV_STSDYn1IFDPWt_1FKiwhDph83XaGc0o0/edit?usp=sharing"",""งบพรบ!CU47"")"),0)</f>
        <v>0</v>
      </c>
      <c r="J47" s="77">
        <f t="shared" ca="1" si="3"/>
        <v>93940</v>
      </c>
      <c r="K47" s="78">
        <f t="shared" ca="1" si="4"/>
        <v>121.21290322580646</v>
      </c>
      <c r="L47" s="77">
        <f ca="1">IFERROR(__xludf.DUMMYFUNCTION("IMPORTRANGE(""https://docs.google.com/spreadsheets/d/1MeEWN-I1oV_STSDYn1IFDPWt_1FKiwhDph83XaGc0o0/edit?usp=sharing"",""งบพรบ!CV47"")"),93940)</f>
        <v>93940</v>
      </c>
      <c r="M47" s="79">
        <f t="shared" ca="1" si="5"/>
        <v>121.21290322580646</v>
      </c>
      <c r="N47" s="79">
        <f t="shared" ca="1" si="6"/>
        <v>100</v>
      </c>
      <c r="O47" s="80">
        <f ca="1">IFERROR(__xludf.DUMMYFUNCTION("IMPORTRANGE(""https://docs.google.com/spreadsheets/d/1MeEWN-I1oV_STSDYn1IFDPWt_1FKiwhDph83XaGc0o0/edit?usp=sharing"",""งบพรบ!CW47"")"),0)</f>
        <v>0</v>
      </c>
      <c r="P47" s="80">
        <f t="shared" ca="1" si="10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IFERROR(__xludf.DUMMYFUNCTION("IMPORTRANGE(""https://docs.google.com/spreadsheets/d/1GVExpf-Exi_2gmuqTYH28fseTB9MoKPXWcXCbSt_YrM/edit?usp=sharing"",""หนองคาย!L191"")"),6000)</f>
        <v>6000</v>
      </c>
      <c r="S47" s="81">
        <f ca="1">IFERROR(__xludf.DUMMYFUNCTION("IMPORTRANGE(""https://docs.google.com/spreadsheets/d/1GVExpf-Exi_2gmuqTYH28fseTB9MoKPXWcXCbSt_YrM/edit?usp=sharing"",""หนองคาย!N191"")"),6000)</f>
        <v>6000</v>
      </c>
      <c r="T47" s="82">
        <f t="shared" ca="1" si="84"/>
        <v>100</v>
      </c>
      <c r="U47" s="81">
        <f ca="1">IFERROR(__xludf.DUMMYFUNCTION("IMPORTRANGE(""https://docs.google.com/spreadsheets/d/1GVExpf-Exi_2gmuqTYH28fseTB9MoKPXWcXCbSt_YrM/edit?usp=sharing"",""หนองคาย!I193"")"),4)</f>
        <v>4</v>
      </c>
      <c r="V47" s="81">
        <f ca="1">IFERROR(__xludf.DUMMYFUNCTION("IMPORTRANGE(""https://docs.google.com/spreadsheets/d/1GVExpf-Exi_2gmuqTYH28fseTB9MoKPXWcXCbSt_YrM/edit?usp=sharing"",""หนองคาย!J193"")"),4)</f>
        <v>4</v>
      </c>
      <c r="W47" s="82">
        <f t="shared" ca="1" si="85"/>
        <v>100</v>
      </c>
      <c r="X47" s="81">
        <f t="shared" ca="1" si="161"/>
        <v>0</v>
      </c>
      <c r="Y47" s="81">
        <f ca="1">IFERROR(__xludf.DUMMYFUNCTION("IMPORTRANGE(""https://docs.google.com/spreadsheets/d/1GVExpf-Exi_2gmuqTYH28fseTB9MoKPXWcXCbSt_YrM/edit?usp=sharing"",""หนองคาย!J195"")"),0)</f>
        <v>0</v>
      </c>
      <c r="Z47" s="81">
        <f ca="1">IFERROR(__xludf.DUMMYFUNCTION("IMPORTRANGE(""https://docs.google.com/spreadsheets/d/1GVExpf-Exi_2gmuqTYH28fseTB9MoKPXWcXCbSt_YrM/edit?usp=sharing"",""หนองคาย!J196"")"),0)</f>
        <v>0</v>
      </c>
      <c r="AA47" s="81">
        <f ca="1">IFERROR(__xludf.DUMMYFUNCTION("IMPORTRANGE(""https://docs.google.com/spreadsheets/d/1GVExpf-Exi_2gmuqTYH28fseTB9MoKPXWcXCbSt_YrM/edit?usp=sharing"",""หนองคาย!L199"")"),3000)</f>
        <v>3000</v>
      </c>
      <c r="AB47" s="81">
        <f ca="1">IFERROR(__xludf.DUMMYFUNCTION("IMPORTRANGE(""https://docs.google.com/spreadsheets/d/1GVExpf-Exi_2gmuqTYH28fseTB9MoKPXWcXCbSt_YrM/edit?usp=sharing"",""หนองคาย!N199"")"),19750)</f>
        <v>19750</v>
      </c>
      <c r="AC47" s="82">
        <f t="shared" ca="1" si="86"/>
        <v>658.33333333333337</v>
      </c>
      <c r="AD47" s="81">
        <f ca="1">IFERROR(__xludf.DUMMYFUNCTION("IMPORTRANGE(""https://docs.google.com/spreadsheets/d/1GVExpf-Exi_2gmuqTYH28fseTB9MoKPXWcXCbSt_YrM/edit?usp=sharing"",""หนองคาย!L200"")"),24000)</f>
        <v>24000</v>
      </c>
      <c r="AE47" s="81">
        <f ca="1">IFERROR(__xludf.DUMMYFUNCTION("IMPORTRANGE(""https://docs.google.com/spreadsheets/d/1GVExpf-Exi_2gmuqTYH28fseTB9MoKPXWcXCbSt_YrM/edit?usp=sharing"",""หนองคาย!N200"")"),24900)</f>
        <v>24900</v>
      </c>
      <c r="AF47" s="82">
        <f t="shared" ca="1" si="87"/>
        <v>103.75</v>
      </c>
      <c r="AG47" s="81">
        <f ca="1">IFERROR(__xludf.DUMMYFUNCTION("IMPORTRANGE(""https://docs.google.com/spreadsheets/d/1GVExpf-Exi_2gmuqTYH28fseTB9MoKPXWcXCbSt_YrM/edit?usp=sharing"",""หนองคาย!L201"")"),12000)</f>
        <v>12000</v>
      </c>
      <c r="AH47" s="81">
        <f ca="1">IFERROR(__xludf.DUMMYFUNCTION("IMPORTRANGE(""https://docs.google.com/spreadsheets/d/1GVExpf-Exi_2gmuqTYH28fseTB9MoKPXWcXCbSt_YrM/edit?usp=sharing"",""หนองคาย!N201"")"),10790)</f>
        <v>10790</v>
      </c>
      <c r="AI47" s="82">
        <f t="shared" ca="1" si="88"/>
        <v>89.916666666666671</v>
      </c>
      <c r="AJ47" s="81">
        <f ca="1">IFERROR(__xludf.DUMMYFUNCTION("IMPORTRANGE(""https://docs.google.com/spreadsheets/d/1GVExpf-Exi_2gmuqTYH28fseTB9MoKPXWcXCbSt_YrM/edit?usp=sharing"",""หนองคาย!L202"")"),5000)</f>
        <v>5000</v>
      </c>
      <c r="AK47" s="81">
        <f ca="1">IFERROR(__xludf.DUMMYFUNCTION("IMPORTRANGE(""https://docs.google.com/spreadsheets/d/1GVExpf-Exi_2gmuqTYH28fseTB9MoKPXWcXCbSt_YrM/edit?usp=sharing"",""หนองคาย!N202"")"),5000)</f>
        <v>5000</v>
      </c>
      <c r="AL47" s="82">
        <f t="shared" ca="1" si="89"/>
        <v>100</v>
      </c>
      <c r="AM47" s="81">
        <f ca="1">IFERROR(__xludf.DUMMYFUNCTION("IMPORTRANGE(""https://docs.google.com/spreadsheets/d/1GVExpf-Exi_2gmuqTYH28fseTB9MoKPXWcXCbSt_YrM/edit?usp=sharing"",""หนองคาย!I204"")"),3)</f>
        <v>3</v>
      </c>
      <c r="AN47" s="81">
        <f ca="1">IFERROR(__xludf.DUMMYFUNCTION("IMPORTRANGE(""https://docs.google.com/spreadsheets/d/1GVExpf-Exi_2gmuqTYH28fseTB9MoKPXWcXCbSt_YrM/edit?usp=sharing"",""หนองคาย!J204"")"),3)</f>
        <v>3</v>
      </c>
      <c r="AO47" s="82">
        <f t="shared" ca="1" si="90"/>
        <v>100</v>
      </c>
      <c r="AP47" s="297">
        <f ca="1">IFERROR(__xludf.DUMMYFUNCTION("IMPORTRANGE(""https://docs.google.com/spreadsheets/d/1GVExpf-Exi_2gmuqTYH28fseTB9MoKPXWcXCbSt_YrM/edit?usp=sharing"",""หนองคาย!J206"")"),3)</f>
        <v>3</v>
      </c>
      <c r="AQ47" s="297">
        <f ca="1">IFERROR(__xludf.DUMMYFUNCTION("IMPORTRANGE(""https://docs.google.com/spreadsheets/d/1GVExpf-Exi_2gmuqTYH28fseTB9MoKPXWcXCbSt_YrM/edit?usp=sharing"",""หนองคาย!J207"")"),1)</f>
        <v>1</v>
      </c>
      <c r="AR47" s="81">
        <f ca="1">IFERROR(__xludf.DUMMYFUNCTION("IMPORTRANGE(""https://docs.google.com/spreadsheets/d/1GVExpf-Exi_2gmuqTYH28fseTB9MoKPXWcXCbSt_YrM/edit?usp=sharing"",""หนองคาย!L210"")"),1000)</f>
        <v>1000</v>
      </c>
      <c r="AS47" s="81">
        <f ca="1">IFERROR(__xludf.DUMMYFUNCTION("IMPORTRANGE(""https://docs.google.com/spreadsheets/d/1GVExpf-Exi_2gmuqTYH28fseTB9MoKPXWcXCbSt_YrM/edit?usp=sharing"",""หนองคาย!N210"")"),1000)</f>
        <v>1000</v>
      </c>
      <c r="AT47" s="82">
        <f t="shared" ca="1" si="91"/>
        <v>100</v>
      </c>
      <c r="AU47" s="81">
        <f ca="1">IFERROR(__xludf.DUMMYFUNCTION("IMPORTRANGE(""https://docs.google.com/spreadsheets/d/1GVExpf-Exi_2gmuqTYH28fseTB9MoKPXWcXCbSt_YrM/edit?usp=sharing"",""หนองคาย!L211"")"),5000)</f>
        <v>5000</v>
      </c>
      <c r="AV47" s="81">
        <f ca="1">IFERROR(__xludf.DUMMYFUNCTION("IMPORTRANGE(""https://docs.google.com/spreadsheets/d/1GVExpf-Exi_2gmuqTYH28fseTB9MoKPXWcXCbSt_YrM/edit?usp=sharing"",""หนองคาย!N211"")"),5000)</f>
        <v>5000</v>
      </c>
      <c r="AW47" s="82">
        <f t="shared" ca="1" si="92"/>
        <v>100</v>
      </c>
      <c r="AX47" s="81">
        <f ca="1">IFERROR(__xludf.DUMMYFUNCTION("IMPORTRANGE(""https://docs.google.com/spreadsheets/d/1GVExpf-Exi_2gmuqTYH28fseTB9MoKPXWcXCbSt_YrM/edit?usp=sharing"",""หนองคาย!L212"")"),8000)</f>
        <v>8000</v>
      </c>
      <c r="AY47" s="81">
        <f ca="1">IFERROR(__xludf.DUMMYFUNCTION("IMPORTRANGE(""https://docs.google.com/spreadsheets/d/1GVExpf-Exi_2gmuqTYH28fseTB9MoKPXWcXCbSt_YrM/edit?usp=sharing"",""หนองคาย!N212"")"),8000)</f>
        <v>8000</v>
      </c>
      <c r="AZ47" s="82">
        <f t="shared" ca="1" si="93"/>
        <v>100</v>
      </c>
      <c r="BA47" s="81">
        <f ca="1">IFERROR(__xludf.DUMMYFUNCTION("IMPORTRANGE(""https://docs.google.com/spreadsheets/d/1GVExpf-Exi_2gmuqTYH28fseTB9MoKPXWcXCbSt_YrM/edit?usp=sharing"",""หนองคาย!I214"")"),1)</f>
        <v>1</v>
      </c>
      <c r="BB47" s="81">
        <f ca="1">IFERROR(__xludf.DUMMYFUNCTION("IMPORTRANGE(""https://docs.google.com/spreadsheets/d/1GVExpf-Exi_2gmuqTYH28fseTB9MoKPXWcXCbSt_YrM/edit?usp=sharing"",""หนองคาย!J214"")"),1)</f>
        <v>1</v>
      </c>
      <c r="BC47" s="82">
        <f t="shared" ca="1" si="94"/>
        <v>100</v>
      </c>
      <c r="BD47" s="81">
        <f ca="1">IFERROR(__xludf.DUMMYFUNCTION("IMPORTRANGE(""https://docs.google.com/spreadsheets/d/1GVExpf-Exi_2gmuqTYH28fseTB9MoKPXWcXCbSt_YrM/edit?usp=sharing"",""หนองคาย!I215"")"),1)</f>
        <v>1</v>
      </c>
      <c r="BE47" s="81">
        <f ca="1">IFERROR(__xludf.DUMMYFUNCTION("IMPORTRANGE(""https://docs.google.com/spreadsheets/d/1GVExpf-Exi_2gmuqTYH28fseTB9MoKPXWcXCbSt_YrM/edit?usp=sharing"",""หนองคาย!J215"")"),1)</f>
        <v>1</v>
      </c>
      <c r="BF47" s="82">
        <f t="shared" ca="1" si="95"/>
        <v>100</v>
      </c>
      <c r="BG47" s="81">
        <f ca="1">IFERROR(__xludf.DUMMYFUNCTION("IMPORTRANGE(""https://docs.google.com/spreadsheets/d/1GVExpf-Exi_2gmuqTYH28fseTB9MoKPXWcXCbSt_YrM/edit?usp=sharing"",""หนองคาย!L218"")"),5000)</f>
        <v>5000</v>
      </c>
      <c r="BH47" s="81">
        <f ca="1">IFERROR(__xludf.DUMMYFUNCTION("IMPORTRANGE(""https://docs.google.com/spreadsheets/d/1GVExpf-Exi_2gmuqTYH28fseTB9MoKPXWcXCbSt_YrM/edit?usp=sharing"",""หนองคาย!N218"")"),5000)</f>
        <v>5000</v>
      </c>
      <c r="BI47" s="82">
        <f t="shared" ca="1" si="96"/>
        <v>100</v>
      </c>
      <c r="BJ47" s="81">
        <f ca="1">IFERROR(__xludf.DUMMYFUNCTION("IMPORTRANGE(""https://docs.google.com/spreadsheets/d/1GVExpf-Exi_2gmuqTYH28fseTB9MoKPXWcXCbSt_YrM/edit?usp=sharing"",""หนองคาย!L219"")"),8500)</f>
        <v>8500</v>
      </c>
      <c r="BK47" s="81">
        <f ca="1">IFERROR(__xludf.DUMMYFUNCTION("IMPORTRANGE(""https://docs.google.com/spreadsheets/d/1GVExpf-Exi_2gmuqTYH28fseTB9MoKPXWcXCbSt_YrM/edit?usp=sharing"",""หนองคาย!N219"")"),8500)</f>
        <v>8500</v>
      </c>
      <c r="BL47" s="82">
        <f t="shared" ca="1" si="97"/>
        <v>100</v>
      </c>
      <c r="BM47" s="81">
        <f ca="1">IFERROR(__xludf.DUMMYFUNCTION("IMPORTRANGE(""https://docs.google.com/spreadsheets/d/1GVExpf-Exi_2gmuqTYH28fseTB9MoKPXWcXCbSt_YrM/edit?usp=sharing"",""หนองคาย!L220"")"),0)</f>
        <v>0</v>
      </c>
      <c r="BN47" s="81">
        <f ca="1">IFERROR(__xludf.DUMMYFUNCTION("IMPORTRANGE(""https://docs.google.com/spreadsheets/d/1GVExpf-Exi_2gmuqTYH28fseTB9MoKPXWcXCbSt_YrM/edit?usp=sharing"",""หนองคาย!N220"")"),0)</f>
        <v>0</v>
      </c>
      <c r="BO47" s="82">
        <f t="shared" ca="1" si="98"/>
        <v>0</v>
      </c>
      <c r="BP47" s="81">
        <f ca="1">IFERROR(__xludf.DUMMYFUNCTION("IMPORTRANGE(""https://docs.google.com/spreadsheets/d/1GVExpf-Exi_2gmuqTYH28fseTB9MoKPXWcXCbSt_YrM/edit?usp=sharing"",""หนองคาย!I223"")"),30000)</f>
        <v>30000</v>
      </c>
      <c r="BQ47" s="81">
        <f ca="1">IFERROR(__xludf.DUMMYFUNCTION("IMPORTRANGE(""https://docs.google.com/spreadsheets/d/1GVExpf-Exi_2gmuqTYH28fseTB9MoKPXWcXCbSt_YrM/edit?usp=sharing"",""หนองคาย!J223"")"),30000)</f>
        <v>30000</v>
      </c>
      <c r="BR47" s="82">
        <f t="shared" ca="1" si="99"/>
        <v>100</v>
      </c>
      <c r="BS47" s="81">
        <f ca="1">IFERROR(__xludf.DUMMYFUNCTION("IMPORTRANGE(""https://docs.google.com/spreadsheets/d/1GVExpf-Exi_2gmuqTYH28fseTB9MoKPXWcXCbSt_YrM/edit?usp=sharing"",""หนองคาย!I224"")"),30000)</f>
        <v>30000</v>
      </c>
      <c r="BT47" s="81">
        <f ca="1">IFERROR(__xludf.DUMMYFUNCTION("IMPORTRANGE(""https://docs.google.com/spreadsheets/d/1GVExpf-Exi_2gmuqTYH28fseTB9MoKPXWcXCbSt_YrM/edit?usp=sharing"",""หนองคาย!J224"")"),30000)</f>
        <v>30000</v>
      </c>
      <c r="BU47" s="82">
        <f t="shared" ca="1" si="100"/>
        <v>100</v>
      </c>
      <c r="BV47" s="81">
        <f ca="1">IFERROR(__xludf.DUMMYFUNCTION("IMPORTRANGE(""https://docs.google.com/spreadsheets/d/1GVExpf-Exi_2gmuqTYH28fseTB9MoKPXWcXCbSt_YrM/edit?usp=sharing"",""หนองคาย!I225"")"),0)</f>
        <v>0</v>
      </c>
      <c r="BW47" s="81">
        <f ca="1">IFERROR(__xludf.DUMMYFUNCTION("IMPORTRANGE(""https://docs.google.com/spreadsheets/d/1GVExpf-Exi_2gmuqTYH28fseTB9MoKPXWcXCbSt_YrM/edit?usp=sharing"",""หนองคาย!J225"")"),0)</f>
        <v>0</v>
      </c>
      <c r="BX47" s="82">
        <f t="shared" ca="1" si="101"/>
        <v>0</v>
      </c>
      <c r="BY47" s="81">
        <f ca="1">IFERROR(__xludf.DUMMYFUNCTION("IMPORTRANGE(""https://docs.google.com/spreadsheets/d/1GVExpf-Exi_2gmuqTYH28fseTB9MoKPXWcXCbSt_YrM/edit?usp=sharing"",""หนองคาย!L228"")"),0)</f>
        <v>0</v>
      </c>
      <c r="BZ47" s="81">
        <f ca="1">IFERROR(__xludf.DUMMYFUNCTION("IMPORTRANGE(""https://docs.google.com/spreadsheets/d/1GVExpf-Exi_2gmuqTYH28fseTB9MoKPXWcXCbSt_YrM/edit?usp=sharing"",""หนองคาย!N228"")"),0)</f>
        <v>0</v>
      </c>
      <c r="CA47" s="82">
        <f t="shared" ca="1" si="102"/>
        <v>0</v>
      </c>
      <c r="CB47" s="81">
        <f ca="1">IFERROR(__xludf.DUMMYFUNCTION("IMPORTRANGE(""https://docs.google.com/spreadsheets/d/1GVExpf-Exi_2gmuqTYH28fseTB9MoKPXWcXCbSt_YrM/edit?usp=sharing"",""หนองคาย!L229"")"),0)</f>
        <v>0</v>
      </c>
      <c r="CC47" s="81">
        <f ca="1">IFERROR(__xludf.DUMMYFUNCTION("IMPORTRANGE(""https://docs.google.com/spreadsheets/d/1GVExpf-Exi_2gmuqTYH28fseTB9MoKPXWcXCbSt_YrM/edit?usp=sharing"",""หนองคาย!N229"")"),0)</f>
        <v>0</v>
      </c>
      <c r="CD47" s="82">
        <f t="shared" ca="1" si="103"/>
        <v>0</v>
      </c>
      <c r="CE47" s="81">
        <f ca="1">IFERROR(__xludf.DUMMYFUNCTION("IMPORTRANGE(""https://docs.google.com/spreadsheets/d/1GVExpf-Exi_2gmuqTYH28fseTB9MoKPXWcXCbSt_YrM/edit?usp=sharing"",""หนองคาย!L230"")"),0)</f>
        <v>0</v>
      </c>
      <c r="CF47" s="81">
        <f ca="1">IFERROR(__xludf.DUMMYFUNCTION("IMPORTRANGE(""https://docs.google.com/spreadsheets/d/1GVExpf-Exi_2gmuqTYH28fseTB9MoKPXWcXCbSt_YrM/edit?usp=sharing"",""หนองคาย!N230"")"),0)</f>
        <v>0</v>
      </c>
      <c r="CG47" s="82">
        <f t="shared" ca="1" si="104"/>
        <v>0</v>
      </c>
      <c r="CH47" s="81">
        <f ca="1">IFERROR(__xludf.DUMMYFUNCTION("IMPORTRANGE(""https://docs.google.com/spreadsheets/d/1GVExpf-Exi_2gmuqTYH28fseTB9MoKPXWcXCbSt_YrM/edit?usp=sharing"",""หนองคาย!L231"")"),0)</f>
        <v>0</v>
      </c>
      <c r="CI47" s="81">
        <f ca="1">IFERROR(__xludf.DUMMYFUNCTION("IMPORTRANGE(""https://docs.google.com/spreadsheets/d/1GVExpf-Exi_2gmuqTYH28fseTB9MoKPXWcXCbSt_YrM/edit?usp=sharing"",""หนองคาย!N231"")"),0)</f>
        <v>0</v>
      </c>
      <c r="CJ47" s="82">
        <f t="shared" ca="1" si="105"/>
        <v>0</v>
      </c>
      <c r="CK47" s="81">
        <f ca="1">IFERROR(__xludf.DUMMYFUNCTION("IMPORTRANGE(""https://docs.google.com/spreadsheets/d/1GVExpf-Exi_2gmuqTYH28fseTB9MoKPXWcXCbSt_YrM/edit?usp=sharing"",""หนองคาย!I233"")"),0)</f>
        <v>0</v>
      </c>
      <c r="CL47" s="81">
        <f ca="1">IFERROR(__xludf.DUMMYFUNCTION("IMPORTRANGE(""https://docs.google.com/spreadsheets/d/1GVExpf-Exi_2gmuqTYH28fseTB9MoKPXWcXCbSt_YrM/edit?usp=sharing"",""หนองคาย!J233"")"),0)</f>
        <v>0</v>
      </c>
      <c r="CM47" s="82">
        <f t="shared" ca="1" si="106"/>
        <v>0</v>
      </c>
      <c r="CN47" s="81">
        <f ca="1">IFERROR(__xludf.DUMMYFUNCTION("IMPORTRANGE(""https://docs.google.com/spreadsheets/d/1GVExpf-Exi_2gmuqTYH28fseTB9MoKPXWcXCbSt_YrM/edit?usp=sharing"",""หนองคาย!J235"")"),0)</f>
        <v>0</v>
      </c>
      <c r="CO47" s="81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3">
        <v>17</v>
      </c>
      <c r="B48" s="74" t="s">
        <v>70</v>
      </c>
      <c r="C48" s="75">
        <f t="shared" ca="1" si="0"/>
        <v>413500</v>
      </c>
      <c r="D48" s="76">
        <f t="shared" ca="1" si="160"/>
        <v>413500</v>
      </c>
      <c r="E48" s="77">
        <f ca="1">IFERROR(__xludf.DUMMYFUNCTION("IMPORTRANGE(""https://docs.google.com/spreadsheets/d/1MeEWN-I1oV_STSDYn1IFDPWt_1FKiwhDph83XaGc0o0/edit?usp=sharing"",""งบพรบ!CP48"")"),310000)</f>
        <v>310000</v>
      </c>
      <c r="F48" s="77">
        <f ca="1">IFERROR(__xludf.DUMMYFUNCTION("IMPORTRANGE(""https://docs.google.com/spreadsheets/d/1MeEWN-I1oV_STSDYn1IFDPWt_1FKiwhDph83XaGc0o0/edit?usp=sharing"",""งบพรบ!CQ48"")"),103500)</f>
        <v>103500</v>
      </c>
      <c r="G48" s="77">
        <f ca="1">IFERROR(__xludf.DUMMYFUNCTION("IMPORTRANGE(""https://docs.google.com/spreadsheets/d/1MeEWN-I1oV_STSDYn1IFDPWt_1FKiwhDph83XaGc0o0/edit?usp=sharing"",""งบพรบ!CR48"")"),0)</f>
        <v>0</v>
      </c>
      <c r="H48" s="77">
        <f ca="1">IFERROR(__xludf.DUMMYFUNCTION("IMPORTRANGE(""https://docs.google.com/spreadsheets/d/1MeEWN-I1oV_STSDYn1IFDPWt_1FKiwhDph83XaGc0o0/edit?usp=sharing"",""งบพรบ!CT48"")"),413500)</f>
        <v>413500</v>
      </c>
      <c r="I48" s="77">
        <f ca="1">IFERROR(__xludf.DUMMYFUNCTION("IMPORTRANGE(""https://docs.google.com/spreadsheets/d/1MeEWN-I1oV_STSDYn1IFDPWt_1FKiwhDph83XaGc0o0/edit?usp=sharing"",""งบพรบ!CU48"")"),0)</f>
        <v>0</v>
      </c>
      <c r="J48" s="77">
        <f t="shared" ca="1" si="3"/>
        <v>403824.99</v>
      </c>
      <c r="K48" s="78">
        <f t="shared" ca="1" si="4"/>
        <v>97.660215235792023</v>
      </c>
      <c r="L48" s="77">
        <f ca="1">IFERROR(__xludf.DUMMYFUNCTION("IMPORTRANGE(""https://docs.google.com/spreadsheets/d/1MeEWN-I1oV_STSDYn1IFDPWt_1FKiwhDph83XaGc0o0/edit?usp=sharing"",""งบพรบ!CV48"")"),403824.99)</f>
        <v>403824.99</v>
      </c>
      <c r="M48" s="79">
        <f t="shared" ca="1" si="5"/>
        <v>97.660215235792023</v>
      </c>
      <c r="N48" s="79">
        <f t="shared" ca="1" si="6"/>
        <v>97.660215235792023</v>
      </c>
      <c r="O48" s="80">
        <f ca="1">IFERROR(__xludf.DUMMYFUNCTION("IMPORTRANGE(""https://docs.google.com/spreadsheets/d/1MeEWN-I1oV_STSDYn1IFDPWt_1FKiwhDph83XaGc0o0/edit?usp=sharing"",""งบพรบ!CW48"")"),0)</f>
        <v>0</v>
      </c>
      <c r="P48" s="80">
        <f t="shared" ca="1" si="10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IFERROR(__xludf.DUMMYFUNCTION("IMPORTRANGE(""https://docs.google.com/spreadsheets/d/16UeMz0UgOB5BZcoxP75eYGcLFtGYRn9GoesD4OX9m5U/edit?usp=sharing"",""หนองบัวลำภู!L191"")"),6000)</f>
        <v>6000</v>
      </c>
      <c r="S48" s="81">
        <f ca="1">IFERROR(__xludf.DUMMYFUNCTION("IMPORTRANGE(""https://docs.google.com/spreadsheets/d/16UeMz0UgOB5BZcoxP75eYGcLFtGYRn9GoesD4OX9m5U/edit?usp=sharing"",""หนองบัวลำภู!N191"")"),6000)</f>
        <v>6000</v>
      </c>
      <c r="T48" s="82">
        <f t="shared" ca="1" si="84"/>
        <v>100</v>
      </c>
      <c r="U48" s="81">
        <f ca="1">IFERROR(__xludf.DUMMYFUNCTION("IMPORTRANGE(""https://docs.google.com/spreadsheets/d/16UeMz0UgOB5BZcoxP75eYGcLFtGYRn9GoesD4OX9m5U/edit?usp=sharing"",""หนองบัวลำภู!I193"")"),4)</f>
        <v>4</v>
      </c>
      <c r="V48" s="81">
        <f ca="1">IFERROR(__xludf.DUMMYFUNCTION("IMPORTRANGE(""https://docs.google.com/spreadsheets/d/16UeMz0UgOB5BZcoxP75eYGcLFtGYRn9GoesD4OX9m5U/edit?usp=sharing"",""หนองบัวลำภู!J193"")"),4)</f>
        <v>4</v>
      </c>
      <c r="W48" s="82">
        <f t="shared" ca="1" si="85"/>
        <v>100</v>
      </c>
      <c r="X48" s="81">
        <f t="shared" ca="1" si="161"/>
        <v>74</v>
      </c>
      <c r="Y48" s="81">
        <f ca="1">IFERROR(__xludf.DUMMYFUNCTION("IMPORTRANGE(""https://docs.google.com/spreadsheets/d/16UeMz0UgOB5BZcoxP75eYGcLFtGYRn9GoesD4OX9m5U/edit?usp=sharing"",""หนองบัวลำภู!J195"")"),74)</f>
        <v>74</v>
      </c>
      <c r="Z48" s="81">
        <f ca="1">IFERROR(__xludf.DUMMYFUNCTION("IMPORTRANGE(""https://docs.google.com/spreadsheets/d/16UeMz0UgOB5BZcoxP75eYGcLFtGYRn9GoesD4OX9m5U/edit?usp=sharing"",""หนองบัวลำภู!J196"")"),0)</f>
        <v>0</v>
      </c>
      <c r="AA48" s="81">
        <f ca="1">IFERROR(__xludf.DUMMYFUNCTION("IMPORTRANGE(""https://docs.google.com/spreadsheets/d/16UeMz0UgOB5BZcoxP75eYGcLFtGYRn9GoesD4OX9m5U/edit?usp=sharing"",""หนองบัวลำภู!L199"")"),3000)</f>
        <v>3000</v>
      </c>
      <c r="AB48" s="81">
        <f ca="1">IFERROR(__xludf.DUMMYFUNCTION("IMPORTRANGE(""https://docs.google.com/spreadsheets/d/16UeMz0UgOB5BZcoxP75eYGcLFtGYRn9GoesD4OX9m5U/edit?usp=sharing"",""หนองบัวลำภู!N199"")"),3000)</f>
        <v>3000</v>
      </c>
      <c r="AC48" s="82">
        <f t="shared" ca="1" si="86"/>
        <v>100</v>
      </c>
      <c r="AD48" s="81">
        <f ca="1">IFERROR(__xludf.DUMMYFUNCTION("IMPORTRANGE(""https://docs.google.com/spreadsheets/d/16UeMz0UgOB5BZcoxP75eYGcLFtGYRn9GoesD4OX9m5U/edit?usp=sharing"",""หนองบัวลำภู!L200"")"),24000)</f>
        <v>24000</v>
      </c>
      <c r="AE48" s="81">
        <f ca="1">IFERROR(__xludf.DUMMYFUNCTION("IMPORTRANGE(""https://docs.google.com/spreadsheets/d/16UeMz0UgOB5BZcoxP75eYGcLFtGYRn9GoesD4OX9m5U/edit?usp=sharing"",""หนองบัวลำภู!N200"")"),24000)</f>
        <v>24000</v>
      </c>
      <c r="AF48" s="82">
        <f t="shared" ca="1" si="87"/>
        <v>100</v>
      </c>
      <c r="AG48" s="81">
        <f ca="1">IFERROR(__xludf.DUMMYFUNCTION("IMPORTRANGE(""https://docs.google.com/spreadsheets/d/16UeMz0UgOB5BZcoxP75eYGcLFtGYRn9GoesD4OX9m5U/edit?usp=sharing"",""หนองบัวลำภู!L201"")"),12000)</f>
        <v>12000</v>
      </c>
      <c r="AH48" s="81">
        <f ca="1">IFERROR(__xludf.DUMMYFUNCTION("IMPORTRANGE(""https://docs.google.com/spreadsheets/d/16UeMz0UgOB5BZcoxP75eYGcLFtGYRn9GoesD4OX9m5U/edit?usp=sharing"",""หนองบัวลำภู!N201"")"),12000)</f>
        <v>12000</v>
      </c>
      <c r="AI48" s="82">
        <f t="shared" ca="1" si="88"/>
        <v>100</v>
      </c>
      <c r="AJ48" s="81">
        <f ca="1">IFERROR(__xludf.DUMMYFUNCTION("IMPORTRANGE(""https://docs.google.com/spreadsheets/d/16UeMz0UgOB5BZcoxP75eYGcLFtGYRn9GoesD4OX9m5U/edit?usp=sharing"",""หนองบัวลำภู!L202"")"),0)</f>
        <v>0</v>
      </c>
      <c r="AK48" s="81">
        <f ca="1">IFERROR(__xludf.DUMMYFUNCTION("IMPORTRANGE(""https://docs.google.com/spreadsheets/d/16UeMz0UgOB5BZcoxP75eYGcLFtGYRn9GoesD4OX9m5U/edit?usp=sharing"",""หนองบัวลำภู!N202"")"),0)</f>
        <v>0</v>
      </c>
      <c r="AL48" s="82">
        <f t="shared" ca="1" si="89"/>
        <v>0</v>
      </c>
      <c r="AM48" s="81">
        <f ca="1">IFERROR(__xludf.DUMMYFUNCTION("IMPORTRANGE(""https://docs.google.com/spreadsheets/d/16UeMz0UgOB5BZcoxP75eYGcLFtGYRn9GoesD4OX9m5U/edit?usp=sharing"",""หนองบัวลำภู!I204"")"),3)</f>
        <v>3</v>
      </c>
      <c r="AN48" s="81">
        <f ca="1">IFERROR(__xludf.DUMMYFUNCTION("IMPORTRANGE(""https://docs.google.com/spreadsheets/d/16UeMz0UgOB5BZcoxP75eYGcLFtGYRn9GoesD4OX9m5U/edit?usp=sharing"",""หนองบัวลำภู!J204"")"),3)</f>
        <v>3</v>
      </c>
      <c r="AO48" s="82">
        <f t="shared" ca="1" si="90"/>
        <v>100</v>
      </c>
      <c r="AP48" s="297">
        <f ca="1">IFERROR(__xludf.DUMMYFUNCTION("IMPORTRANGE(""https://docs.google.com/spreadsheets/d/16UeMz0UgOB5BZcoxP75eYGcLFtGYRn9GoesD4OX9m5U/edit?usp=sharing"",""หนองบัวลำภู!J206"")"),3)</f>
        <v>3</v>
      </c>
      <c r="AQ48" s="297">
        <f ca="1">IFERROR(__xludf.DUMMYFUNCTION("IMPORTRANGE(""https://docs.google.com/spreadsheets/d/16UeMz0UgOB5BZcoxP75eYGcLFtGYRn9GoesD4OX9m5U/edit?usp=sharing"",""หนองบัวลำภู!J207"")"),0)</f>
        <v>0</v>
      </c>
      <c r="AR48" s="81">
        <f ca="1">IFERROR(__xludf.DUMMYFUNCTION("IMPORTRANGE(""https://docs.google.com/spreadsheets/d/16UeMz0UgOB5BZcoxP75eYGcLFtGYRn9GoesD4OX9m5U/edit?usp=sharing"",""หนองบัวลำภู!L210"")"),3000)</f>
        <v>3000</v>
      </c>
      <c r="AS48" s="81">
        <f ca="1">IFERROR(__xludf.DUMMYFUNCTION("IMPORTRANGE(""https://docs.google.com/spreadsheets/d/16UeMz0UgOB5BZcoxP75eYGcLFtGYRn9GoesD4OX9m5U/edit?usp=sharing"",""หนองบัวลำภู!N210"")"),3000)</f>
        <v>3000</v>
      </c>
      <c r="AT48" s="82">
        <f t="shared" ca="1" si="91"/>
        <v>100</v>
      </c>
      <c r="AU48" s="81">
        <f ca="1">IFERROR(__xludf.DUMMYFUNCTION("IMPORTRANGE(""https://docs.google.com/spreadsheets/d/16UeMz0UgOB5BZcoxP75eYGcLFtGYRn9GoesD4OX9m5U/edit?usp=sharing"",""หนองบัวลำภู!L211"")"),15000)</f>
        <v>15000</v>
      </c>
      <c r="AV48" s="81">
        <f ca="1">IFERROR(__xludf.DUMMYFUNCTION("IMPORTRANGE(""https://docs.google.com/spreadsheets/d/16UeMz0UgOB5BZcoxP75eYGcLFtGYRn9GoesD4OX9m5U/edit?usp=sharing"",""หนองบัวลำภู!N211"")"),15000)</f>
        <v>15000</v>
      </c>
      <c r="AW48" s="82">
        <f t="shared" ca="1" si="92"/>
        <v>100</v>
      </c>
      <c r="AX48" s="81">
        <f ca="1">IFERROR(__xludf.DUMMYFUNCTION("IMPORTRANGE(""https://docs.google.com/spreadsheets/d/16UeMz0UgOB5BZcoxP75eYGcLFtGYRn9GoesD4OX9m5U/edit?usp=sharing"",""หนองบัวลำภู!L212"")"),24000)</f>
        <v>24000</v>
      </c>
      <c r="AY48" s="81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2">
        <f t="shared" ca="1" si="93"/>
        <v>100</v>
      </c>
      <c r="BA48" s="81">
        <f ca="1">IFERROR(__xludf.DUMMYFUNCTION("IMPORTRANGE(""https://docs.google.com/spreadsheets/d/16UeMz0UgOB5BZcoxP75eYGcLFtGYRn9GoesD4OX9m5U/edit?usp=sharing"",""หนองบัวลำภู!I214"")"),3)</f>
        <v>3</v>
      </c>
      <c r="BB48" s="81">
        <f ca="1">IFERROR(__xludf.DUMMYFUNCTION("IMPORTRANGE(""https://docs.google.com/spreadsheets/d/16UeMz0UgOB5BZcoxP75eYGcLFtGYRn9GoesD4OX9m5U/edit?usp=sharing"",""หนองบัวลำภู!J214"")"),3)</f>
        <v>3</v>
      </c>
      <c r="BC48" s="82">
        <f t="shared" ca="1" si="94"/>
        <v>100</v>
      </c>
      <c r="BD48" s="81">
        <f ca="1">IFERROR(__xludf.DUMMYFUNCTION("IMPORTRANGE(""https://docs.google.com/spreadsheets/d/16UeMz0UgOB5BZcoxP75eYGcLFtGYRn9GoesD4OX9m5U/edit?usp=sharing"",""หนองบัวลำภู!I215"")"),3)</f>
        <v>3</v>
      </c>
      <c r="BE48" s="81">
        <f ca="1">IFERROR(__xludf.DUMMYFUNCTION("IMPORTRANGE(""https://docs.google.com/spreadsheets/d/16UeMz0UgOB5BZcoxP75eYGcLFtGYRn9GoesD4OX9m5U/edit?usp=sharing"",""หนองบัวลำภู!J215"")"),3)</f>
        <v>3</v>
      </c>
      <c r="BF48" s="82">
        <f t="shared" ca="1" si="95"/>
        <v>100</v>
      </c>
      <c r="BG48" s="81">
        <f ca="1">IFERROR(__xludf.DUMMYFUNCTION("IMPORTRANGE(""https://docs.google.com/spreadsheets/d/16UeMz0UgOB5BZcoxP75eYGcLFtGYRn9GoesD4OX9m5U/edit?usp=sharing"",""หนองบัวลำภู!L218"")"),3000)</f>
        <v>3000</v>
      </c>
      <c r="BH48" s="81">
        <f ca="1">IFERROR(__xludf.DUMMYFUNCTION("IMPORTRANGE(""https://docs.google.com/spreadsheets/d/16UeMz0UgOB5BZcoxP75eYGcLFtGYRn9GoesD4OX9m5U/edit?usp=sharing"",""หนองบัวลำภู!N218"")"),3000)</f>
        <v>3000</v>
      </c>
      <c r="BI48" s="82">
        <f t="shared" ca="1" si="96"/>
        <v>100</v>
      </c>
      <c r="BJ48" s="81">
        <f ca="1">IFERROR(__xludf.DUMMYFUNCTION("IMPORTRANGE(""https://docs.google.com/spreadsheets/d/16UeMz0UgOB5BZcoxP75eYGcLFtGYRn9GoesD4OX9m5U/edit?usp=sharing"",""หนองบัวลำภู!L219"")"),3500)</f>
        <v>3500</v>
      </c>
      <c r="BK48" s="81">
        <f ca="1">IFERROR(__xludf.DUMMYFUNCTION("IMPORTRANGE(""https://docs.google.com/spreadsheets/d/16UeMz0UgOB5BZcoxP75eYGcLFtGYRn9GoesD4OX9m5U/edit?usp=sharing"",""หนองบัวลำภู!N219"")"),3500)</f>
        <v>3500</v>
      </c>
      <c r="BL48" s="82">
        <f t="shared" ca="1" si="97"/>
        <v>100</v>
      </c>
      <c r="BM48" s="81">
        <f ca="1">IFERROR(__xludf.DUMMYFUNCTION("IMPORTRANGE(""https://docs.google.com/spreadsheets/d/16UeMz0UgOB5BZcoxP75eYGcLFtGYRn9GoesD4OX9m5U/edit?usp=sharing"",""หนองบัวลำภู!L220"")"),10000)</f>
        <v>10000</v>
      </c>
      <c r="BN48" s="81">
        <f ca="1">IFERROR(__xludf.DUMMYFUNCTION("IMPORTRANGE(""https://docs.google.com/spreadsheets/d/16UeMz0UgOB5BZcoxP75eYGcLFtGYRn9GoesD4OX9m5U/edit?usp=sharing"",""หนองบัวลำภู!N220"")"),10000)</f>
        <v>10000</v>
      </c>
      <c r="BO48" s="82">
        <f t="shared" ca="1" si="98"/>
        <v>100</v>
      </c>
      <c r="BP48" s="81">
        <f ca="1">IFERROR(__xludf.DUMMYFUNCTION("IMPORTRANGE(""https://docs.google.com/spreadsheets/d/16UeMz0UgOB5BZcoxP75eYGcLFtGYRn9GoesD4OX9m5U/edit?usp=sharing"",""หนองบัวลำภู!I223"")"),10000)</f>
        <v>10000</v>
      </c>
      <c r="BQ48" s="81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2">
        <f t="shared" ca="1" si="99"/>
        <v>100</v>
      </c>
      <c r="BS48" s="81">
        <f ca="1">IFERROR(__xludf.DUMMYFUNCTION("IMPORTRANGE(""https://docs.google.com/spreadsheets/d/16UeMz0UgOB5BZcoxP75eYGcLFtGYRn9GoesD4OX9m5U/edit?usp=sharing"",""หนองบัวลำภู!I224"")"),10000)</f>
        <v>10000</v>
      </c>
      <c r="BT48" s="81">
        <f ca="1">IFERROR(__xludf.DUMMYFUNCTION("IMPORTRANGE(""https://docs.google.com/spreadsheets/d/16UeMz0UgOB5BZcoxP75eYGcLFtGYRn9GoesD4OX9m5U/edit?usp=sharing"",""หนองบัวลำภู!J224"")"),10000)</f>
        <v>10000</v>
      </c>
      <c r="BU48" s="82">
        <f t="shared" ca="1" si="100"/>
        <v>100</v>
      </c>
      <c r="BV48" s="81">
        <f ca="1">IFERROR(__xludf.DUMMYFUNCTION("IMPORTRANGE(""https://docs.google.com/spreadsheets/d/16UeMz0UgOB5BZcoxP75eYGcLFtGYRn9GoesD4OX9m5U/edit?usp=sharing"",""หนองบัวลำภู!I225"")"),10)</f>
        <v>10</v>
      </c>
      <c r="BW48" s="81">
        <f ca="1">IFERROR(__xludf.DUMMYFUNCTION("IMPORTRANGE(""https://docs.google.com/spreadsheets/d/16UeMz0UgOB5BZcoxP75eYGcLFtGYRn9GoesD4OX9m5U/edit?usp=sharing"",""หนองบัวลำภู!J225"")"),10)</f>
        <v>10</v>
      </c>
      <c r="BX48" s="82">
        <f t="shared" ca="1" si="101"/>
        <v>100</v>
      </c>
      <c r="BY48" s="81">
        <f ca="1">IFERROR(__xludf.DUMMYFUNCTION("IMPORTRANGE(""https://docs.google.com/spreadsheets/d/16UeMz0UgOB5BZcoxP75eYGcLFtGYRn9GoesD4OX9m5U/edit?usp=sharing"",""หนองบัวลำภู!L228"")"),0)</f>
        <v>0</v>
      </c>
      <c r="BZ48" s="81">
        <f ca="1">IFERROR(__xludf.DUMMYFUNCTION("IMPORTRANGE(""https://docs.google.com/spreadsheets/d/16UeMz0UgOB5BZcoxP75eYGcLFtGYRn9GoesD4OX9m5U/edit?usp=sharing"",""หนองบัวลำภู!N228"")"),0)</f>
        <v>0</v>
      </c>
      <c r="CA48" s="82">
        <f t="shared" ca="1" si="102"/>
        <v>0</v>
      </c>
      <c r="CB48" s="81">
        <f ca="1">IFERROR(__xludf.DUMMYFUNCTION("IMPORTRANGE(""https://docs.google.com/spreadsheets/d/16UeMz0UgOB5BZcoxP75eYGcLFtGYRn9GoesD4OX9m5U/edit?usp=sharing"",""หนองบัวลำภู!L229"")"),0)</f>
        <v>0</v>
      </c>
      <c r="CC48" s="81">
        <f ca="1">IFERROR(__xludf.DUMMYFUNCTION("IMPORTRANGE(""https://docs.google.com/spreadsheets/d/16UeMz0UgOB5BZcoxP75eYGcLFtGYRn9GoesD4OX9m5U/edit?usp=sharing"",""หนองบัวลำภู!N229"")"),0)</f>
        <v>0</v>
      </c>
      <c r="CD48" s="82">
        <f t="shared" ca="1" si="103"/>
        <v>0</v>
      </c>
      <c r="CE48" s="81">
        <f ca="1">IFERROR(__xludf.DUMMYFUNCTION("IMPORTRANGE(""https://docs.google.com/spreadsheets/d/16UeMz0UgOB5BZcoxP75eYGcLFtGYRn9GoesD4OX9m5U/edit?usp=sharing"",""หนองบัวลำภู!L230"")"),0)</f>
        <v>0</v>
      </c>
      <c r="CF48" s="81">
        <f ca="1">IFERROR(__xludf.DUMMYFUNCTION("IMPORTRANGE(""https://docs.google.com/spreadsheets/d/16UeMz0UgOB5BZcoxP75eYGcLFtGYRn9GoesD4OX9m5U/edit?usp=sharing"",""หนองบัวลำภู!N230"")"),0)</f>
        <v>0</v>
      </c>
      <c r="CG48" s="82">
        <f t="shared" ca="1" si="104"/>
        <v>0</v>
      </c>
      <c r="CH48" s="81">
        <f ca="1">IFERROR(__xludf.DUMMYFUNCTION("IMPORTRANGE(""https://docs.google.com/spreadsheets/d/16UeMz0UgOB5BZcoxP75eYGcLFtGYRn9GoesD4OX9m5U/edit?usp=sharing"",""หนองบัวลำภู!L231"")"),0)</f>
        <v>0</v>
      </c>
      <c r="CI48" s="81">
        <f ca="1">IFERROR(__xludf.DUMMYFUNCTION("IMPORTRANGE(""https://docs.google.com/spreadsheets/d/16UeMz0UgOB5BZcoxP75eYGcLFtGYRn9GoesD4OX9m5U/edit?usp=sharing"",""หนองบัวลำภู!N231"")"),0)</f>
        <v>0</v>
      </c>
      <c r="CJ48" s="82">
        <f t="shared" ca="1" si="105"/>
        <v>0</v>
      </c>
      <c r="CK48" s="81">
        <f ca="1">IFERROR(__xludf.DUMMYFUNCTION("IMPORTRANGE(""https://docs.google.com/spreadsheets/d/16UeMz0UgOB5BZcoxP75eYGcLFtGYRn9GoesD4OX9m5U/edit?usp=sharing"",""หนองบัวลำภู!I233"")"),0)</f>
        <v>0</v>
      </c>
      <c r="CL48" s="81">
        <f ca="1">IFERROR(__xludf.DUMMYFUNCTION("IMPORTRANGE(""https://docs.google.com/spreadsheets/d/16UeMz0UgOB5BZcoxP75eYGcLFtGYRn9GoesD4OX9m5U/edit?usp=sharing"",""หนองบัวลำภู!J233"")"),0)</f>
        <v>0</v>
      </c>
      <c r="CM48" s="82">
        <f t="shared" ca="1" si="106"/>
        <v>0</v>
      </c>
      <c r="CN48" s="81">
        <f ca="1">IFERROR(__xludf.DUMMYFUNCTION("IMPORTRANGE(""https://docs.google.com/spreadsheets/d/16UeMz0UgOB5BZcoxP75eYGcLFtGYRn9GoesD4OX9m5U/edit?usp=sharing"",""หนองบัวลำภู!J235"")"),0)</f>
        <v>0</v>
      </c>
      <c r="CO48" s="81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3">
        <v>18</v>
      </c>
      <c r="B49" s="74" t="s">
        <v>71</v>
      </c>
      <c r="C49" s="75">
        <f t="shared" ca="1" si="0"/>
        <v>73600</v>
      </c>
      <c r="D49" s="76">
        <f t="shared" ca="1" si="160"/>
        <v>73600</v>
      </c>
      <c r="E49" s="77">
        <f ca="1">IFERROR(__xludf.DUMMYFUNCTION("IMPORTRANGE(""https://docs.google.com/spreadsheets/d/1MeEWN-I1oV_STSDYn1IFDPWt_1FKiwhDph83XaGc0o0/edit?usp=sharing"",""งบพรบ!CP49"")"),0)</f>
        <v>0</v>
      </c>
      <c r="F49" s="77">
        <f ca="1">IFERROR(__xludf.DUMMYFUNCTION("IMPORTRANGE(""https://docs.google.com/spreadsheets/d/1MeEWN-I1oV_STSDYn1IFDPWt_1FKiwhDph83XaGc0o0/edit?usp=sharing"",""งบพรบ!CQ49"")"),73600)</f>
        <v>73600</v>
      </c>
      <c r="G49" s="77">
        <f ca="1">IFERROR(__xludf.DUMMYFUNCTION("IMPORTRANGE(""https://docs.google.com/spreadsheets/d/1MeEWN-I1oV_STSDYn1IFDPWt_1FKiwhDph83XaGc0o0/edit?usp=sharing"",""งบพรบ!CR49"")"),0)</f>
        <v>0</v>
      </c>
      <c r="H49" s="77">
        <f ca="1">IFERROR(__xludf.DUMMYFUNCTION("IMPORTRANGE(""https://docs.google.com/spreadsheets/d/1MeEWN-I1oV_STSDYn1IFDPWt_1FKiwhDph83XaGc0o0/edit?usp=sharing"",""งบพรบ!CT49"")"),73600)</f>
        <v>73600</v>
      </c>
      <c r="I49" s="77">
        <f ca="1">IFERROR(__xludf.DUMMYFUNCTION("IMPORTRANGE(""https://docs.google.com/spreadsheets/d/1MeEWN-I1oV_STSDYn1IFDPWt_1FKiwhDph83XaGc0o0/edit?usp=sharing"",""งบพรบ!CU49"")"),0)</f>
        <v>0</v>
      </c>
      <c r="J49" s="77">
        <f t="shared" ca="1" si="3"/>
        <v>77185</v>
      </c>
      <c r="K49" s="78">
        <f t="shared" ca="1" si="4"/>
        <v>104.87092391304348</v>
      </c>
      <c r="L49" s="77">
        <f ca="1">IFERROR(__xludf.DUMMYFUNCTION("IMPORTRANGE(""https://docs.google.com/spreadsheets/d/1MeEWN-I1oV_STSDYn1IFDPWt_1FKiwhDph83XaGc0o0/edit?usp=sharing"",""งบพรบ!CV49"")"),77185)</f>
        <v>77185</v>
      </c>
      <c r="M49" s="79">
        <f t="shared" ca="1" si="5"/>
        <v>104.87092391304348</v>
      </c>
      <c r="N49" s="79">
        <f t="shared" ca="1" si="6"/>
        <v>104.87092391304348</v>
      </c>
      <c r="O49" s="80">
        <f ca="1">IFERROR(__xludf.DUMMYFUNCTION("IMPORTRANGE(""https://docs.google.com/spreadsheets/d/1MeEWN-I1oV_STSDYn1IFDPWt_1FKiwhDph83XaGc0o0/edit?usp=sharing"",""งบพรบ!CW49"")"),0)</f>
        <v>0</v>
      </c>
      <c r="P49" s="80">
        <f t="shared" ca="1" si="10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IFERROR(__xludf.DUMMYFUNCTION("IMPORTRANGE(""https://docs.google.com/spreadsheets/d/1uUP8Zo1-qaJLuIkRU0qlwLSE3DHkbdrrj2JGJiWBQZE/edit?usp=sharing"",""อำนาจเจริญ!L191"")"),6000)</f>
        <v>6000</v>
      </c>
      <c r="S49" s="81">
        <f ca="1">IFERROR(__xludf.DUMMYFUNCTION("IMPORTRANGE(""https://docs.google.com/spreadsheets/d/1uUP8Zo1-qaJLuIkRU0qlwLSE3DHkbdrrj2JGJiWBQZE/edit?usp=sharing"",""อำนาจเจริญ!N191"")"),3390)</f>
        <v>3390</v>
      </c>
      <c r="T49" s="82">
        <f t="shared" ca="1" si="84"/>
        <v>56.5</v>
      </c>
      <c r="U49" s="81">
        <f ca="1">IFERROR(__xludf.DUMMYFUNCTION("IMPORTRANGE(""https://docs.google.com/spreadsheets/d/1uUP8Zo1-qaJLuIkRU0qlwLSE3DHkbdrrj2JGJiWBQZE/edit?usp=sharing"",""อำนาจเจริญ!I193"")"),4)</f>
        <v>4</v>
      </c>
      <c r="V49" s="81">
        <f ca="1">IFERROR(__xludf.DUMMYFUNCTION("IMPORTRANGE(""https://docs.google.com/spreadsheets/d/1uUP8Zo1-qaJLuIkRU0qlwLSE3DHkbdrrj2JGJiWBQZE/edit?usp=sharing"",""อำนาจเจริญ!J193"")"),4)</f>
        <v>4</v>
      </c>
      <c r="W49" s="82">
        <f t="shared" ca="1" si="85"/>
        <v>100</v>
      </c>
      <c r="X49" s="81">
        <f t="shared" ca="1" si="161"/>
        <v>69</v>
      </c>
      <c r="Y49" s="81">
        <f ca="1">IFERROR(__xludf.DUMMYFUNCTION("IMPORTRANGE(""https://docs.google.com/spreadsheets/d/1uUP8Zo1-qaJLuIkRU0qlwLSE3DHkbdrrj2JGJiWBQZE/edit?usp=sharing"",""อำนาจเจริญ!J195"")"),69)</f>
        <v>69</v>
      </c>
      <c r="Z49" s="81">
        <f ca="1">IFERROR(__xludf.DUMMYFUNCTION("IMPORTRANGE(""https://docs.google.com/spreadsheets/d/1uUP8Zo1-qaJLuIkRU0qlwLSE3DHkbdrrj2JGJiWBQZE/edit?usp=sharing"",""อำนาจเจริญ!J196"")"),0)</f>
        <v>0</v>
      </c>
      <c r="AA49" s="81">
        <f ca="1">IFERROR(__xludf.DUMMYFUNCTION("IMPORTRANGE(""https://docs.google.com/spreadsheets/d/1uUP8Zo1-qaJLuIkRU0qlwLSE3DHkbdrrj2JGJiWBQZE/edit?usp=sharing"",""อำนาจเจริญ!L199"")"),2000)</f>
        <v>2000</v>
      </c>
      <c r="AB49" s="81">
        <f ca="1">IFERROR(__xludf.DUMMYFUNCTION("IMPORTRANGE(""https://docs.google.com/spreadsheets/d/1uUP8Zo1-qaJLuIkRU0qlwLSE3DHkbdrrj2JGJiWBQZE/edit?usp=sharing"",""อำนาจเจริญ!N199"")"),2000)</f>
        <v>2000</v>
      </c>
      <c r="AC49" s="82">
        <f t="shared" ca="1" si="86"/>
        <v>100</v>
      </c>
      <c r="AD49" s="81">
        <f ca="1">IFERROR(__xludf.DUMMYFUNCTION("IMPORTRANGE(""https://docs.google.com/spreadsheets/d/1uUP8Zo1-qaJLuIkRU0qlwLSE3DHkbdrrj2JGJiWBQZE/edit?usp=sharing"",""อำนาจเจริญ!L200"")"),16000)</f>
        <v>16000</v>
      </c>
      <c r="AE49" s="81">
        <f ca="1">IFERROR(__xludf.DUMMYFUNCTION("IMPORTRANGE(""https://docs.google.com/spreadsheets/d/1uUP8Zo1-qaJLuIkRU0qlwLSE3DHkbdrrj2JGJiWBQZE/edit?usp=sharing"",""อำนาจเจริญ!N200"")"),16000)</f>
        <v>16000</v>
      </c>
      <c r="AF49" s="82">
        <f t="shared" ca="1" si="87"/>
        <v>100</v>
      </c>
      <c r="AG49" s="81">
        <f ca="1">IFERROR(__xludf.DUMMYFUNCTION("IMPORTRANGE(""https://docs.google.com/spreadsheets/d/1uUP8Zo1-qaJLuIkRU0qlwLSE3DHkbdrrj2JGJiWBQZE/edit?usp=sharing"",""อำนาจเจริญ!L201"")"),8000)</f>
        <v>8000</v>
      </c>
      <c r="AH49" s="81">
        <f ca="1">IFERROR(__xludf.DUMMYFUNCTION("IMPORTRANGE(""https://docs.google.com/spreadsheets/d/1uUP8Zo1-qaJLuIkRU0qlwLSE3DHkbdrrj2JGJiWBQZE/edit?usp=sharing"",""อำนาจเจริญ!N201"")"),8000)</f>
        <v>8000</v>
      </c>
      <c r="AI49" s="82">
        <f t="shared" ca="1" si="88"/>
        <v>100</v>
      </c>
      <c r="AJ49" s="81">
        <f ca="1">IFERROR(__xludf.DUMMYFUNCTION("IMPORTRANGE(""https://docs.google.com/spreadsheets/d/1uUP8Zo1-qaJLuIkRU0qlwLSE3DHkbdrrj2JGJiWBQZE/edit?usp=sharing"",""อำนาจเจริญ!L202"")"),5000)</f>
        <v>5000</v>
      </c>
      <c r="AK49" s="81">
        <f ca="1">IFERROR(__xludf.DUMMYFUNCTION("IMPORTRANGE(""https://docs.google.com/spreadsheets/d/1uUP8Zo1-qaJLuIkRU0qlwLSE3DHkbdrrj2JGJiWBQZE/edit?usp=sharing"",""อำนาจเจริญ!N202"")"),5000)</f>
        <v>5000</v>
      </c>
      <c r="AL49" s="82">
        <f t="shared" ca="1" si="89"/>
        <v>100</v>
      </c>
      <c r="AM49" s="81">
        <f ca="1">IFERROR(__xludf.DUMMYFUNCTION("IMPORTRANGE(""https://docs.google.com/spreadsheets/d/1uUP8Zo1-qaJLuIkRU0qlwLSE3DHkbdrrj2JGJiWBQZE/edit?usp=sharing"",""อำนาจเจริญ!I204"")"),2)</f>
        <v>2</v>
      </c>
      <c r="AN49" s="81">
        <f ca="1">IFERROR(__xludf.DUMMYFUNCTION("IMPORTRANGE(""https://docs.google.com/spreadsheets/d/1uUP8Zo1-qaJLuIkRU0qlwLSE3DHkbdrrj2JGJiWBQZE/edit?usp=sharing"",""อำนาจเจริญ!J204"")"),2)</f>
        <v>2</v>
      </c>
      <c r="AO49" s="82">
        <f t="shared" ca="1" si="90"/>
        <v>100</v>
      </c>
      <c r="AP49" s="297">
        <f ca="1">IFERROR(__xludf.DUMMYFUNCTION("IMPORTRANGE(""https://docs.google.com/spreadsheets/d/1uUP8Zo1-qaJLuIkRU0qlwLSE3DHkbdrrj2JGJiWBQZE/edit?usp=sharing"",""อำนาจเจริญ!J206"")"),2)</f>
        <v>2</v>
      </c>
      <c r="AQ49" s="297">
        <f ca="1">IFERROR(__xludf.DUMMYFUNCTION("IMPORTRANGE(""https://docs.google.com/spreadsheets/d/1uUP8Zo1-qaJLuIkRU0qlwLSE3DHkbdrrj2JGJiWBQZE/edit?usp=sharing"",""อำนาจเจริญ!J207"")"),1)</f>
        <v>1</v>
      </c>
      <c r="AR49" s="81">
        <f ca="1">IFERROR(__xludf.DUMMYFUNCTION("IMPORTRANGE(""https://docs.google.com/spreadsheets/d/1uUP8Zo1-qaJLuIkRU0qlwLSE3DHkbdrrj2JGJiWBQZE/edit?usp=sharing"",""อำนาจเจริญ!L210"")"),1000)</f>
        <v>1000</v>
      </c>
      <c r="AS49" s="81">
        <f ca="1">IFERROR(__xludf.DUMMYFUNCTION("IMPORTRANGE(""https://docs.google.com/spreadsheets/d/1uUP8Zo1-qaJLuIkRU0qlwLSE3DHkbdrrj2JGJiWBQZE/edit?usp=sharing"",""อำนาจเจริญ!N210"")"),1000)</f>
        <v>1000</v>
      </c>
      <c r="AT49" s="82">
        <f t="shared" ca="1" si="91"/>
        <v>100</v>
      </c>
      <c r="AU49" s="81">
        <f ca="1">IFERROR(__xludf.DUMMYFUNCTION("IMPORTRANGE(""https://docs.google.com/spreadsheets/d/1uUP8Zo1-qaJLuIkRU0qlwLSE3DHkbdrrj2JGJiWBQZE/edit?usp=sharing"",""อำนาจเจริญ!L211"")"),5000)</f>
        <v>5000</v>
      </c>
      <c r="AV49" s="81">
        <f ca="1">IFERROR(__xludf.DUMMYFUNCTION("IMPORTRANGE(""https://docs.google.com/spreadsheets/d/1uUP8Zo1-qaJLuIkRU0qlwLSE3DHkbdrrj2JGJiWBQZE/edit?usp=sharing"",""อำนาจเจริญ!N211"")"),5000)</f>
        <v>5000</v>
      </c>
      <c r="AW49" s="82">
        <f t="shared" ca="1" si="92"/>
        <v>100</v>
      </c>
      <c r="AX49" s="81">
        <f ca="1">IFERROR(__xludf.DUMMYFUNCTION("IMPORTRANGE(""https://docs.google.com/spreadsheets/d/1uUP8Zo1-qaJLuIkRU0qlwLSE3DHkbdrrj2JGJiWBQZE/edit?usp=sharing"",""อำนาจเจริญ!L212"")"),8000)</f>
        <v>8000</v>
      </c>
      <c r="AY49" s="81">
        <f ca="1">IFERROR(__xludf.DUMMYFUNCTION("IMPORTRANGE(""https://docs.google.com/spreadsheets/d/1uUP8Zo1-qaJLuIkRU0qlwLSE3DHkbdrrj2JGJiWBQZE/edit?usp=sharing"",""อำนาจเจริญ!N212"")"),8000)</f>
        <v>8000</v>
      </c>
      <c r="AZ49" s="82">
        <f t="shared" ca="1" si="93"/>
        <v>100</v>
      </c>
      <c r="BA49" s="81">
        <f ca="1">IFERROR(__xludf.DUMMYFUNCTION("IMPORTRANGE(""https://docs.google.com/spreadsheets/d/1uUP8Zo1-qaJLuIkRU0qlwLSE3DHkbdrrj2JGJiWBQZE/edit?usp=sharing"",""อำนาจเจริญ!I214"")"),1)</f>
        <v>1</v>
      </c>
      <c r="BB49" s="81">
        <f ca="1">IFERROR(__xludf.DUMMYFUNCTION("IMPORTRANGE(""https://docs.google.com/spreadsheets/d/1uUP8Zo1-qaJLuIkRU0qlwLSE3DHkbdrrj2JGJiWBQZE/edit?usp=sharing"",""อำนาจเจริญ!J214"")"),1)</f>
        <v>1</v>
      </c>
      <c r="BC49" s="82">
        <f t="shared" ca="1" si="94"/>
        <v>100</v>
      </c>
      <c r="BD49" s="81">
        <f ca="1">IFERROR(__xludf.DUMMYFUNCTION("IMPORTRANGE(""https://docs.google.com/spreadsheets/d/1uUP8Zo1-qaJLuIkRU0qlwLSE3DHkbdrrj2JGJiWBQZE/edit?usp=sharing"",""อำนาจเจริญ!I215"")"),1)</f>
        <v>1</v>
      </c>
      <c r="BE49" s="81">
        <f ca="1">IFERROR(__xludf.DUMMYFUNCTION("IMPORTRANGE(""https://docs.google.com/spreadsheets/d/1uUP8Zo1-qaJLuIkRU0qlwLSE3DHkbdrrj2JGJiWBQZE/edit?usp=sharing"",""อำนาจเจริญ!J215"")"),1)</f>
        <v>1</v>
      </c>
      <c r="BF49" s="82">
        <f t="shared" ca="1" si="95"/>
        <v>100</v>
      </c>
      <c r="BG49" s="81">
        <f ca="1">IFERROR(__xludf.DUMMYFUNCTION("IMPORTRANGE(""https://docs.google.com/spreadsheets/d/1uUP8Zo1-qaJLuIkRU0qlwLSE3DHkbdrrj2JGJiWBQZE/edit?usp=sharing"",""อำนาจเจริญ!L218"")"),5000)</f>
        <v>5000</v>
      </c>
      <c r="BH49" s="81">
        <f ca="1">IFERROR(__xludf.DUMMYFUNCTION("IMPORTRANGE(""https://docs.google.com/spreadsheets/d/1uUP8Zo1-qaJLuIkRU0qlwLSE3DHkbdrrj2JGJiWBQZE/edit?usp=sharing"",""อำนาจเจริญ!N218"")"),3875)</f>
        <v>3875</v>
      </c>
      <c r="BI49" s="82">
        <f t="shared" ca="1" si="96"/>
        <v>77.5</v>
      </c>
      <c r="BJ49" s="81">
        <f ca="1">IFERROR(__xludf.DUMMYFUNCTION("IMPORTRANGE(""https://docs.google.com/spreadsheets/d/1uUP8Zo1-qaJLuIkRU0qlwLSE3DHkbdrrj2JGJiWBQZE/edit?usp=sharing"",""อำนาจเจริญ!L219"")"),17600)</f>
        <v>17600</v>
      </c>
      <c r="BK49" s="81">
        <f ca="1">IFERROR(__xludf.DUMMYFUNCTION("IMPORTRANGE(""https://docs.google.com/spreadsheets/d/1uUP8Zo1-qaJLuIkRU0qlwLSE3DHkbdrrj2JGJiWBQZE/edit?usp=sharing"",""อำนาจเจริญ!N219"")"),10360)</f>
        <v>10360</v>
      </c>
      <c r="BL49" s="82">
        <f t="shared" ca="1" si="97"/>
        <v>58.863636363636367</v>
      </c>
      <c r="BM49" s="81">
        <f ca="1">IFERROR(__xludf.DUMMYFUNCTION("IMPORTRANGE(""https://docs.google.com/spreadsheets/d/1uUP8Zo1-qaJLuIkRU0qlwLSE3DHkbdrrj2JGJiWBQZE/edit?usp=sharing"",""อำนาจเจริญ!L220"")"),0)</f>
        <v>0</v>
      </c>
      <c r="BN49" s="81">
        <f ca="1">IFERROR(__xludf.DUMMYFUNCTION("IMPORTRANGE(""https://docs.google.com/spreadsheets/d/1uUP8Zo1-qaJLuIkRU0qlwLSE3DHkbdrrj2JGJiWBQZE/edit?usp=sharing"",""อำนาจเจริญ!N220"")"),0)</f>
        <v>0</v>
      </c>
      <c r="BO49" s="82">
        <f t="shared" ca="1" si="98"/>
        <v>0</v>
      </c>
      <c r="BP49" s="81">
        <f ca="1">IFERROR(__xludf.DUMMYFUNCTION("IMPORTRANGE(""https://docs.google.com/spreadsheets/d/1uUP8Zo1-qaJLuIkRU0qlwLSE3DHkbdrrj2JGJiWBQZE/edit?usp=sharing"",""อำนาจเจริญ!I223"")"),64000)</f>
        <v>64000</v>
      </c>
      <c r="BQ49" s="81">
        <f ca="1">IFERROR(__xludf.DUMMYFUNCTION("IMPORTRANGE(""https://docs.google.com/spreadsheets/d/1uUP8Zo1-qaJLuIkRU0qlwLSE3DHkbdrrj2JGJiWBQZE/edit?usp=sharing"",""อำนาจเจริญ!J223"")"),64000)</f>
        <v>64000</v>
      </c>
      <c r="BR49" s="82">
        <f t="shared" ca="1" si="99"/>
        <v>100</v>
      </c>
      <c r="BS49" s="81">
        <f ca="1">IFERROR(__xludf.DUMMYFUNCTION("IMPORTRANGE(""https://docs.google.com/spreadsheets/d/1uUP8Zo1-qaJLuIkRU0qlwLSE3DHkbdrrj2JGJiWBQZE/edit?usp=sharing"",""อำนาจเจริญ!I224"")"),64000)</f>
        <v>64000</v>
      </c>
      <c r="BT49" s="81">
        <f ca="1">IFERROR(__xludf.DUMMYFUNCTION("IMPORTRANGE(""https://docs.google.com/spreadsheets/d/1uUP8Zo1-qaJLuIkRU0qlwLSE3DHkbdrrj2JGJiWBQZE/edit?usp=sharing"",""อำนาจเจริญ!J224"")"),64000)</f>
        <v>64000</v>
      </c>
      <c r="BU49" s="82">
        <f t="shared" ca="1" si="100"/>
        <v>100</v>
      </c>
      <c r="BV49" s="81">
        <f ca="1">IFERROR(__xludf.DUMMYFUNCTION("IMPORTRANGE(""https://docs.google.com/spreadsheets/d/1uUP8Zo1-qaJLuIkRU0qlwLSE3DHkbdrrj2JGJiWBQZE/edit?usp=sharing"",""อำนาจเจริญ!I225"")"),0)</f>
        <v>0</v>
      </c>
      <c r="BW49" s="81">
        <f ca="1">IFERROR(__xludf.DUMMYFUNCTION("IMPORTRANGE(""https://docs.google.com/spreadsheets/d/1uUP8Zo1-qaJLuIkRU0qlwLSE3DHkbdrrj2JGJiWBQZE/edit?usp=sharing"",""อำนาจเจริญ!J225"")"),0)</f>
        <v>0</v>
      </c>
      <c r="BX49" s="82">
        <f t="shared" ca="1" si="101"/>
        <v>0</v>
      </c>
      <c r="BY49" s="81">
        <f ca="1">IFERROR(__xludf.DUMMYFUNCTION("IMPORTRANGE(""https://docs.google.com/spreadsheets/d/1uUP8Zo1-qaJLuIkRU0qlwLSE3DHkbdrrj2JGJiWBQZE/edit?usp=sharing"",""อำนาจเจริญ!L228"")"),0)</f>
        <v>0</v>
      </c>
      <c r="BZ49" s="81">
        <f ca="1">IFERROR(__xludf.DUMMYFUNCTION("IMPORTRANGE(""https://docs.google.com/spreadsheets/d/1uUP8Zo1-qaJLuIkRU0qlwLSE3DHkbdrrj2JGJiWBQZE/edit?usp=sharing"",""อำนาจเจริญ!N228"")"),0)</f>
        <v>0</v>
      </c>
      <c r="CA49" s="82">
        <f t="shared" ca="1" si="102"/>
        <v>0</v>
      </c>
      <c r="CB49" s="81">
        <f ca="1">IFERROR(__xludf.DUMMYFUNCTION("IMPORTRANGE(""https://docs.google.com/spreadsheets/d/1uUP8Zo1-qaJLuIkRU0qlwLSE3DHkbdrrj2JGJiWBQZE/edit?usp=sharing"",""อำนาจเจริญ!L229"")"),0)</f>
        <v>0</v>
      </c>
      <c r="CC49" s="81">
        <f ca="1">IFERROR(__xludf.DUMMYFUNCTION("IMPORTRANGE(""https://docs.google.com/spreadsheets/d/1uUP8Zo1-qaJLuIkRU0qlwLSE3DHkbdrrj2JGJiWBQZE/edit?usp=sharing"",""อำนาจเจริญ!N229"")"),0)</f>
        <v>0</v>
      </c>
      <c r="CD49" s="82">
        <f t="shared" ca="1" si="103"/>
        <v>0</v>
      </c>
      <c r="CE49" s="81">
        <f ca="1">IFERROR(__xludf.DUMMYFUNCTION("IMPORTRANGE(""https://docs.google.com/spreadsheets/d/1uUP8Zo1-qaJLuIkRU0qlwLSE3DHkbdrrj2JGJiWBQZE/edit?usp=sharing"",""อำนาจเจริญ!L230"")"),0)</f>
        <v>0</v>
      </c>
      <c r="CF49" s="81">
        <f ca="1">IFERROR(__xludf.DUMMYFUNCTION("IMPORTRANGE(""https://docs.google.com/spreadsheets/d/1uUP8Zo1-qaJLuIkRU0qlwLSE3DHkbdrrj2JGJiWBQZE/edit?usp=sharing"",""อำนาจเจริญ!N230"")"),0)</f>
        <v>0</v>
      </c>
      <c r="CG49" s="82">
        <f t="shared" ca="1" si="104"/>
        <v>0</v>
      </c>
      <c r="CH49" s="81">
        <f ca="1">IFERROR(__xludf.DUMMYFUNCTION("IMPORTRANGE(""https://docs.google.com/spreadsheets/d/1uUP8Zo1-qaJLuIkRU0qlwLSE3DHkbdrrj2JGJiWBQZE/edit?usp=sharing"",""อำนาจเจริญ!L231"")"),0)</f>
        <v>0</v>
      </c>
      <c r="CI49" s="81">
        <f ca="1">IFERROR(__xludf.DUMMYFUNCTION("IMPORTRANGE(""https://docs.google.com/spreadsheets/d/1uUP8Zo1-qaJLuIkRU0qlwLSE3DHkbdrrj2JGJiWBQZE/edit?usp=sharing"",""อำนาจเจริญ!N231"")"),0)</f>
        <v>0</v>
      </c>
      <c r="CJ49" s="82">
        <f t="shared" ca="1" si="105"/>
        <v>0</v>
      </c>
      <c r="CK49" s="81">
        <f ca="1">IFERROR(__xludf.DUMMYFUNCTION("IMPORTRANGE(""https://docs.google.com/spreadsheets/d/1uUP8Zo1-qaJLuIkRU0qlwLSE3DHkbdrrj2JGJiWBQZE/edit?usp=sharing"",""อำนาจเจริญ!I233"")"),0)</f>
        <v>0</v>
      </c>
      <c r="CL49" s="81">
        <f ca="1">IFERROR(__xludf.DUMMYFUNCTION("IMPORTRANGE(""https://docs.google.com/spreadsheets/d/1uUP8Zo1-qaJLuIkRU0qlwLSE3DHkbdrrj2JGJiWBQZE/edit?usp=sharing"",""อำนาจเจริญ!J233"")"),0)</f>
        <v>0</v>
      </c>
      <c r="CM49" s="82">
        <f t="shared" ca="1" si="106"/>
        <v>0</v>
      </c>
      <c r="CN49" s="81">
        <f ca="1">IFERROR(__xludf.DUMMYFUNCTION("IMPORTRANGE(""https://docs.google.com/spreadsheets/d/1uUP8Zo1-qaJLuIkRU0qlwLSE3DHkbdrrj2JGJiWBQZE/edit?usp=sharing"",""อำนาจเจริญ!J235"")"),0)</f>
        <v>0</v>
      </c>
      <c r="CO49" s="81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3">
        <v>19</v>
      </c>
      <c r="B50" s="74" t="s">
        <v>72</v>
      </c>
      <c r="C50" s="75">
        <f t="shared" ca="1" si="0"/>
        <v>93500</v>
      </c>
      <c r="D50" s="76">
        <f t="shared" ca="1" si="160"/>
        <v>93500</v>
      </c>
      <c r="E50" s="77">
        <f ca="1">IFERROR(__xludf.DUMMYFUNCTION("IMPORTRANGE(""https://docs.google.com/spreadsheets/d/1MeEWN-I1oV_STSDYn1IFDPWt_1FKiwhDph83XaGc0o0/edit?usp=sharing"",""งบพรบ!CP50"")"),0)</f>
        <v>0</v>
      </c>
      <c r="F50" s="77">
        <f ca="1">IFERROR(__xludf.DUMMYFUNCTION("IMPORTRANGE(""https://docs.google.com/spreadsheets/d/1MeEWN-I1oV_STSDYn1IFDPWt_1FKiwhDph83XaGc0o0/edit?usp=sharing"",""งบพรบ!CQ50"")"),93500)</f>
        <v>93500</v>
      </c>
      <c r="G50" s="77">
        <f ca="1">IFERROR(__xludf.DUMMYFUNCTION("IMPORTRANGE(""https://docs.google.com/spreadsheets/d/1MeEWN-I1oV_STSDYn1IFDPWt_1FKiwhDph83XaGc0o0/edit?usp=sharing"",""งบพรบ!CR50"")"),0)</f>
        <v>0</v>
      </c>
      <c r="H50" s="77">
        <f ca="1">IFERROR(__xludf.DUMMYFUNCTION("IMPORTRANGE(""https://docs.google.com/spreadsheets/d/1MeEWN-I1oV_STSDYn1IFDPWt_1FKiwhDph83XaGc0o0/edit?usp=sharing"",""งบพรบ!CT50"")"),108940)</f>
        <v>108940</v>
      </c>
      <c r="I50" s="77">
        <f ca="1">IFERROR(__xludf.DUMMYFUNCTION("IMPORTRANGE(""https://docs.google.com/spreadsheets/d/1MeEWN-I1oV_STSDYn1IFDPWt_1FKiwhDph83XaGc0o0/edit?usp=sharing"",""งบพรบ!CU50"")"),0)</f>
        <v>0</v>
      </c>
      <c r="J50" s="77">
        <f t="shared" ca="1" si="3"/>
        <v>101305</v>
      </c>
      <c r="K50" s="78">
        <f t="shared" ca="1" si="4"/>
        <v>108.3475935828877</v>
      </c>
      <c r="L50" s="77">
        <f ca="1">IFERROR(__xludf.DUMMYFUNCTION("IMPORTRANGE(""https://docs.google.com/spreadsheets/d/1MeEWN-I1oV_STSDYn1IFDPWt_1FKiwhDph83XaGc0o0/edit?usp=sharing"",""งบพรบ!CV50"")"),101305)</f>
        <v>101305</v>
      </c>
      <c r="M50" s="79">
        <f t="shared" ca="1" si="5"/>
        <v>108.3475935828877</v>
      </c>
      <c r="N50" s="79">
        <f t="shared" ca="1" si="6"/>
        <v>92.99155498439508</v>
      </c>
      <c r="O50" s="80">
        <f ca="1">IFERROR(__xludf.DUMMYFUNCTION("IMPORTRANGE(""https://docs.google.com/spreadsheets/d/1MeEWN-I1oV_STSDYn1IFDPWt_1FKiwhDph83XaGc0o0/edit?usp=sharing"",""งบพรบ!CW50"")"),0)</f>
        <v>0</v>
      </c>
      <c r="P50" s="80">
        <f t="shared" ca="1" si="10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IFERROR(__xludf.DUMMYFUNCTION("IMPORTRANGE(""https://docs.google.com/spreadsheets/d/1hb_taSOHanzRjqfzWPiFo8yiT83VV1L7vvUCLhOiHKc/edit?usp=sharing"",""อุดรธานี!L191"")"),6000)</f>
        <v>6000</v>
      </c>
      <c r="S50" s="81">
        <f ca="1">IFERROR(__xludf.DUMMYFUNCTION("IMPORTRANGE(""https://docs.google.com/spreadsheets/d/1hb_taSOHanzRjqfzWPiFo8yiT83VV1L7vvUCLhOiHKc/edit?usp=sharing"",""อุดรธานี!N191"")"),0)</f>
        <v>0</v>
      </c>
      <c r="T50" s="82">
        <f t="shared" ca="1" si="84"/>
        <v>0</v>
      </c>
      <c r="U50" s="81">
        <f ca="1">IFERROR(__xludf.DUMMYFUNCTION("IMPORTRANGE(""https://docs.google.com/spreadsheets/d/1hb_taSOHanzRjqfzWPiFo8yiT83VV1L7vvUCLhOiHKc/edit?usp=sharing"",""อุดรธานี!I193"")"),4)</f>
        <v>4</v>
      </c>
      <c r="V50" s="81">
        <f ca="1">IFERROR(__xludf.DUMMYFUNCTION("IMPORTRANGE(""https://docs.google.com/spreadsheets/d/1hb_taSOHanzRjqfzWPiFo8yiT83VV1L7vvUCLhOiHKc/edit?usp=sharing"",""อุดรธานี!J193"")"),3)</f>
        <v>3</v>
      </c>
      <c r="W50" s="82">
        <f t="shared" ca="1" si="85"/>
        <v>75</v>
      </c>
      <c r="X50" s="81">
        <f t="shared" ca="1" si="161"/>
        <v>194</v>
      </c>
      <c r="Y50" s="81">
        <f ca="1">IFERROR(__xludf.DUMMYFUNCTION("IMPORTRANGE(""https://docs.google.com/spreadsheets/d/1hb_taSOHanzRjqfzWPiFo8yiT83VV1L7vvUCLhOiHKc/edit?usp=sharing"",""อุดรธานี!J195"")"),179)</f>
        <v>179</v>
      </c>
      <c r="Z50" s="81">
        <f ca="1">IFERROR(__xludf.DUMMYFUNCTION("IMPORTRANGE(""https://docs.google.com/spreadsheets/d/1hb_taSOHanzRjqfzWPiFo8yiT83VV1L7vvUCLhOiHKc/edit?usp=sharing"",""อุดรธานี!J196"")"),15)</f>
        <v>15</v>
      </c>
      <c r="AA50" s="81">
        <f ca="1">IFERROR(__xludf.DUMMYFUNCTION("IMPORTRANGE(""https://docs.google.com/spreadsheets/d/1hb_taSOHanzRjqfzWPiFo8yiT83VV1L7vvUCLhOiHKc/edit?usp=sharing"",""อุดรธานี!L199"")"),3000)</f>
        <v>3000</v>
      </c>
      <c r="AB50" s="81">
        <f ca="1">IFERROR(__xludf.DUMMYFUNCTION("IMPORTRANGE(""https://docs.google.com/spreadsheets/d/1hb_taSOHanzRjqfzWPiFo8yiT83VV1L7vvUCLhOiHKc/edit?usp=sharing"",""อุดรธานี!N199"")"),3000)</f>
        <v>3000</v>
      </c>
      <c r="AC50" s="82">
        <f t="shared" ca="1" si="86"/>
        <v>100</v>
      </c>
      <c r="AD50" s="81">
        <f ca="1">IFERROR(__xludf.DUMMYFUNCTION("IMPORTRANGE(""https://docs.google.com/spreadsheets/d/1hb_taSOHanzRjqfzWPiFo8yiT83VV1L7vvUCLhOiHKc/edit?usp=sharing"",""อุดรธานี!L200"")"),24000)</f>
        <v>24000</v>
      </c>
      <c r="AE50" s="81">
        <f ca="1">IFERROR(__xludf.DUMMYFUNCTION("IMPORTRANGE(""https://docs.google.com/spreadsheets/d/1hb_taSOHanzRjqfzWPiFo8yiT83VV1L7vvUCLhOiHKc/edit?usp=sharing"",""อุดรธานี!N200"")"),24000)</f>
        <v>24000</v>
      </c>
      <c r="AF50" s="82">
        <f t="shared" ca="1" si="87"/>
        <v>100</v>
      </c>
      <c r="AG50" s="81">
        <f ca="1">IFERROR(__xludf.DUMMYFUNCTION("IMPORTRANGE(""https://docs.google.com/spreadsheets/d/1hb_taSOHanzRjqfzWPiFo8yiT83VV1L7vvUCLhOiHKc/edit?usp=sharing"",""อุดรธานี!L201"")"),12000)</f>
        <v>12000</v>
      </c>
      <c r="AH50" s="81">
        <f ca="1">IFERROR(__xludf.DUMMYFUNCTION("IMPORTRANGE(""https://docs.google.com/spreadsheets/d/1hb_taSOHanzRjqfzWPiFo8yiT83VV1L7vvUCLhOiHKc/edit?usp=sharing"",""อุดรธานี!N201"")"),12000)</f>
        <v>12000</v>
      </c>
      <c r="AI50" s="82">
        <f t="shared" ca="1" si="88"/>
        <v>100</v>
      </c>
      <c r="AJ50" s="81">
        <f ca="1">IFERROR(__xludf.DUMMYFUNCTION("IMPORTRANGE(""https://docs.google.com/spreadsheets/d/1hb_taSOHanzRjqfzWPiFo8yiT83VV1L7vvUCLhOiHKc/edit?usp=sharing"",""อุดรธานี!L202"")"),0)</f>
        <v>0</v>
      </c>
      <c r="AK50" s="81">
        <f ca="1">IFERROR(__xludf.DUMMYFUNCTION("IMPORTRANGE(""https://docs.google.com/spreadsheets/d/1hb_taSOHanzRjqfzWPiFo8yiT83VV1L7vvUCLhOiHKc/edit?usp=sharing"",""อุดรธานี!N202"")"),0)</f>
        <v>0</v>
      </c>
      <c r="AL50" s="82">
        <f t="shared" ca="1" si="89"/>
        <v>0</v>
      </c>
      <c r="AM50" s="81">
        <f ca="1">IFERROR(__xludf.DUMMYFUNCTION("IMPORTRANGE(""https://docs.google.com/spreadsheets/d/1hb_taSOHanzRjqfzWPiFo8yiT83VV1L7vvUCLhOiHKc/edit?usp=sharing"",""อุดรธานี!I204"")"),3)</f>
        <v>3</v>
      </c>
      <c r="AN50" s="81">
        <f ca="1">IFERROR(__xludf.DUMMYFUNCTION("IMPORTRANGE(""https://docs.google.com/spreadsheets/d/1hb_taSOHanzRjqfzWPiFo8yiT83VV1L7vvUCLhOiHKc/edit?usp=sharing"",""อุดรธานี!J204"")"),3)</f>
        <v>3</v>
      </c>
      <c r="AO50" s="82">
        <f t="shared" ca="1" si="90"/>
        <v>100</v>
      </c>
      <c r="AP50" s="297">
        <f ca="1">IFERROR(__xludf.DUMMYFUNCTION("IMPORTRANGE(""https://docs.google.com/spreadsheets/d/1hb_taSOHanzRjqfzWPiFo8yiT83VV1L7vvUCLhOiHKc/edit?usp=sharing"",""อุดรธานี!J206"")"),3)</f>
        <v>3</v>
      </c>
      <c r="AQ50" s="297">
        <f ca="1">IFERROR(__xludf.DUMMYFUNCTION("IMPORTRANGE(""https://docs.google.com/spreadsheets/d/1hb_taSOHanzRjqfzWPiFo8yiT83VV1L7vvUCLhOiHKc/edit?usp=sharing"",""อุดรธานี!J207"")"),0)</f>
        <v>0</v>
      </c>
      <c r="AR50" s="81">
        <f ca="1">IFERROR(__xludf.DUMMYFUNCTION("IMPORTRANGE(""https://docs.google.com/spreadsheets/d/1hb_taSOHanzRjqfzWPiFo8yiT83VV1L7vvUCLhOiHKc/edit?usp=sharing"",""อุดรธานี!L210"")"),3000)</f>
        <v>3000</v>
      </c>
      <c r="AS50" s="81">
        <f ca="1">IFERROR(__xludf.DUMMYFUNCTION("IMPORTRANGE(""https://docs.google.com/spreadsheets/d/1hb_taSOHanzRjqfzWPiFo8yiT83VV1L7vvUCLhOiHKc/edit?usp=sharing"",""อุดรธานี!N210"")"),3000)</f>
        <v>3000</v>
      </c>
      <c r="AT50" s="82">
        <f t="shared" ca="1" si="91"/>
        <v>100</v>
      </c>
      <c r="AU50" s="81">
        <f ca="1">IFERROR(__xludf.DUMMYFUNCTION("IMPORTRANGE(""https://docs.google.com/spreadsheets/d/1hb_taSOHanzRjqfzWPiFo8yiT83VV1L7vvUCLhOiHKc/edit?usp=sharing"",""อุดรธานี!L211"")"),15000)</f>
        <v>15000</v>
      </c>
      <c r="AV50" s="81">
        <f ca="1">IFERROR(__xludf.DUMMYFUNCTION("IMPORTRANGE(""https://docs.google.com/spreadsheets/d/1hb_taSOHanzRjqfzWPiFo8yiT83VV1L7vvUCLhOiHKc/edit?usp=sharing"",""อุดรธานี!N211"")"),15000)</f>
        <v>15000</v>
      </c>
      <c r="AW50" s="82">
        <f t="shared" ca="1" si="92"/>
        <v>100</v>
      </c>
      <c r="AX50" s="81">
        <f ca="1">IFERROR(__xludf.DUMMYFUNCTION("IMPORTRANGE(""https://docs.google.com/spreadsheets/d/1hb_taSOHanzRjqfzWPiFo8yiT83VV1L7vvUCLhOiHKc/edit?usp=sharing"",""อุดรธานี!L212"")"),24000)</f>
        <v>24000</v>
      </c>
      <c r="AY50" s="81">
        <f ca="1">IFERROR(__xludf.DUMMYFUNCTION("IMPORTRANGE(""https://docs.google.com/spreadsheets/d/1hb_taSOHanzRjqfzWPiFo8yiT83VV1L7vvUCLhOiHKc/edit?usp=sharing"",""อุดรธานี!N212"")"),24000)</f>
        <v>24000</v>
      </c>
      <c r="AZ50" s="82">
        <f t="shared" ca="1" si="93"/>
        <v>100</v>
      </c>
      <c r="BA50" s="81">
        <f ca="1">IFERROR(__xludf.DUMMYFUNCTION("IMPORTRANGE(""https://docs.google.com/spreadsheets/d/1hb_taSOHanzRjqfzWPiFo8yiT83VV1L7vvUCLhOiHKc/edit?usp=sharing"",""อุดรธานี!I214"")"),3)</f>
        <v>3</v>
      </c>
      <c r="BB50" s="81">
        <f ca="1">IFERROR(__xludf.DUMMYFUNCTION("IMPORTRANGE(""https://docs.google.com/spreadsheets/d/1hb_taSOHanzRjqfzWPiFo8yiT83VV1L7vvUCLhOiHKc/edit?usp=sharing"",""อุดรธานี!J214"")"),3)</f>
        <v>3</v>
      </c>
      <c r="BC50" s="82">
        <f t="shared" ca="1" si="94"/>
        <v>100</v>
      </c>
      <c r="BD50" s="81">
        <f ca="1">IFERROR(__xludf.DUMMYFUNCTION("IMPORTRANGE(""https://docs.google.com/spreadsheets/d/1hb_taSOHanzRjqfzWPiFo8yiT83VV1L7vvUCLhOiHKc/edit?usp=sharing"",""อุดรธานี!I215"")"),3)</f>
        <v>3</v>
      </c>
      <c r="BE50" s="81">
        <f ca="1">IFERROR(__xludf.DUMMYFUNCTION("IMPORTRANGE(""https://docs.google.com/spreadsheets/d/1hb_taSOHanzRjqfzWPiFo8yiT83VV1L7vvUCLhOiHKc/edit?usp=sharing"",""อุดรธานี!J215"")"),3)</f>
        <v>3</v>
      </c>
      <c r="BF50" s="82">
        <f t="shared" ca="1" si="95"/>
        <v>100</v>
      </c>
      <c r="BG50" s="81">
        <f ca="1">IFERROR(__xludf.DUMMYFUNCTION("IMPORTRANGE(""https://docs.google.com/spreadsheets/d/1hb_taSOHanzRjqfzWPiFo8yiT83VV1L7vvUCLhOiHKc/edit?usp=sharing"",""อุดรธานี!L218"")"),3000)</f>
        <v>3000</v>
      </c>
      <c r="BH50" s="81">
        <f ca="1">IFERROR(__xludf.DUMMYFUNCTION("IMPORTRANGE(""https://docs.google.com/spreadsheets/d/1hb_taSOHanzRjqfzWPiFo8yiT83VV1L7vvUCLhOiHKc/edit?usp=sharing"",""อุดรธานี!N218"")"),3000)</f>
        <v>3000</v>
      </c>
      <c r="BI50" s="82">
        <f t="shared" ca="1" si="96"/>
        <v>100</v>
      </c>
      <c r="BJ50" s="81">
        <f ca="1">IFERROR(__xludf.DUMMYFUNCTION("IMPORTRANGE(""https://docs.google.com/spreadsheets/d/1hb_taSOHanzRjqfzWPiFo8yiT83VV1L7vvUCLhOiHKc/edit?usp=sharing"",""อุดรธานี!L219"")"),3500)</f>
        <v>3500</v>
      </c>
      <c r="BK50" s="81">
        <f ca="1">IFERROR(__xludf.DUMMYFUNCTION("IMPORTRANGE(""https://docs.google.com/spreadsheets/d/1hb_taSOHanzRjqfzWPiFo8yiT83VV1L7vvUCLhOiHKc/edit?usp=sharing"",""อุดรธานี!N219"")"),3500)</f>
        <v>3500</v>
      </c>
      <c r="BL50" s="82">
        <f t="shared" ca="1" si="97"/>
        <v>100</v>
      </c>
      <c r="BM50" s="81">
        <f ca="1">IFERROR(__xludf.DUMMYFUNCTION("IMPORTRANGE(""https://docs.google.com/spreadsheets/d/1hb_taSOHanzRjqfzWPiFo8yiT83VV1L7vvUCLhOiHKc/edit?usp=sharing"",""อุดรธานี!L220"")"),0)</f>
        <v>0</v>
      </c>
      <c r="BN50" s="81">
        <f ca="1">IFERROR(__xludf.DUMMYFUNCTION("IMPORTRANGE(""https://docs.google.com/spreadsheets/d/1hb_taSOHanzRjqfzWPiFo8yiT83VV1L7vvUCLhOiHKc/edit?usp=sharing"",""อุดรธานี!N220"")"),0)</f>
        <v>0</v>
      </c>
      <c r="BO50" s="82">
        <f t="shared" ca="1" si="98"/>
        <v>0</v>
      </c>
      <c r="BP50" s="81">
        <f ca="1">IFERROR(__xludf.DUMMYFUNCTION("IMPORTRANGE(""https://docs.google.com/spreadsheets/d/1hb_taSOHanzRjqfzWPiFo8yiT83VV1L7vvUCLhOiHKc/edit?usp=sharing"",""อุดรธานี!I223"")"),10000)</f>
        <v>10000</v>
      </c>
      <c r="BQ50" s="81">
        <f ca="1">IFERROR(__xludf.DUMMYFUNCTION("IMPORTRANGE(""https://docs.google.com/spreadsheets/d/1hb_taSOHanzRjqfzWPiFo8yiT83VV1L7vvUCLhOiHKc/edit?usp=sharing"",""อุดรธานี!J223"")"),10000)</f>
        <v>10000</v>
      </c>
      <c r="BR50" s="82">
        <f t="shared" ca="1" si="99"/>
        <v>100</v>
      </c>
      <c r="BS50" s="81">
        <f ca="1">IFERROR(__xludf.DUMMYFUNCTION("IMPORTRANGE(""https://docs.google.com/spreadsheets/d/1hb_taSOHanzRjqfzWPiFo8yiT83VV1L7vvUCLhOiHKc/edit?usp=sharing"",""อุดรธานี!I224"")"),10000)</f>
        <v>10000</v>
      </c>
      <c r="BT50" s="81">
        <f ca="1">IFERROR(__xludf.DUMMYFUNCTION("IMPORTRANGE(""https://docs.google.com/spreadsheets/d/1hb_taSOHanzRjqfzWPiFo8yiT83VV1L7vvUCLhOiHKc/edit?usp=sharing"",""อุดรธานี!J224"")"),10000)</f>
        <v>10000</v>
      </c>
      <c r="BU50" s="82">
        <f t="shared" ca="1" si="100"/>
        <v>100</v>
      </c>
      <c r="BV50" s="81">
        <f ca="1">IFERROR(__xludf.DUMMYFUNCTION("IMPORTRANGE(""https://docs.google.com/spreadsheets/d/1hb_taSOHanzRjqfzWPiFo8yiT83VV1L7vvUCLhOiHKc/edit?usp=sharing"",""อุดรธานี!I225"")"),0)</f>
        <v>0</v>
      </c>
      <c r="BW50" s="81">
        <f ca="1">IFERROR(__xludf.DUMMYFUNCTION("IMPORTRANGE(""https://docs.google.com/spreadsheets/d/1hb_taSOHanzRjqfzWPiFo8yiT83VV1L7vvUCLhOiHKc/edit?usp=sharing"",""อุดรธานี!J225"")"),0)</f>
        <v>0</v>
      </c>
      <c r="BX50" s="82">
        <f t="shared" ca="1" si="101"/>
        <v>0</v>
      </c>
      <c r="BY50" s="81">
        <f ca="1">IFERROR(__xludf.DUMMYFUNCTION("IMPORTRANGE(""https://docs.google.com/spreadsheets/d/1hb_taSOHanzRjqfzWPiFo8yiT83VV1L7vvUCLhOiHKc/edit?usp=sharing"",""อุดรธานี!L228"")"),0)</f>
        <v>0</v>
      </c>
      <c r="BZ50" s="81">
        <f ca="1">IFERROR(__xludf.DUMMYFUNCTION("IMPORTRANGE(""https://docs.google.com/spreadsheets/d/1hb_taSOHanzRjqfzWPiFo8yiT83VV1L7vvUCLhOiHKc/edit?usp=sharing"",""อุดรธานี!N228"")"),0)</f>
        <v>0</v>
      </c>
      <c r="CA50" s="82">
        <f t="shared" ca="1" si="102"/>
        <v>0</v>
      </c>
      <c r="CB50" s="81">
        <f ca="1">IFERROR(__xludf.DUMMYFUNCTION("IMPORTRANGE(""https://docs.google.com/spreadsheets/d/1hb_taSOHanzRjqfzWPiFo8yiT83VV1L7vvUCLhOiHKc/edit?usp=sharing"",""อุดรธานี!L229"")"),0)</f>
        <v>0</v>
      </c>
      <c r="CC50" s="81">
        <f ca="1">IFERROR(__xludf.DUMMYFUNCTION("IMPORTRANGE(""https://docs.google.com/spreadsheets/d/1hb_taSOHanzRjqfzWPiFo8yiT83VV1L7vvUCLhOiHKc/edit?usp=sharing"",""อุดรธานี!N229"")"),0)</f>
        <v>0</v>
      </c>
      <c r="CD50" s="82">
        <f t="shared" ca="1" si="103"/>
        <v>0</v>
      </c>
      <c r="CE50" s="81">
        <f ca="1">IFERROR(__xludf.DUMMYFUNCTION("IMPORTRANGE(""https://docs.google.com/spreadsheets/d/1hb_taSOHanzRjqfzWPiFo8yiT83VV1L7vvUCLhOiHKc/edit?usp=sharing"",""อุดรธานี!L230"")"),0)</f>
        <v>0</v>
      </c>
      <c r="CF50" s="81">
        <f ca="1">IFERROR(__xludf.DUMMYFUNCTION("IMPORTRANGE(""https://docs.google.com/spreadsheets/d/1hb_taSOHanzRjqfzWPiFo8yiT83VV1L7vvUCLhOiHKc/edit?usp=sharing"",""อุดรธานี!N230"")"),0)</f>
        <v>0</v>
      </c>
      <c r="CG50" s="82">
        <f t="shared" ca="1" si="104"/>
        <v>0</v>
      </c>
      <c r="CH50" s="81">
        <f ca="1">IFERROR(__xludf.DUMMYFUNCTION("IMPORTRANGE(""https://docs.google.com/spreadsheets/d/1hb_taSOHanzRjqfzWPiFo8yiT83VV1L7vvUCLhOiHKc/edit?usp=sharing"",""อุดรธานี!L231"")"),0)</f>
        <v>0</v>
      </c>
      <c r="CI50" s="81">
        <f ca="1">IFERROR(__xludf.DUMMYFUNCTION("IMPORTRANGE(""https://docs.google.com/spreadsheets/d/1hb_taSOHanzRjqfzWPiFo8yiT83VV1L7vvUCLhOiHKc/edit?usp=sharing"",""อุดรธานี!N231"")"),0)</f>
        <v>0</v>
      </c>
      <c r="CJ50" s="82">
        <f t="shared" ca="1" si="105"/>
        <v>0</v>
      </c>
      <c r="CK50" s="81">
        <f ca="1">IFERROR(__xludf.DUMMYFUNCTION("IMPORTRANGE(""https://docs.google.com/spreadsheets/d/1hb_taSOHanzRjqfzWPiFo8yiT83VV1L7vvUCLhOiHKc/edit?usp=sharing"",""อุดรธานี!I233"")"),0)</f>
        <v>0</v>
      </c>
      <c r="CL50" s="81">
        <f ca="1">IFERROR(__xludf.DUMMYFUNCTION("IMPORTRANGE(""https://docs.google.com/spreadsheets/d/1hb_taSOHanzRjqfzWPiFo8yiT83VV1L7vvUCLhOiHKc/edit?usp=sharing"",""อุดรธานี!J233"")"),0)</f>
        <v>0</v>
      </c>
      <c r="CM50" s="82">
        <f t="shared" ca="1" si="106"/>
        <v>0</v>
      </c>
      <c r="CN50" s="81">
        <f ca="1">IFERROR(__xludf.DUMMYFUNCTION("IMPORTRANGE(""https://docs.google.com/spreadsheets/d/1hb_taSOHanzRjqfzWPiFo8yiT83VV1L7vvUCLhOiHKc/edit?usp=sharing"",""อุดรธานี!J235"")"),0)</f>
        <v>0</v>
      </c>
      <c r="CO50" s="81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4">
        <v>20</v>
      </c>
      <c r="B51" s="85" t="s">
        <v>73</v>
      </c>
      <c r="C51" s="86">
        <f t="shared" ca="1" si="0"/>
        <v>492400</v>
      </c>
      <c r="D51" s="87">
        <f t="shared" ca="1" si="160"/>
        <v>492400</v>
      </c>
      <c r="E51" s="88">
        <f ca="1">IFERROR(__xludf.DUMMYFUNCTION("IMPORTRANGE(""https://docs.google.com/spreadsheets/d/1MeEWN-I1oV_STSDYn1IFDPWt_1FKiwhDph83XaGc0o0/edit?usp=sharing"",""งบพรบ!CP51"")"),175500)</f>
        <v>175500</v>
      </c>
      <c r="F51" s="88">
        <f ca="1">IFERROR(__xludf.DUMMYFUNCTION("IMPORTRANGE(""https://docs.google.com/spreadsheets/d/1MeEWN-I1oV_STSDYn1IFDPWt_1FKiwhDph83XaGc0o0/edit?usp=sharing"",""งบพรบ!CQ51"")"),316900)</f>
        <v>316900</v>
      </c>
      <c r="G51" s="88">
        <f ca="1">IFERROR(__xludf.DUMMYFUNCTION("IMPORTRANGE(""https://docs.google.com/spreadsheets/d/1MeEWN-I1oV_STSDYn1IFDPWt_1FKiwhDph83XaGc0o0/edit?usp=sharing"",""งบพรบ!CR51"")"),0)</f>
        <v>0</v>
      </c>
      <c r="H51" s="88">
        <f ca="1">IFERROR(__xludf.DUMMYFUNCTION("IMPORTRANGE(""https://docs.google.com/spreadsheets/d/1MeEWN-I1oV_STSDYn1IFDPWt_1FKiwhDph83XaGc0o0/edit?usp=sharing"",""งบพรบ!CT51"")"),508840)</f>
        <v>508840</v>
      </c>
      <c r="I51" s="88">
        <f ca="1">IFERROR(__xludf.DUMMYFUNCTION("IMPORTRANGE(""https://docs.google.com/spreadsheets/d/1MeEWN-I1oV_STSDYn1IFDPWt_1FKiwhDph83XaGc0o0/edit?usp=sharing"",""งบพรบ!CU51"")"),0)</f>
        <v>0</v>
      </c>
      <c r="J51" s="88">
        <f t="shared" ca="1" si="3"/>
        <v>471786.5</v>
      </c>
      <c r="K51" s="89">
        <f t="shared" ca="1" si="4"/>
        <v>95.813667749796906</v>
      </c>
      <c r="L51" s="88">
        <f ca="1">IFERROR(__xludf.DUMMYFUNCTION("IMPORTRANGE(""https://docs.google.com/spreadsheets/d/1MeEWN-I1oV_STSDYn1IFDPWt_1FKiwhDph83XaGc0o0/edit?usp=sharing"",""งบพรบ!CV51"")"),471786.5)</f>
        <v>471786.5</v>
      </c>
      <c r="M51" s="90">
        <f t="shared" ca="1" si="5"/>
        <v>95.813667749796906</v>
      </c>
      <c r="N51" s="90">
        <f t="shared" ca="1" si="6"/>
        <v>92.718044965018478</v>
      </c>
      <c r="O51" s="91">
        <f ca="1">IFERROR(__xludf.DUMMYFUNCTION("IMPORTRANGE(""https://docs.google.com/spreadsheets/d/1MeEWN-I1oV_STSDYn1IFDPWt_1FKiwhDph83XaGc0o0/edit?usp=sharing"",""งบพรบ!CW51"")"),0)</f>
        <v>0</v>
      </c>
      <c r="P51" s="91">
        <f t="shared" ca="1" si="10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IFERROR(__xludf.DUMMYFUNCTION("IMPORTRANGE(""https://docs.google.com/spreadsheets/d/17IOkEwkUd63EGNfyNDnM5de9YlZ7rwzTiW6-dokVjKI/edit?usp=sharing"",""อุบลราชธานี!L191"")"),6000)</f>
        <v>6000</v>
      </c>
      <c r="S51" s="92">
        <f ca="1">IFERROR(__xludf.DUMMYFUNCTION("IMPORTRANGE(""https://docs.google.com/spreadsheets/d/17IOkEwkUd63EGNfyNDnM5de9YlZ7rwzTiW6-dokVjKI/edit?usp=sharing"",""อุบลราชธานี!N191"")"),6000)</f>
        <v>6000</v>
      </c>
      <c r="T51" s="93">
        <f t="shared" ca="1" si="84"/>
        <v>100</v>
      </c>
      <c r="U51" s="92">
        <f ca="1">IFERROR(__xludf.DUMMYFUNCTION("IMPORTRANGE(""https://docs.google.com/spreadsheets/d/17IOkEwkUd63EGNfyNDnM5de9YlZ7rwzTiW6-dokVjKI/edit?usp=sharing"",""อุบลราชธานี!I193"")"),4)</f>
        <v>4</v>
      </c>
      <c r="V51" s="92">
        <f ca="1">IFERROR(__xludf.DUMMYFUNCTION("IMPORTRANGE(""https://docs.google.com/spreadsheets/d/17IOkEwkUd63EGNfyNDnM5de9YlZ7rwzTiW6-dokVjKI/edit?usp=sharing"",""อุบลราชธานี!J193"")"),4)</f>
        <v>4</v>
      </c>
      <c r="W51" s="93">
        <f t="shared" ca="1" si="85"/>
        <v>100</v>
      </c>
      <c r="X51" s="92">
        <f t="shared" ca="1" si="161"/>
        <v>140</v>
      </c>
      <c r="Y51" s="92">
        <f ca="1">IFERROR(__xludf.DUMMYFUNCTION("IMPORTRANGE(""https://docs.google.com/spreadsheets/d/17IOkEwkUd63EGNfyNDnM5de9YlZ7rwzTiW6-dokVjKI/edit?usp=sharing"",""อุบลราชธานี!J195"")"),140)</f>
        <v>140</v>
      </c>
      <c r="Z51" s="92">
        <f ca="1">IFERROR(__xludf.DUMMYFUNCTION("IMPORTRANGE(""https://docs.google.com/spreadsheets/d/17IOkEwkUd63EGNfyNDnM5de9YlZ7rwzTiW6-dokVjKI/edit?usp=sharing"",""อุบลราชธานี!J196"")"),0)</f>
        <v>0</v>
      </c>
      <c r="AA51" s="92">
        <f ca="1">IFERROR(__xludf.DUMMYFUNCTION("IMPORTRANGE(""https://docs.google.com/spreadsheets/d/17IOkEwkUd63EGNfyNDnM5de9YlZ7rwzTiW6-dokVjKI/edit?usp=sharing"",""อุบลราชธานี!L199"")"),4000)</f>
        <v>4000</v>
      </c>
      <c r="AB51" s="92">
        <f ca="1">IFERROR(__xludf.DUMMYFUNCTION("IMPORTRANGE(""https://docs.google.com/spreadsheets/d/17IOkEwkUd63EGNfyNDnM5de9YlZ7rwzTiW6-dokVjKI/edit?usp=sharing"",""อุบลราชธานี!N199"")"),4000)</f>
        <v>4000</v>
      </c>
      <c r="AC51" s="93">
        <f t="shared" ca="1" si="86"/>
        <v>100</v>
      </c>
      <c r="AD51" s="92">
        <f ca="1">IFERROR(__xludf.DUMMYFUNCTION("IMPORTRANGE(""https://docs.google.com/spreadsheets/d/17IOkEwkUd63EGNfyNDnM5de9YlZ7rwzTiW6-dokVjKI/edit?usp=sharing"",""อุบลราชธานี!L200"")"),32000)</f>
        <v>32000</v>
      </c>
      <c r="AE51" s="92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3">
        <f t="shared" ca="1" si="87"/>
        <v>100</v>
      </c>
      <c r="AG51" s="92">
        <f ca="1">IFERROR(__xludf.DUMMYFUNCTION("IMPORTRANGE(""https://docs.google.com/spreadsheets/d/17IOkEwkUd63EGNfyNDnM5de9YlZ7rwzTiW6-dokVjKI/edit?usp=sharing"",""อุบลราชธานี!L201"")"),16000)</f>
        <v>16000</v>
      </c>
      <c r="AH51" s="92">
        <f ca="1">IFERROR(__xludf.DUMMYFUNCTION("IMPORTRANGE(""https://docs.google.com/spreadsheets/d/17IOkEwkUd63EGNfyNDnM5de9YlZ7rwzTiW6-dokVjKI/edit?usp=sharing"",""อุบลราชธานี!N201"")"),16000)</f>
        <v>16000</v>
      </c>
      <c r="AI51" s="93">
        <f t="shared" ca="1" si="88"/>
        <v>100</v>
      </c>
      <c r="AJ51" s="92">
        <f ca="1">IFERROR(__xludf.DUMMYFUNCTION("IMPORTRANGE(""https://docs.google.com/spreadsheets/d/17IOkEwkUd63EGNfyNDnM5de9YlZ7rwzTiW6-dokVjKI/edit?usp=sharing"",""อุบลราชธานี!L202"")"),0)</f>
        <v>0</v>
      </c>
      <c r="AK51" s="92">
        <f ca="1">IFERROR(__xludf.DUMMYFUNCTION("IMPORTRANGE(""https://docs.google.com/spreadsheets/d/17IOkEwkUd63EGNfyNDnM5de9YlZ7rwzTiW6-dokVjKI/edit?usp=sharing"",""อุบลราชธานี!N202"")"),0)</f>
        <v>0</v>
      </c>
      <c r="AL51" s="93">
        <f t="shared" ca="1" si="89"/>
        <v>0</v>
      </c>
      <c r="AM51" s="92">
        <f ca="1">IFERROR(__xludf.DUMMYFUNCTION("IMPORTRANGE(""https://docs.google.com/spreadsheets/d/17IOkEwkUd63EGNfyNDnM5de9YlZ7rwzTiW6-dokVjKI/edit?usp=sharing"",""อุบลราชธานี!I204"")"),4)</f>
        <v>4</v>
      </c>
      <c r="AN51" s="92">
        <f ca="1">IFERROR(__xludf.DUMMYFUNCTION("IMPORTRANGE(""https://docs.google.com/spreadsheets/d/17IOkEwkUd63EGNfyNDnM5de9YlZ7rwzTiW6-dokVjKI/edit?usp=sharing"",""อุบลราชธานี!J204"")"),4)</f>
        <v>4</v>
      </c>
      <c r="AO51" s="93">
        <f t="shared" ca="1" si="90"/>
        <v>100</v>
      </c>
      <c r="AP51" s="298">
        <f ca="1">IFERROR(__xludf.DUMMYFUNCTION("IMPORTRANGE(""https://docs.google.com/spreadsheets/d/17IOkEwkUd63EGNfyNDnM5de9YlZ7rwzTiW6-dokVjKI/edit?usp=sharing"",""อุบลราชธานี!J206"")"),4)</f>
        <v>4</v>
      </c>
      <c r="AQ51" s="298">
        <f ca="1">IFERROR(__xludf.DUMMYFUNCTION("IMPORTRANGE(""https://docs.google.com/spreadsheets/d/17IOkEwkUd63EGNfyNDnM5de9YlZ7rwzTiW6-dokVjKI/edit?usp=sharing"",""อุบลราชธานี!J207"")"),0)</f>
        <v>0</v>
      </c>
      <c r="AR51" s="92">
        <f ca="1">IFERROR(__xludf.DUMMYFUNCTION("IMPORTRANGE(""https://docs.google.com/spreadsheets/d/17IOkEwkUd63EGNfyNDnM5de9YlZ7rwzTiW6-dokVjKI/edit?usp=sharing"",""อุบลราชธานี!L210"")"),2000)</f>
        <v>2000</v>
      </c>
      <c r="AS51" s="92">
        <f ca="1">IFERROR(__xludf.DUMMYFUNCTION("IMPORTRANGE(""https://docs.google.com/spreadsheets/d/17IOkEwkUd63EGNfyNDnM5de9YlZ7rwzTiW6-dokVjKI/edit?usp=sharing"",""อุบลราชธานี!N210"")"),2000)</f>
        <v>2000</v>
      </c>
      <c r="AT51" s="93">
        <f t="shared" ca="1" si="91"/>
        <v>100</v>
      </c>
      <c r="AU51" s="92">
        <f ca="1">IFERROR(__xludf.DUMMYFUNCTION("IMPORTRANGE(""https://docs.google.com/spreadsheets/d/17IOkEwkUd63EGNfyNDnM5de9YlZ7rwzTiW6-dokVjKI/edit?usp=sharing"",""อุบลราชธานี!L211"")"),10000)</f>
        <v>10000</v>
      </c>
      <c r="AV51" s="92">
        <f ca="1">IFERROR(__xludf.DUMMYFUNCTION("IMPORTRANGE(""https://docs.google.com/spreadsheets/d/17IOkEwkUd63EGNfyNDnM5de9YlZ7rwzTiW6-dokVjKI/edit?usp=sharing"",""อุบลราชธานี!N211"")"),10000)</f>
        <v>10000</v>
      </c>
      <c r="AW51" s="93">
        <f t="shared" ca="1" si="92"/>
        <v>100</v>
      </c>
      <c r="AX51" s="92">
        <f ca="1">IFERROR(__xludf.DUMMYFUNCTION("IMPORTRANGE(""https://docs.google.com/spreadsheets/d/17IOkEwkUd63EGNfyNDnM5de9YlZ7rwzTiW6-dokVjKI/edit?usp=sharing"",""อุบลราชธานี!L212"")"),16000)</f>
        <v>16000</v>
      </c>
      <c r="AY51" s="92">
        <f ca="1">IFERROR(__xludf.DUMMYFUNCTION("IMPORTRANGE(""https://docs.google.com/spreadsheets/d/17IOkEwkUd63EGNfyNDnM5de9YlZ7rwzTiW6-dokVjKI/edit?usp=sharing"",""อุบลราชธานี!N212"")"),16000)</f>
        <v>16000</v>
      </c>
      <c r="AZ51" s="93">
        <f t="shared" ca="1" si="93"/>
        <v>100</v>
      </c>
      <c r="BA51" s="92">
        <f ca="1">IFERROR(__xludf.DUMMYFUNCTION("IMPORTRANGE(""https://docs.google.com/spreadsheets/d/17IOkEwkUd63EGNfyNDnM5de9YlZ7rwzTiW6-dokVjKI/edit?usp=sharing"",""อุบลราชธานี!I214"")"),2)</f>
        <v>2</v>
      </c>
      <c r="BB51" s="92">
        <f ca="1">IFERROR(__xludf.DUMMYFUNCTION("IMPORTRANGE(""https://docs.google.com/spreadsheets/d/17IOkEwkUd63EGNfyNDnM5de9YlZ7rwzTiW6-dokVjKI/edit?usp=sharing"",""อุบลราชธานี!J214"")"),2)</f>
        <v>2</v>
      </c>
      <c r="BC51" s="93">
        <f t="shared" ca="1" si="94"/>
        <v>100</v>
      </c>
      <c r="BD51" s="92">
        <f ca="1">IFERROR(__xludf.DUMMYFUNCTION("IMPORTRANGE(""https://docs.google.com/spreadsheets/d/17IOkEwkUd63EGNfyNDnM5de9YlZ7rwzTiW6-dokVjKI/edit?usp=sharing"",""อุบลราชธานี!I215"")"),2)</f>
        <v>2</v>
      </c>
      <c r="BE51" s="92">
        <f ca="1">IFERROR(__xludf.DUMMYFUNCTION("IMPORTRANGE(""https://docs.google.com/spreadsheets/d/17IOkEwkUd63EGNfyNDnM5de9YlZ7rwzTiW6-dokVjKI/edit?usp=sharing"",""อุบลราชธานี!J215"")"),2)</f>
        <v>2</v>
      </c>
      <c r="BF51" s="93">
        <f t="shared" ca="1" si="95"/>
        <v>100</v>
      </c>
      <c r="BG51" s="92">
        <f ca="1">IFERROR(__xludf.DUMMYFUNCTION("IMPORTRANGE(""https://docs.google.com/spreadsheets/d/17IOkEwkUd63EGNfyNDnM5de9YlZ7rwzTiW6-dokVjKI/edit?usp=sharing"",""อุบลราชธานี!L218"")"),5000)</f>
        <v>5000</v>
      </c>
      <c r="BH51" s="92">
        <f ca="1">IFERROR(__xludf.DUMMYFUNCTION("IMPORTRANGE(""https://docs.google.com/spreadsheets/d/17IOkEwkUd63EGNfyNDnM5de9YlZ7rwzTiW6-dokVjKI/edit?usp=sharing"",""อุบลราชธานี!N218"")"),5000)</f>
        <v>5000</v>
      </c>
      <c r="BI51" s="93">
        <f t="shared" ca="1" si="96"/>
        <v>100</v>
      </c>
      <c r="BJ51" s="92">
        <f ca="1">IFERROR(__xludf.DUMMYFUNCTION("IMPORTRANGE(""https://docs.google.com/spreadsheets/d/17IOkEwkUd63EGNfyNDnM5de9YlZ7rwzTiW6-dokVjKI/edit?usp=sharing"",""อุบลราชธานี!L219"")"),8500)</f>
        <v>8500</v>
      </c>
      <c r="BK51" s="92">
        <f ca="1">IFERROR(__xludf.DUMMYFUNCTION("IMPORTRANGE(""https://docs.google.com/spreadsheets/d/17IOkEwkUd63EGNfyNDnM5de9YlZ7rwzTiW6-dokVjKI/edit?usp=sharing"",""อุบลราชธานี!N219"")"),8500)</f>
        <v>8500</v>
      </c>
      <c r="BL51" s="93">
        <f t="shared" ca="1" si="97"/>
        <v>100</v>
      </c>
      <c r="BM51" s="92">
        <f ca="1">IFERROR(__xludf.DUMMYFUNCTION("IMPORTRANGE(""https://docs.google.com/spreadsheets/d/17IOkEwkUd63EGNfyNDnM5de9YlZ7rwzTiW6-dokVjKI/edit?usp=sharing"",""อุบลราชธานี!L220"")"),0)</f>
        <v>0</v>
      </c>
      <c r="BN51" s="92">
        <f ca="1">IFERROR(__xludf.DUMMYFUNCTION("IMPORTRANGE(""https://docs.google.com/spreadsheets/d/17IOkEwkUd63EGNfyNDnM5de9YlZ7rwzTiW6-dokVjKI/edit?usp=sharing"",""อุบลราชธานี!N220"")"),0)</f>
        <v>0</v>
      </c>
      <c r="BO51" s="93">
        <f t="shared" ca="1" si="98"/>
        <v>0</v>
      </c>
      <c r="BP51" s="92">
        <f ca="1">IFERROR(__xludf.DUMMYFUNCTION("IMPORTRANGE(""https://docs.google.com/spreadsheets/d/17IOkEwkUd63EGNfyNDnM5de9YlZ7rwzTiW6-dokVjKI/edit?usp=sharing"",""อุบลราชธานี!I223"")"),30000)</f>
        <v>30000</v>
      </c>
      <c r="BQ51" s="92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3">
        <f t="shared" ca="1" si="99"/>
        <v>100</v>
      </c>
      <c r="BS51" s="92">
        <f ca="1">IFERROR(__xludf.DUMMYFUNCTION("IMPORTRANGE(""https://docs.google.com/spreadsheets/d/17IOkEwkUd63EGNfyNDnM5de9YlZ7rwzTiW6-dokVjKI/edit?usp=sharing"",""อุบลราชธานี!I224"")"),30000)</f>
        <v>30000</v>
      </c>
      <c r="BT51" s="92">
        <f ca="1">IFERROR(__xludf.DUMMYFUNCTION("IMPORTRANGE(""https://docs.google.com/spreadsheets/d/17IOkEwkUd63EGNfyNDnM5de9YlZ7rwzTiW6-dokVjKI/edit?usp=sharing"",""อุบลราชธานี!J224"")"),30000)</f>
        <v>30000</v>
      </c>
      <c r="BU51" s="93">
        <f t="shared" ca="1" si="100"/>
        <v>100</v>
      </c>
      <c r="BV51" s="92">
        <f ca="1">IFERROR(__xludf.DUMMYFUNCTION("IMPORTRANGE(""https://docs.google.com/spreadsheets/d/17IOkEwkUd63EGNfyNDnM5de9YlZ7rwzTiW6-dokVjKI/edit?usp=sharing"",""อุบลราชธานี!I225"")"),0)</f>
        <v>0</v>
      </c>
      <c r="BW51" s="92">
        <f ca="1">IFERROR(__xludf.DUMMYFUNCTION("IMPORTRANGE(""https://docs.google.com/spreadsheets/d/17IOkEwkUd63EGNfyNDnM5de9YlZ7rwzTiW6-dokVjKI/edit?usp=sharing"",""อุบลราชธานี!J225"")"),0)</f>
        <v>0</v>
      </c>
      <c r="BX51" s="93">
        <f t="shared" ca="1" si="101"/>
        <v>0</v>
      </c>
      <c r="BY51" s="92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92">
        <f ca="1">IFERROR(__xludf.DUMMYFUNCTION("IMPORTRANGE(""https://docs.google.com/spreadsheets/d/17IOkEwkUd63EGNfyNDnM5de9YlZ7rwzTiW6-dokVjKI/edit?usp=sharing"",""อุบลราชธานี!N228"")"),94285)</f>
        <v>94285</v>
      </c>
      <c r="CA51" s="93">
        <f t="shared" ca="1" si="102"/>
        <v>57.843558282208591</v>
      </c>
      <c r="CB51" s="92">
        <f ca="1">IFERROR(__xludf.DUMMYFUNCTION("IMPORTRANGE(""https://docs.google.com/spreadsheets/d/17IOkEwkUd63EGNfyNDnM5de9YlZ7rwzTiW6-dokVjKI/edit?usp=sharing"",""อุบลราชธานี!L229"")"),44400)</f>
        <v>44400</v>
      </c>
      <c r="CC51" s="92">
        <f ca="1">IFERROR(__xludf.DUMMYFUNCTION("IMPORTRANGE(""https://docs.google.com/spreadsheets/d/17IOkEwkUd63EGNfyNDnM5de9YlZ7rwzTiW6-dokVjKI/edit?usp=sharing"",""อุบลราชธานี!N229"")"),44400)</f>
        <v>44400</v>
      </c>
      <c r="CD51" s="93">
        <f t="shared" ca="1" si="103"/>
        <v>100</v>
      </c>
      <c r="CE51" s="92">
        <f ca="1">IFERROR(__xludf.DUMMYFUNCTION("IMPORTRANGE(""https://docs.google.com/spreadsheets/d/17IOkEwkUd63EGNfyNDnM5de9YlZ7rwzTiW6-dokVjKI/edit?usp=sharing"",""อุบลราชธานี!L230"")"),0)</f>
        <v>0</v>
      </c>
      <c r="CF51" s="92">
        <f ca="1">IFERROR(__xludf.DUMMYFUNCTION("IMPORTRANGE(""https://docs.google.com/spreadsheets/d/17IOkEwkUd63EGNfyNDnM5de9YlZ7rwzTiW6-dokVjKI/edit?usp=sharing"",""อุบลราชธานี!N230"")"),0)</f>
        <v>0</v>
      </c>
      <c r="CG51" s="93">
        <f t="shared" ca="1" si="104"/>
        <v>0</v>
      </c>
      <c r="CH51" s="92">
        <f ca="1">IFERROR(__xludf.DUMMYFUNCTION("IMPORTRANGE(""https://docs.google.com/spreadsheets/d/17IOkEwkUd63EGNfyNDnM5de9YlZ7rwzTiW6-dokVjKI/edit?usp=sharing"",""อุบลราชธานี!L231"")"),10000)</f>
        <v>10000</v>
      </c>
      <c r="CI51" s="92">
        <f ca="1">IFERROR(__xludf.DUMMYFUNCTION("IMPORTRANGE(""https://docs.google.com/spreadsheets/d/17IOkEwkUd63EGNfyNDnM5de9YlZ7rwzTiW6-dokVjKI/edit?usp=sharing"",""อุบลราชธานี!N231"")"),10000)</f>
        <v>10000</v>
      </c>
      <c r="CJ51" s="93">
        <f t="shared" ca="1" si="105"/>
        <v>100</v>
      </c>
      <c r="CK51" s="92">
        <f ca="1">IFERROR(__xludf.DUMMYFUNCTION("IMPORTRANGE(""https://docs.google.com/spreadsheets/d/17IOkEwkUd63EGNfyNDnM5de9YlZ7rwzTiW6-dokVjKI/edit?usp=sharing"",""อุบลราชธานี!I233"")"),40)</f>
        <v>40</v>
      </c>
      <c r="CL51" s="92">
        <f ca="1">IFERROR(__xludf.DUMMYFUNCTION("IMPORTRANGE(""https://docs.google.com/spreadsheets/d/17IOkEwkUd63EGNfyNDnM5de9YlZ7rwzTiW6-dokVjKI/edit?usp=sharing"",""อุบลราชธานี!J233"")"),40)</f>
        <v>40</v>
      </c>
      <c r="CM51" s="93">
        <f t="shared" ca="1" si="106"/>
        <v>100</v>
      </c>
      <c r="CN51" s="92">
        <f ca="1">IFERROR(__xludf.DUMMYFUNCTION("IMPORTRANGE(""https://docs.google.com/spreadsheets/d/17IOkEwkUd63EGNfyNDnM5de9YlZ7rwzTiW6-dokVjKI/edit?usp=sharing"",""อุบลราชธานี!J235"")"),0)</f>
        <v>0</v>
      </c>
      <c r="CO51" s="92">
        <f ca="1">IFERROR(__xludf.DUMMYFUNCTION("IMPORTRANGE(""https://docs.google.com/spreadsheets/d/17IOkEwkUd63EGNfyNDnM5de9YlZ7rwzTiW6-dokVjKI/edit?usp=sharing"",""อุบลราชธานี!J236"")"),1)</f>
        <v>1</v>
      </c>
    </row>
    <row r="52" spans="1:93" ht="21" customHeight="1" x14ac:dyDescent="0.3">
      <c r="A52" s="385" t="s">
        <v>74</v>
      </c>
      <c r="B52" s="384"/>
      <c r="C52" s="94">
        <f t="shared" ca="1" si="0"/>
        <v>4809700</v>
      </c>
      <c r="D52" s="57">
        <f t="shared" ref="D52:I52" ca="1" si="162">SUM(D53:D73)</f>
        <v>4809700</v>
      </c>
      <c r="E52" s="57">
        <f t="shared" ca="1" si="162"/>
        <v>2160600</v>
      </c>
      <c r="F52" s="57">
        <f t="shared" ca="1" si="162"/>
        <v>2649100</v>
      </c>
      <c r="G52" s="57">
        <f t="shared" ca="1" si="162"/>
        <v>0</v>
      </c>
      <c r="H52" s="57">
        <f t="shared" ca="1" si="162"/>
        <v>5006440</v>
      </c>
      <c r="I52" s="57">
        <f t="shared" ca="1" si="162"/>
        <v>0</v>
      </c>
      <c r="J52" s="57">
        <f t="shared" ca="1" si="3"/>
        <v>4702003.91</v>
      </c>
      <c r="K52" s="95">
        <f t="shared" ca="1" si="4"/>
        <v>97.760856394369711</v>
      </c>
      <c r="L52" s="57">
        <f ca="1">SUM(L53:L73)</f>
        <v>4702003.91</v>
      </c>
      <c r="M52" s="96">
        <f t="shared" ca="1" si="5"/>
        <v>97.760856394369711</v>
      </c>
      <c r="N52" s="96">
        <f t="shared" ca="1" si="6"/>
        <v>93.91911038582306</v>
      </c>
      <c r="O52" s="97">
        <f ca="1">SUM(O53:O73)</f>
        <v>0</v>
      </c>
      <c r="P52" s="97">
        <f t="shared" ca="1" si="108"/>
        <v>0</v>
      </c>
      <c r="Q52" s="96">
        <f t="shared" ca="1" si="8"/>
        <v>0</v>
      </c>
      <c r="R52" s="57">
        <f t="shared" ref="R52:S52" ca="1" si="163">SUM(R53:R73)</f>
        <v>126000</v>
      </c>
      <c r="S52" s="57">
        <f t="shared" ca="1" si="163"/>
        <v>111460</v>
      </c>
      <c r="T52" s="96">
        <f t="shared" ca="1" si="84"/>
        <v>88.460317460317455</v>
      </c>
      <c r="U52" s="57">
        <f t="shared" ref="U52:V52" ca="1" si="164">SUM(U53:U73)</f>
        <v>84</v>
      </c>
      <c r="V52" s="57">
        <f t="shared" ca="1" si="164"/>
        <v>80</v>
      </c>
      <c r="W52" s="96">
        <f t="shared" ca="1" si="85"/>
        <v>95.238095238095241</v>
      </c>
      <c r="X52" s="57">
        <f t="shared" ref="X52:AB52" ca="1" si="165">SUM(X53:X73)</f>
        <v>3010</v>
      </c>
      <c r="Y52" s="57">
        <f t="shared" ca="1" si="165"/>
        <v>3003</v>
      </c>
      <c r="Z52" s="57">
        <f t="shared" ca="1" si="165"/>
        <v>7</v>
      </c>
      <c r="AA52" s="57">
        <f t="shared" ca="1" si="165"/>
        <v>39000</v>
      </c>
      <c r="AB52" s="57">
        <f t="shared" ca="1" si="165"/>
        <v>35710</v>
      </c>
      <c r="AC52" s="96">
        <f t="shared" ca="1" si="86"/>
        <v>91.564102564102569</v>
      </c>
      <c r="AD52" s="57">
        <f t="shared" ref="AD52:AE52" ca="1" si="166">SUM(AD53:AD73)</f>
        <v>312000</v>
      </c>
      <c r="AE52" s="57">
        <f t="shared" ca="1" si="166"/>
        <v>312810</v>
      </c>
      <c r="AF52" s="96">
        <f t="shared" ca="1" si="87"/>
        <v>100.25961538461539</v>
      </c>
      <c r="AG52" s="57">
        <f t="shared" ref="AG52:AH52" ca="1" si="167">SUM(AG53:AG73)</f>
        <v>156000</v>
      </c>
      <c r="AH52" s="57">
        <f t="shared" ca="1" si="167"/>
        <v>148000</v>
      </c>
      <c r="AI52" s="96">
        <f t="shared" ca="1" si="88"/>
        <v>94.871794871794876</v>
      </c>
      <c r="AJ52" s="57">
        <f t="shared" ref="AJ52:AK52" ca="1" si="168">SUM(AJ53:AJ73)</f>
        <v>10000</v>
      </c>
      <c r="AK52" s="57">
        <f t="shared" ca="1" si="168"/>
        <v>10000</v>
      </c>
      <c r="AL52" s="96">
        <f t="shared" ca="1" si="89"/>
        <v>100</v>
      </c>
      <c r="AM52" s="57">
        <f t="shared" ref="AM52:AN52" ca="1" si="169">SUM(AM53:AM73)</f>
        <v>39</v>
      </c>
      <c r="AN52" s="57">
        <f t="shared" ca="1" si="169"/>
        <v>39</v>
      </c>
      <c r="AO52" s="96">
        <f t="shared" ca="1" si="90"/>
        <v>100</v>
      </c>
      <c r="AP52" s="294">
        <f t="shared" ref="AP52:AS52" ca="1" si="170">SUM(AP53:AP73)</f>
        <v>37</v>
      </c>
      <c r="AQ52" s="294">
        <f t="shared" ca="1" si="170"/>
        <v>2</v>
      </c>
      <c r="AR52" s="57">
        <f t="shared" ca="1" si="170"/>
        <v>17000</v>
      </c>
      <c r="AS52" s="57">
        <f t="shared" ca="1" si="170"/>
        <v>17000</v>
      </c>
      <c r="AT52" s="96">
        <f t="shared" ca="1" si="91"/>
        <v>100</v>
      </c>
      <c r="AU52" s="57">
        <f t="shared" ref="AU52:AV52" ca="1" si="171">SUM(AU53:AU73)</f>
        <v>85000</v>
      </c>
      <c r="AV52" s="57">
        <f t="shared" ca="1" si="171"/>
        <v>85000</v>
      </c>
      <c r="AW52" s="96">
        <f t="shared" ca="1" si="92"/>
        <v>100</v>
      </c>
      <c r="AX52" s="57">
        <f t="shared" ref="AX52:AY52" ca="1" si="172">SUM(AX53:AX73)</f>
        <v>136000</v>
      </c>
      <c r="AY52" s="57">
        <f t="shared" ca="1" si="172"/>
        <v>136000</v>
      </c>
      <c r="AZ52" s="96">
        <f t="shared" ca="1" si="93"/>
        <v>100</v>
      </c>
      <c r="BA52" s="57">
        <f t="shared" ref="BA52:BB52" ca="1" si="173">SUM(BA53:BA73)</f>
        <v>17</v>
      </c>
      <c r="BB52" s="57">
        <f t="shared" ca="1" si="173"/>
        <v>17</v>
      </c>
      <c r="BC52" s="96">
        <f t="shared" ca="1" si="94"/>
        <v>100</v>
      </c>
      <c r="BD52" s="57">
        <f t="shared" ref="BD52:BE52" ca="1" si="174">SUM(BD53:BD73)</f>
        <v>17</v>
      </c>
      <c r="BE52" s="57">
        <f t="shared" ca="1" si="174"/>
        <v>17</v>
      </c>
      <c r="BF52" s="96">
        <f t="shared" ca="1" si="95"/>
        <v>100</v>
      </c>
      <c r="BG52" s="57">
        <f t="shared" ref="BG52:BH52" ca="1" si="175">SUM(BG53:BG73)</f>
        <v>76000</v>
      </c>
      <c r="BH52" s="57">
        <f t="shared" ca="1" si="175"/>
        <v>64860</v>
      </c>
      <c r="BI52" s="96">
        <f t="shared" ca="1" si="96"/>
        <v>85.34210526315789</v>
      </c>
      <c r="BJ52" s="57">
        <f t="shared" ref="BJ52:BK52" ca="1" si="176">SUM(BJ53:BJ73)</f>
        <v>131700</v>
      </c>
      <c r="BK52" s="57">
        <f t="shared" ca="1" si="176"/>
        <v>111900</v>
      </c>
      <c r="BL52" s="96">
        <f t="shared" ca="1" si="97"/>
        <v>84.965831435079721</v>
      </c>
      <c r="BM52" s="57">
        <f t="shared" ref="BM52:BN52" ca="1" si="177">SUM(BM53:BM73)</f>
        <v>40000</v>
      </c>
      <c r="BN52" s="57">
        <f t="shared" ca="1" si="177"/>
        <v>40000</v>
      </c>
      <c r="BO52" s="96">
        <f t="shared" ca="1" si="98"/>
        <v>100</v>
      </c>
      <c r="BP52" s="57">
        <f t="shared" ref="BP52:BQ52" ca="1" si="178">SUM(BP53:BP73)</f>
        <v>470200</v>
      </c>
      <c r="BQ52" s="57">
        <f t="shared" ca="1" si="178"/>
        <v>470200</v>
      </c>
      <c r="BR52" s="96">
        <f t="shared" ca="1" si="99"/>
        <v>100</v>
      </c>
      <c r="BS52" s="57">
        <f t="shared" ref="BS52:BT52" ca="1" si="179">SUM(BS53:BS73)</f>
        <v>470200</v>
      </c>
      <c r="BT52" s="57">
        <f t="shared" ca="1" si="179"/>
        <v>470200</v>
      </c>
      <c r="BU52" s="96">
        <f t="shared" ca="1" si="100"/>
        <v>100</v>
      </c>
      <c r="BV52" s="57">
        <f t="shared" ref="BV52:BW52" ca="1" si="180">SUM(BV53:BV73)</f>
        <v>40</v>
      </c>
      <c r="BW52" s="57">
        <f t="shared" ca="1" si="180"/>
        <v>40</v>
      </c>
      <c r="BX52" s="96">
        <f t="shared" ca="1" si="101"/>
        <v>100</v>
      </c>
      <c r="BY52" s="57">
        <f t="shared" ref="BY52:BZ52" ca="1" si="181">SUM(BY53:BY73)</f>
        <v>686000</v>
      </c>
      <c r="BZ52" s="57">
        <f t="shared" ca="1" si="181"/>
        <v>622977.42000000004</v>
      </c>
      <c r="CA52" s="96">
        <f t="shared" ca="1" si="102"/>
        <v>90.813034985422746</v>
      </c>
      <c r="CB52" s="57">
        <f t="shared" ref="CB52:CC52" ca="1" si="182">SUM(CB53:CB73)</f>
        <v>431900</v>
      </c>
      <c r="CC52" s="57">
        <f t="shared" ca="1" si="182"/>
        <v>406300</v>
      </c>
      <c r="CD52" s="96">
        <f t="shared" ca="1" si="103"/>
        <v>94.072702014355173</v>
      </c>
      <c r="CE52" s="57">
        <f t="shared" ref="CE52:CF52" ca="1" si="183">SUM(CE53:CE73)</f>
        <v>252500</v>
      </c>
      <c r="CF52" s="57">
        <f t="shared" ca="1" si="183"/>
        <v>252500</v>
      </c>
      <c r="CG52" s="96">
        <f t="shared" ca="1" si="104"/>
        <v>100</v>
      </c>
      <c r="CH52" s="57">
        <f t="shared" ref="CH52:CI52" ca="1" si="184">SUM(CH53:CH73)</f>
        <v>150000</v>
      </c>
      <c r="CI52" s="57">
        <f t="shared" ca="1" si="184"/>
        <v>149790</v>
      </c>
      <c r="CJ52" s="96">
        <f t="shared" ca="1" si="105"/>
        <v>99.86</v>
      </c>
      <c r="CK52" s="57">
        <f t="shared" ref="CK52:CL52" ca="1" si="185">SUM(CK53:CK73)</f>
        <v>340</v>
      </c>
      <c r="CL52" s="57">
        <f t="shared" ca="1" si="185"/>
        <v>341</v>
      </c>
      <c r="CM52" s="96">
        <f t="shared" ca="1" si="106"/>
        <v>100.29411764705883</v>
      </c>
      <c r="CN52" s="57">
        <f t="shared" ref="CN52:CO52" ca="1" si="186">SUM(CN53:CN73)</f>
        <v>281</v>
      </c>
      <c r="CO52" s="57">
        <f t="shared" ca="1" si="186"/>
        <v>14</v>
      </c>
    </row>
    <row r="53" spans="1:93" ht="21" customHeight="1" x14ac:dyDescent="0.3">
      <c r="A53" s="63">
        <v>1</v>
      </c>
      <c r="B53" s="64" t="s">
        <v>75</v>
      </c>
      <c r="C53" s="98">
        <f t="shared" ca="1" si="0"/>
        <v>352500</v>
      </c>
      <c r="D53" s="66">
        <f t="shared" ref="D53:D73" ca="1" si="187">+E53+F53</f>
        <v>352500</v>
      </c>
      <c r="E53" s="67">
        <f ca="1">IFERROR(__xludf.DUMMYFUNCTION("IMPORTRANGE(""https://docs.google.com/spreadsheets/d/1MeEWN-I1oV_STSDYn1IFDPWt_1FKiwhDph83XaGc0o0/edit?usp=sharing"",""งบพรบ!CP53"")"),71800)</f>
        <v>71800</v>
      </c>
      <c r="F53" s="67">
        <f ca="1">IFERROR(__xludf.DUMMYFUNCTION("IMPORTRANGE(""https://docs.google.com/spreadsheets/d/1MeEWN-I1oV_STSDYn1IFDPWt_1FKiwhDph83XaGc0o0/edit?usp=sharing"",""งบพรบ!CQ53"")"),280700)</f>
        <v>280700</v>
      </c>
      <c r="G53" s="68">
        <f ca="1">IFERROR(__xludf.DUMMYFUNCTION("IMPORTRANGE(""https://docs.google.com/spreadsheets/d/1MeEWN-I1oV_STSDYn1IFDPWt_1FKiwhDph83XaGc0o0/edit?usp=sharing"",""งบพรบ!CR53"")"),0)</f>
        <v>0</v>
      </c>
      <c r="H53" s="68">
        <f ca="1">IFERROR(__xludf.DUMMYFUNCTION("IMPORTRANGE(""https://docs.google.com/spreadsheets/d/1MeEWN-I1oV_STSDYn1IFDPWt_1FKiwhDph83XaGc0o0/edit?usp=sharing"",""งบพรบ!CT53"")"),361840)</f>
        <v>361840</v>
      </c>
      <c r="I53" s="68">
        <f ca="1">IFERROR(__xludf.DUMMYFUNCTION("IMPORTRANGE(""https://docs.google.com/spreadsheets/d/1MeEWN-I1oV_STSDYn1IFDPWt_1FKiwhDph83XaGc0o0/edit?usp=sharing"",""งบพรบ!CU53"")"),0)</f>
        <v>0</v>
      </c>
      <c r="J53" s="68">
        <f t="shared" ca="1" si="3"/>
        <v>354003</v>
      </c>
      <c r="K53" s="69">
        <f t="shared" ca="1" si="4"/>
        <v>100.42638297872341</v>
      </c>
      <c r="L53" s="68">
        <f ca="1">IFERROR(__xludf.DUMMYFUNCTION("IMPORTRANGE(""https://docs.google.com/spreadsheets/d/1MeEWN-I1oV_STSDYn1IFDPWt_1FKiwhDph83XaGc0o0/edit?usp=sharing"",""งบพรบ!CV53"")"),354003)</f>
        <v>354003</v>
      </c>
      <c r="M53" s="70">
        <f t="shared" ca="1" si="5"/>
        <v>100.42638297872341</v>
      </c>
      <c r="N53" s="70">
        <f t="shared" ca="1" si="6"/>
        <v>97.834125580367015</v>
      </c>
      <c r="O53" s="71">
        <f ca="1">IFERROR(__xludf.DUMMYFUNCTION("IMPORTRANGE(""https://docs.google.com/spreadsheets/d/1MeEWN-I1oV_STSDYn1IFDPWt_1FKiwhDph83XaGc0o0/edit?usp=sharing"",""งบพรบ!CW53"")"),0)</f>
        <v>0</v>
      </c>
      <c r="P53" s="71">
        <f t="shared" ca="1" si="10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IFERROR(__xludf.DUMMYFUNCTION("IMPORTRANGE(""https://docs.google.com/spreadsheets/d/1hKO5uv94SSRZWOvrh72HRcpyoEQF9TsE_Cvxl77XNU4/edit?usp=sharing"",""กาญจนบุรี!L191"")"),6000)</f>
        <v>6000</v>
      </c>
      <c r="S53" s="68">
        <f ca="1">IFERROR(__xludf.DUMMYFUNCTION("IMPORTRANGE(""https://docs.google.com/spreadsheets/d/1hKO5uv94SSRZWOvrh72HRcpyoEQF9TsE_Cvxl77XNU4/edit?usp=sharing"",""กาญจนบุรี!N191"")"),6000)</f>
        <v>6000</v>
      </c>
      <c r="T53" s="72">
        <f t="shared" ca="1" si="84"/>
        <v>100</v>
      </c>
      <c r="U53" s="68">
        <f ca="1">IFERROR(__xludf.DUMMYFUNCTION("IMPORTRANGE(""https://docs.google.com/spreadsheets/d/1hKO5uv94SSRZWOvrh72HRcpyoEQF9TsE_Cvxl77XNU4/edit?usp=sharing"",""กาญจนบุรี!I193"")"),4)</f>
        <v>4</v>
      </c>
      <c r="V53" s="68">
        <f ca="1">IFERROR(__xludf.DUMMYFUNCTION("IMPORTRANGE(""https://docs.google.com/spreadsheets/d/1hKO5uv94SSRZWOvrh72HRcpyoEQF9TsE_Cvxl77XNU4/edit?usp=sharing"",""กาญจนบุรี!J193"")"),4)</f>
        <v>4</v>
      </c>
      <c r="W53" s="72">
        <f t="shared" ca="1" si="85"/>
        <v>100</v>
      </c>
      <c r="X53" s="68">
        <f t="shared" ref="X53:X73" ca="1" si="188">Y53+Z53</f>
        <v>104</v>
      </c>
      <c r="Y53" s="68">
        <f ca="1">IFERROR(__xludf.DUMMYFUNCTION("IMPORTRANGE(""https://docs.google.com/spreadsheets/d/1hKO5uv94SSRZWOvrh72HRcpyoEQF9TsE_Cvxl77XNU4/edit?usp=sharing"",""กาญจนบุรี!J195"")"),97)</f>
        <v>97</v>
      </c>
      <c r="Z53" s="68">
        <f ca="1">IFERROR(__xludf.DUMMYFUNCTION("IMPORTRANGE(""https://docs.google.com/spreadsheets/d/1hKO5uv94SSRZWOvrh72HRcpyoEQF9TsE_Cvxl77XNU4/edit?usp=sharing"",""กาญจนบุรี!J196"")"),7)</f>
        <v>7</v>
      </c>
      <c r="AA53" s="68">
        <f ca="1">IFERROR(__xludf.DUMMYFUNCTION("IMPORTRANGE(""https://docs.google.com/spreadsheets/d/1hKO5uv94SSRZWOvrh72HRcpyoEQF9TsE_Cvxl77XNU4/edit?usp=sharing"",""กาญจนบุรี!L199"")"),4000)</f>
        <v>4000</v>
      </c>
      <c r="AB53" s="68">
        <f ca="1">IFERROR(__xludf.DUMMYFUNCTION("IMPORTRANGE(""https://docs.google.com/spreadsheets/d/1hKO5uv94SSRZWOvrh72HRcpyoEQF9TsE_Cvxl77XNU4/edit?usp=sharing"",""กาญจนบุรี!N199"")"),4000)</f>
        <v>4000</v>
      </c>
      <c r="AC53" s="72">
        <f t="shared" ca="1" si="86"/>
        <v>100</v>
      </c>
      <c r="AD53" s="68">
        <f ca="1">IFERROR(__xludf.DUMMYFUNCTION("IMPORTRANGE(""https://docs.google.com/spreadsheets/d/1hKO5uv94SSRZWOvrh72HRcpyoEQF9TsE_Cvxl77XNU4/edit?usp=sharing"",""กาญจนบุรี!L200"")"),32000)</f>
        <v>32000</v>
      </c>
      <c r="AE53" s="68">
        <f ca="1">IFERROR(__xludf.DUMMYFUNCTION("IMPORTRANGE(""https://docs.google.com/spreadsheets/d/1hKO5uv94SSRZWOvrh72HRcpyoEQF9TsE_Cvxl77XNU4/edit?usp=sharing"",""กาญจนบุรี!N200"")"),32000)</f>
        <v>32000</v>
      </c>
      <c r="AF53" s="72">
        <f t="shared" ca="1" si="87"/>
        <v>100</v>
      </c>
      <c r="AG53" s="68">
        <f ca="1">IFERROR(__xludf.DUMMYFUNCTION("IMPORTRANGE(""https://docs.google.com/spreadsheets/d/1hKO5uv94SSRZWOvrh72HRcpyoEQF9TsE_Cvxl77XNU4/edit?usp=sharing"",""กาญจนบุรี!L201"")"),16000)</f>
        <v>16000</v>
      </c>
      <c r="AH53" s="68">
        <f ca="1">IFERROR(__xludf.DUMMYFUNCTION("IMPORTRANGE(""https://docs.google.com/spreadsheets/d/1hKO5uv94SSRZWOvrh72HRcpyoEQF9TsE_Cvxl77XNU4/edit?usp=sharing"",""กาญจนบุรี!N201"")"),16000)</f>
        <v>16000</v>
      </c>
      <c r="AI53" s="72">
        <f t="shared" ca="1" si="88"/>
        <v>100</v>
      </c>
      <c r="AJ53" s="68">
        <f ca="1">IFERROR(__xludf.DUMMYFUNCTION("IMPORTRANGE(""https://docs.google.com/spreadsheets/d/1hKO5uv94SSRZWOvrh72HRcpyoEQF9TsE_Cvxl77XNU4/edit?usp=sharing"",""กาญจนบุรี!L202"")"),5000)</f>
        <v>5000</v>
      </c>
      <c r="AK53" s="68">
        <f ca="1">IFERROR(__xludf.DUMMYFUNCTION("IMPORTRANGE(""https://docs.google.com/spreadsheets/d/1hKO5uv94SSRZWOvrh72HRcpyoEQF9TsE_Cvxl77XNU4/edit?usp=sharing"",""กาญจนบุรี!N202"")"),5000)</f>
        <v>5000</v>
      </c>
      <c r="AL53" s="72">
        <f t="shared" ca="1" si="89"/>
        <v>100</v>
      </c>
      <c r="AM53" s="68">
        <f ca="1">IFERROR(__xludf.DUMMYFUNCTION("IMPORTRANGE(""https://docs.google.com/spreadsheets/d/1hKO5uv94SSRZWOvrh72HRcpyoEQF9TsE_Cvxl77XNU4/edit?usp=sharing"",""กาญจนบุรี!I204"")"),4)</f>
        <v>4</v>
      </c>
      <c r="AN53" s="68">
        <f ca="1">IFERROR(__xludf.DUMMYFUNCTION("IMPORTRANGE(""https://docs.google.com/spreadsheets/d/1hKO5uv94SSRZWOvrh72HRcpyoEQF9TsE_Cvxl77XNU4/edit?usp=sharing"",""กาญจนบุรี!J204"")"),4)</f>
        <v>4</v>
      </c>
      <c r="AO53" s="72">
        <f t="shared" ca="1" si="90"/>
        <v>100</v>
      </c>
      <c r="AP53" s="297">
        <f ca="1">IFERROR(__xludf.DUMMYFUNCTION("IMPORTRANGE(""https://docs.google.com/spreadsheets/d/1hKO5uv94SSRZWOvrh72HRcpyoEQF9TsE_Cvxl77XNU4/edit?usp=sharing"",""กาญจนบุรี!J206"")"),4)</f>
        <v>4</v>
      </c>
      <c r="AQ53" s="297">
        <f ca="1">IFERROR(__xludf.DUMMYFUNCTION("IMPORTRANGE(""https://docs.google.com/spreadsheets/d/1hKO5uv94SSRZWOvrh72HRcpyoEQF9TsE_Cvxl77XNU4/edit?usp=sharing"",""กาญจนบุรี!J207"")"),1)</f>
        <v>1</v>
      </c>
      <c r="AR53" s="68">
        <f ca="1">IFERROR(__xludf.DUMMYFUNCTION("IMPORTRANGE(""https://docs.google.com/spreadsheets/d/1hKO5uv94SSRZWOvrh72HRcpyoEQF9TsE_Cvxl77XNU4/edit?usp=sharing"",""กาญจนบุรี!L210"")"),6000)</f>
        <v>6000</v>
      </c>
      <c r="AS53" s="68">
        <f ca="1">IFERROR(__xludf.DUMMYFUNCTION("IMPORTRANGE(""https://docs.google.com/spreadsheets/d/1hKO5uv94SSRZWOvrh72HRcpyoEQF9TsE_Cvxl77XNU4/edit?usp=sharing"",""กาญจนบุรี!N210"")"),6000)</f>
        <v>6000</v>
      </c>
      <c r="AT53" s="72">
        <f t="shared" ca="1" si="91"/>
        <v>100</v>
      </c>
      <c r="AU53" s="68">
        <f ca="1">IFERROR(__xludf.DUMMYFUNCTION("IMPORTRANGE(""https://docs.google.com/spreadsheets/d/1hKO5uv94SSRZWOvrh72HRcpyoEQF9TsE_Cvxl77XNU4/edit?usp=sharing"",""กาญจนบุรี!L211"")"),30000)</f>
        <v>30000</v>
      </c>
      <c r="AV53" s="68">
        <f ca="1">IFERROR(__xludf.DUMMYFUNCTION("IMPORTRANGE(""https://docs.google.com/spreadsheets/d/1hKO5uv94SSRZWOvrh72HRcpyoEQF9TsE_Cvxl77XNU4/edit?usp=sharing"",""กาญจนบุรี!N211"")"),30000)</f>
        <v>30000</v>
      </c>
      <c r="AW53" s="72">
        <f t="shared" ca="1" si="92"/>
        <v>100</v>
      </c>
      <c r="AX53" s="68">
        <f ca="1">IFERROR(__xludf.DUMMYFUNCTION("IMPORTRANGE(""https://docs.google.com/spreadsheets/d/1hKO5uv94SSRZWOvrh72HRcpyoEQF9TsE_Cvxl77XNU4/edit?usp=sharing"",""กาญจนบุรี!L212"")"),48000)</f>
        <v>48000</v>
      </c>
      <c r="AY53" s="68">
        <f ca="1">IFERROR(__xludf.DUMMYFUNCTION("IMPORTRANGE(""https://docs.google.com/spreadsheets/d/1hKO5uv94SSRZWOvrh72HRcpyoEQF9TsE_Cvxl77XNU4/edit?usp=sharing"",""กาญจนบุรี!N212"")"),48000)</f>
        <v>48000</v>
      </c>
      <c r="AZ53" s="72">
        <f t="shared" ca="1" si="93"/>
        <v>100</v>
      </c>
      <c r="BA53" s="68">
        <f ca="1">IFERROR(__xludf.DUMMYFUNCTION("IMPORTRANGE(""https://docs.google.com/spreadsheets/d/1hKO5uv94SSRZWOvrh72HRcpyoEQF9TsE_Cvxl77XNU4/edit?usp=sharing"",""กาญจนบุรี!I214"")"),6)</f>
        <v>6</v>
      </c>
      <c r="BB53" s="68">
        <f ca="1">IFERROR(__xludf.DUMMYFUNCTION("IMPORTRANGE(""https://docs.google.com/spreadsheets/d/1hKO5uv94SSRZWOvrh72HRcpyoEQF9TsE_Cvxl77XNU4/edit?usp=sharing"",""กาญจนบุรี!J214"")"),6)</f>
        <v>6</v>
      </c>
      <c r="BC53" s="72">
        <f t="shared" ca="1" si="94"/>
        <v>100</v>
      </c>
      <c r="BD53" s="68">
        <f ca="1">IFERROR(__xludf.DUMMYFUNCTION("IMPORTRANGE(""https://docs.google.com/spreadsheets/d/1hKO5uv94SSRZWOvrh72HRcpyoEQF9TsE_Cvxl77XNU4/edit?usp=sharing"",""กาญจนบุรี!I215"")"),6)</f>
        <v>6</v>
      </c>
      <c r="BE53" s="68">
        <f ca="1">IFERROR(__xludf.DUMMYFUNCTION("IMPORTRANGE(""https://docs.google.com/spreadsheets/d/1hKO5uv94SSRZWOvrh72HRcpyoEQF9TsE_Cvxl77XNU4/edit?usp=sharing"",""กาญจนบุรี!J215"")"),6)</f>
        <v>6</v>
      </c>
      <c r="BF53" s="72">
        <f t="shared" ca="1" si="95"/>
        <v>100</v>
      </c>
      <c r="BG53" s="68">
        <f ca="1">IFERROR(__xludf.DUMMYFUNCTION("IMPORTRANGE(""https://docs.google.com/spreadsheets/d/1hKO5uv94SSRZWOvrh72HRcpyoEQF9TsE_Cvxl77XNU4/edit?usp=sharing"",""กาญจนบุรี!L218"")"),5000)</f>
        <v>5000</v>
      </c>
      <c r="BH53" s="68">
        <f ca="1">IFERROR(__xludf.DUMMYFUNCTION("IMPORTRANGE(""https://docs.google.com/spreadsheets/d/1hKO5uv94SSRZWOvrh72HRcpyoEQF9TsE_Cvxl77XNU4/edit?usp=sharing"",""กาญจนบุรี!N218"")"),5000)</f>
        <v>5000</v>
      </c>
      <c r="BI53" s="72">
        <f t="shared" ca="1" si="96"/>
        <v>100</v>
      </c>
      <c r="BJ53" s="68">
        <f ca="1">IFERROR(__xludf.DUMMYFUNCTION("IMPORTRANGE(""https://docs.google.com/spreadsheets/d/1hKO5uv94SSRZWOvrh72HRcpyoEQF9TsE_Cvxl77XNU4/edit?usp=sharing"",""กาญจนบุรี!L219"")"),8500)</f>
        <v>8500</v>
      </c>
      <c r="BK53" s="68">
        <f ca="1">IFERROR(__xludf.DUMMYFUNCTION("IMPORTRANGE(""https://docs.google.com/spreadsheets/d/1hKO5uv94SSRZWOvrh72HRcpyoEQF9TsE_Cvxl77XNU4/edit?usp=sharing"",""กาญจนบุรี!N219"")"),8500)</f>
        <v>8500</v>
      </c>
      <c r="BL53" s="72">
        <f t="shared" ca="1" si="97"/>
        <v>100</v>
      </c>
      <c r="BM53" s="68">
        <f ca="1">IFERROR(__xludf.DUMMYFUNCTION("IMPORTRANGE(""https://docs.google.com/spreadsheets/d/1hKO5uv94SSRZWOvrh72HRcpyoEQF9TsE_Cvxl77XNU4/edit?usp=sharing"",""กาญจนบุรี!L220"")"),0)</f>
        <v>0</v>
      </c>
      <c r="BN53" s="68">
        <f ca="1">IFERROR(__xludf.DUMMYFUNCTION("IMPORTRANGE(""https://docs.google.com/spreadsheets/d/1hKO5uv94SSRZWOvrh72HRcpyoEQF9TsE_Cvxl77XNU4/edit?usp=sharing"",""กาญจนบุรี!N220"")"),0)</f>
        <v>0</v>
      </c>
      <c r="BO53" s="72">
        <f t="shared" ca="1" si="98"/>
        <v>0</v>
      </c>
      <c r="BP53" s="68">
        <f ca="1">IFERROR(__xludf.DUMMYFUNCTION("IMPORTRANGE(""https://docs.google.com/spreadsheets/d/1hKO5uv94SSRZWOvrh72HRcpyoEQF9TsE_Cvxl77XNU4/edit?usp=sharing"",""กาญจนบุรี!I223"")"),30000)</f>
        <v>30000</v>
      </c>
      <c r="BQ53" s="68">
        <f ca="1">IFERROR(__xludf.DUMMYFUNCTION("IMPORTRANGE(""https://docs.google.com/spreadsheets/d/1hKO5uv94SSRZWOvrh72HRcpyoEQF9TsE_Cvxl77XNU4/edit?usp=sharing"",""กาญจนบุรี!J223"")"),30000)</f>
        <v>30000</v>
      </c>
      <c r="BR53" s="72">
        <f t="shared" ca="1" si="99"/>
        <v>100</v>
      </c>
      <c r="BS53" s="68">
        <f ca="1">IFERROR(__xludf.DUMMYFUNCTION("IMPORTRANGE(""https://docs.google.com/spreadsheets/d/1hKO5uv94SSRZWOvrh72HRcpyoEQF9TsE_Cvxl77XNU4/edit?usp=sharing"",""กาญจนบุรี!I224"")"),30000)</f>
        <v>30000</v>
      </c>
      <c r="BT53" s="68">
        <f ca="1">IFERROR(__xludf.DUMMYFUNCTION("IMPORTRANGE(""https://docs.google.com/spreadsheets/d/1hKO5uv94SSRZWOvrh72HRcpyoEQF9TsE_Cvxl77XNU4/edit?usp=sharing"",""กาญจนบุรี!J224"")"),30000)</f>
        <v>30000</v>
      </c>
      <c r="BU53" s="72">
        <f t="shared" ca="1" si="100"/>
        <v>100</v>
      </c>
      <c r="BV53" s="68">
        <f ca="1">IFERROR(__xludf.DUMMYFUNCTION("IMPORTRANGE(""https://docs.google.com/spreadsheets/d/1hKO5uv94SSRZWOvrh72HRcpyoEQF9TsE_Cvxl77XNU4/edit?usp=sharing"",""กาญจนบุรี!I225"")"),0)</f>
        <v>0</v>
      </c>
      <c r="BW53" s="68">
        <f ca="1">IFERROR(__xludf.DUMMYFUNCTION("IMPORTRANGE(""https://docs.google.com/spreadsheets/d/1hKO5uv94SSRZWOvrh72HRcpyoEQF9TsE_Cvxl77XNU4/edit?usp=sharing"",""กาญจนบุรี!J225"")"),0)</f>
        <v>0</v>
      </c>
      <c r="BX53" s="72">
        <f t="shared" ca="1" si="101"/>
        <v>0</v>
      </c>
      <c r="BY53" s="68">
        <f ca="1">IFERROR(__xludf.DUMMYFUNCTION("IMPORTRANGE(""https://docs.google.com/spreadsheets/d/1hKO5uv94SSRZWOvrh72HRcpyoEQF9TsE_Cvxl77XNU4/edit?usp=sharing"",""กาญจนบุรี!L228"")"),20000)</f>
        <v>20000</v>
      </c>
      <c r="BZ53" s="68">
        <f ca="1">IFERROR(__xludf.DUMMYFUNCTION("IMPORTRANGE(""https://docs.google.com/spreadsheets/d/1hKO5uv94SSRZWOvrh72HRcpyoEQF9TsE_Cvxl77XNU4/edit?usp=sharing"",""กาญจนบุรี!N228"")"),20000)</f>
        <v>20000</v>
      </c>
      <c r="CA53" s="72">
        <f t="shared" ca="1" si="102"/>
        <v>100</v>
      </c>
      <c r="CB53" s="68">
        <f ca="1">IFERROR(__xludf.DUMMYFUNCTION("IMPORTRANGE(""https://docs.google.com/spreadsheets/d/1hKO5uv94SSRZWOvrh72HRcpyoEQF9TsE_Cvxl77XNU4/edit?usp=sharing"",""กาญจนบุรี!L229"")"),55200)</f>
        <v>55200</v>
      </c>
      <c r="CC53" s="68">
        <f ca="1">IFERROR(__xludf.DUMMYFUNCTION("IMPORTRANGE(""https://docs.google.com/spreadsheets/d/1hKO5uv94SSRZWOvrh72HRcpyoEQF9TsE_Cvxl77XNU4/edit?usp=sharing"",""กาญจนบุรี!N229"")"),55200)</f>
        <v>55200</v>
      </c>
      <c r="CD53" s="72">
        <f t="shared" ca="1" si="103"/>
        <v>100</v>
      </c>
      <c r="CE53" s="68">
        <f ca="1">IFERROR(__xludf.DUMMYFUNCTION("IMPORTRANGE(""https://docs.google.com/spreadsheets/d/1hKO5uv94SSRZWOvrh72HRcpyoEQF9TsE_Cvxl77XNU4/edit?usp=sharing"",""กาญจนบุรี!L230"")"),15000)</f>
        <v>15000</v>
      </c>
      <c r="CF53" s="68">
        <f ca="1">IFERROR(__xludf.DUMMYFUNCTION("IMPORTRANGE(""https://docs.google.com/spreadsheets/d/1hKO5uv94SSRZWOvrh72HRcpyoEQF9TsE_Cvxl77XNU4/edit?usp=sharing"",""กาญจนบุรี!N230"")"),15000)</f>
        <v>15000</v>
      </c>
      <c r="CG53" s="72">
        <f t="shared" ca="1" si="104"/>
        <v>100</v>
      </c>
      <c r="CH53" s="68">
        <f ca="1">IFERROR(__xludf.DUMMYFUNCTION("IMPORTRANGE(""https://docs.google.com/spreadsheets/d/1hKO5uv94SSRZWOvrh72HRcpyoEQF9TsE_Cvxl77XNU4/edit?usp=sharing"",""กาญจนบุรี!L231"")"),30000)</f>
        <v>30000</v>
      </c>
      <c r="CI53" s="68">
        <f ca="1">IFERROR(__xludf.DUMMYFUNCTION("IMPORTRANGE(""https://docs.google.com/spreadsheets/d/1hKO5uv94SSRZWOvrh72HRcpyoEQF9TsE_Cvxl77XNU4/edit?usp=sharing"",""กาญจนบุรี!N231"")"),30000)</f>
        <v>30000</v>
      </c>
      <c r="CJ53" s="72">
        <f t="shared" ca="1" si="105"/>
        <v>100</v>
      </c>
      <c r="CK53" s="68">
        <f ca="1">IFERROR(__xludf.DUMMYFUNCTION("IMPORTRANGE(""https://docs.google.com/spreadsheets/d/1hKO5uv94SSRZWOvrh72HRcpyoEQF9TsE_Cvxl77XNU4/edit?usp=sharing"",""กาญจนบุรี!I233"")"),30)</f>
        <v>30</v>
      </c>
      <c r="CL53" s="68">
        <f ca="1">IFERROR(__xludf.DUMMYFUNCTION("IMPORTRANGE(""https://docs.google.com/spreadsheets/d/1hKO5uv94SSRZWOvrh72HRcpyoEQF9TsE_Cvxl77XNU4/edit?usp=sharing"",""กาญจนบุรี!J233"")"),30)</f>
        <v>30</v>
      </c>
      <c r="CM53" s="72">
        <f t="shared" ca="1" si="106"/>
        <v>100</v>
      </c>
      <c r="CN53" s="68">
        <f ca="1">IFERROR(__xludf.DUMMYFUNCTION("IMPORTRANGE(""https://docs.google.com/spreadsheets/d/1hKO5uv94SSRZWOvrh72HRcpyoEQF9TsE_Cvxl77XNU4/edit?usp=sharing"",""กาญจนบุรี!J235"")"),30)</f>
        <v>30</v>
      </c>
      <c r="CO53" s="68">
        <f ca="1">IFERROR(__xludf.DUMMYFUNCTION("IMPORTRANGE(""https://docs.google.com/spreadsheets/d/1hKO5uv94SSRZWOvrh72HRcpyoEQF9TsE_Cvxl77XNU4/edit?usp=sharing"",""กาญจนบุรี!J236"")"),1)</f>
        <v>1</v>
      </c>
    </row>
    <row r="54" spans="1:93" ht="21" customHeight="1" x14ac:dyDescent="0.3">
      <c r="A54" s="73">
        <v>2</v>
      </c>
      <c r="B54" s="74" t="s">
        <v>76</v>
      </c>
      <c r="C54" s="75">
        <f t="shared" ca="1" si="0"/>
        <v>142100</v>
      </c>
      <c r="D54" s="76">
        <f t="shared" ca="1" si="187"/>
        <v>142100</v>
      </c>
      <c r="E54" s="77">
        <f ca="1">IFERROR(__xludf.DUMMYFUNCTION("IMPORTRANGE(""https://docs.google.com/spreadsheets/d/1MeEWN-I1oV_STSDYn1IFDPWt_1FKiwhDph83XaGc0o0/edit?usp=sharing"",""งบพรบ!CP54"")"),0)</f>
        <v>0</v>
      </c>
      <c r="F54" s="77">
        <f ca="1">IFERROR(__xludf.DUMMYFUNCTION("IMPORTRANGE(""https://docs.google.com/spreadsheets/d/1MeEWN-I1oV_STSDYn1IFDPWt_1FKiwhDph83XaGc0o0/edit?usp=sharing"",""งบพรบ!CQ54"")"),142100)</f>
        <v>142100</v>
      </c>
      <c r="G54" s="77">
        <f ca="1">IFERROR(__xludf.DUMMYFUNCTION("IMPORTRANGE(""https://docs.google.com/spreadsheets/d/1MeEWN-I1oV_STSDYn1IFDPWt_1FKiwhDph83XaGc0o0/edit?usp=sharing"",""งบพรบ!CR54"")"),0)</f>
        <v>0</v>
      </c>
      <c r="H54" s="77">
        <f ca="1">IFERROR(__xludf.DUMMYFUNCTION("IMPORTRANGE(""https://docs.google.com/spreadsheets/d/1MeEWN-I1oV_STSDYn1IFDPWt_1FKiwhDph83XaGc0o0/edit?usp=sharing"",""งบพรบ!CT54"")"),150060)</f>
        <v>150060</v>
      </c>
      <c r="I54" s="77">
        <f ca="1">IFERROR(__xludf.DUMMYFUNCTION("IMPORTRANGE(""https://docs.google.com/spreadsheets/d/1MeEWN-I1oV_STSDYn1IFDPWt_1FKiwhDph83XaGc0o0/edit?usp=sharing"",""งบพรบ!CU54"")"),0)</f>
        <v>0</v>
      </c>
      <c r="J54" s="77">
        <f t="shared" ca="1" si="3"/>
        <v>131329</v>
      </c>
      <c r="K54" s="78">
        <f t="shared" ca="1" si="4"/>
        <v>92.420126671358204</v>
      </c>
      <c r="L54" s="77">
        <f ca="1">IFERROR(__xludf.DUMMYFUNCTION("IMPORTRANGE(""https://docs.google.com/spreadsheets/d/1MeEWN-I1oV_STSDYn1IFDPWt_1FKiwhDph83XaGc0o0/edit?usp=sharing"",""งบพรบ!CV54"")"),131329)</f>
        <v>131329</v>
      </c>
      <c r="M54" s="79">
        <f t="shared" ca="1" si="5"/>
        <v>92.420126671358204</v>
      </c>
      <c r="N54" s="79">
        <f t="shared" ca="1" si="6"/>
        <v>87.517659602825532</v>
      </c>
      <c r="O54" s="80">
        <f ca="1">IFERROR(__xludf.DUMMYFUNCTION("IMPORTRANGE(""https://docs.google.com/spreadsheets/d/1MeEWN-I1oV_STSDYn1IFDPWt_1FKiwhDph83XaGc0o0/edit?usp=sharing"",""งบพรบ!CW54"")"),0)</f>
        <v>0</v>
      </c>
      <c r="P54" s="80">
        <f t="shared" ca="1" si="10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IFERROR(__xludf.DUMMYFUNCTION("IMPORTRANGE(""https://docs.google.com/spreadsheets/d/1njBaP_xXd-Uotvo2D9zb01TTCFkLJLDK97Tk1l9Qux0/edit?usp=sharing"",""จันทบุรี!L191"")"),6000)</f>
        <v>6000</v>
      </c>
      <c r="S54" s="81">
        <f ca="1">IFERROR(__xludf.DUMMYFUNCTION("IMPORTRANGE(""https://docs.google.com/spreadsheets/d/1njBaP_xXd-Uotvo2D9zb01TTCFkLJLDK97Tk1l9Qux0/edit?usp=sharing"",""จันทบุรี!N191"")"),6000)</f>
        <v>6000</v>
      </c>
      <c r="T54" s="82">
        <f t="shared" ca="1" si="84"/>
        <v>100</v>
      </c>
      <c r="U54" s="81">
        <f ca="1">IFERROR(__xludf.DUMMYFUNCTION("IMPORTRANGE(""https://docs.google.com/spreadsheets/d/1njBaP_xXd-Uotvo2D9zb01TTCFkLJLDK97Tk1l9Qux0/edit?usp=sharing"",""จันทบุรี!I193"")"),4)</f>
        <v>4</v>
      </c>
      <c r="V54" s="81">
        <f ca="1">IFERROR(__xludf.DUMMYFUNCTION("IMPORTRANGE(""https://docs.google.com/spreadsheets/d/1njBaP_xXd-Uotvo2D9zb01TTCFkLJLDK97Tk1l9Qux0/edit?usp=sharing"",""จันทบุรี!J193"")"),4)</f>
        <v>4</v>
      </c>
      <c r="W54" s="82">
        <f t="shared" ca="1" si="85"/>
        <v>100</v>
      </c>
      <c r="X54" s="81">
        <f t="shared" ca="1" si="188"/>
        <v>348</v>
      </c>
      <c r="Y54" s="81">
        <f ca="1">IFERROR(__xludf.DUMMYFUNCTION("IMPORTRANGE(""https://docs.google.com/spreadsheets/d/1njBaP_xXd-Uotvo2D9zb01TTCFkLJLDK97Tk1l9Qux0/edit?usp=sharing"",""จันทบุรี!J195"")"),348)</f>
        <v>348</v>
      </c>
      <c r="Z54" s="81">
        <f ca="1">IFERROR(__xludf.DUMMYFUNCTION("IMPORTRANGE(""https://docs.google.com/spreadsheets/d/1njBaP_xXd-Uotvo2D9zb01TTCFkLJLDK97Tk1l9Qux0/edit?usp=sharing"",""จันทบุรี!J196"")"),0)</f>
        <v>0</v>
      </c>
      <c r="AA54" s="81">
        <f ca="1">IFERROR(__xludf.DUMMYFUNCTION("IMPORTRANGE(""https://docs.google.com/spreadsheets/d/1njBaP_xXd-Uotvo2D9zb01TTCFkLJLDK97Tk1l9Qux0/edit?usp=sharing"",""จันทบุรี!L199"")"),2000)</f>
        <v>2000</v>
      </c>
      <c r="AB54" s="81">
        <f ca="1">IFERROR(__xludf.DUMMYFUNCTION("IMPORTRANGE(""https://docs.google.com/spreadsheets/d/1njBaP_xXd-Uotvo2D9zb01TTCFkLJLDK97Tk1l9Qux0/edit?usp=sharing"",""จันทบุรี!N199"")"),2000)</f>
        <v>2000</v>
      </c>
      <c r="AC54" s="82">
        <f t="shared" ca="1" si="86"/>
        <v>100</v>
      </c>
      <c r="AD54" s="81">
        <f ca="1">IFERROR(__xludf.DUMMYFUNCTION("IMPORTRANGE(""https://docs.google.com/spreadsheets/d/1njBaP_xXd-Uotvo2D9zb01TTCFkLJLDK97Tk1l9Qux0/edit?usp=sharing"",""จันทบุรี!L200"")"),16000)</f>
        <v>16000</v>
      </c>
      <c r="AE54" s="81">
        <f ca="1">IFERROR(__xludf.DUMMYFUNCTION("IMPORTRANGE(""https://docs.google.com/spreadsheets/d/1njBaP_xXd-Uotvo2D9zb01TTCFkLJLDK97Tk1l9Qux0/edit?usp=sharing"",""จันทบุรี!N200"")"),16000)</f>
        <v>16000</v>
      </c>
      <c r="AF54" s="82">
        <f t="shared" ca="1" si="87"/>
        <v>100</v>
      </c>
      <c r="AG54" s="81">
        <f ca="1">IFERROR(__xludf.DUMMYFUNCTION("IMPORTRANGE(""https://docs.google.com/spreadsheets/d/1njBaP_xXd-Uotvo2D9zb01TTCFkLJLDK97Tk1l9Qux0/edit?usp=sharing"",""จันทบุรี!L201"")"),8000)</f>
        <v>8000</v>
      </c>
      <c r="AH54" s="81">
        <f ca="1">IFERROR(__xludf.DUMMYFUNCTION("IMPORTRANGE(""https://docs.google.com/spreadsheets/d/1njBaP_xXd-Uotvo2D9zb01TTCFkLJLDK97Tk1l9Qux0/edit?usp=sharing"",""จันทบุรี!N201"")"),8000)</f>
        <v>8000</v>
      </c>
      <c r="AI54" s="82">
        <f t="shared" ca="1" si="88"/>
        <v>100</v>
      </c>
      <c r="AJ54" s="81">
        <f ca="1">IFERROR(__xludf.DUMMYFUNCTION("IMPORTRANGE(""https://docs.google.com/spreadsheets/d/1njBaP_xXd-Uotvo2D9zb01TTCFkLJLDK97Tk1l9Qux0/edit?usp=sharing"",""จันทบุรี!L202"")"),0)</f>
        <v>0</v>
      </c>
      <c r="AK54" s="81">
        <f ca="1">IFERROR(__xludf.DUMMYFUNCTION("IMPORTRANGE(""https://docs.google.com/spreadsheets/d/1njBaP_xXd-Uotvo2D9zb01TTCFkLJLDK97Tk1l9Qux0/edit?usp=sharing"",""จันทบุรี!N202"")"),0)</f>
        <v>0</v>
      </c>
      <c r="AL54" s="82">
        <f t="shared" ca="1" si="89"/>
        <v>0</v>
      </c>
      <c r="AM54" s="81">
        <f ca="1">IFERROR(__xludf.DUMMYFUNCTION("IMPORTRANGE(""https://docs.google.com/spreadsheets/d/1njBaP_xXd-Uotvo2D9zb01TTCFkLJLDK97Tk1l9Qux0/edit?usp=sharing"",""จันทบุรี!I204"")"),2)</f>
        <v>2</v>
      </c>
      <c r="AN54" s="81">
        <f ca="1">IFERROR(__xludf.DUMMYFUNCTION("IMPORTRANGE(""https://docs.google.com/spreadsheets/d/1njBaP_xXd-Uotvo2D9zb01TTCFkLJLDK97Tk1l9Qux0/edit?usp=sharing"",""จันทบุรี!J204"")"),2)</f>
        <v>2</v>
      </c>
      <c r="AO54" s="82">
        <f t="shared" ca="1" si="90"/>
        <v>100</v>
      </c>
      <c r="AP54" s="297">
        <f ca="1">IFERROR(__xludf.DUMMYFUNCTION("IMPORTRANGE(""https://docs.google.com/spreadsheets/d/1njBaP_xXd-Uotvo2D9zb01TTCFkLJLDK97Tk1l9Qux0/edit?usp=sharing"",""จันทบุรี!J206"")"),2)</f>
        <v>2</v>
      </c>
      <c r="AQ54" s="297">
        <f ca="1">IFERROR(__xludf.DUMMYFUNCTION("IMPORTRANGE(""https://docs.google.com/spreadsheets/d/1njBaP_xXd-Uotvo2D9zb01TTCFkLJLDK97Tk1l9Qux0/edit?usp=sharing"",""จันทบุรี!J207"")"),0)</f>
        <v>0</v>
      </c>
      <c r="AR54" s="81">
        <f ca="1">IFERROR(__xludf.DUMMYFUNCTION("IMPORTRANGE(""https://docs.google.com/spreadsheets/d/1njBaP_xXd-Uotvo2D9zb01TTCFkLJLDK97Tk1l9Qux0/edit?usp=sharing"",""จันทบุรี!L210"")"),1000)</f>
        <v>1000</v>
      </c>
      <c r="AS54" s="81">
        <f ca="1">IFERROR(__xludf.DUMMYFUNCTION("IMPORTRANGE(""https://docs.google.com/spreadsheets/d/1njBaP_xXd-Uotvo2D9zb01TTCFkLJLDK97Tk1l9Qux0/edit?usp=sharing"",""จันทบุรี!N210"")"),1000)</f>
        <v>1000</v>
      </c>
      <c r="AT54" s="82">
        <f t="shared" ca="1" si="91"/>
        <v>100</v>
      </c>
      <c r="AU54" s="81">
        <f ca="1">IFERROR(__xludf.DUMMYFUNCTION("IMPORTRANGE(""https://docs.google.com/spreadsheets/d/1njBaP_xXd-Uotvo2D9zb01TTCFkLJLDK97Tk1l9Qux0/edit?usp=sharing"",""จันทบุรี!L211"")"),5000)</f>
        <v>5000</v>
      </c>
      <c r="AV54" s="81">
        <f ca="1">IFERROR(__xludf.DUMMYFUNCTION("IMPORTRANGE(""https://docs.google.com/spreadsheets/d/1njBaP_xXd-Uotvo2D9zb01TTCFkLJLDK97Tk1l9Qux0/edit?usp=sharing"",""จันทบุรี!N211"")"),5000)</f>
        <v>5000</v>
      </c>
      <c r="AW54" s="82">
        <f t="shared" ca="1" si="92"/>
        <v>100</v>
      </c>
      <c r="AX54" s="81">
        <f ca="1">IFERROR(__xludf.DUMMYFUNCTION("IMPORTRANGE(""https://docs.google.com/spreadsheets/d/1njBaP_xXd-Uotvo2D9zb01TTCFkLJLDK97Tk1l9Qux0/edit?usp=sharing"",""จันทบุรี!L212"")"),8000)</f>
        <v>8000</v>
      </c>
      <c r="AY54" s="81">
        <f ca="1">IFERROR(__xludf.DUMMYFUNCTION("IMPORTRANGE(""https://docs.google.com/spreadsheets/d/1njBaP_xXd-Uotvo2D9zb01TTCFkLJLDK97Tk1l9Qux0/edit?usp=sharing"",""จันทบุรี!N212"")"),8000)</f>
        <v>8000</v>
      </c>
      <c r="AZ54" s="82">
        <f t="shared" ca="1" si="93"/>
        <v>100</v>
      </c>
      <c r="BA54" s="81">
        <f ca="1">IFERROR(__xludf.DUMMYFUNCTION("IMPORTRANGE(""https://docs.google.com/spreadsheets/d/1njBaP_xXd-Uotvo2D9zb01TTCFkLJLDK97Tk1l9Qux0/edit?usp=sharing"",""จันทบุรี!I214"")"),1)</f>
        <v>1</v>
      </c>
      <c r="BB54" s="81">
        <f ca="1">IFERROR(__xludf.DUMMYFUNCTION("IMPORTRANGE(""https://docs.google.com/spreadsheets/d/1njBaP_xXd-Uotvo2D9zb01TTCFkLJLDK97Tk1l9Qux0/edit?usp=sharing"",""จันทบุรี!J214"")"),1)</f>
        <v>1</v>
      </c>
      <c r="BC54" s="82">
        <f t="shared" ca="1" si="94"/>
        <v>100</v>
      </c>
      <c r="BD54" s="81">
        <f ca="1">IFERROR(__xludf.DUMMYFUNCTION("IMPORTRANGE(""https://docs.google.com/spreadsheets/d/1njBaP_xXd-Uotvo2D9zb01TTCFkLJLDK97Tk1l9Qux0/edit?usp=sharing"",""จันทบุรี!I215"")"),1)</f>
        <v>1</v>
      </c>
      <c r="BE54" s="81">
        <f ca="1">IFERROR(__xludf.DUMMYFUNCTION("IMPORTRANGE(""https://docs.google.com/spreadsheets/d/1njBaP_xXd-Uotvo2D9zb01TTCFkLJLDK97Tk1l9Qux0/edit?usp=sharing"",""จันทบุรี!J215"")"),1)</f>
        <v>1</v>
      </c>
      <c r="BF54" s="82">
        <f t="shared" ca="1" si="95"/>
        <v>100</v>
      </c>
      <c r="BG54" s="81">
        <f ca="1">IFERROR(__xludf.DUMMYFUNCTION("IMPORTRANGE(""https://docs.google.com/spreadsheets/d/1njBaP_xXd-Uotvo2D9zb01TTCFkLJLDK97Tk1l9Qux0/edit?usp=sharing"",""จันทบุรี!L218"")"),3000)</f>
        <v>3000</v>
      </c>
      <c r="BH54" s="81">
        <f ca="1">IFERROR(__xludf.DUMMYFUNCTION("IMPORTRANGE(""https://docs.google.com/spreadsheets/d/1njBaP_xXd-Uotvo2D9zb01TTCFkLJLDK97Tk1l9Qux0/edit?usp=sharing"",""จันทบุรี!N218"")"),2900)</f>
        <v>2900</v>
      </c>
      <c r="BI54" s="82">
        <f t="shared" ca="1" si="96"/>
        <v>96.666666666666671</v>
      </c>
      <c r="BJ54" s="81">
        <f ca="1">IFERROR(__xludf.DUMMYFUNCTION("IMPORTRANGE(""https://docs.google.com/spreadsheets/d/1njBaP_xXd-Uotvo2D9zb01TTCFkLJLDK97Tk1l9Qux0/edit?usp=sharing"",""จันทบุรี!L219"")"),4100)</f>
        <v>4100</v>
      </c>
      <c r="BK54" s="81">
        <f ca="1">IFERROR(__xludf.DUMMYFUNCTION("IMPORTRANGE(""https://docs.google.com/spreadsheets/d/1njBaP_xXd-Uotvo2D9zb01TTCFkLJLDK97Tk1l9Qux0/edit?usp=sharing"",""จันทบุรี!N219"")"),4100)</f>
        <v>4100</v>
      </c>
      <c r="BL54" s="82">
        <f t="shared" ca="1" si="97"/>
        <v>100</v>
      </c>
      <c r="BM54" s="81">
        <f ca="1">IFERROR(__xludf.DUMMYFUNCTION("IMPORTRANGE(""https://docs.google.com/spreadsheets/d/1njBaP_xXd-Uotvo2D9zb01TTCFkLJLDK97Tk1l9Qux0/edit?usp=sharing"",""จันทบุรี!L220"")"),0)</f>
        <v>0</v>
      </c>
      <c r="BN54" s="81">
        <f ca="1">IFERROR(__xludf.DUMMYFUNCTION("IMPORTRANGE(""https://docs.google.com/spreadsheets/d/1njBaP_xXd-Uotvo2D9zb01TTCFkLJLDK97Tk1l9Qux0/edit?usp=sharing"",""จันทบุรี!N220"")"),0)</f>
        <v>0</v>
      </c>
      <c r="BO54" s="82">
        <f t="shared" ca="1" si="98"/>
        <v>0</v>
      </c>
      <c r="BP54" s="81">
        <f ca="1">IFERROR(__xludf.DUMMYFUNCTION("IMPORTRANGE(""https://docs.google.com/spreadsheets/d/1njBaP_xXd-Uotvo2D9zb01TTCFkLJLDK97Tk1l9Qux0/edit?usp=sharing"",""จันทบุรี!I223"")"),12800)</f>
        <v>12800</v>
      </c>
      <c r="BQ54" s="81">
        <f ca="1">IFERROR(__xludf.DUMMYFUNCTION("IMPORTRANGE(""https://docs.google.com/spreadsheets/d/1njBaP_xXd-Uotvo2D9zb01TTCFkLJLDK97Tk1l9Qux0/edit?usp=sharing"",""จันทบุรี!J223"")"),12800)</f>
        <v>12800</v>
      </c>
      <c r="BR54" s="82">
        <f t="shared" ca="1" si="99"/>
        <v>100</v>
      </c>
      <c r="BS54" s="81">
        <f ca="1">IFERROR(__xludf.DUMMYFUNCTION("IMPORTRANGE(""https://docs.google.com/spreadsheets/d/1njBaP_xXd-Uotvo2D9zb01TTCFkLJLDK97Tk1l9Qux0/edit?usp=sharing"",""จันทบุรี!I224"")"),12800)</f>
        <v>12800</v>
      </c>
      <c r="BT54" s="81">
        <f ca="1">IFERROR(__xludf.DUMMYFUNCTION("IMPORTRANGE(""https://docs.google.com/spreadsheets/d/1njBaP_xXd-Uotvo2D9zb01TTCFkLJLDK97Tk1l9Qux0/edit?usp=sharing"",""จันทบุรี!J224"")"),12800)</f>
        <v>12800</v>
      </c>
      <c r="BU54" s="82">
        <f t="shared" ca="1" si="100"/>
        <v>100</v>
      </c>
      <c r="BV54" s="81">
        <f ca="1">IFERROR(__xludf.DUMMYFUNCTION("IMPORTRANGE(""https://docs.google.com/spreadsheets/d/1njBaP_xXd-Uotvo2D9zb01TTCFkLJLDK97Tk1l9Qux0/edit?usp=sharing"",""จันทบุรี!I225"")"),0)</f>
        <v>0</v>
      </c>
      <c r="BW54" s="81">
        <f ca="1">IFERROR(__xludf.DUMMYFUNCTION("IMPORTRANGE(""https://docs.google.com/spreadsheets/d/1njBaP_xXd-Uotvo2D9zb01TTCFkLJLDK97Tk1l9Qux0/edit?usp=sharing"",""จันทบุรี!J225"")"),0)</f>
        <v>0</v>
      </c>
      <c r="BX54" s="82">
        <f t="shared" ca="1" si="101"/>
        <v>0</v>
      </c>
      <c r="BY54" s="81">
        <f ca="1">IFERROR(__xludf.DUMMYFUNCTION("IMPORTRANGE(""https://docs.google.com/spreadsheets/d/1njBaP_xXd-Uotvo2D9zb01TTCFkLJLDK97Tk1l9Qux0/edit?usp=sharing"",""จันทบุรี!L228"")"),20000)</f>
        <v>20000</v>
      </c>
      <c r="BZ54" s="81">
        <f ca="1">IFERROR(__xludf.DUMMYFUNCTION("IMPORTRANGE(""https://docs.google.com/spreadsheets/d/1njBaP_xXd-Uotvo2D9zb01TTCFkLJLDK97Tk1l9Qux0/edit?usp=sharing"",""จันทบุรี!N228"")"),4689)</f>
        <v>4689</v>
      </c>
      <c r="CA54" s="82">
        <f t="shared" ca="1" si="102"/>
        <v>23.445</v>
      </c>
      <c r="CB54" s="81">
        <f ca="1">IFERROR(__xludf.DUMMYFUNCTION("IMPORTRANGE(""https://docs.google.com/spreadsheets/d/1njBaP_xXd-Uotvo2D9zb01TTCFkLJLDK97Tk1l9Qux0/edit?usp=sharing"",""จันทบุรี!L229"")"),39000)</f>
        <v>39000</v>
      </c>
      <c r="CC54" s="81">
        <f ca="1">IFERROR(__xludf.DUMMYFUNCTION("IMPORTRANGE(""https://docs.google.com/spreadsheets/d/1njBaP_xXd-Uotvo2D9zb01TTCFkLJLDK97Tk1l9Qux0/edit?usp=sharing"",""จันทบุรี!N229"")"),27320)</f>
        <v>27320</v>
      </c>
      <c r="CD54" s="82">
        <f t="shared" ca="1" si="103"/>
        <v>70.051282051282058</v>
      </c>
      <c r="CE54" s="81">
        <f ca="1">IFERROR(__xludf.DUMMYFUNCTION("IMPORTRANGE(""https://docs.google.com/spreadsheets/d/1njBaP_xXd-Uotvo2D9zb01TTCFkLJLDK97Tk1l9Qux0/edit?usp=sharing"",""จันทบุรี!L230"")"),20000)</f>
        <v>20000</v>
      </c>
      <c r="CF54" s="81">
        <f ca="1">IFERROR(__xludf.DUMMYFUNCTION("IMPORTRANGE(""https://docs.google.com/spreadsheets/d/1njBaP_xXd-Uotvo2D9zb01TTCFkLJLDK97Tk1l9Qux0/edit?usp=sharing"",""จันทบุรี!N230"")"),20000)</f>
        <v>20000</v>
      </c>
      <c r="CG54" s="82">
        <f t="shared" ca="1" si="104"/>
        <v>100</v>
      </c>
      <c r="CH54" s="81">
        <f ca="1">IFERROR(__xludf.DUMMYFUNCTION("IMPORTRANGE(""https://docs.google.com/spreadsheets/d/1njBaP_xXd-Uotvo2D9zb01TTCFkLJLDK97Tk1l9Qux0/edit?usp=sharing"",""จันทบุรี!L231"")"),10000)</f>
        <v>10000</v>
      </c>
      <c r="CI54" s="81">
        <f ca="1">IFERROR(__xludf.DUMMYFUNCTION("IMPORTRANGE(""https://docs.google.com/spreadsheets/d/1njBaP_xXd-Uotvo2D9zb01TTCFkLJLDK97Tk1l9Qux0/edit?usp=sharing"",""จันทบุรี!N231"")"),10000)</f>
        <v>10000</v>
      </c>
      <c r="CJ54" s="82">
        <f t="shared" ca="1" si="105"/>
        <v>100</v>
      </c>
      <c r="CK54" s="81">
        <f ca="1">IFERROR(__xludf.DUMMYFUNCTION("IMPORTRANGE(""https://docs.google.com/spreadsheets/d/1njBaP_xXd-Uotvo2D9zb01TTCFkLJLDK97Tk1l9Qux0/edit?usp=sharing"",""จันทบุรี!I233"")"),20)</f>
        <v>20</v>
      </c>
      <c r="CL54" s="81">
        <f ca="1">IFERROR(__xludf.DUMMYFUNCTION("IMPORTRANGE(""https://docs.google.com/spreadsheets/d/1njBaP_xXd-Uotvo2D9zb01TTCFkLJLDK97Tk1l9Qux0/edit?usp=sharing"",""จันทบุรี!J233"")"),20)</f>
        <v>20</v>
      </c>
      <c r="CM54" s="82">
        <f t="shared" ca="1" si="106"/>
        <v>100</v>
      </c>
      <c r="CN54" s="81">
        <f ca="1">IFERROR(__xludf.DUMMYFUNCTION("IMPORTRANGE(""https://docs.google.com/spreadsheets/d/1njBaP_xXd-Uotvo2D9zb01TTCFkLJLDK97Tk1l9Qux0/edit?usp=sharing"",""จันทบุรี!J235"")"),20)</f>
        <v>20</v>
      </c>
      <c r="CO54" s="81">
        <f ca="1">IFERROR(__xludf.DUMMYFUNCTION("IMPORTRANGE(""https://docs.google.com/spreadsheets/d/1njBaP_xXd-Uotvo2D9zb01TTCFkLJLDK97Tk1l9Qux0/edit?usp=sharing"",""จันทบุรี!J236"")"),1)</f>
        <v>1</v>
      </c>
    </row>
    <row r="55" spans="1:93" ht="21" customHeight="1" x14ac:dyDescent="0.3">
      <c r="A55" s="73">
        <v>3</v>
      </c>
      <c r="B55" s="74" t="s">
        <v>77</v>
      </c>
      <c r="C55" s="75">
        <f t="shared" ca="1" si="0"/>
        <v>633700</v>
      </c>
      <c r="D55" s="76">
        <f t="shared" ca="1" si="187"/>
        <v>633700</v>
      </c>
      <c r="E55" s="77">
        <f ca="1">IFERROR(__xludf.DUMMYFUNCTION("IMPORTRANGE(""https://docs.google.com/spreadsheets/d/1MeEWN-I1oV_STSDYn1IFDPWt_1FKiwhDph83XaGc0o0/edit?usp=sharing"",""งบพรบ!CP55"")"),153700)</f>
        <v>153700</v>
      </c>
      <c r="F55" s="77">
        <f ca="1">IFERROR(__xludf.DUMMYFUNCTION("IMPORTRANGE(""https://docs.google.com/spreadsheets/d/1MeEWN-I1oV_STSDYn1IFDPWt_1FKiwhDph83XaGc0o0/edit?usp=sharing"",""งบพรบ!CQ55"")"),480000)</f>
        <v>480000</v>
      </c>
      <c r="G55" s="77">
        <f ca="1">IFERROR(__xludf.DUMMYFUNCTION("IMPORTRANGE(""https://docs.google.com/spreadsheets/d/1MeEWN-I1oV_STSDYn1IFDPWt_1FKiwhDph83XaGc0o0/edit?usp=sharing"",""งบพรบ!CR55"")"),0)</f>
        <v>0</v>
      </c>
      <c r="H55" s="77">
        <f ca="1">IFERROR(__xludf.DUMMYFUNCTION("IMPORTRANGE(""https://docs.google.com/spreadsheets/d/1MeEWN-I1oV_STSDYn1IFDPWt_1FKiwhDph83XaGc0o0/edit?usp=sharing"",""งบพรบ!CT55"")"),667720)</f>
        <v>667720</v>
      </c>
      <c r="I55" s="77">
        <f ca="1">IFERROR(__xludf.DUMMYFUNCTION("IMPORTRANGE(""https://docs.google.com/spreadsheets/d/1MeEWN-I1oV_STSDYn1IFDPWt_1FKiwhDph83XaGc0o0/edit?usp=sharing"",""งบพรบ!CU55"")"),0)</f>
        <v>0</v>
      </c>
      <c r="J55" s="77">
        <f t="shared" ca="1" si="3"/>
        <v>645616.25</v>
      </c>
      <c r="K55" s="78">
        <f t="shared" ca="1" si="4"/>
        <v>101.88042449108411</v>
      </c>
      <c r="L55" s="77">
        <f ca="1">IFERROR(__xludf.DUMMYFUNCTION("IMPORTRANGE(""https://docs.google.com/spreadsheets/d/1MeEWN-I1oV_STSDYn1IFDPWt_1FKiwhDph83XaGc0o0/edit?usp=sharing"",""งบพรบ!CV55"")"),645616.25)</f>
        <v>645616.25</v>
      </c>
      <c r="M55" s="79">
        <f t="shared" ca="1" si="5"/>
        <v>101.88042449108411</v>
      </c>
      <c r="N55" s="79">
        <f t="shared" ca="1" si="6"/>
        <v>96.689667824836761</v>
      </c>
      <c r="O55" s="80">
        <f ca="1">IFERROR(__xludf.DUMMYFUNCTION("IMPORTRANGE(""https://docs.google.com/spreadsheets/d/1MeEWN-I1oV_STSDYn1IFDPWt_1FKiwhDph83XaGc0o0/edit?usp=sharing"",""งบพรบ!CW55"")"),0)</f>
        <v>0</v>
      </c>
      <c r="P55" s="80">
        <f t="shared" ca="1" si="10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IFERROR(__xludf.DUMMYFUNCTION("IMPORTRANGE(""https://docs.google.com/spreadsheets/d/14xp6qUzrGFnUk_qnc1eEmfiaNRd4_grkhpfQH_46fa8/edit?usp=sharing"",""ฉะเชิงเทรา!L191"")"),6000)</f>
        <v>6000</v>
      </c>
      <c r="S55" s="81">
        <f ca="1">IFERROR(__xludf.DUMMYFUNCTION("IMPORTRANGE(""https://docs.google.com/spreadsheets/d/14xp6qUzrGFnUk_qnc1eEmfiaNRd4_grkhpfQH_46fa8/edit?usp=sharing"",""ฉะเชิงเทรา!N191"")"),6000)</f>
        <v>6000</v>
      </c>
      <c r="T55" s="82">
        <f t="shared" ca="1" si="84"/>
        <v>100</v>
      </c>
      <c r="U55" s="81">
        <f ca="1">IFERROR(__xludf.DUMMYFUNCTION("IMPORTRANGE(""https://docs.google.com/spreadsheets/d/14xp6qUzrGFnUk_qnc1eEmfiaNRd4_grkhpfQH_46fa8/edit?usp=sharing"",""ฉะเชิงเทรา!I193"")"),4)</f>
        <v>4</v>
      </c>
      <c r="V55" s="81">
        <f ca="1">IFERROR(__xludf.DUMMYFUNCTION("IMPORTRANGE(""https://docs.google.com/spreadsheets/d/14xp6qUzrGFnUk_qnc1eEmfiaNRd4_grkhpfQH_46fa8/edit?usp=sharing"",""ฉะเชิงเทรา!J193"")"),4)</f>
        <v>4</v>
      </c>
      <c r="W55" s="82">
        <f t="shared" ca="1" si="85"/>
        <v>100</v>
      </c>
      <c r="X55" s="81">
        <f t="shared" ca="1" si="188"/>
        <v>108</v>
      </c>
      <c r="Y55" s="81">
        <f ca="1">IFERROR(__xludf.DUMMYFUNCTION("IMPORTRANGE(""https://docs.google.com/spreadsheets/d/14xp6qUzrGFnUk_qnc1eEmfiaNRd4_grkhpfQH_46fa8/edit?usp=sharing"",""ฉะเชิงเทรา!J195"")"),108)</f>
        <v>108</v>
      </c>
      <c r="Z55" s="81">
        <f ca="1">IFERROR(__xludf.DUMMYFUNCTION("IMPORTRANGE(""https://docs.google.com/spreadsheets/d/14xp6qUzrGFnUk_qnc1eEmfiaNRd4_grkhpfQH_46fa8/edit?usp=sharing"",""ฉะเชิงเทรา!J196"")"),0)</f>
        <v>0</v>
      </c>
      <c r="AA55" s="81">
        <f ca="1">IFERROR(__xludf.DUMMYFUNCTION("IMPORTRANGE(""https://docs.google.com/spreadsheets/d/14xp6qUzrGFnUk_qnc1eEmfiaNRd4_grkhpfQH_46fa8/edit?usp=sharing"",""ฉะเชิงเทรา!L199"")"),3000)</f>
        <v>3000</v>
      </c>
      <c r="AB55" s="81">
        <f ca="1">IFERROR(__xludf.DUMMYFUNCTION("IMPORTRANGE(""https://docs.google.com/spreadsheets/d/14xp6qUzrGFnUk_qnc1eEmfiaNRd4_grkhpfQH_46fa8/edit?usp=sharing"",""ฉะเชิงเทรา!N199"")"),3000)</f>
        <v>3000</v>
      </c>
      <c r="AC55" s="82">
        <f t="shared" ca="1" si="86"/>
        <v>100</v>
      </c>
      <c r="AD55" s="81">
        <f ca="1">IFERROR(__xludf.DUMMYFUNCTION("IMPORTRANGE(""https://docs.google.com/spreadsheets/d/14xp6qUzrGFnUk_qnc1eEmfiaNRd4_grkhpfQH_46fa8/edit?usp=sharing"",""ฉะเชิงเทรา!L200"")"),24000)</f>
        <v>24000</v>
      </c>
      <c r="AE55" s="81">
        <f ca="1">IFERROR(__xludf.DUMMYFUNCTION("IMPORTRANGE(""https://docs.google.com/spreadsheets/d/14xp6qUzrGFnUk_qnc1eEmfiaNRd4_grkhpfQH_46fa8/edit?usp=sharing"",""ฉะเชิงเทรา!N200"")"),24000)</f>
        <v>24000</v>
      </c>
      <c r="AF55" s="82">
        <f t="shared" ca="1" si="87"/>
        <v>100</v>
      </c>
      <c r="AG55" s="81">
        <f ca="1">IFERROR(__xludf.DUMMYFUNCTION("IMPORTRANGE(""https://docs.google.com/spreadsheets/d/14xp6qUzrGFnUk_qnc1eEmfiaNRd4_grkhpfQH_46fa8/edit?usp=sharing"",""ฉะเชิงเทรา!L201"")"),12000)</f>
        <v>12000</v>
      </c>
      <c r="AH55" s="81">
        <f ca="1">IFERROR(__xludf.DUMMYFUNCTION("IMPORTRANGE(""https://docs.google.com/spreadsheets/d/14xp6qUzrGFnUk_qnc1eEmfiaNRd4_grkhpfQH_46fa8/edit?usp=sharing"",""ฉะเชิงเทรา!N201"")"),12000)</f>
        <v>12000</v>
      </c>
      <c r="AI55" s="82">
        <f t="shared" ca="1" si="88"/>
        <v>100</v>
      </c>
      <c r="AJ55" s="81">
        <f ca="1">IFERROR(__xludf.DUMMYFUNCTION("IMPORTRANGE(""https://docs.google.com/spreadsheets/d/14xp6qUzrGFnUk_qnc1eEmfiaNRd4_grkhpfQH_46fa8/edit?usp=sharing"",""ฉะเชิงเทรา!L202"")"),0)</f>
        <v>0</v>
      </c>
      <c r="AK55" s="81">
        <f ca="1">IFERROR(__xludf.DUMMYFUNCTION("IMPORTRANGE(""https://docs.google.com/spreadsheets/d/14xp6qUzrGFnUk_qnc1eEmfiaNRd4_grkhpfQH_46fa8/edit?usp=sharing"",""ฉะเชิงเทรา!N202"")"),0)</f>
        <v>0</v>
      </c>
      <c r="AL55" s="82">
        <f t="shared" ca="1" si="89"/>
        <v>0</v>
      </c>
      <c r="AM55" s="81">
        <f ca="1">IFERROR(__xludf.DUMMYFUNCTION("IMPORTRANGE(""https://docs.google.com/spreadsheets/d/14xp6qUzrGFnUk_qnc1eEmfiaNRd4_grkhpfQH_46fa8/edit?usp=sharing"",""ฉะเชิงเทรา!I204"")"),3)</f>
        <v>3</v>
      </c>
      <c r="AN55" s="81">
        <f ca="1">IFERROR(__xludf.DUMMYFUNCTION("IMPORTRANGE(""https://docs.google.com/spreadsheets/d/14xp6qUzrGFnUk_qnc1eEmfiaNRd4_grkhpfQH_46fa8/edit?usp=sharing"",""ฉะเชิงเทรา!J204"")"),3)</f>
        <v>3</v>
      </c>
      <c r="AO55" s="82">
        <f t="shared" ca="1" si="90"/>
        <v>100</v>
      </c>
      <c r="AP55" s="297">
        <f ca="1">IFERROR(__xludf.DUMMYFUNCTION("IMPORTRANGE(""https://docs.google.com/spreadsheets/d/14xp6qUzrGFnUk_qnc1eEmfiaNRd4_grkhpfQH_46fa8/edit?usp=sharing"",""ฉะเชิงเทรา!J206"")"),3)</f>
        <v>3</v>
      </c>
      <c r="AQ55" s="297">
        <f ca="1">IFERROR(__xludf.DUMMYFUNCTION("IMPORTRANGE(""https://docs.google.com/spreadsheets/d/14xp6qUzrGFnUk_qnc1eEmfiaNRd4_grkhpfQH_46fa8/edit?usp=sharing"",""ฉะเชิงเทรา!J207"")"),0)</f>
        <v>0</v>
      </c>
      <c r="AR55" s="81">
        <f ca="1">IFERROR(__xludf.DUMMYFUNCTION("IMPORTRANGE(""https://docs.google.com/spreadsheets/d/14xp6qUzrGFnUk_qnc1eEmfiaNRd4_grkhpfQH_46fa8/edit?usp=sharing"",""ฉะเชิงเทรา!L210"")"),3000)</f>
        <v>3000</v>
      </c>
      <c r="AS55" s="81">
        <f ca="1">IFERROR(__xludf.DUMMYFUNCTION("IMPORTRANGE(""https://docs.google.com/spreadsheets/d/14xp6qUzrGFnUk_qnc1eEmfiaNRd4_grkhpfQH_46fa8/edit?usp=sharing"",""ฉะเชิงเทรา!N210"")"),3000)</f>
        <v>3000</v>
      </c>
      <c r="AT55" s="82">
        <f t="shared" ca="1" si="91"/>
        <v>100</v>
      </c>
      <c r="AU55" s="81">
        <f ca="1">IFERROR(__xludf.DUMMYFUNCTION("IMPORTRANGE(""https://docs.google.com/spreadsheets/d/14xp6qUzrGFnUk_qnc1eEmfiaNRd4_grkhpfQH_46fa8/edit?usp=sharing"",""ฉะเชิงเทรา!L211"")"),15000)</f>
        <v>15000</v>
      </c>
      <c r="AV55" s="81">
        <f ca="1">IFERROR(__xludf.DUMMYFUNCTION("IMPORTRANGE(""https://docs.google.com/spreadsheets/d/14xp6qUzrGFnUk_qnc1eEmfiaNRd4_grkhpfQH_46fa8/edit?usp=sharing"",""ฉะเชิงเทรา!N211"")"),15000)</f>
        <v>15000</v>
      </c>
      <c r="AW55" s="82">
        <f t="shared" ca="1" si="92"/>
        <v>100</v>
      </c>
      <c r="AX55" s="81">
        <f ca="1">IFERROR(__xludf.DUMMYFUNCTION("IMPORTRANGE(""https://docs.google.com/spreadsheets/d/14xp6qUzrGFnUk_qnc1eEmfiaNRd4_grkhpfQH_46fa8/edit?usp=sharing"",""ฉะเชิงเทรา!L212"")"),24000)</f>
        <v>24000</v>
      </c>
      <c r="AY55" s="81">
        <f ca="1">IFERROR(__xludf.DUMMYFUNCTION("IMPORTRANGE(""https://docs.google.com/spreadsheets/d/14xp6qUzrGFnUk_qnc1eEmfiaNRd4_grkhpfQH_46fa8/edit?usp=sharing"",""ฉะเชิงเทรา!N212"")"),24000)</f>
        <v>24000</v>
      </c>
      <c r="AZ55" s="82">
        <f t="shared" ca="1" si="93"/>
        <v>100</v>
      </c>
      <c r="BA55" s="81">
        <f ca="1">IFERROR(__xludf.DUMMYFUNCTION("IMPORTRANGE(""https://docs.google.com/spreadsheets/d/14xp6qUzrGFnUk_qnc1eEmfiaNRd4_grkhpfQH_46fa8/edit?usp=sharing"",""ฉะเชิงเทรา!I214"")"),3)</f>
        <v>3</v>
      </c>
      <c r="BB55" s="81">
        <f ca="1">IFERROR(__xludf.DUMMYFUNCTION("IMPORTRANGE(""https://docs.google.com/spreadsheets/d/14xp6qUzrGFnUk_qnc1eEmfiaNRd4_grkhpfQH_46fa8/edit?usp=sharing"",""ฉะเชิงเทรา!J214"")"),3)</f>
        <v>3</v>
      </c>
      <c r="BC55" s="82">
        <f t="shared" ca="1" si="94"/>
        <v>100</v>
      </c>
      <c r="BD55" s="81">
        <f ca="1">IFERROR(__xludf.DUMMYFUNCTION("IMPORTRANGE(""https://docs.google.com/spreadsheets/d/14xp6qUzrGFnUk_qnc1eEmfiaNRd4_grkhpfQH_46fa8/edit?usp=sharing"",""ฉะเชิงเทรา!I215"")"),3)</f>
        <v>3</v>
      </c>
      <c r="BE55" s="81">
        <f ca="1">IFERROR(__xludf.DUMMYFUNCTION("IMPORTRANGE(""https://docs.google.com/spreadsheets/d/14xp6qUzrGFnUk_qnc1eEmfiaNRd4_grkhpfQH_46fa8/edit?usp=sharing"",""ฉะเชิงเทรา!J215"")"),3)</f>
        <v>3</v>
      </c>
      <c r="BF55" s="82">
        <f t="shared" ca="1" si="95"/>
        <v>100</v>
      </c>
      <c r="BG55" s="81">
        <f ca="1">IFERROR(__xludf.DUMMYFUNCTION("IMPORTRANGE(""https://docs.google.com/spreadsheets/d/14xp6qUzrGFnUk_qnc1eEmfiaNRd4_grkhpfQH_46fa8/edit?usp=sharing"",""ฉะเชิงเทรา!L218"")"),5000)</f>
        <v>5000</v>
      </c>
      <c r="BH55" s="81">
        <f ca="1">IFERROR(__xludf.DUMMYFUNCTION("IMPORTRANGE(""https://docs.google.com/spreadsheets/d/14xp6qUzrGFnUk_qnc1eEmfiaNRd4_grkhpfQH_46fa8/edit?usp=sharing"",""ฉะเชิงเทรา!N218"")"),5000)</f>
        <v>5000</v>
      </c>
      <c r="BI55" s="82">
        <f t="shared" ca="1" si="96"/>
        <v>100</v>
      </c>
      <c r="BJ55" s="81">
        <f ca="1">IFERROR(__xludf.DUMMYFUNCTION("IMPORTRANGE(""https://docs.google.com/spreadsheets/d/14xp6qUzrGFnUk_qnc1eEmfiaNRd4_grkhpfQH_46fa8/edit?usp=sharing"",""ฉะเชิงเทรา!L219"")"),10000)</f>
        <v>10000</v>
      </c>
      <c r="BK55" s="81">
        <f ca="1">IFERROR(__xludf.DUMMYFUNCTION("IMPORTRANGE(""https://docs.google.com/spreadsheets/d/14xp6qUzrGFnUk_qnc1eEmfiaNRd4_grkhpfQH_46fa8/edit?usp=sharing"",""ฉะเชิงเทรา!N219"")"),10000)</f>
        <v>10000</v>
      </c>
      <c r="BL55" s="82">
        <f t="shared" ca="1" si="97"/>
        <v>100</v>
      </c>
      <c r="BM55" s="81">
        <f ca="1">IFERROR(__xludf.DUMMYFUNCTION("IMPORTRANGE(""https://docs.google.com/spreadsheets/d/14xp6qUzrGFnUk_qnc1eEmfiaNRd4_grkhpfQH_46fa8/edit?usp=sharing"",""ฉะเชิงเทรา!L220"")"),10000)</f>
        <v>10000</v>
      </c>
      <c r="BN55" s="81">
        <f ca="1">IFERROR(__xludf.DUMMYFUNCTION("IMPORTRANGE(""https://docs.google.com/spreadsheets/d/14xp6qUzrGFnUk_qnc1eEmfiaNRd4_grkhpfQH_46fa8/edit?usp=sharing"",""ฉะเชิงเทรา!N220"")"),10000)</f>
        <v>10000</v>
      </c>
      <c r="BO55" s="82">
        <f t="shared" ca="1" si="98"/>
        <v>100</v>
      </c>
      <c r="BP55" s="81">
        <f ca="1">IFERROR(__xludf.DUMMYFUNCTION("IMPORTRANGE(""https://docs.google.com/spreadsheets/d/14xp6qUzrGFnUk_qnc1eEmfiaNRd4_grkhpfQH_46fa8/edit?usp=sharing"",""ฉะเชิงเทรา!I223"")"),40000)</f>
        <v>40000</v>
      </c>
      <c r="BQ55" s="81">
        <f ca="1">IFERROR(__xludf.DUMMYFUNCTION("IMPORTRANGE(""https://docs.google.com/spreadsheets/d/14xp6qUzrGFnUk_qnc1eEmfiaNRd4_grkhpfQH_46fa8/edit?usp=sharing"",""ฉะเชิงเทรา!J223"")"),40000)</f>
        <v>40000</v>
      </c>
      <c r="BR55" s="82">
        <f t="shared" ca="1" si="99"/>
        <v>100</v>
      </c>
      <c r="BS55" s="81">
        <f ca="1">IFERROR(__xludf.DUMMYFUNCTION("IMPORTRANGE(""https://docs.google.com/spreadsheets/d/14xp6qUzrGFnUk_qnc1eEmfiaNRd4_grkhpfQH_46fa8/edit?usp=sharing"",""ฉะเชิงเทรา!I224"")"),40000)</f>
        <v>40000</v>
      </c>
      <c r="BT55" s="81">
        <f ca="1">IFERROR(__xludf.DUMMYFUNCTION("IMPORTRANGE(""https://docs.google.com/spreadsheets/d/14xp6qUzrGFnUk_qnc1eEmfiaNRd4_grkhpfQH_46fa8/edit?usp=sharing"",""ฉะเชิงเทรา!J224"")"),40000)</f>
        <v>40000</v>
      </c>
      <c r="BU55" s="82">
        <f t="shared" ca="1" si="100"/>
        <v>100</v>
      </c>
      <c r="BV55" s="81">
        <f ca="1">IFERROR(__xludf.DUMMYFUNCTION("IMPORTRANGE(""https://docs.google.com/spreadsheets/d/14xp6qUzrGFnUk_qnc1eEmfiaNRd4_grkhpfQH_46fa8/edit?usp=sharing"",""ฉะเชิงเทรา!I225"")"),10)</f>
        <v>10</v>
      </c>
      <c r="BW55" s="81">
        <f ca="1">IFERROR(__xludf.DUMMYFUNCTION("IMPORTRANGE(""https://docs.google.com/spreadsheets/d/14xp6qUzrGFnUk_qnc1eEmfiaNRd4_grkhpfQH_46fa8/edit?usp=sharing"",""ฉะเชิงเทรา!J225"")"),10)</f>
        <v>10</v>
      </c>
      <c r="BX55" s="82">
        <f t="shared" ca="1" si="101"/>
        <v>100</v>
      </c>
      <c r="BY55" s="81">
        <f ca="1">IFERROR(__xludf.DUMMYFUNCTION("IMPORTRANGE(""https://docs.google.com/spreadsheets/d/14xp6qUzrGFnUk_qnc1eEmfiaNRd4_grkhpfQH_46fa8/edit?usp=sharing"",""ฉะเชิงเทรา!L228"")"),183000)</f>
        <v>183000</v>
      </c>
      <c r="BZ55" s="81">
        <f ca="1">IFERROR(__xludf.DUMMYFUNCTION("IMPORTRANGE(""https://docs.google.com/spreadsheets/d/14xp6qUzrGFnUk_qnc1eEmfiaNRd4_grkhpfQH_46fa8/edit?usp=sharing"",""ฉะเชิงเทรา!N228"")"),167541.68)</f>
        <v>167541.68</v>
      </c>
      <c r="CA55" s="82">
        <f t="shared" ca="1" si="102"/>
        <v>91.552830601092893</v>
      </c>
      <c r="CB55" s="81">
        <f ca="1">IFERROR(__xludf.DUMMYFUNCTION("IMPORTRANGE(""https://docs.google.com/spreadsheets/d/14xp6qUzrGFnUk_qnc1eEmfiaNRd4_grkhpfQH_46fa8/edit?usp=sharing"",""ฉะเชิงเทรา!L229"")"),70000)</f>
        <v>70000</v>
      </c>
      <c r="CC55" s="81">
        <f ca="1">IFERROR(__xludf.DUMMYFUNCTION("IMPORTRANGE(""https://docs.google.com/spreadsheets/d/14xp6qUzrGFnUk_qnc1eEmfiaNRd4_grkhpfQH_46fa8/edit?usp=sharing"",""ฉะเชิงเทรา!N229"")"),70800)</f>
        <v>70800</v>
      </c>
      <c r="CD55" s="82">
        <f t="shared" ca="1" si="103"/>
        <v>101.14285714285714</v>
      </c>
      <c r="CE55" s="81">
        <f ca="1">IFERROR(__xludf.DUMMYFUNCTION("IMPORTRANGE(""https://docs.google.com/spreadsheets/d/14xp6qUzrGFnUk_qnc1eEmfiaNRd4_grkhpfQH_46fa8/edit?usp=sharing"",""ฉะเชิงเทรา!L230"")"),95000)</f>
        <v>95000</v>
      </c>
      <c r="CF55" s="81">
        <f ca="1">IFERROR(__xludf.DUMMYFUNCTION("IMPORTRANGE(""https://docs.google.com/spreadsheets/d/14xp6qUzrGFnUk_qnc1eEmfiaNRd4_grkhpfQH_46fa8/edit?usp=sharing"",""ฉะเชิงเทรา!N230"")"),95000)</f>
        <v>95000</v>
      </c>
      <c r="CG55" s="82">
        <f t="shared" ca="1" si="104"/>
        <v>100</v>
      </c>
      <c r="CH55" s="81">
        <f ca="1">IFERROR(__xludf.DUMMYFUNCTION("IMPORTRANGE(""https://docs.google.com/spreadsheets/d/14xp6qUzrGFnUk_qnc1eEmfiaNRd4_grkhpfQH_46fa8/edit?usp=sharing"",""ฉะเชิงเทรา!L231"")"),20000)</f>
        <v>20000</v>
      </c>
      <c r="CI55" s="81">
        <f ca="1">IFERROR(__xludf.DUMMYFUNCTION("IMPORTRANGE(""https://docs.google.com/spreadsheets/d/14xp6qUzrGFnUk_qnc1eEmfiaNRd4_grkhpfQH_46fa8/edit?usp=sharing"",""ฉะเชิงเทรา!N231"")"),20000)</f>
        <v>20000</v>
      </c>
      <c r="CJ55" s="82">
        <f t="shared" ca="1" si="105"/>
        <v>100</v>
      </c>
      <c r="CK55" s="81">
        <f ca="1">IFERROR(__xludf.DUMMYFUNCTION("IMPORTRANGE(""https://docs.google.com/spreadsheets/d/14xp6qUzrGFnUk_qnc1eEmfiaNRd4_grkhpfQH_46fa8/edit?usp=sharing"",""ฉะเชิงเทรา!I233"")"),60)</f>
        <v>60</v>
      </c>
      <c r="CL55" s="81">
        <f ca="1">IFERROR(__xludf.DUMMYFUNCTION("IMPORTRANGE(""https://docs.google.com/spreadsheets/d/14xp6qUzrGFnUk_qnc1eEmfiaNRd4_grkhpfQH_46fa8/edit?usp=sharing"",""ฉะเชิงเทรา!J233"")"),60)</f>
        <v>60</v>
      </c>
      <c r="CM55" s="82">
        <f t="shared" ca="1" si="106"/>
        <v>100</v>
      </c>
      <c r="CN55" s="81">
        <f ca="1">IFERROR(__xludf.DUMMYFUNCTION("IMPORTRANGE(""https://docs.google.com/spreadsheets/d/14xp6qUzrGFnUk_qnc1eEmfiaNRd4_grkhpfQH_46fa8/edit?usp=sharing"",""ฉะเชิงเทรา!J235"")"),60)</f>
        <v>60</v>
      </c>
      <c r="CO55" s="81">
        <f ca="1">IFERROR(__xludf.DUMMYFUNCTION("IMPORTRANGE(""https://docs.google.com/spreadsheets/d/14xp6qUzrGFnUk_qnc1eEmfiaNRd4_grkhpfQH_46fa8/edit?usp=sharing"",""ฉะเชิงเทรา!J236"")"),2)</f>
        <v>2</v>
      </c>
    </row>
    <row r="56" spans="1:93" ht="21" customHeight="1" x14ac:dyDescent="0.3">
      <c r="A56" s="73">
        <v>4</v>
      </c>
      <c r="B56" s="74" t="s">
        <v>78</v>
      </c>
      <c r="C56" s="75">
        <f t="shared" ca="1" si="0"/>
        <v>153900</v>
      </c>
      <c r="D56" s="76">
        <f t="shared" ca="1" si="187"/>
        <v>153900</v>
      </c>
      <c r="E56" s="77">
        <f ca="1">IFERROR(__xludf.DUMMYFUNCTION("IMPORTRANGE(""https://docs.google.com/spreadsheets/d/1MeEWN-I1oV_STSDYn1IFDPWt_1FKiwhDph83XaGc0o0/edit?usp=sharing"",""งบพรบ!CP56"")"),0)</f>
        <v>0</v>
      </c>
      <c r="F56" s="77">
        <f ca="1">IFERROR(__xludf.DUMMYFUNCTION("IMPORTRANGE(""https://docs.google.com/spreadsheets/d/1MeEWN-I1oV_STSDYn1IFDPWt_1FKiwhDph83XaGc0o0/edit?usp=sharing"",""งบพรบ!CQ56"")"),153900)</f>
        <v>153900</v>
      </c>
      <c r="G56" s="77">
        <f ca="1">IFERROR(__xludf.DUMMYFUNCTION("IMPORTRANGE(""https://docs.google.com/spreadsheets/d/1MeEWN-I1oV_STSDYn1IFDPWt_1FKiwhDph83XaGc0o0/edit?usp=sharing"",""งบพรบ!CR56"")"),0)</f>
        <v>0</v>
      </c>
      <c r="H56" s="77">
        <f ca="1">IFERROR(__xludf.DUMMYFUNCTION("IMPORTRANGE(""https://docs.google.com/spreadsheets/d/1MeEWN-I1oV_STSDYn1IFDPWt_1FKiwhDph83XaGc0o0/edit?usp=sharing"",""งบพรบ!CT56"")"),168990)</f>
        <v>168990</v>
      </c>
      <c r="I56" s="77">
        <f ca="1">IFERROR(__xludf.DUMMYFUNCTION("IMPORTRANGE(""https://docs.google.com/spreadsheets/d/1MeEWN-I1oV_STSDYn1IFDPWt_1FKiwhDph83XaGc0o0/edit?usp=sharing"",""งบพรบ!CU56"")"),0)</f>
        <v>0</v>
      </c>
      <c r="J56" s="77">
        <f t="shared" ca="1" si="3"/>
        <v>168990</v>
      </c>
      <c r="K56" s="78">
        <f t="shared" ca="1" si="4"/>
        <v>109.80506822612085</v>
      </c>
      <c r="L56" s="77">
        <f ca="1">IFERROR(__xludf.DUMMYFUNCTION("IMPORTRANGE(""https://docs.google.com/spreadsheets/d/1MeEWN-I1oV_STSDYn1IFDPWt_1FKiwhDph83XaGc0o0/edit?usp=sharing"",""งบพรบ!CV56"")"),168990)</f>
        <v>168990</v>
      </c>
      <c r="M56" s="79">
        <f t="shared" ca="1" si="5"/>
        <v>109.80506822612085</v>
      </c>
      <c r="N56" s="79">
        <f t="shared" ca="1" si="6"/>
        <v>100</v>
      </c>
      <c r="O56" s="80">
        <f ca="1">IFERROR(__xludf.DUMMYFUNCTION("IMPORTRANGE(""https://docs.google.com/spreadsheets/d/1MeEWN-I1oV_STSDYn1IFDPWt_1FKiwhDph83XaGc0o0/edit?usp=sharing"",""งบพรบ!CW56"")"),0)</f>
        <v>0</v>
      </c>
      <c r="P56" s="80">
        <f t="shared" ca="1" si="10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IFERROR(__xludf.DUMMYFUNCTION("IMPORTRANGE(""https://docs.google.com/spreadsheets/d/1_Zwps30dlVa-pZFsorjVf1Pil6WXwzCsJU0U2whO3NI/edit?usp=sharing"",""ชลบุรี!L191"")"),6000)</f>
        <v>6000</v>
      </c>
      <c r="S56" s="81">
        <f ca="1">IFERROR(__xludf.DUMMYFUNCTION("IMPORTRANGE(""https://docs.google.com/spreadsheets/d/1_Zwps30dlVa-pZFsorjVf1Pil6WXwzCsJU0U2whO3NI/edit?usp=sharing"",""ชลบุรี!N191"")"),6000)</f>
        <v>6000</v>
      </c>
      <c r="T56" s="82">
        <f t="shared" ca="1" si="84"/>
        <v>100</v>
      </c>
      <c r="U56" s="81">
        <f ca="1">IFERROR(__xludf.DUMMYFUNCTION("IMPORTRANGE(""https://docs.google.com/spreadsheets/d/1_Zwps30dlVa-pZFsorjVf1Pil6WXwzCsJU0U2whO3NI/edit?usp=sharing"",""ชลบุรี!I193"")"),4)</f>
        <v>4</v>
      </c>
      <c r="V56" s="81">
        <f ca="1">IFERROR(__xludf.DUMMYFUNCTION("IMPORTRANGE(""https://docs.google.com/spreadsheets/d/1_Zwps30dlVa-pZFsorjVf1Pil6WXwzCsJU0U2whO3NI/edit?usp=sharing"",""ชลบุรี!J193"")"),4)</f>
        <v>4</v>
      </c>
      <c r="W56" s="82">
        <f t="shared" ca="1" si="85"/>
        <v>100</v>
      </c>
      <c r="X56" s="81">
        <f t="shared" ca="1" si="188"/>
        <v>0</v>
      </c>
      <c r="Y56" s="81">
        <f ca="1">IFERROR(__xludf.DUMMYFUNCTION("IMPORTRANGE(""https://docs.google.com/spreadsheets/d/1_Zwps30dlVa-pZFsorjVf1Pil6WXwzCsJU0U2whO3NI/edit?usp=sharing"",""ชลบุรี!J195"")"),0)</f>
        <v>0</v>
      </c>
      <c r="Z56" s="81">
        <f ca="1">IFERROR(__xludf.DUMMYFUNCTION("IMPORTRANGE(""https://docs.google.com/spreadsheets/d/1_Zwps30dlVa-pZFsorjVf1Pil6WXwzCsJU0U2whO3NI/edit?usp=sharing"",""ชลบุรี!J196"")"),0)</f>
        <v>0</v>
      </c>
      <c r="AA56" s="81">
        <f ca="1">IFERROR(__xludf.DUMMYFUNCTION("IMPORTRANGE(""https://docs.google.com/spreadsheets/d/1_Zwps30dlVa-pZFsorjVf1Pil6WXwzCsJU0U2whO3NI/edit?usp=sharing"",""ชลบุรี!L199"")"),4000)</f>
        <v>4000</v>
      </c>
      <c r="AB56" s="81">
        <f ca="1">IFERROR(__xludf.DUMMYFUNCTION("IMPORTRANGE(""https://docs.google.com/spreadsheets/d/1_Zwps30dlVa-pZFsorjVf1Pil6WXwzCsJU0U2whO3NI/edit?usp=sharing"",""ชลบุรี!N199"")"),4000)</f>
        <v>4000</v>
      </c>
      <c r="AC56" s="82">
        <f t="shared" ca="1" si="86"/>
        <v>100</v>
      </c>
      <c r="AD56" s="81">
        <f ca="1">IFERROR(__xludf.DUMMYFUNCTION("IMPORTRANGE(""https://docs.google.com/spreadsheets/d/1_Zwps30dlVa-pZFsorjVf1Pil6WXwzCsJU0U2whO3NI/edit?usp=sharing"",""ชลบุรี!L200"")"),32000)</f>
        <v>32000</v>
      </c>
      <c r="AE56" s="81">
        <f ca="1">IFERROR(__xludf.DUMMYFUNCTION("IMPORTRANGE(""https://docs.google.com/spreadsheets/d/1_Zwps30dlVa-pZFsorjVf1Pil6WXwzCsJU0U2whO3NI/edit?usp=sharing"",""ชลบุรี!N200"")"),32000)</f>
        <v>32000</v>
      </c>
      <c r="AF56" s="82">
        <f t="shared" ca="1" si="87"/>
        <v>100</v>
      </c>
      <c r="AG56" s="81">
        <f ca="1">IFERROR(__xludf.DUMMYFUNCTION("IMPORTRANGE(""https://docs.google.com/spreadsheets/d/1_Zwps30dlVa-pZFsorjVf1Pil6WXwzCsJU0U2whO3NI/edit?usp=sharing"",""ชลบุรี!L201"")"),16000)</f>
        <v>16000</v>
      </c>
      <c r="AH56" s="81">
        <f ca="1">IFERROR(__xludf.DUMMYFUNCTION("IMPORTRANGE(""https://docs.google.com/spreadsheets/d/1_Zwps30dlVa-pZFsorjVf1Pil6WXwzCsJU0U2whO3NI/edit?usp=sharing"",""ชลบุรี!N201"")"),16000)</f>
        <v>16000</v>
      </c>
      <c r="AI56" s="82">
        <f t="shared" ca="1" si="88"/>
        <v>100</v>
      </c>
      <c r="AJ56" s="81">
        <f ca="1">IFERROR(__xludf.DUMMYFUNCTION("IMPORTRANGE(""https://docs.google.com/spreadsheets/d/1_Zwps30dlVa-pZFsorjVf1Pil6WXwzCsJU0U2whO3NI/edit?usp=sharing"",""ชลบุรี!L202"")"),5000)</f>
        <v>5000</v>
      </c>
      <c r="AK56" s="81">
        <f ca="1">IFERROR(__xludf.DUMMYFUNCTION("IMPORTRANGE(""https://docs.google.com/spreadsheets/d/1_Zwps30dlVa-pZFsorjVf1Pil6WXwzCsJU0U2whO3NI/edit?usp=sharing"",""ชลบุรี!N202"")"),5000)</f>
        <v>5000</v>
      </c>
      <c r="AL56" s="82">
        <f t="shared" ca="1" si="89"/>
        <v>100</v>
      </c>
      <c r="AM56" s="81">
        <f ca="1">IFERROR(__xludf.DUMMYFUNCTION("IMPORTRANGE(""https://docs.google.com/spreadsheets/d/1_Zwps30dlVa-pZFsorjVf1Pil6WXwzCsJU0U2whO3NI/edit?usp=sharing"",""ชลบุรี!I204"")"),4)</f>
        <v>4</v>
      </c>
      <c r="AN56" s="81">
        <f ca="1">IFERROR(__xludf.DUMMYFUNCTION("IMPORTRANGE(""https://docs.google.com/spreadsheets/d/1_Zwps30dlVa-pZFsorjVf1Pil6WXwzCsJU0U2whO3NI/edit?usp=sharing"",""ชลบุรี!J204"")"),4)</f>
        <v>4</v>
      </c>
      <c r="AO56" s="82">
        <f t="shared" ca="1" si="90"/>
        <v>100</v>
      </c>
      <c r="AP56" s="297">
        <f ca="1">IFERROR(__xludf.DUMMYFUNCTION("IMPORTRANGE(""https://docs.google.com/spreadsheets/d/1_Zwps30dlVa-pZFsorjVf1Pil6WXwzCsJU0U2whO3NI/edit?usp=sharing"",""ชลบุรี!J206"")"),4)</f>
        <v>4</v>
      </c>
      <c r="AQ56" s="297">
        <f ca="1">IFERROR(__xludf.DUMMYFUNCTION("IMPORTRANGE(""https://docs.google.com/spreadsheets/d/1_Zwps30dlVa-pZFsorjVf1Pil6WXwzCsJU0U2whO3NI/edit?usp=sharing"",""ชลบุรี!J207"")"),1)</f>
        <v>1</v>
      </c>
      <c r="AR56" s="81">
        <f ca="1">IFERROR(__xludf.DUMMYFUNCTION("IMPORTRANGE(""https://docs.google.com/spreadsheets/d/1_Zwps30dlVa-pZFsorjVf1Pil6WXwzCsJU0U2whO3NI/edit?usp=sharing"",""ชลบุรี!L210"")"),0)</f>
        <v>0</v>
      </c>
      <c r="AS56" s="81">
        <f ca="1">IFERROR(__xludf.DUMMYFUNCTION("IMPORTRANGE(""https://docs.google.com/spreadsheets/d/1_Zwps30dlVa-pZFsorjVf1Pil6WXwzCsJU0U2whO3NI/edit?usp=sharing"",""ชลบุรี!N210"")"),0)</f>
        <v>0</v>
      </c>
      <c r="AT56" s="82">
        <f t="shared" ca="1" si="91"/>
        <v>0</v>
      </c>
      <c r="AU56" s="81">
        <f ca="1">IFERROR(__xludf.DUMMYFUNCTION("IMPORTRANGE(""https://docs.google.com/spreadsheets/d/1_Zwps30dlVa-pZFsorjVf1Pil6WXwzCsJU0U2whO3NI/edit?usp=sharing"",""ชลบุรี!L211"")"),0)</f>
        <v>0</v>
      </c>
      <c r="AV56" s="81">
        <f ca="1">IFERROR(__xludf.DUMMYFUNCTION("IMPORTRANGE(""https://docs.google.com/spreadsheets/d/1_Zwps30dlVa-pZFsorjVf1Pil6WXwzCsJU0U2whO3NI/edit?usp=sharing"",""ชลบุรี!N211"")"),0)</f>
        <v>0</v>
      </c>
      <c r="AW56" s="82">
        <f t="shared" ca="1" si="92"/>
        <v>0</v>
      </c>
      <c r="AX56" s="81">
        <f ca="1">IFERROR(__xludf.DUMMYFUNCTION("IMPORTRANGE(""https://docs.google.com/spreadsheets/d/1_Zwps30dlVa-pZFsorjVf1Pil6WXwzCsJU0U2whO3NI/edit?usp=sharing"",""ชลบุรี!L212"")"),0)</f>
        <v>0</v>
      </c>
      <c r="AY56" s="81">
        <f ca="1">IFERROR(__xludf.DUMMYFUNCTION("IMPORTRANGE(""https://docs.google.com/spreadsheets/d/1_Zwps30dlVa-pZFsorjVf1Pil6WXwzCsJU0U2whO3NI/edit?usp=sharing"",""ชลบุรี!N212"")"),0)</f>
        <v>0</v>
      </c>
      <c r="AZ56" s="82">
        <f t="shared" ca="1" si="93"/>
        <v>0</v>
      </c>
      <c r="BA56" s="81">
        <f ca="1">IFERROR(__xludf.DUMMYFUNCTION("IMPORTRANGE(""https://docs.google.com/spreadsheets/d/1_Zwps30dlVa-pZFsorjVf1Pil6WXwzCsJU0U2whO3NI/edit?usp=sharing"",""ชลบุรี!I214"")"),0)</f>
        <v>0</v>
      </c>
      <c r="BB56" s="81">
        <f ca="1">IFERROR(__xludf.DUMMYFUNCTION("IMPORTRANGE(""https://docs.google.com/spreadsheets/d/1_Zwps30dlVa-pZFsorjVf1Pil6WXwzCsJU0U2whO3NI/edit?usp=sharing"",""ชลบุรี!J214"")"),0)</f>
        <v>0</v>
      </c>
      <c r="BC56" s="82">
        <f t="shared" ca="1" si="94"/>
        <v>0</v>
      </c>
      <c r="BD56" s="81">
        <f ca="1">IFERROR(__xludf.DUMMYFUNCTION("IMPORTRANGE(""https://docs.google.com/spreadsheets/d/1_Zwps30dlVa-pZFsorjVf1Pil6WXwzCsJU0U2whO3NI/edit?usp=sharing"",""ชลบุรี!I215"")"),0)</f>
        <v>0</v>
      </c>
      <c r="BE56" s="81">
        <f ca="1">IFERROR(__xludf.DUMMYFUNCTION("IMPORTRANGE(""https://docs.google.com/spreadsheets/d/1_Zwps30dlVa-pZFsorjVf1Pil6WXwzCsJU0U2whO3NI/edit?usp=sharing"",""ชลบุรี!J215"")"),0)</f>
        <v>0</v>
      </c>
      <c r="BF56" s="82">
        <f t="shared" ca="1" si="95"/>
        <v>0</v>
      </c>
      <c r="BG56" s="81">
        <f ca="1">IFERROR(__xludf.DUMMYFUNCTION("IMPORTRANGE(""https://docs.google.com/spreadsheets/d/1_Zwps30dlVa-pZFsorjVf1Pil6WXwzCsJU0U2whO3NI/edit?usp=sharing"",""ชลบุรี!L218"")"),3000)</f>
        <v>3000</v>
      </c>
      <c r="BH56" s="81">
        <f ca="1">IFERROR(__xludf.DUMMYFUNCTION("IMPORTRANGE(""https://docs.google.com/spreadsheets/d/1_Zwps30dlVa-pZFsorjVf1Pil6WXwzCsJU0U2whO3NI/edit?usp=sharing"",""ชลบุรี!N218"")"),3000)</f>
        <v>3000</v>
      </c>
      <c r="BI56" s="82">
        <f t="shared" ca="1" si="96"/>
        <v>100</v>
      </c>
      <c r="BJ56" s="81">
        <f ca="1">IFERROR(__xludf.DUMMYFUNCTION("IMPORTRANGE(""https://docs.google.com/spreadsheets/d/1_Zwps30dlVa-pZFsorjVf1Pil6WXwzCsJU0U2whO3NI/edit?usp=sharing"",""ชลบุรี!L219"")"),2900)</f>
        <v>2900</v>
      </c>
      <c r="BK56" s="81">
        <f ca="1">IFERROR(__xludf.DUMMYFUNCTION("IMPORTRANGE(""https://docs.google.com/spreadsheets/d/1_Zwps30dlVa-pZFsorjVf1Pil6WXwzCsJU0U2whO3NI/edit?usp=sharing"",""ชลบุรี!N219"")"),2900)</f>
        <v>2900</v>
      </c>
      <c r="BL56" s="82">
        <f t="shared" ca="1" si="97"/>
        <v>100</v>
      </c>
      <c r="BM56" s="81">
        <f ca="1">IFERROR(__xludf.DUMMYFUNCTION("IMPORTRANGE(""https://docs.google.com/spreadsheets/d/1_Zwps30dlVa-pZFsorjVf1Pil6WXwzCsJU0U2whO3NI/edit?usp=sharing"",""ชลบุรี!L220"")"),10000)</f>
        <v>10000</v>
      </c>
      <c r="BN56" s="81">
        <f ca="1">IFERROR(__xludf.DUMMYFUNCTION("IMPORTRANGE(""https://docs.google.com/spreadsheets/d/1_Zwps30dlVa-pZFsorjVf1Pil6WXwzCsJU0U2whO3NI/edit?usp=sharing"",""ชลบุรี!N220"")"),10000)</f>
        <v>10000</v>
      </c>
      <c r="BO56" s="82">
        <f t="shared" ca="1" si="98"/>
        <v>100</v>
      </c>
      <c r="BP56" s="81">
        <f ca="1">IFERROR(__xludf.DUMMYFUNCTION("IMPORTRANGE(""https://docs.google.com/spreadsheets/d/1_Zwps30dlVa-pZFsorjVf1Pil6WXwzCsJU0U2whO3NI/edit?usp=sharing"",""ชลบุรี!I223"")"),5000)</f>
        <v>5000</v>
      </c>
      <c r="BQ56" s="81">
        <f ca="1">IFERROR(__xludf.DUMMYFUNCTION("IMPORTRANGE(""https://docs.google.com/spreadsheets/d/1_Zwps30dlVa-pZFsorjVf1Pil6WXwzCsJU0U2whO3NI/edit?usp=sharing"",""ชลบุรี!J223"")"),5000)</f>
        <v>5000</v>
      </c>
      <c r="BR56" s="82">
        <f t="shared" ca="1" si="99"/>
        <v>100</v>
      </c>
      <c r="BS56" s="81">
        <f ca="1">IFERROR(__xludf.DUMMYFUNCTION("IMPORTRANGE(""https://docs.google.com/spreadsheets/d/1_Zwps30dlVa-pZFsorjVf1Pil6WXwzCsJU0U2whO3NI/edit?usp=sharing"",""ชลบุรี!I224"")"),5000)</f>
        <v>5000</v>
      </c>
      <c r="BT56" s="81">
        <f ca="1">IFERROR(__xludf.DUMMYFUNCTION("IMPORTRANGE(""https://docs.google.com/spreadsheets/d/1_Zwps30dlVa-pZFsorjVf1Pil6WXwzCsJU0U2whO3NI/edit?usp=sharing"",""ชลบุรี!J224"")"),5000)</f>
        <v>5000</v>
      </c>
      <c r="BU56" s="82">
        <f t="shared" ca="1" si="100"/>
        <v>100</v>
      </c>
      <c r="BV56" s="81">
        <f ca="1">IFERROR(__xludf.DUMMYFUNCTION("IMPORTRANGE(""https://docs.google.com/spreadsheets/d/1_Zwps30dlVa-pZFsorjVf1Pil6WXwzCsJU0U2whO3NI/edit?usp=sharing"",""ชลบุรี!I225"")"),10)</f>
        <v>10</v>
      </c>
      <c r="BW56" s="81">
        <f ca="1">IFERROR(__xludf.DUMMYFUNCTION("IMPORTRANGE(""https://docs.google.com/spreadsheets/d/1_Zwps30dlVa-pZFsorjVf1Pil6WXwzCsJU0U2whO3NI/edit?usp=sharing"",""ชลบุรี!J225"")"),10)</f>
        <v>10</v>
      </c>
      <c r="BX56" s="82">
        <f t="shared" ca="1" si="101"/>
        <v>100</v>
      </c>
      <c r="BY56" s="81">
        <f ca="1">IFERROR(__xludf.DUMMYFUNCTION("IMPORTRANGE(""https://docs.google.com/spreadsheets/d/1_Zwps30dlVa-pZFsorjVf1Pil6WXwzCsJU0U2whO3NI/edit?usp=sharing"",""ชลบุรี!L228"")"),20000)</f>
        <v>20000</v>
      </c>
      <c r="BZ56" s="81">
        <f ca="1">IFERROR(__xludf.DUMMYFUNCTION("IMPORTRANGE(""https://docs.google.com/spreadsheets/d/1_Zwps30dlVa-pZFsorjVf1Pil6WXwzCsJU0U2whO3NI/edit?usp=sharing"",""ชลบุรี!N228"")"),20000)</f>
        <v>20000</v>
      </c>
      <c r="CA56" s="82">
        <f t="shared" ca="1" si="102"/>
        <v>100</v>
      </c>
      <c r="CB56" s="81">
        <f ca="1">IFERROR(__xludf.DUMMYFUNCTION("IMPORTRANGE(""https://docs.google.com/spreadsheets/d/1_Zwps30dlVa-pZFsorjVf1Pil6WXwzCsJU0U2whO3NI/edit?usp=sharing"",""ชลบุรี!L229"")"),15000)</f>
        <v>15000</v>
      </c>
      <c r="CC56" s="81">
        <f ca="1">IFERROR(__xludf.DUMMYFUNCTION("IMPORTRANGE(""https://docs.google.com/spreadsheets/d/1_Zwps30dlVa-pZFsorjVf1Pil6WXwzCsJU0U2whO3NI/edit?usp=sharing"",""ชลบุรี!N229"")"),15000)</f>
        <v>15000</v>
      </c>
      <c r="CD56" s="82">
        <f t="shared" ca="1" si="103"/>
        <v>100</v>
      </c>
      <c r="CE56" s="81">
        <f ca="1">IFERROR(__xludf.DUMMYFUNCTION("IMPORTRANGE(""https://docs.google.com/spreadsheets/d/1_Zwps30dlVa-pZFsorjVf1Pil6WXwzCsJU0U2whO3NI/edit?usp=sharing"",""ชลบุรี!L230"")"),30000)</f>
        <v>30000</v>
      </c>
      <c r="CF56" s="81">
        <f ca="1">IFERROR(__xludf.DUMMYFUNCTION("IMPORTRANGE(""https://docs.google.com/spreadsheets/d/1_Zwps30dlVa-pZFsorjVf1Pil6WXwzCsJU0U2whO3NI/edit?usp=sharing"",""ชลบุรี!N230"")"),30000)</f>
        <v>30000</v>
      </c>
      <c r="CG56" s="82">
        <f t="shared" ca="1" si="104"/>
        <v>100</v>
      </c>
      <c r="CH56" s="81">
        <f ca="1">IFERROR(__xludf.DUMMYFUNCTION("IMPORTRANGE(""https://docs.google.com/spreadsheets/d/1_Zwps30dlVa-pZFsorjVf1Pil6WXwzCsJU0U2whO3NI/edit?usp=sharing"",""ชลบุรี!L231"")"),10000)</f>
        <v>10000</v>
      </c>
      <c r="CI56" s="81">
        <f ca="1">IFERROR(__xludf.DUMMYFUNCTION("IMPORTRANGE(""https://docs.google.com/spreadsheets/d/1_Zwps30dlVa-pZFsorjVf1Pil6WXwzCsJU0U2whO3NI/edit?usp=sharing"",""ชลบุรี!N231"")"),10000)</f>
        <v>10000</v>
      </c>
      <c r="CJ56" s="82">
        <f t="shared" ca="1" si="105"/>
        <v>100</v>
      </c>
      <c r="CK56" s="81">
        <f ca="1">IFERROR(__xludf.DUMMYFUNCTION("IMPORTRANGE(""https://docs.google.com/spreadsheets/d/1_Zwps30dlVa-pZFsorjVf1Pil6WXwzCsJU0U2whO3NI/edit?usp=sharing"",""ชลบุรี!I233"")"),30)</f>
        <v>30</v>
      </c>
      <c r="CL56" s="81">
        <f ca="1">IFERROR(__xludf.DUMMYFUNCTION("IMPORTRANGE(""https://docs.google.com/spreadsheets/d/1_Zwps30dlVa-pZFsorjVf1Pil6WXwzCsJU0U2whO3NI/edit?usp=sharing"",""ชลบุรี!J233"")"),31)</f>
        <v>31</v>
      </c>
      <c r="CM56" s="82">
        <f t="shared" ca="1" si="106"/>
        <v>103.33333333333333</v>
      </c>
      <c r="CN56" s="81">
        <f ca="1">IFERROR(__xludf.DUMMYFUNCTION("IMPORTRANGE(""https://docs.google.com/spreadsheets/d/1_Zwps30dlVa-pZFsorjVf1Pil6WXwzCsJU0U2whO3NI/edit?usp=sharing"",""ชลบุรี!J235"")"),31)</f>
        <v>31</v>
      </c>
      <c r="CO56" s="81">
        <f ca="1">IFERROR(__xludf.DUMMYFUNCTION("IMPORTRANGE(""https://docs.google.com/spreadsheets/d/1_Zwps30dlVa-pZFsorjVf1Pil6WXwzCsJU0U2whO3NI/edit?usp=sharing"",""ชลบุรี!J236"")"),2)</f>
        <v>2</v>
      </c>
    </row>
    <row r="57" spans="1:93" ht="21" customHeight="1" x14ac:dyDescent="0.3">
      <c r="A57" s="73">
        <v>5</v>
      </c>
      <c r="B57" s="74" t="s">
        <v>79</v>
      </c>
      <c r="C57" s="75">
        <f t="shared" ca="1" si="0"/>
        <v>36100</v>
      </c>
      <c r="D57" s="76">
        <f t="shared" ca="1" si="187"/>
        <v>36100</v>
      </c>
      <c r="E57" s="77">
        <f ca="1">IFERROR(__xludf.DUMMYFUNCTION("IMPORTRANGE(""https://docs.google.com/spreadsheets/d/1MeEWN-I1oV_STSDYn1IFDPWt_1FKiwhDph83XaGc0o0/edit?usp=sharing"",""งบพรบ!CP57"")"),0)</f>
        <v>0</v>
      </c>
      <c r="F57" s="77">
        <f ca="1">IFERROR(__xludf.DUMMYFUNCTION("IMPORTRANGE(""https://docs.google.com/spreadsheets/d/1MeEWN-I1oV_STSDYn1IFDPWt_1FKiwhDph83XaGc0o0/edit?usp=sharing"",""งบพรบ!CQ57"")"),36100)</f>
        <v>36100</v>
      </c>
      <c r="G57" s="77">
        <f ca="1">IFERROR(__xludf.DUMMYFUNCTION("IMPORTRANGE(""https://docs.google.com/spreadsheets/d/1MeEWN-I1oV_STSDYn1IFDPWt_1FKiwhDph83XaGc0o0/edit?usp=sharing"",""งบพรบ!CR57"")"),0)</f>
        <v>0</v>
      </c>
      <c r="H57" s="77">
        <f ca="1">IFERROR(__xludf.DUMMYFUNCTION("IMPORTRANGE(""https://docs.google.com/spreadsheets/d/1MeEWN-I1oV_STSDYn1IFDPWt_1FKiwhDph83XaGc0o0/edit?usp=sharing"",""งบพรบ!CT57"")"),42820)</f>
        <v>42820</v>
      </c>
      <c r="I57" s="77">
        <f ca="1">IFERROR(__xludf.DUMMYFUNCTION("IMPORTRANGE(""https://docs.google.com/spreadsheets/d/1MeEWN-I1oV_STSDYn1IFDPWt_1FKiwhDph83XaGc0o0/edit?usp=sharing"",""งบพรบ!CU57"")"),0)</f>
        <v>0</v>
      </c>
      <c r="J57" s="77">
        <f t="shared" ca="1" si="3"/>
        <v>41990</v>
      </c>
      <c r="K57" s="78">
        <f t="shared" ca="1" si="4"/>
        <v>116.31578947368421</v>
      </c>
      <c r="L57" s="77">
        <f ca="1">IFERROR(__xludf.DUMMYFUNCTION("IMPORTRANGE(""https://docs.google.com/spreadsheets/d/1MeEWN-I1oV_STSDYn1IFDPWt_1FKiwhDph83XaGc0o0/edit?usp=sharing"",""งบพรบ!CV57"")"),41990)</f>
        <v>41990</v>
      </c>
      <c r="M57" s="79">
        <f t="shared" ca="1" si="5"/>
        <v>116.31578947368421</v>
      </c>
      <c r="N57" s="79">
        <f t="shared" ca="1" si="6"/>
        <v>98.061653432975248</v>
      </c>
      <c r="O57" s="80">
        <f ca="1">IFERROR(__xludf.DUMMYFUNCTION("IMPORTRANGE(""https://docs.google.com/spreadsheets/d/1MeEWN-I1oV_STSDYn1IFDPWt_1FKiwhDph83XaGc0o0/edit?usp=sharing"",""งบพรบ!CW57"")"),0)</f>
        <v>0</v>
      </c>
      <c r="P57" s="80">
        <f t="shared" ca="1" si="10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IFERROR(__xludf.DUMMYFUNCTION("IMPORTRANGE(""https://docs.google.com/spreadsheets/d/1xAsT4sUbBlom7l0acStESh_15nvjZcXjZM7fK5uZSq8/edit?usp=sharing"",""ชัยนาท!L191"")"),6000)</f>
        <v>6000</v>
      </c>
      <c r="S57" s="81">
        <f ca="1">IFERROR(__xludf.DUMMYFUNCTION("IMPORTRANGE(""https://docs.google.com/spreadsheets/d/1xAsT4sUbBlom7l0acStESh_15nvjZcXjZM7fK5uZSq8/edit?usp=sharing"",""ชัยนาท!N191"")"),5170)</f>
        <v>5170</v>
      </c>
      <c r="T57" s="82">
        <f t="shared" ca="1" si="84"/>
        <v>86.166666666666671</v>
      </c>
      <c r="U57" s="81">
        <f ca="1">IFERROR(__xludf.DUMMYFUNCTION("IMPORTRANGE(""https://docs.google.com/spreadsheets/d/1xAsT4sUbBlom7l0acStESh_15nvjZcXjZM7fK5uZSq8/edit?usp=sharing"",""ชัยนาท!I193"")"),4)</f>
        <v>4</v>
      </c>
      <c r="V57" s="81">
        <f ca="1">IFERROR(__xludf.DUMMYFUNCTION("IMPORTRANGE(""https://docs.google.com/spreadsheets/d/1xAsT4sUbBlom7l0acStESh_15nvjZcXjZM7fK5uZSq8/edit?usp=sharing"",""ชัยนาท!J193"")"),4)</f>
        <v>4</v>
      </c>
      <c r="W57" s="82">
        <f t="shared" ca="1" si="85"/>
        <v>100</v>
      </c>
      <c r="X57" s="81">
        <f t="shared" ca="1" si="188"/>
        <v>466</v>
      </c>
      <c r="Y57" s="81">
        <f ca="1">IFERROR(__xludf.DUMMYFUNCTION("IMPORTRANGE(""https://docs.google.com/spreadsheets/d/1xAsT4sUbBlom7l0acStESh_15nvjZcXjZM7fK5uZSq8/edit?usp=sharing"",""ชัยนาท!J195"")"),466)</f>
        <v>466</v>
      </c>
      <c r="Z57" s="81">
        <f ca="1">IFERROR(__xludf.DUMMYFUNCTION("IMPORTRANGE(""https://docs.google.com/spreadsheets/d/1xAsT4sUbBlom7l0acStESh_15nvjZcXjZM7fK5uZSq8/edit?usp=sharing"",""ชัยนาท!J196"")"),0)</f>
        <v>0</v>
      </c>
      <c r="AA57" s="81">
        <f ca="1">IFERROR(__xludf.DUMMYFUNCTION("IMPORTRANGE(""https://docs.google.com/spreadsheets/d/1xAsT4sUbBlom7l0acStESh_15nvjZcXjZM7fK5uZSq8/edit?usp=sharing"",""ชัยนาท!L199"")"),1000)</f>
        <v>1000</v>
      </c>
      <c r="AB57" s="81">
        <f ca="1">IFERROR(__xludf.DUMMYFUNCTION("IMPORTRANGE(""https://docs.google.com/spreadsheets/d/1xAsT4sUbBlom7l0acStESh_15nvjZcXjZM7fK5uZSq8/edit?usp=sharing"",""ชัยนาท!N199"")"),1000)</f>
        <v>1000</v>
      </c>
      <c r="AC57" s="82">
        <f t="shared" ca="1" si="86"/>
        <v>100</v>
      </c>
      <c r="AD57" s="81">
        <f ca="1">IFERROR(__xludf.DUMMYFUNCTION("IMPORTRANGE(""https://docs.google.com/spreadsheets/d/1xAsT4sUbBlom7l0acStESh_15nvjZcXjZM7fK5uZSq8/edit?usp=sharing"",""ชัยนาท!L200"")"),8000)</f>
        <v>8000</v>
      </c>
      <c r="AE57" s="81">
        <f ca="1">IFERROR(__xludf.DUMMYFUNCTION("IMPORTRANGE(""https://docs.google.com/spreadsheets/d/1xAsT4sUbBlom7l0acStESh_15nvjZcXjZM7fK5uZSq8/edit?usp=sharing"",""ชัยนาท!N200"")"),8000)</f>
        <v>8000</v>
      </c>
      <c r="AF57" s="82">
        <f t="shared" ca="1" si="87"/>
        <v>100</v>
      </c>
      <c r="AG57" s="81">
        <f ca="1">IFERROR(__xludf.DUMMYFUNCTION("IMPORTRANGE(""https://docs.google.com/spreadsheets/d/1xAsT4sUbBlom7l0acStESh_15nvjZcXjZM7fK5uZSq8/edit?usp=sharing"",""ชัยนาท!L201"")"),4000)</f>
        <v>4000</v>
      </c>
      <c r="AH57" s="81">
        <f ca="1">IFERROR(__xludf.DUMMYFUNCTION("IMPORTRANGE(""https://docs.google.com/spreadsheets/d/1xAsT4sUbBlom7l0acStESh_15nvjZcXjZM7fK5uZSq8/edit?usp=sharing"",""ชัยนาท!N201"")"),4000)</f>
        <v>4000</v>
      </c>
      <c r="AI57" s="82">
        <f t="shared" ca="1" si="88"/>
        <v>100</v>
      </c>
      <c r="AJ57" s="81">
        <f ca="1">IFERROR(__xludf.DUMMYFUNCTION("IMPORTRANGE(""https://docs.google.com/spreadsheets/d/1xAsT4sUbBlom7l0acStESh_15nvjZcXjZM7fK5uZSq8/edit?usp=sharing"",""ชัยนาท!L202"")"),0)</f>
        <v>0</v>
      </c>
      <c r="AK57" s="81">
        <f ca="1">IFERROR(__xludf.DUMMYFUNCTION("IMPORTRANGE(""https://docs.google.com/spreadsheets/d/1xAsT4sUbBlom7l0acStESh_15nvjZcXjZM7fK5uZSq8/edit?usp=sharing"",""ชัยนาท!N202"")"),0)</f>
        <v>0</v>
      </c>
      <c r="AL57" s="82">
        <f t="shared" ca="1" si="89"/>
        <v>0</v>
      </c>
      <c r="AM57" s="81">
        <f ca="1">IFERROR(__xludf.DUMMYFUNCTION("IMPORTRANGE(""https://docs.google.com/spreadsheets/d/1xAsT4sUbBlom7l0acStESh_15nvjZcXjZM7fK5uZSq8/edit?usp=sharing"",""ชัยนาท!I204"")"),1)</f>
        <v>1</v>
      </c>
      <c r="AN57" s="81">
        <f ca="1">IFERROR(__xludf.DUMMYFUNCTION("IMPORTRANGE(""https://docs.google.com/spreadsheets/d/1xAsT4sUbBlom7l0acStESh_15nvjZcXjZM7fK5uZSq8/edit?usp=sharing"",""ชัยนาท!J204"")"),1)</f>
        <v>1</v>
      </c>
      <c r="AO57" s="82">
        <f t="shared" ca="1" si="90"/>
        <v>100</v>
      </c>
      <c r="AP57" s="297">
        <f ca="1">IFERROR(__xludf.DUMMYFUNCTION("IMPORTRANGE(""https://docs.google.com/spreadsheets/d/1xAsT4sUbBlom7l0acStESh_15nvjZcXjZM7fK5uZSq8/edit?usp=sharing"",""ชัยนาท!J206"")"),1)</f>
        <v>1</v>
      </c>
      <c r="AQ57" s="297">
        <f ca="1">IFERROR(__xludf.DUMMYFUNCTION("IMPORTRANGE(""https://docs.google.com/spreadsheets/d/1xAsT4sUbBlom7l0acStESh_15nvjZcXjZM7fK5uZSq8/edit?usp=sharing"",""ชัยนาท!J207"")"),0)</f>
        <v>0</v>
      </c>
      <c r="AR57" s="81">
        <f ca="1">IFERROR(__xludf.DUMMYFUNCTION("IMPORTRANGE(""https://docs.google.com/spreadsheets/d/1xAsT4sUbBlom7l0acStESh_15nvjZcXjZM7fK5uZSq8/edit?usp=sharing"",""ชัยนาท!L210"")"),0)</f>
        <v>0</v>
      </c>
      <c r="AS57" s="81">
        <f ca="1">IFERROR(__xludf.DUMMYFUNCTION("IMPORTRANGE(""https://docs.google.com/spreadsheets/d/1xAsT4sUbBlom7l0acStESh_15nvjZcXjZM7fK5uZSq8/edit?usp=sharing"",""ชัยนาท!N210"")"),0)</f>
        <v>0</v>
      </c>
      <c r="AT57" s="82">
        <f t="shared" ca="1" si="91"/>
        <v>0</v>
      </c>
      <c r="AU57" s="81">
        <f ca="1">IFERROR(__xludf.DUMMYFUNCTION("IMPORTRANGE(""https://docs.google.com/spreadsheets/d/1xAsT4sUbBlom7l0acStESh_15nvjZcXjZM7fK5uZSq8/edit?usp=sharing"",""ชัยนาท!L211"")"),0)</f>
        <v>0</v>
      </c>
      <c r="AV57" s="81">
        <f ca="1">IFERROR(__xludf.DUMMYFUNCTION("IMPORTRANGE(""https://docs.google.com/spreadsheets/d/1xAsT4sUbBlom7l0acStESh_15nvjZcXjZM7fK5uZSq8/edit?usp=sharing"",""ชัยนาท!N211"")"),0)</f>
        <v>0</v>
      </c>
      <c r="AW57" s="82">
        <f t="shared" ca="1" si="92"/>
        <v>0</v>
      </c>
      <c r="AX57" s="81">
        <f ca="1">IFERROR(__xludf.DUMMYFUNCTION("IMPORTRANGE(""https://docs.google.com/spreadsheets/d/1xAsT4sUbBlom7l0acStESh_15nvjZcXjZM7fK5uZSq8/edit?usp=sharing"",""ชัยนาท!L212"")"),0)</f>
        <v>0</v>
      </c>
      <c r="AY57" s="81">
        <f ca="1">IFERROR(__xludf.DUMMYFUNCTION("IMPORTRANGE(""https://docs.google.com/spreadsheets/d/1xAsT4sUbBlom7l0acStESh_15nvjZcXjZM7fK5uZSq8/edit?usp=sharing"",""ชัยนาท!N212"")"),0)</f>
        <v>0</v>
      </c>
      <c r="AZ57" s="82">
        <f t="shared" ca="1" si="93"/>
        <v>0</v>
      </c>
      <c r="BA57" s="81">
        <f ca="1">IFERROR(__xludf.DUMMYFUNCTION("IMPORTRANGE(""https://docs.google.com/spreadsheets/d/1xAsT4sUbBlom7l0acStESh_15nvjZcXjZM7fK5uZSq8/edit?usp=sharing"",""ชัยนาท!I214"")"),0)</f>
        <v>0</v>
      </c>
      <c r="BB57" s="81">
        <f ca="1">IFERROR(__xludf.DUMMYFUNCTION("IMPORTRANGE(""https://docs.google.com/spreadsheets/d/1xAsT4sUbBlom7l0acStESh_15nvjZcXjZM7fK5uZSq8/edit?usp=sharing"",""ชัยนาท!J214"")"),0)</f>
        <v>0</v>
      </c>
      <c r="BC57" s="82">
        <f t="shared" ca="1" si="94"/>
        <v>0</v>
      </c>
      <c r="BD57" s="81">
        <f ca="1">IFERROR(__xludf.DUMMYFUNCTION("IMPORTRANGE(""https://docs.google.com/spreadsheets/d/1xAsT4sUbBlom7l0acStESh_15nvjZcXjZM7fK5uZSq8/edit?usp=sharing"",""ชัยนาท!I215"")"),0)</f>
        <v>0</v>
      </c>
      <c r="BE57" s="81">
        <f ca="1">IFERROR(__xludf.DUMMYFUNCTION("IMPORTRANGE(""https://docs.google.com/spreadsheets/d/1xAsT4sUbBlom7l0acStESh_15nvjZcXjZM7fK5uZSq8/edit?usp=sharing"",""ชัยนาท!J215"")"),0)</f>
        <v>0</v>
      </c>
      <c r="BF57" s="82">
        <f t="shared" ca="1" si="95"/>
        <v>0</v>
      </c>
      <c r="BG57" s="81">
        <f ca="1">IFERROR(__xludf.DUMMYFUNCTION("IMPORTRANGE(""https://docs.google.com/spreadsheets/d/1xAsT4sUbBlom7l0acStESh_15nvjZcXjZM7fK5uZSq8/edit?usp=sharing"",""ชัยนาท!L218"")"),3000)</f>
        <v>3000</v>
      </c>
      <c r="BH57" s="81">
        <f ca="1">IFERROR(__xludf.DUMMYFUNCTION("IMPORTRANGE(""https://docs.google.com/spreadsheets/d/1xAsT4sUbBlom7l0acStESh_15nvjZcXjZM7fK5uZSq8/edit?usp=sharing"",""ชัยนาท!N218"")"),3000)</f>
        <v>3000</v>
      </c>
      <c r="BI57" s="82">
        <f t="shared" ca="1" si="96"/>
        <v>100</v>
      </c>
      <c r="BJ57" s="81">
        <f ca="1">IFERROR(__xludf.DUMMYFUNCTION("IMPORTRANGE(""https://docs.google.com/spreadsheets/d/1xAsT4sUbBlom7l0acStESh_15nvjZcXjZM7fK5uZSq8/edit?usp=sharing"",""ชัยนาท!L219"")"),4100)</f>
        <v>4100</v>
      </c>
      <c r="BK57" s="81">
        <f ca="1">IFERROR(__xludf.DUMMYFUNCTION("IMPORTRANGE(""https://docs.google.com/spreadsheets/d/1xAsT4sUbBlom7l0acStESh_15nvjZcXjZM7fK5uZSq8/edit?usp=sharing"",""ชัยนาท!N219"")"),4100)</f>
        <v>4100</v>
      </c>
      <c r="BL57" s="82">
        <f t="shared" ca="1" si="97"/>
        <v>100</v>
      </c>
      <c r="BM57" s="81">
        <f ca="1">IFERROR(__xludf.DUMMYFUNCTION("IMPORTRANGE(""https://docs.google.com/spreadsheets/d/1xAsT4sUbBlom7l0acStESh_15nvjZcXjZM7fK5uZSq8/edit?usp=sharing"",""ชัยนาท!L220"")"),10000)</f>
        <v>10000</v>
      </c>
      <c r="BN57" s="81">
        <f ca="1">IFERROR(__xludf.DUMMYFUNCTION("IMPORTRANGE(""https://docs.google.com/spreadsheets/d/1xAsT4sUbBlom7l0acStESh_15nvjZcXjZM7fK5uZSq8/edit?usp=sharing"",""ชัยนาท!N220"")"),10000)</f>
        <v>10000</v>
      </c>
      <c r="BO57" s="82">
        <f t="shared" ca="1" si="98"/>
        <v>100</v>
      </c>
      <c r="BP57" s="81">
        <f ca="1">IFERROR(__xludf.DUMMYFUNCTION("IMPORTRANGE(""https://docs.google.com/spreadsheets/d/1xAsT4sUbBlom7l0acStESh_15nvjZcXjZM7fK5uZSq8/edit?usp=sharing"",""ชัยนาท!I223"")"),12800)</f>
        <v>12800</v>
      </c>
      <c r="BQ57" s="81">
        <f ca="1">IFERROR(__xludf.DUMMYFUNCTION("IMPORTRANGE(""https://docs.google.com/spreadsheets/d/1xAsT4sUbBlom7l0acStESh_15nvjZcXjZM7fK5uZSq8/edit?usp=sharing"",""ชัยนาท!J223"")"),12800)</f>
        <v>12800</v>
      </c>
      <c r="BR57" s="82">
        <f t="shared" ca="1" si="99"/>
        <v>100</v>
      </c>
      <c r="BS57" s="81">
        <f ca="1">IFERROR(__xludf.DUMMYFUNCTION("IMPORTRANGE(""https://docs.google.com/spreadsheets/d/1xAsT4sUbBlom7l0acStESh_15nvjZcXjZM7fK5uZSq8/edit?usp=sharing"",""ชัยนาท!I224"")"),12800)</f>
        <v>12800</v>
      </c>
      <c r="BT57" s="81">
        <f ca="1">IFERROR(__xludf.DUMMYFUNCTION("IMPORTRANGE(""https://docs.google.com/spreadsheets/d/1xAsT4sUbBlom7l0acStESh_15nvjZcXjZM7fK5uZSq8/edit?usp=sharing"",""ชัยนาท!J224"")"),12800)</f>
        <v>12800</v>
      </c>
      <c r="BU57" s="82">
        <f t="shared" ca="1" si="100"/>
        <v>100</v>
      </c>
      <c r="BV57" s="81">
        <f ca="1">IFERROR(__xludf.DUMMYFUNCTION("IMPORTRANGE(""https://docs.google.com/spreadsheets/d/1xAsT4sUbBlom7l0acStESh_15nvjZcXjZM7fK5uZSq8/edit?usp=sharing"",""ชัยนาท!I225"")"),10)</f>
        <v>10</v>
      </c>
      <c r="BW57" s="81">
        <f ca="1">IFERROR(__xludf.DUMMYFUNCTION("IMPORTRANGE(""https://docs.google.com/spreadsheets/d/1xAsT4sUbBlom7l0acStESh_15nvjZcXjZM7fK5uZSq8/edit?usp=sharing"",""ชัยนาท!J225"")"),10)</f>
        <v>10</v>
      </c>
      <c r="BX57" s="82">
        <f t="shared" ca="1" si="101"/>
        <v>100</v>
      </c>
      <c r="BY57" s="81">
        <f ca="1">IFERROR(__xludf.DUMMYFUNCTION("IMPORTRANGE(""https://docs.google.com/spreadsheets/d/1xAsT4sUbBlom7l0acStESh_15nvjZcXjZM7fK5uZSq8/edit?usp=sharing"",""ชัยนาท!L228"")"),0)</f>
        <v>0</v>
      </c>
      <c r="BZ57" s="81">
        <f ca="1">IFERROR(__xludf.DUMMYFUNCTION("IMPORTRANGE(""https://docs.google.com/spreadsheets/d/1xAsT4sUbBlom7l0acStESh_15nvjZcXjZM7fK5uZSq8/edit?usp=sharing"",""ชัยนาท!N228"")"),0)</f>
        <v>0</v>
      </c>
      <c r="CA57" s="82">
        <f t="shared" ca="1" si="102"/>
        <v>0</v>
      </c>
      <c r="CB57" s="81">
        <f ca="1">IFERROR(__xludf.DUMMYFUNCTION("IMPORTRANGE(""https://docs.google.com/spreadsheets/d/1xAsT4sUbBlom7l0acStESh_15nvjZcXjZM7fK5uZSq8/edit?usp=sharing"",""ชัยนาท!L229"")"),0)</f>
        <v>0</v>
      </c>
      <c r="CC57" s="81">
        <f ca="1">IFERROR(__xludf.DUMMYFUNCTION("IMPORTRANGE(""https://docs.google.com/spreadsheets/d/1xAsT4sUbBlom7l0acStESh_15nvjZcXjZM7fK5uZSq8/edit?usp=sharing"",""ชัยนาท!N229"")"),0)</f>
        <v>0</v>
      </c>
      <c r="CD57" s="82">
        <f t="shared" ca="1" si="103"/>
        <v>0</v>
      </c>
      <c r="CE57" s="81">
        <f ca="1">IFERROR(__xludf.DUMMYFUNCTION("IMPORTRANGE(""https://docs.google.com/spreadsheets/d/1xAsT4sUbBlom7l0acStESh_15nvjZcXjZM7fK5uZSq8/edit?usp=sharing"",""ชัยนาท!L230"")"),0)</f>
        <v>0</v>
      </c>
      <c r="CF57" s="81">
        <f ca="1">IFERROR(__xludf.DUMMYFUNCTION("IMPORTRANGE(""https://docs.google.com/spreadsheets/d/1xAsT4sUbBlom7l0acStESh_15nvjZcXjZM7fK5uZSq8/edit?usp=sharing"",""ชัยนาท!N230"")"),0)</f>
        <v>0</v>
      </c>
      <c r="CG57" s="82">
        <f t="shared" ca="1" si="104"/>
        <v>0</v>
      </c>
      <c r="CH57" s="81">
        <f ca="1">IFERROR(__xludf.DUMMYFUNCTION("IMPORTRANGE(""https://docs.google.com/spreadsheets/d/1xAsT4sUbBlom7l0acStESh_15nvjZcXjZM7fK5uZSq8/edit?usp=sharing"",""ชัยนาท!L231"")"),0)</f>
        <v>0</v>
      </c>
      <c r="CI57" s="81">
        <f ca="1">IFERROR(__xludf.DUMMYFUNCTION("IMPORTRANGE(""https://docs.google.com/spreadsheets/d/1xAsT4sUbBlom7l0acStESh_15nvjZcXjZM7fK5uZSq8/edit?usp=sharing"",""ชัยนาท!N231"")"),0)</f>
        <v>0</v>
      </c>
      <c r="CJ57" s="82">
        <f t="shared" ca="1" si="105"/>
        <v>0</v>
      </c>
      <c r="CK57" s="81">
        <f ca="1">IFERROR(__xludf.DUMMYFUNCTION("IMPORTRANGE(""https://docs.google.com/spreadsheets/d/1xAsT4sUbBlom7l0acStESh_15nvjZcXjZM7fK5uZSq8/edit?usp=sharing"",""ชัยนาท!I233"")"),0)</f>
        <v>0</v>
      </c>
      <c r="CL57" s="81">
        <f ca="1">IFERROR(__xludf.DUMMYFUNCTION("IMPORTRANGE(""https://docs.google.com/spreadsheets/d/1xAsT4sUbBlom7l0acStESh_15nvjZcXjZM7fK5uZSq8/edit?usp=sharing"",""ชัยนาท!J233"")"),0)</f>
        <v>0</v>
      </c>
      <c r="CM57" s="82">
        <f t="shared" ca="1" si="106"/>
        <v>0</v>
      </c>
      <c r="CN57" s="81">
        <f ca="1">IFERROR(__xludf.DUMMYFUNCTION("IMPORTRANGE(""https://docs.google.com/spreadsheets/d/1xAsT4sUbBlom7l0acStESh_15nvjZcXjZM7fK5uZSq8/edit?usp=sharing"",""ชัยนาท!J235"")"),0)</f>
        <v>0</v>
      </c>
      <c r="CO57" s="81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3">
        <v>6</v>
      </c>
      <c r="B58" s="74" t="s">
        <v>80</v>
      </c>
      <c r="C58" s="75">
        <f t="shared" ca="1" si="0"/>
        <v>38600</v>
      </c>
      <c r="D58" s="76">
        <f t="shared" ca="1" si="187"/>
        <v>38600</v>
      </c>
      <c r="E58" s="77">
        <f ca="1">IFERROR(__xludf.DUMMYFUNCTION("IMPORTRANGE(""https://docs.google.com/spreadsheets/d/1MeEWN-I1oV_STSDYn1IFDPWt_1FKiwhDph83XaGc0o0/edit?usp=sharing"",""งบพรบ!CP58"")"),0)</f>
        <v>0</v>
      </c>
      <c r="F58" s="77">
        <f ca="1">IFERROR(__xludf.DUMMYFUNCTION("IMPORTRANGE(""https://docs.google.com/spreadsheets/d/1MeEWN-I1oV_STSDYn1IFDPWt_1FKiwhDph83XaGc0o0/edit?usp=sharing"",""งบพรบ!CQ58"")"),38600)</f>
        <v>38600</v>
      </c>
      <c r="G58" s="77">
        <f ca="1">IFERROR(__xludf.DUMMYFUNCTION("IMPORTRANGE(""https://docs.google.com/spreadsheets/d/1MeEWN-I1oV_STSDYn1IFDPWt_1FKiwhDph83XaGc0o0/edit?usp=sharing"",""งบพรบ!CR58"")"),0)</f>
        <v>0</v>
      </c>
      <c r="H58" s="77">
        <f ca="1">IFERROR(__xludf.DUMMYFUNCTION("IMPORTRANGE(""https://docs.google.com/spreadsheets/d/1MeEWN-I1oV_STSDYn1IFDPWt_1FKiwhDph83XaGc0o0/edit?usp=sharing"",""งบพรบ!CT58"")"),45320)</f>
        <v>45320</v>
      </c>
      <c r="I58" s="77">
        <f ca="1">IFERROR(__xludf.DUMMYFUNCTION("IMPORTRANGE(""https://docs.google.com/spreadsheets/d/1MeEWN-I1oV_STSDYn1IFDPWt_1FKiwhDph83XaGc0o0/edit?usp=sharing"",""งบพรบ!CU58"")"),0)</f>
        <v>0</v>
      </c>
      <c r="J58" s="77">
        <f t="shared" ca="1" si="3"/>
        <v>45320</v>
      </c>
      <c r="K58" s="78">
        <f t="shared" ca="1" si="4"/>
        <v>117.40932642487047</v>
      </c>
      <c r="L58" s="77">
        <f ca="1">IFERROR(__xludf.DUMMYFUNCTION("IMPORTRANGE(""https://docs.google.com/spreadsheets/d/1MeEWN-I1oV_STSDYn1IFDPWt_1FKiwhDph83XaGc0o0/edit?usp=sharing"",""งบพรบ!CV58"")"),45320)</f>
        <v>45320</v>
      </c>
      <c r="M58" s="79">
        <f t="shared" ca="1" si="5"/>
        <v>117.40932642487047</v>
      </c>
      <c r="N58" s="79">
        <f t="shared" ca="1" si="6"/>
        <v>100</v>
      </c>
      <c r="O58" s="80">
        <f ca="1">IFERROR(__xludf.DUMMYFUNCTION("IMPORTRANGE(""https://docs.google.com/spreadsheets/d/1MeEWN-I1oV_STSDYn1IFDPWt_1FKiwhDph83XaGc0o0/edit?usp=sharing"",""งบพรบ!CW58"")"),0)</f>
        <v>0</v>
      </c>
      <c r="P58" s="80">
        <f t="shared" ca="1" si="10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IFERROR(__xludf.DUMMYFUNCTION("IMPORTRANGE(""https://docs.google.com/spreadsheets/d/1vWPVBOAaZ6mHSI8yf95DNqHwTJ1cpeFsvqt6cxV34QA/edit?usp=sharing"",""ตราด!L191"")"),6000)</f>
        <v>6000</v>
      </c>
      <c r="S58" s="81">
        <f ca="1">IFERROR(__xludf.DUMMYFUNCTION("IMPORTRANGE(""https://docs.google.com/spreadsheets/d/1vWPVBOAaZ6mHSI8yf95DNqHwTJ1cpeFsvqt6cxV34QA/edit?usp=sharing"",""ตราด!N191"")"),6000)</f>
        <v>6000</v>
      </c>
      <c r="T58" s="82">
        <f t="shared" ca="1" si="84"/>
        <v>100</v>
      </c>
      <c r="U58" s="81">
        <f ca="1">IFERROR(__xludf.DUMMYFUNCTION("IMPORTRANGE(""https://docs.google.com/spreadsheets/d/1vWPVBOAaZ6mHSI8yf95DNqHwTJ1cpeFsvqt6cxV34QA/edit?usp=sharing"",""ตราด!I193"")"),4)</f>
        <v>4</v>
      </c>
      <c r="V58" s="81">
        <f ca="1">IFERROR(__xludf.DUMMYFUNCTION("IMPORTRANGE(""https://docs.google.com/spreadsheets/d/1vWPVBOAaZ6mHSI8yf95DNqHwTJ1cpeFsvqt6cxV34QA/edit?usp=sharing"",""ตราด!J193"")"),4)</f>
        <v>4</v>
      </c>
      <c r="W58" s="82">
        <f t="shared" ca="1" si="85"/>
        <v>100</v>
      </c>
      <c r="X58" s="81">
        <f t="shared" ca="1" si="188"/>
        <v>119</v>
      </c>
      <c r="Y58" s="81">
        <f ca="1">IFERROR(__xludf.DUMMYFUNCTION("IMPORTRANGE(""https://docs.google.com/spreadsheets/d/1vWPVBOAaZ6mHSI8yf95DNqHwTJ1cpeFsvqt6cxV34QA/edit?usp=sharing"",""ตราด!J195"")"),119)</f>
        <v>119</v>
      </c>
      <c r="Z58" s="81">
        <f ca="1">IFERROR(__xludf.DUMMYFUNCTION("IMPORTRANGE(""https://docs.google.com/spreadsheets/d/1vWPVBOAaZ6mHSI8yf95DNqHwTJ1cpeFsvqt6cxV34QA/edit?usp=sharing"",""ตราด!J196"")"),0)</f>
        <v>0</v>
      </c>
      <c r="AA58" s="81">
        <f ca="1">IFERROR(__xludf.DUMMYFUNCTION("IMPORTRANGE(""https://docs.google.com/spreadsheets/d/1vWPVBOAaZ6mHSI8yf95DNqHwTJ1cpeFsvqt6cxV34QA/edit?usp=sharing"",""ตราด!L199"")"),1000)</f>
        <v>1000</v>
      </c>
      <c r="AB58" s="81">
        <f ca="1">IFERROR(__xludf.DUMMYFUNCTION("IMPORTRANGE(""https://docs.google.com/spreadsheets/d/1vWPVBOAaZ6mHSI8yf95DNqHwTJ1cpeFsvqt6cxV34QA/edit?usp=sharing"",""ตราด!N199"")"),1000)</f>
        <v>1000</v>
      </c>
      <c r="AC58" s="82">
        <f t="shared" ca="1" si="86"/>
        <v>100</v>
      </c>
      <c r="AD58" s="81">
        <f ca="1">IFERROR(__xludf.DUMMYFUNCTION("IMPORTRANGE(""https://docs.google.com/spreadsheets/d/1vWPVBOAaZ6mHSI8yf95DNqHwTJ1cpeFsvqt6cxV34QA/edit?usp=sharing"",""ตราด!L200"")"),8000)</f>
        <v>8000</v>
      </c>
      <c r="AE58" s="81">
        <f ca="1">IFERROR(__xludf.DUMMYFUNCTION("IMPORTRANGE(""https://docs.google.com/spreadsheets/d/1vWPVBOAaZ6mHSI8yf95DNqHwTJ1cpeFsvqt6cxV34QA/edit?usp=sharing"",""ตราด!N200"")"),8000)</f>
        <v>8000</v>
      </c>
      <c r="AF58" s="82">
        <f t="shared" ca="1" si="87"/>
        <v>100</v>
      </c>
      <c r="AG58" s="81">
        <f ca="1">IFERROR(__xludf.DUMMYFUNCTION("IMPORTRANGE(""https://docs.google.com/spreadsheets/d/1vWPVBOAaZ6mHSI8yf95DNqHwTJ1cpeFsvqt6cxV34QA/edit?usp=sharing"",""ตราด!L201"")"),4000)</f>
        <v>4000</v>
      </c>
      <c r="AH58" s="81">
        <f ca="1">IFERROR(__xludf.DUMMYFUNCTION("IMPORTRANGE(""https://docs.google.com/spreadsheets/d/1vWPVBOAaZ6mHSI8yf95DNqHwTJ1cpeFsvqt6cxV34QA/edit?usp=sharing"",""ตราด!N201"")"),4000)</f>
        <v>4000</v>
      </c>
      <c r="AI58" s="82">
        <f t="shared" ca="1" si="88"/>
        <v>100</v>
      </c>
      <c r="AJ58" s="81">
        <f ca="1">IFERROR(__xludf.DUMMYFUNCTION("IMPORTRANGE(""https://docs.google.com/spreadsheets/d/1vWPVBOAaZ6mHSI8yf95DNqHwTJ1cpeFsvqt6cxV34QA/edit?usp=sharing"",""ตราด!L202"")"),0)</f>
        <v>0</v>
      </c>
      <c r="AK58" s="81">
        <f ca="1">IFERROR(__xludf.DUMMYFUNCTION("IMPORTRANGE(""https://docs.google.com/spreadsheets/d/1vWPVBOAaZ6mHSI8yf95DNqHwTJ1cpeFsvqt6cxV34QA/edit?usp=sharing"",""ตราด!N202"")"),0)</f>
        <v>0</v>
      </c>
      <c r="AL58" s="82">
        <f t="shared" ca="1" si="89"/>
        <v>0</v>
      </c>
      <c r="AM58" s="81">
        <f ca="1">IFERROR(__xludf.DUMMYFUNCTION("IMPORTRANGE(""https://docs.google.com/spreadsheets/d/1vWPVBOAaZ6mHSI8yf95DNqHwTJ1cpeFsvqt6cxV34QA/edit?usp=sharing"",""ตราด!I204"")"),1)</f>
        <v>1</v>
      </c>
      <c r="AN58" s="81">
        <f ca="1">IFERROR(__xludf.DUMMYFUNCTION("IMPORTRANGE(""https://docs.google.com/spreadsheets/d/1vWPVBOAaZ6mHSI8yf95DNqHwTJ1cpeFsvqt6cxV34QA/edit?usp=sharing"",""ตราด!J204"")"),1)</f>
        <v>1</v>
      </c>
      <c r="AO58" s="82">
        <f t="shared" ca="1" si="90"/>
        <v>100</v>
      </c>
      <c r="AP58" s="297">
        <f ca="1">IFERROR(__xludf.DUMMYFUNCTION("IMPORTRANGE(""https://docs.google.com/spreadsheets/d/1vWPVBOAaZ6mHSI8yf95DNqHwTJ1cpeFsvqt6cxV34QA/edit?usp=sharing"",""ตราด!J206"")"),1)</f>
        <v>1</v>
      </c>
      <c r="AQ58" s="297">
        <f ca="1">IFERROR(__xludf.DUMMYFUNCTION("IMPORTRANGE(""https://docs.google.com/spreadsheets/d/1vWPVBOAaZ6mHSI8yf95DNqHwTJ1cpeFsvqt6cxV34QA/edit?usp=sharing"",""ตราด!J207"")"),0)</f>
        <v>0</v>
      </c>
      <c r="AR58" s="81">
        <f ca="1">IFERROR(__xludf.DUMMYFUNCTION("IMPORTRANGE(""https://docs.google.com/spreadsheets/d/1vWPVBOAaZ6mHSI8yf95DNqHwTJ1cpeFsvqt6cxV34QA/edit?usp=sharing"",""ตราด!L210"")"),1000)</f>
        <v>1000</v>
      </c>
      <c r="AS58" s="81">
        <f ca="1">IFERROR(__xludf.DUMMYFUNCTION("IMPORTRANGE(""https://docs.google.com/spreadsheets/d/1vWPVBOAaZ6mHSI8yf95DNqHwTJ1cpeFsvqt6cxV34QA/edit?usp=sharing"",""ตราด!N210"")"),1000)</f>
        <v>1000</v>
      </c>
      <c r="AT58" s="82">
        <f t="shared" ca="1" si="91"/>
        <v>100</v>
      </c>
      <c r="AU58" s="81">
        <f ca="1">IFERROR(__xludf.DUMMYFUNCTION("IMPORTRANGE(""https://docs.google.com/spreadsheets/d/1vWPVBOAaZ6mHSI8yf95DNqHwTJ1cpeFsvqt6cxV34QA/edit?usp=sharing"",""ตราด!L211"")"),5000)</f>
        <v>5000</v>
      </c>
      <c r="AV58" s="81">
        <f ca="1">IFERROR(__xludf.DUMMYFUNCTION("IMPORTRANGE(""https://docs.google.com/spreadsheets/d/1vWPVBOAaZ6mHSI8yf95DNqHwTJ1cpeFsvqt6cxV34QA/edit?usp=sharing"",""ตราด!N211"")"),5000)</f>
        <v>5000</v>
      </c>
      <c r="AW58" s="82">
        <f t="shared" ca="1" si="92"/>
        <v>100</v>
      </c>
      <c r="AX58" s="81">
        <f ca="1">IFERROR(__xludf.DUMMYFUNCTION("IMPORTRANGE(""https://docs.google.com/spreadsheets/d/1vWPVBOAaZ6mHSI8yf95DNqHwTJ1cpeFsvqt6cxV34QA/edit?usp=sharing"",""ตราด!L212"")"),8000)</f>
        <v>8000</v>
      </c>
      <c r="AY58" s="81">
        <f ca="1">IFERROR(__xludf.DUMMYFUNCTION("IMPORTRANGE(""https://docs.google.com/spreadsheets/d/1vWPVBOAaZ6mHSI8yf95DNqHwTJ1cpeFsvqt6cxV34QA/edit?usp=sharing"",""ตราด!N212"")"),8000)</f>
        <v>8000</v>
      </c>
      <c r="AZ58" s="82">
        <f t="shared" ca="1" si="93"/>
        <v>100</v>
      </c>
      <c r="BA58" s="81">
        <f ca="1">IFERROR(__xludf.DUMMYFUNCTION("IMPORTRANGE(""https://docs.google.com/spreadsheets/d/1vWPVBOAaZ6mHSI8yf95DNqHwTJ1cpeFsvqt6cxV34QA/edit?usp=sharing"",""ตราด!I214"")"),1)</f>
        <v>1</v>
      </c>
      <c r="BB58" s="81">
        <f ca="1">IFERROR(__xludf.DUMMYFUNCTION("IMPORTRANGE(""https://docs.google.com/spreadsheets/d/1vWPVBOAaZ6mHSI8yf95DNqHwTJ1cpeFsvqt6cxV34QA/edit?usp=sharing"",""ตราด!J214"")"),1)</f>
        <v>1</v>
      </c>
      <c r="BC58" s="82">
        <f t="shared" ca="1" si="94"/>
        <v>100</v>
      </c>
      <c r="BD58" s="81">
        <f ca="1">IFERROR(__xludf.DUMMYFUNCTION("IMPORTRANGE(""https://docs.google.com/spreadsheets/d/1vWPVBOAaZ6mHSI8yf95DNqHwTJ1cpeFsvqt6cxV34QA/edit?usp=sharing"",""ตราด!I215"")"),1)</f>
        <v>1</v>
      </c>
      <c r="BE58" s="81">
        <f ca="1">IFERROR(__xludf.DUMMYFUNCTION("IMPORTRANGE(""https://docs.google.com/spreadsheets/d/1vWPVBOAaZ6mHSI8yf95DNqHwTJ1cpeFsvqt6cxV34QA/edit?usp=sharing"",""ตราด!J215"")"),1)</f>
        <v>1</v>
      </c>
      <c r="BF58" s="82">
        <f t="shared" ca="1" si="95"/>
        <v>100</v>
      </c>
      <c r="BG58" s="81">
        <f ca="1">IFERROR(__xludf.DUMMYFUNCTION("IMPORTRANGE(""https://docs.google.com/spreadsheets/d/1vWPVBOAaZ6mHSI8yf95DNqHwTJ1cpeFsvqt6cxV34QA/edit?usp=sharing"",""ตราด!L218"")"),3000)</f>
        <v>3000</v>
      </c>
      <c r="BH58" s="81">
        <f ca="1">IFERROR(__xludf.DUMMYFUNCTION("IMPORTRANGE(""https://docs.google.com/spreadsheets/d/1vWPVBOAaZ6mHSI8yf95DNqHwTJ1cpeFsvqt6cxV34QA/edit?usp=sharing"",""ตราด!N218"")"),5600)</f>
        <v>5600</v>
      </c>
      <c r="BI58" s="82">
        <f t="shared" ca="1" si="96"/>
        <v>186.66666666666666</v>
      </c>
      <c r="BJ58" s="81">
        <f ca="1">IFERROR(__xludf.DUMMYFUNCTION("IMPORTRANGE(""https://docs.google.com/spreadsheets/d/1vWPVBOAaZ6mHSI8yf95DNqHwTJ1cpeFsvqt6cxV34QA/edit?usp=sharing"",""ตราด!L219"")"),2600)</f>
        <v>2600</v>
      </c>
      <c r="BK58" s="81">
        <f ca="1">IFERROR(__xludf.DUMMYFUNCTION("IMPORTRANGE(""https://docs.google.com/spreadsheets/d/1vWPVBOAaZ6mHSI8yf95DNqHwTJ1cpeFsvqt6cxV34QA/edit?usp=sharing"",""ตราด!N219"")"),0)</f>
        <v>0</v>
      </c>
      <c r="BL58" s="82">
        <f t="shared" ca="1" si="97"/>
        <v>0</v>
      </c>
      <c r="BM58" s="81">
        <f ca="1">IFERROR(__xludf.DUMMYFUNCTION("IMPORTRANGE(""https://docs.google.com/spreadsheets/d/1vWPVBOAaZ6mHSI8yf95DNqHwTJ1cpeFsvqt6cxV34QA/edit?usp=sharing"",""ตราด!L220"")"),0)</f>
        <v>0</v>
      </c>
      <c r="BN58" s="81">
        <f ca="1">IFERROR(__xludf.DUMMYFUNCTION("IMPORTRANGE(""https://docs.google.com/spreadsheets/d/1vWPVBOAaZ6mHSI8yf95DNqHwTJ1cpeFsvqt6cxV34QA/edit?usp=sharing"",""ตราด!N220"")"),0)</f>
        <v>0</v>
      </c>
      <c r="BO58" s="82">
        <f t="shared" ca="1" si="98"/>
        <v>0</v>
      </c>
      <c r="BP58" s="81">
        <f ca="1">IFERROR(__xludf.DUMMYFUNCTION("IMPORTRANGE(""https://docs.google.com/spreadsheets/d/1vWPVBOAaZ6mHSI8yf95DNqHwTJ1cpeFsvqt6cxV34QA/edit?usp=sharing"",""ตราด!I223"")"),3200)</f>
        <v>3200</v>
      </c>
      <c r="BQ58" s="81">
        <f ca="1">IFERROR(__xludf.DUMMYFUNCTION("IMPORTRANGE(""https://docs.google.com/spreadsheets/d/1vWPVBOAaZ6mHSI8yf95DNqHwTJ1cpeFsvqt6cxV34QA/edit?usp=sharing"",""ตราด!J223"")"),3200)</f>
        <v>3200</v>
      </c>
      <c r="BR58" s="82">
        <f t="shared" ca="1" si="99"/>
        <v>100</v>
      </c>
      <c r="BS58" s="81">
        <f ca="1">IFERROR(__xludf.DUMMYFUNCTION("IMPORTRANGE(""https://docs.google.com/spreadsheets/d/1vWPVBOAaZ6mHSI8yf95DNqHwTJ1cpeFsvqt6cxV34QA/edit?usp=sharing"",""ตราด!I224"")"),3200)</f>
        <v>3200</v>
      </c>
      <c r="BT58" s="81">
        <f ca="1">IFERROR(__xludf.DUMMYFUNCTION("IMPORTRANGE(""https://docs.google.com/spreadsheets/d/1vWPVBOAaZ6mHSI8yf95DNqHwTJ1cpeFsvqt6cxV34QA/edit?usp=sharing"",""ตราด!J224"")"),3200)</f>
        <v>3200</v>
      </c>
      <c r="BU58" s="82">
        <f t="shared" ca="1" si="100"/>
        <v>100</v>
      </c>
      <c r="BV58" s="81">
        <f ca="1">IFERROR(__xludf.DUMMYFUNCTION("IMPORTRANGE(""https://docs.google.com/spreadsheets/d/1vWPVBOAaZ6mHSI8yf95DNqHwTJ1cpeFsvqt6cxV34QA/edit?usp=sharing"",""ตราด!I225"")"),0)</f>
        <v>0</v>
      </c>
      <c r="BW58" s="81">
        <f ca="1">IFERROR(__xludf.DUMMYFUNCTION("IMPORTRANGE(""https://docs.google.com/spreadsheets/d/1vWPVBOAaZ6mHSI8yf95DNqHwTJ1cpeFsvqt6cxV34QA/edit?usp=sharing"",""ตราด!J225"")"),0)</f>
        <v>0</v>
      </c>
      <c r="BX58" s="82">
        <f t="shared" ca="1" si="101"/>
        <v>0</v>
      </c>
      <c r="BY58" s="81">
        <f ca="1">IFERROR(__xludf.DUMMYFUNCTION("IMPORTRANGE(""https://docs.google.com/spreadsheets/d/1vWPVBOAaZ6mHSI8yf95DNqHwTJ1cpeFsvqt6cxV34QA/edit?usp=sharing"",""ตราด!L228"")"),0)</f>
        <v>0</v>
      </c>
      <c r="BZ58" s="81">
        <f ca="1">IFERROR(__xludf.DUMMYFUNCTION("IMPORTRANGE(""https://docs.google.com/spreadsheets/d/1vWPVBOAaZ6mHSI8yf95DNqHwTJ1cpeFsvqt6cxV34QA/edit?usp=sharing"",""ตราด!N228"")"),0)</f>
        <v>0</v>
      </c>
      <c r="CA58" s="82">
        <f t="shared" ca="1" si="102"/>
        <v>0</v>
      </c>
      <c r="CB58" s="81">
        <f ca="1">IFERROR(__xludf.DUMMYFUNCTION("IMPORTRANGE(""https://docs.google.com/spreadsheets/d/1vWPVBOAaZ6mHSI8yf95DNqHwTJ1cpeFsvqt6cxV34QA/edit?usp=sharing"",""ตราด!L229"")"),0)</f>
        <v>0</v>
      </c>
      <c r="CC58" s="81">
        <f ca="1">IFERROR(__xludf.DUMMYFUNCTION("IMPORTRANGE(""https://docs.google.com/spreadsheets/d/1vWPVBOAaZ6mHSI8yf95DNqHwTJ1cpeFsvqt6cxV34QA/edit?usp=sharing"",""ตราด!N229"")"),0)</f>
        <v>0</v>
      </c>
      <c r="CD58" s="82">
        <f t="shared" ca="1" si="103"/>
        <v>0</v>
      </c>
      <c r="CE58" s="81">
        <f ca="1">IFERROR(__xludf.DUMMYFUNCTION("IMPORTRANGE(""https://docs.google.com/spreadsheets/d/1vWPVBOAaZ6mHSI8yf95DNqHwTJ1cpeFsvqt6cxV34QA/edit?usp=sharing"",""ตราด!L230"")"),0)</f>
        <v>0</v>
      </c>
      <c r="CF58" s="81">
        <f ca="1">IFERROR(__xludf.DUMMYFUNCTION("IMPORTRANGE(""https://docs.google.com/spreadsheets/d/1vWPVBOAaZ6mHSI8yf95DNqHwTJ1cpeFsvqt6cxV34QA/edit?usp=sharing"",""ตราด!N230"")"),0)</f>
        <v>0</v>
      </c>
      <c r="CG58" s="82">
        <f t="shared" ca="1" si="104"/>
        <v>0</v>
      </c>
      <c r="CH58" s="81">
        <f ca="1">IFERROR(__xludf.DUMMYFUNCTION("IMPORTRANGE(""https://docs.google.com/spreadsheets/d/1vWPVBOAaZ6mHSI8yf95DNqHwTJ1cpeFsvqt6cxV34QA/edit?usp=sharing"",""ตราด!L231"")"),0)</f>
        <v>0</v>
      </c>
      <c r="CI58" s="81">
        <f ca="1">IFERROR(__xludf.DUMMYFUNCTION("IMPORTRANGE(""https://docs.google.com/spreadsheets/d/1vWPVBOAaZ6mHSI8yf95DNqHwTJ1cpeFsvqt6cxV34QA/edit?usp=sharing"",""ตราด!N231"")"),0)</f>
        <v>0</v>
      </c>
      <c r="CJ58" s="82">
        <f t="shared" ca="1" si="105"/>
        <v>0</v>
      </c>
      <c r="CK58" s="81">
        <f ca="1">IFERROR(__xludf.DUMMYFUNCTION("IMPORTRANGE(""https://docs.google.com/spreadsheets/d/1vWPVBOAaZ6mHSI8yf95DNqHwTJ1cpeFsvqt6cxV34QA/edit?usp=sharing"",""ตราด!I233"")"),0)</f>
        <v>0</v>
      </c>
      <c r="CL58" s="81">
        <f ca="1">IFERROR(__xludf.DUMMYFUNCTION("IMPORTRANGE(""https://docs.google.com/spreadsheets/d/1vWPVBOAaZ6mHSI8yf95DNqHwTJ1cpeFsvqt6cxV34QA/edit?usp=sharing"",""ตราด!J233"")"),0)</f>
        <v>0</v>
      </c>
      <c r="CM58" s="82">
        <f t="shared" ca="1" si="106"/>
        <v>0</v>
      </c>
      <c r="CN58" s="81">
        <f ca="1">IFERROR(__xludf.DUMMYFUNCTION("IMPORTRANGE(""https://docs.google.com/spreadsheets/d/1vWPVBOAaZ6mHSI8yf95DNqHwTJ1cpeFsvqt6cxV34QA/edit?usp=sharing"",""ตราด!J235"")"),0)</f>
        <v>0</v>
      </c>
      <c r="CO58" s="81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3">
        <v>7</v>
      </c>
      <c r="B59" s="74" t="s">
        <v>81</v>
      </c>
      <c r="C59" s="75">
        <f t="shared" ca="1" si="0"/>
        <v>273800</v>
      </c>
      <c r="D59" s="76">
        <f t="shared" ca="1" si="187"/>
        <v>273800</v>
      </c>
      <c r="E59" s="77">
        <f ca="1">IFERROR(__xludf.DUMMYFUNCTION("IMPORTRANGE(""https://docs.google.com/spreadsheets/d/1MeEWN-I1oV_STSDYn1IFDPWt_1FKiwhDph83XaGc0o0/edit?usp=sharing"",""งบพรบ!CP59"")"),148100)</f>
        <v>148100</v>
      </c>
      <c r="F59" s="77">
        <f ca="1">IFERROR(__xludf.DUMMYFUNCTION("IMPORTRANGE(""https://docs.google.com/spreadsheets/d/1MeEWN-I1oV_STSDYn1IFDPWt_1FKiwhDph83XaGc0o0/edit?usp=sharing"",""งบพรบ!CQ59"")"),125700)</f>
        <v>125700</v>
      </c>
      <c r="G59" s="77">
        <f ca="1">IFERROR(__xludf.DUMMYFUNCTION("IMPORTRANGE(""https://docs.google.com/spreadsheets/d/1MeEWN-I1oV_STSDYn1IFDPWt_1FKiwhDph83XaGc0o0/edit?usp=sharing"",""งบพรบ!CR59"")"),0)</f>
        <v>0</v>
      </c>
      <c r="H59" s="77">
        <f ca="1">IFERROR(__xludf.DUMMYFUNCTION("IMPORTRANGE(""https://docs.google.com/spreadsheets/d/1MeEWN-I1oV_STSDYn1IFDPWt_1FKiwhDph83XaGc0o0/edit?usp=sharing"",""งบพรบ!CT59"")"),302010)</f>
        <v>302010</v>
      </c>
      <c r="I59" s="77">
        <f ca="1">IFERROR(__xludf.DUMMYFUNCTION("IMPORTRANGE(""https://docs.google.com/spreadsheets/d/1MeEWN-I1oV_STSDYn1IFDPWt_1FKiwhDph83XaGc0o0/edit?usp=sharing"",""งบพรบ!CU59"")"),0)</f>
        <v>0</v>
      </c>
      <c r="J59" s="77">
        <f t="shared" ca="1" si="3"/>
        <v>282716.67</v>
      </c>
      <c r="K59" s="78">
        <f t="shared" ca="1" si="4"/>
        <v>103.25663623082542</v>
      </c>
      <c r="L59" s="77">
        <f ca="1">IFERROR(__xludf.DUMMYFUNCTION("IMPORTRANGE(""https://docs.google.com/spreadsheets/d/1MeEWN-I1oV_STSDYn1IFDPWt_1FKiwhDph83XaGc0o0/edit?usp=sharing"",""งบพรบ!CV59"")"),282716.67)</f>
        <v>282716.67</v>
      </c>
      <c r="M59" s="79">
        <f t="shared" ca="1" si="5"/>
        <v>103.25663623082542</v>
      </c>
      <c r="N59" s="79">
        <f t="shared" ca="1" si="6"/>
        <v>93.611691665838876</v>
      </c>
      <c r="O59" s="80">
        <f ca="1">IFERROR(__xludf.DUMMYFUNCTION("IMPORTRANGE(""https://docs.google.com/spreadsheets/d/1MeEWN-I1oV_STSDYn1IFDPWt_1FKiwhDph83XaGc0o0/edit?usp=sharing"",""งบพรบ!CW59"")"),0)</f>
        <v>0</v>
      </c>
      <c r="P59" s="80">
        <f t="shared" ca="1" si="10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IFERROR(__xludf.DUMMYFUNCTION("IMPORTRANGE(""https://docs.google.com/spreadsheets/d/1phaeSb9lTGgzDpbvVqI9hfmOQQzUom07-HEvpbARzEg/edit?usp=sharing"",""นครนายก!L191"")"),6000)</f>
        <v>6000</v>
      </c>
      <c r="S59" s="81">
        <f ca="1">IFERROR(__xludf.DUMMYFUNCTION("IMPORTRANGE(""https://docs.google.com/spreadsheets/d/1phaeSb9lTGgzDpbvVqI9hfmOQQzUom07-HEvpbARzEg/edit?usp=sharing"",""นครนายก!N191"")"),2280)</f>
        <v>2280</v>
      </c>
      <c r="T59" s="82">
        <f t="shared" ca="1" si="84"/>
        <v>38</v>
      </c>
      <c r="U59" s="81">
        <f ca="1">IFERROR(__xludf.DUMMYFUNCTION("IMPORTRANGE(""https://docs.google.com/spreadsheets/d/1phaeSb9lTGgzDpbvVqI9hfmOQQzUom07-HEvpbARzEg/edit?usp=sharing"",""นครนายก!I193"")"),4)</f>
        <v>4</v>
      </c>
      <c r="V59" s="81">
        <f ca="1">IFERROR(__xludf.DUMMYFUNCTION("IMPORTRANGE(""https://docs.google.com/spreadsheets/d/1phaeSb9lTGgzDpbvVqI9hfmOQQzUom07-HEvpbARzEg/edit?usp=sharing"",""นครนายก!J193"")"),4)</f>
        <v>4</v>
      </c>
      <c r="W59" s="82">
        <f t="shared" ca="1" si="85"/>
        <v>100</v>
      </c>
      <c r="X59" s="81">
        <f t="shared" ca="1" si="188"/>
        <v>68</v>
      </c>
      <c r="Y59" s="81">
        <f ca="1">IFERROR(__xludf.DUMMYFUNCTION("IMPORTRANGE(""https://docs.google.com/spreadsheets/d/1phaeSb9lTGgzDpbvVqI9hfmOQQzUom07-HEvpbARzEg/edit?usp=sharing"",""นครนายก!J195"")"),68)</f>
        <v>68</v>
      </c>
      <c r="Z59" s="81">
        <f ca="1">IFERROR(__xludf.DUMMYFUNCTION("IMPORTRANGE(""https://docs.google.com/spreadsheets/d/1phaeSb9lTGgzDpbvVqI9hfmOQQzUom07-HEvpbARzEg/edit?usp=sharing"",""นครนายก!J196"")"),0)</f>
        <v>0</v>
      </c>
      <c r="AA59" s="81">
        <f ca="1">IFERROR(__xludf.DUMMYFUNCTION("IMPORTRANGE(""https://docs.google.com/spreadsheets/d/1phaeSb9lTGgzDpbvVqI9hfmOQQzUom07-HEvpbARzEg/edit?usp=sharing"",""นครนายก!L199"")"),1000)</f>
        <v>1000</v>
      </c>
      <c r="AB59" s="81">
        <f ca="1">IFERROR(__xludf.DUMMYFUNCTION("IMPORTRANGE(""https://docs.google.com/spreadsheets/d/1phaeSb9lTGgzDpbvVqI9hfmOQQzUom07-HEvpbARzEg/edit?usp=sharing"",""นครนายก!N199"")"),1000)</f>
        <v>1000</v>
      </c>
      <c r="AC59" s="82">
        <f t="shared" ca="1" si="86"/>
        <v>100</v>
      </c>
      <c r="AD59" s="81">
        <f ca="1">IFERROR(__xludf.DUMMYFUNCTION("IMPORTRANGE(""https://docs.google.com/spreadsheets/d/1phaeSb9lTGgzDpbvVqI9hfmOQQzUom07-HEvpbARzEg/edit?usp=sharing"",""นครนายก!L200"")"),8000)</f>
        <v>8000</v>
      </c>
      <c r="AE59" s="81">
        <f ca="1">IFERROR(__xludf.DUMMYFUNCTION("IMPORTRANGE(""https://docs.google.com/spreadsheets/d/1phaeSb9lTGgzDpbvVqI9hfmOQQzUom07-HEvpbARzEg/edit?usp=sharing"",""นครนายก!N200"")"),8000)</f>
        <v>8000</v>
      </c>
      <c r="AF59" s="82">
        <f t="shared" ca="1" si="87"/>
        <v>100</v>
      </c>
      <c r="AG59" s="81">
        <f ca="1">IFERROR(__xludf.DUMMYFUNCTION("IMPORTRANGE(""https://docs.google.com/spreadsheets/d/1phaeSb9lTGgzDpbvVqI9hfmOQQzUom07-HEvpbARzEg/edit?usp=sharing"",""นครนายก!L201"")"),4000)</f>
        <v>4000</v>
      </c>
      <c r="AH59" s="81">
        <f ca="1">IFERROR(__xludf.DUMMYFUNCTION("IMPORTRANGE(""https://docs.google.com/spreadsheets/d/1phaeSb9lTGgzDpbvVqI9hfmOQQzUom07-HEvpbARzEg/edit?usp=sharing"",""นครนายก!N201"")"),4000)</f>
        <v>4000</v>
      </c>
      <c r="AI59" s="82">
        <f t="shared" ca="1" si="88"/>
        <v>100</v>
      </c>
      <c r="AJ59" s="81">
        <f ca="1">IFERROR(__xludf.DUMMYFUNCTION("IMPORTRANGE(""https://docs.google.com/spreadsheets/d/1phaeSb9lTGgzDpbvVqI9hfmOQQzUom07-HEvpbARzEg/edit?usp=sharing"",""นครนายก!L202"")"),0)</f>
        <v>0</v>
      </c>
      <c r="AK59" s="81">
        <f ca="1">IFERROR(__xludf.DUMMYFUNCTION("IMPORTRANGE(""https://docs.google.com/spreadsheets/d/1phaeSb9lTGgzDpbvVqI9hfmOQQzUom07-HEvpbARzEg/edit?usp=sharing"",""นครนายก!N202"")"),0)</f>
        <v>0</v>
      </c>
      <c r="AL59" s="82">
        <f t="shared" ca="1" si="89"/>
        <v>0</v>
      </c>
      <c r="AM59" s="81">
        <f ca="1">IFERROR(__xludf.DUMMYFUNCTION("IMPORTRANGE(""https://docs.google.com/spreadsheets/d/1phaeSb9lTGgzDpbvVqI9hfmOQQzUom07-HEvpbARzEg/edit?usp=sharing"",""นครนายก!I204"")"),1)</f>
        <v>1</v>
      </c>
      <c r="AN59" s="81">
        <f ca="1">IFERROR(__xludf.DUMMYFUNCTION("IMPORTRANGE(""https://docs.google.com/spreadsheets/d/1phaeSb9lTGgzDpbvVqI9hfmOQQzUom07-HEvpbARzEg/edit?usp=sharing"",""นครนายก!J204"")"),1)</f>
        <v>1</v>
      </c>
      <c r="AO59" s="82">
        <f t="shared" ca="1" si="90"/>
        <v>100</v>
      </c>
      <c r="AP59" s="297">
        <f ca="1">IFERROR(__xludf.DUMMYFUNCTION("IMPORTRANGE(""https://docs.google.com/spreadsheets/d/1phaeSb9lTGgzDpbvVqI9hfmOQQzUom07-HEvpbARzEg/edit?usp=sharing"",""นครนายก!J206"")"),1)</f>
        <v>1</v>
      </c>
      <c r="AQ59" s="297">
        <f ca="1">IFERROR(__xludf.DUMMYFUNCTION("IMPORTRANGE(""https://docs.google.com/spreadsheets/d/1phaeSb9lTGgzDpbvVqI9hfmOQQzUom07-HEvpbARzEg/edit?usp=sharing"",""นครนายก!J207"")"),0)</f>
        <v>0</v>
      </c>
      <c r="AR59" s="81">
        <f ca="1">IFERROR(__xludf.DUMMYFUNCTION("IMPORTRANGE(""https://docs.google.com/spreadsheets/d/1phaeSb9lTGgzDpbvVqI9hfmOQQzUom07-HEvpbARzEg/edit?usp=sharing"",""นครนายก!L210"")"),0)</f>
        <v>0</v>
      </c>
      <c r="AS59" s="81">
        <f ca="1">IFERROR(__xludf.DUMMYFUNCTION("IMPORTRANGE(""https://docs.google.com/spreadsheets/d/1phaeSb9lTGgzDpbvVqI9hfmOQQzUom07-HEvpbARzEg/edit?usp=sharing"",""นครนายก!N210"")"),0)</f>
        <v>0</v>
      </c>
      <c r="AT59" s="82">
        <f t="shared" ca="1" si="91"/>
        <v>0</v>
      </c>
      <c r="AU59" s="81">
        <f ca="1">IFERROR(__xludf.DUMMYFUNCTION("IMPORTRANGE(""https://docs.google.com/spreadsheets/d/1phaeSb9lTGgzDpbvVqI9hfmOQQzUom07-HEvpbARzEg/edit?usp=sharing"",""นครนายก!L211"")"),0)</f>
        <v>0</v>
      </c>
      <c r="AV59" s="81">
        <f ca="1">IFERROR(__xludf.DUMMYFUNCTION("IMPORTRANGE(""https://docs.google.com/spreadsheets/d/1phaeSb9lTGgzDpbvVqI9hfmOQQzUom07-HEvpbARzEg/edit?usp=sharing"",""นครนายก!N211"")"),0)</f>
        <v>0</v>
      </c>
      <c r="AW59" s="82">
        <f t="shared" ca="1" si="92"/>
        <v>0</v>
      </c>
      <c r="AX59" s="81">
        <f ca="1">IFERROR(__xludf.DUMMYFUNCTION("IMPORTRANGE(""https://docs.google.com/spreadsheets/d/1phaeSb9lTGgzDpbvVqI9hfmOQQzUom07-HEvpbARzEg/edit?usp=sharing"",""นครนายก!L212"")"),0)</f>
        <v>0</v>
      </c>
      <c r="AY59" s="81">
        <f ca="1">IFERROR(__xludf.DUMMYFUNCTION("IMPORTRANGE(""https://docs.google.com/spreadsheets/d/1phaeSb9lTGgzDpbvVqI9hfmOQQzUom07-HEvpbARzEg/edit?usp=sharing"",""นครนายก!N212"")"),0)</f>
        <v>0</v>
      </c>
      <c r="AZ59" s="82">
        <f t="shared" ca="1" si="93"/>
        <v>0</v>
      </c>
      <c r="BA59" s="81">
        <f ca="1">IFERROR(__xludf.DUMMYFUNCTION("IMPORTRANGE(""https://docs.google.com/spreadsheets/d/1phaeSb9lTGgzDpbvVqI9hfmOQQzUom07-HEvpbARzEg/edit?usp=sharing"",""นครนายก!I214"")"),0)</f>
        <v>0</v>
      </c>
      <c r="BB59" s="81">
        <f ca="1">IFERROR(__xludf.DUMMYFUNCTION("IMPORTRANGE(""https://docs.google.com/spreadsheets/d/1phaeSb9lTGgzDpbvVqI9hfmOQQzUom07-HEvpbARzEg/edit?usp=sharing"",""นครนายก!J214"")"),0)</f>
        <v>0</v>
      </c>
      <c r="BC59" s="82">
        <f t="shared" ca="1" si="94"/>
        <v>0</v>
      </c>
      <c r="BD59" s="81">
        <f ca="1">IFERROR(__xludf.DUMMYFUNCTION("IMPORTRANGE(""https://docs.google.com/spreadsheets/d/1phaeSb9lTGgzDpbvVqI9hfmOQQzUom07-HEvpbARzEg/edit?usp=sharing"",""นครนายก!I215"")"),0)</f>
        <v>0</v>
      </c>
      <c r="BE59" s="81">
        <f ca="1">IFERROR(__xludf.DUMMYFUNCTION("IMPORTRANGE(""https://docs.google.com/spreadsheets/d/1phaeSb9lTGgzDpbvVqI9hfmOQQzUom07-HEvpbARzEg/edit?usp=sharing"",""นครนายก!J215"")"),0)</f>
        <v>0</v>
      </c>
      <c r="BF59" s="82">
        <f t="shared" ca="1" si="95"/>
        <v>0</v>
      </c>
      <c r="BG59" s="81">
        <f ca="1">IFERROR(__xludf.DUMMYFUNCTION("IMPORTRANGE(""https://docs.google.com/spreadsheets/d/1phaeSb9lTGgzDpbvVqI9hfmOQQzUom07-HEvpbARzEg/edit?usp=sharing"",""นครนายก!L218"")"),5000)</f>
        <v>5000</v>
      </c>
      <c r="BH59" s="81">
        <f ca="1">IFERROR(__xludf.DUMMYFUNCTION("IMPORTRANGE(""https://docs.google.com/spreadsheets/d/1phaeSb9lTGgzDpbvVqI9hfmOQQzUom07-HEvpbARzEg/edit?usp=sharing"",""นครนายก!N218"")"),4040)</f>
        <v>4040</v>
      </c>
      <c r="BI59" s="82">
        <f t="shared" ca="1" si="96"/>
        <v>80.8</v>
      </c>
      <c r="BJ59" s="81">
        <f ca="1">IFERROR(__xludf.DUMMYFUNCTION("IMPORTRANGE(""https://docs.google.com/spreadsheets/d/1phaeSb9lTGgzDpbvVqI9hfmOQQzUom07-HEvpbARzEg/edit?usp=sharing"",""นครนายก!L219"")"),8500)</f>
        <v>8500</v>
      </c>
      <c r="BK59" s="81">
        <f ca="1">IFERROR(__xludf.DUMMYFUNCTION("IMPORTRANGE(""https://docs.google.com/spreadsheets/d/1phaeSb9lTGgzDpbvVqI9hfmOQQzUom07-HEvpbARzEg/edit?usp=sharing"",""นครนายก!N219"")"),8500)</f>
        <v>8500</v>
      </c>
      <c r="BL59" s="82">
        <f t="shared" ca="1" si="97"/>
        <v>100</v>
      </c>
      <c r="BM59" s="81">
        <f ca="1">IFERROR(__xludf.DUMMYFUNCTION("IMPORTRANGE(""https://docs.google.com/spreadsheets/d/1phaeSb9lTGgzDpbvVqI9hfmOQQzUom07-HEvpbARzEg/edit?usp=sharing"",""นครนายก!L220"")"),0)</f>
        <v>0</v>
      </c>
      <c r="BN59" s="81">
        <f ca="1">IFERROR(__xludf.DUMMYFUNCTION("IMPORTRANGE(""https://docs.google.com/spreadsheets/d/1phaeSb9lTGgzDpbvVqI9hfmOQQzUom07-HEvpbARzEg/edit?usp=sharing"",""นครนายก!N220"")"),0)</f>
        <v>0</v>
      </c>
      <c r="BO59" s="82">
        <f t="shared" ca="1" si="98"/>
        <v>0</v>
      </c>
      <c r="BP59" s="81">
        <f ca="1">IFERROR(__xludf.DUMMYFUNCTION("IMPORTRANGE(""https://docs.google.com/spreadsheets/d/1phaeSb9lTGgzDpbvVqI9hfmOQQzUom07-HEvpbARzEg/edit?usp=sharing"",""นครนายก!I223"")"),30000)</f>
        <v>30000</v>
      </c>
      <c r="BQ59" s="81">
        <f ca="1">IFERROR(__xludf.DUMMYFUNCTION("IMPORTRANGE(""https://docs.google.com/spreadsheets/d/1phaeSb9lTGgzDpbvVqI9hfmOQQzUom07-HEvpbARzEg/edit?usp=sharing"",""นครนายก!J223"")"),30000)</f>
        <v>30000</v>
      </c>
      <c r="BR59" s="82">
        <f t="shared" ca="1" si="99"/>
        <v>100</v>
      </c>
      <c r="BS59" s="81">
        <f ca="1">IFERROR(__xludf.DUMMYFUNCTION("IMPORTRANGE(""https://docs.google.com/spreadsheets/d/1phaeSb9lTGgzDpbvVqI9hfmOQQzUom07-HEvpbARzEg/edit?usp=sharing"",""นครนายก!I224"")"),30000)</f>
        <v>30000</v>
      </c>
      <c r="BT59" s="81">
        <f ca="1">IFERROR(__xludf.DUMMYFUNCTION("IMPORTRANGE(""https://docs.google.com/spreadsheets/d/1phaeSb9lTGgzDpbvVqI9hfmOQQzUom07-HEvpbARzEg/edit?usp=sharing"",""นครนายก!J224"")"),30000)</f>
        <v>30000</v>
      </c>
      <c r="BU59" s="82">
        <f t="shared" ca="1" si="100"/>
        <v>100</v>
      </c>
      <c r="BV59" s="81">
        <f ca="1">IFERROR(__xludf.DUMMYFUNCTION("IMPORTRANGE(""https://docs.google.com/spreadsheets/d/1phaeSb9lTGgzDpbvVqI9hfmOQQzUom07-HEvpbARzEg/edit?usp=sharing"",""นครนายก!I225"")"),0)</f>
        <v>0</v>
      </c>
      <c r="BW59" s="81">
        <f ca="1">IFERROR(__xludf.DUMMYFUNCTION("IMPORTRANGE(""https://docs.google.com/spreadsheets/d/1phaeSb9lTGgzDpbvVqI9hfmOQQzUom07-HEvpbARzEg/edit?usp=sharing"",""นครนายก!J225"")"),0)</f>
        <v>0</v>
      </c>
      <c r="BX59" s="82">
        <f t="shared" ca="1" si="101"/>
        <v>0</v>
      </c>
      <c r="BY59" s="81">
        <f ca="1">IFERROR(__xludf.DUMMYFUNCTION("IMPORTRANGE(""https://docs.google.com/spreadsheets/d/1phaeSb9lTGgzDpbvVqI9hfmOQQzUom07-HEvpbARzEg/edit?usp=sharing"",""นครนายก!L228"")"),20000)</f>
        <v>20000</v>
      </c>
      <c r="BZ59" s="81">
        <f ca="1">IFERROR(__xludf.DUMMYFUNCTION("IMPORTRANGE(""https://docs.google.com/spreadsheets/d/1phaeSb9lTGgzDpbvVqI9hfmOQQzUom07-HEvpbARzEg/edit?usp=sharing"",""นครนายก!N228"")"),2260)</f>
        <v>2260</v>
      </c>
      <c r="CA59" s="82">
        <f t="shared" ca="1" si="102"/>
        <v>11.3</v>
      </c>
      <c r="CB59" s="81">
        <f ca="1">IFERROR(__xludf.DUMMYFUNCTION("IMPORTRANGE(""https://docs.google.com/spreadsheets/d/1phaeSb9lTGgzDpbvVqI9hfmOQQzUom07-HEvpbARzEg/edit?usp=sharing"",""นครนายก!L229"")"),53200)</f>
        <v>53200</v>
      </c>
      <c r="CC59" s="81">
        <f ca="1">IFERROR(__xludf.DUMMYFUNCTION("IMPORTRANGE(""https://docs.google.com/spreadsheets/d/1phaeSb9lTGgzDpbvVqI9hfmOQQzUom07-HEvpbARzEg/edit?usp=sharing"",""นครนายก!N229"")"),38480)</f>
        <v>38480</v>
      </c>
      <c r="CD59" s="82">
        <f t="shared" ca="1" si="103"/>
        <v>72.330827067669176</v>
      </c>
      <c r="CE59" s="81">
        <f ca="1">IFERROR(__xludf.DUMMYFUNCTION("IMPORTRANGE(""https://docs.google.com/spreadsheets/d/1phaeSb9lTGgzDpbvVqI9hfmOQQzUom07-HEvpbARzEg/edit?usp=sharing"",""นครนายก!L230"")"),10000)</f>
        <v>10000</v>
      </c>
      <c r="CF59" s="81">
        <f ca="1">IFERROR(__xludf.DUMMYFUNCTION("IMPORTRANGE(""https://docs.google.com/spreadsheets/d/1phaeSb9lTGgzDpbvVqI9hfmOQQzUom07-HEvpbARzEg/edit?usp=sharing"",""นครนายก!N230"")"),10000)</f>
        <v>10000</v>
      </c>
      <c r="CG59" s="82">
        <f t="shared" ca="1" si="104"/>
        <v>100</v>
      </c>
      <c r="CH59" s="81">
        <f ca="1">IFERROR(__xludf.DUMMYFUNCTION("IMPORTRANGE(""https://docs.google.com/spreadsheets/d/1phaeSb9lTGgzDpbvVqI9hfmOQQzUom07-HEvpbARzEg/edit?usp=sharing"",""นครนายก!L231"")"),10000)</f>
        <v>10000</v>
      </c>
      <c r="CI59" s="81">
        <f ca="1">IFERROR(__xludf.DUMMYFUNCTION("IMPORTRANGE(""https://docs.google.com/spreadsheets/d/1phaeSb9lTGgzDpbvVqI9hfmOQQzUom07-HEvpbARzEg/edit?usp=sharing"",""นครนายก!N231"")"),10000)</f>
        <v>10000</v>
      </c>
      <c r="CJ59" s="82">
        <f t="shared" ca="1" si="105"/>
        <v>100</v>
      </c>
      <c r="CK59" s="81">
        <f ca="1">IFERROR(__xludf.DUMMYFUNCTION("IMPORTRANGE(""https://docs.google.com/spreadsheets/d/1phaeSb9lTGgzDpbvVqI9hfmOQQzUom07-HEvpbARzEg/edit?usp=sharing"",""นครนายก!I233"")"),20)</f>
        <v>20</v>
      </c>
      <c r="CL59" s="81">
        <f ca="1">IFERROR(__xludf.DUMMYFUNCTION("IMPORTRANGE(""https://docs.google.com/spreadsheets/d/1phaeSb9lTGgzDpbvVqI9hfmOQQzUom07-HEvpbARzEg/edit?usp=sharing"",""นครนายก!J233"")"),20)</f>
        <v>20</v>
      </c>
      <c r="CM59" s="82">
        <f t="shared" ca="1" si="106"/>
        <v>100</v>
      </c>
      <c r="CN59" s="81">
        <f ca="1">IFERROR(__xludf.DUMMYFUNCTION("IMPORTRANGE(""https://docs.google.com/spreadsheets/d/1phaeSb9lTGgzDpbvVqI9hfmOQQzUom07-HEvpbARzEg/edit?usp=sharing"",""นครนายก!J235"")"),20)</f>
        <v>20</v>
      </c>
      <c r="CO59" s="81">
        <f ca="1">IFERROR(__xludf.DUMMYFUNCTION("IMPORTRANGE(""https://docs.google.com/spreadsheets/d/1phaeSb9lTGgzDpbvVqI9hfmOQQzUom07-HEvpbARzEg/edit?usp=sharing"",""นครนายก!J236"")"),1)</f>
        <v>1</v>
      </c>
    </row>
    <row r="60" spans="1:93" ht="21" customHeight="1" x14ac:dyDescent="0.3">
      <c r="A60" s="73">
        <v>8</v>
      </c>
      <c r="B60" s="74" t="s">
        <v>82</v>
      </c>
      <c r="C60" s="75">
        <f t="shared" ca="1" si="0"/>
        <v>449450</v>
      </c>
      <c r="D60" s="76">
        <f t="shared" ca="1" si="187"/>
        <v>449450</v>
      </c>
      <c r="E60" s="77">
        <f ca="1">IFERROR(__xludf.DUMMYFUNCTION("IMPORTRANGE(""https://docs.google.com/spreadsheets/d/1MeEWN-I1oV_STSDYn1IFDPWt_1FKiwhDph83XaGc0o0/edit?usp=sharing"",""งบพรบ!CP60"")"),381000)</f>
        <v>381000</v>
      </c>
      <c r="F60" s="77">
        <f ca="1">IFERROR(__xludf.DUMMYFUNCTION("IMPORTRANGE(""https://docs.google.com/spreadsheets/d/1MeEWN-I1oV_STSDYn1IFDPWt_1FKiwhDph83XaGc0o0/edit?usp=sharing"",""งบพรบ!CQ60"")"),68450)</f>
        <v>68450</v>
      </c>
      <c r="G60" s="77">
        <f ca="1">IFERROR(__xludf.DUMMYFUNCTION("IMPORTRANGE(""https://docs.google.com/spreadsheets/d/1MeEWN-I1oV_STSDYn1IFDPWt_1FKiwhDph83XaGc0o0/edit?usp=sharing"",""งบพรบ!CR60"")"),0)</f>
        <v>0</v>
      </c>
      <c r="H60" s="77">
        <f ca="1">IFERROR(__xludf.DUMMYFUNCTION("IMPORTRANGE(""https://docs.google.com/spreadsheets/d/1MeEWN-I1oV_STSDYn1IFDPWt_1FKiwhDph83XaGc0o0/edit?usp=sharing"",""งบพรบ!CT60"")"),455670)</f>
        <v>455670</v>
      </c>
      <c r="I60" s="77">
        <f ca="1">IFERROR(__xludf.DUMMYFUNCTION("IMPORTRANGE(""https://docs.google.com/spreadsheets/d/1MeEWN-I1oV_STSDYn1IFDPWt_1FKiwhDph83XaGc0o0/edit?usp=sharing"",""งบพรบ!CU60"")"),0)</f>
        <v>0</v>
      </c>
      <c r="J60" s="77">
        <f t="shared" ca="1" si="3"/>
        <v>406638.24</v>
      </c>
      <c r="K60" s="78">
        <f t="shared" ca="1" si="4"/>
        <v>90.474633440872182</v>
      </c>
      <c r="L60" s="77">
        <f ca="1">IFERROR(__xludf.DUMMYFUNCTION("IMPORTRANGE(""https://docs.google.com/spreadsheets/d/1MeEWN-I1oV_STSDYn1IFDPWt_1FKiwhDph83XaGc0o0/edit?usp=sharing"",""งบพรบ!CV60"")"),406638.24)</f>
        <v>406638.24</v>
      </c>
      <c r="M60" s="79">
        <f t="shared" ca="1" si="5"/>
        <v>90.474633440872182</v>
      </c>
      <c r="N60" s="79">
        <f t="shared" ca="1" si="6"/>
        <v>89.239633945618536</v>
      </c>
      <c r="O60" s="80">
        <f ca="1">IFERROR(__xludf.DUMMYFUNCTION("IMPORTRANGE(""https://docs.google.com/spreadsheets/d/1MeEWN-I1oV_STSDYn1IFDPWt_1FKiwhDph83XaGc0o0/edit?usp=sharing"",""งบพรบ!CW60"")"),0)</f>
        <v>0</v>
      </c>
      <c r="P60" s="80">
        <f t="shared" ca="1" si="10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IFERROR(__xludf.DUMMYFUNCTION("IMPORTRANGE(""https://docs.google.com/spreadsheets/d/1tpwhWwkqkBeiSWCcfB5f2fbwPRbM9hHOEDSDHpl2MIc/edit?usp=sharing"",""นครปฐม!L191"")"),6000)</f>
        <v>6000</v>
      </c>
      <c r="S60" s="81">
        <f ca="1">IFERROR(__xludf.DUMMYFUNCTION("IMPORTRANGE(""https://docs.google.com/spreadsheets/d/1tpwhWwkqkBeiSWCcfB5f2fbwPRbM9hHOEDSDHpl2MIc/edit?usp=sharing"",""นครปฐม!N191"")"),6000)</f>
        <v>6000</v>
      </c>
      <c r="T60" s="82">
        <f t="shared" ca="1" si="84"/>
        <v>100</v>
      </c>
      <c r="U60" s="81">
        <f ca="1">IFERROR(__xludf.DUMMYFUNCTION("IMPORTRANGE(""https://docs.google.com/spreadsheets/d/1tpwhWwkqkBeiSWCcfB5f2fbwPRbM9hHOEDSDHpl2MIc/edit?usp=sharing"",""นครปฐม!I193"")"),4)</f>
        <v>4</v>
      </c>
      <c r="V60" s="81">
        <f ca="1">IFERROR(__xludf.DUMMYFUNCTION("IMPORTRANGE(""https://docs.google.com/spreadsheets/d/1tpwhWwkqkBeiSWCcfB5f2fbwPRbM9hHOEDSDHpl2MIc/edit?usp=sharing"",""นครปฐม!J193"")"),3)</f>
        <v>3</v>
      </c>
      <c r="W60" s="82">
        <f t="shared" ca="1" si="85"/>
        <v>75</v>
      </c>
      <c r="X60" s="81">
        <f t="shared" ca="1" si="188"/>
        <v>150</v>
      </c>
      <c r="Y60" s="81">
        <f ca="1">IFERROR(__xludf.DUMMYFUNCTION("IMPORTRANGE(""https://docs.google.com/spreadsheets/d/1tpwhWwkqkBeiSWCcfB5f2fbwPRbM9hHOEDSDHpl2MIc/edit?usp=sharing"",""นครปฐม!J195"")"),150)</f>
        <v>150</v>
      </c>
      <c r="Z60" s="81">
        <f ca="1">IFERROR(__xludf.DUMMYFUNCTION("IMPORTRANGE(""https://docs.google.com/spreadsheets/d/1tpwhWwkqkBeiSWCcfB5f2fbwPRbM9hHOEDSDHpl2MIc/edit?usp=sharing"",""นครปฐม!J196"")"),0)</f>
        <v>0</v>
      </c>
      <c r="AA60" s="81">
        <f ca="1">IFERROR(__xludf.DUMMYFUNCTION("IMPORTRANGE(""https://docs.google.com/spreadsheets/d/1tpwhWwkqkBeiSWCcfB5f2fbwPRbM9hHOEDSDHpl2MIc/edit?usp=sharing"",""นครปฐม!L199"")"),0)</f>
        <v>0</v>
      </c>
      <c r="AB60" s="81">
        <f ca="1">IFERROR(__xludf.DUMMYFUNCTION("IMPORTRANGE(""https://docs.google.com/spreadsheets/d/1tpwhWwkqkBeiSWCcfB5f2fbwPRbM9hHOEDSDHpl2MIc/edit?usp=sharing"",""นครปฐม!N199"")"),0)</f>
        <v>0</v>
      </c>
      <c r="AC60" s="82">
        <f t="shared" ca="1" si="86"/>
        <v>0</v>
      </c>
      <c r="AD60" s="81">
        <f ca="1">IFERROR(__xludf.DUMMYFUNCTION("IMPORTRANGE(""https://docs.google.com/spreadsheets/d/1tpwhWwkqkBeiSWCcfB5f2fbwPRbM9hHOEDSDHpl2MIc/edit?usp=sharing"",""นครปฐม!L200"")"),0)</f>
        <v>0</v>
      </c>
      <c r="AE60" s="81">
        <f ca="1">IFERROR(__xludf.DUMMYFUNCTION("IMPORTRANGE(""https://docs.google.com/spreadsheets/d/1tpwhWwkqkBeiSWCcfB5f2fbwPRbM9hHOEDSDHpl2MIc/edit?usp=sharing"",""นครปฐม!N200"")"),0)</f>
        <v>0</v>
      </c>
      <c r="AF60" s="82">
        <f t="shared" ca="1" si="87"/>
        <v>0</v>
      </c>
      <c r="AG60" s="81">
        <f ca="1">IFERROR(__xludf.DUMMYFUNCTION("IMPORTRANGE(""https://docs.google.com/spreadsheets/d/1tpwhWwkqkBeiSWCcfB5f2fbwPRbM9hHOEDSDHpl2MIc/edit?usp=sharing"",""นครปฐม!L201"")"),0)</f>
        <v>0</v>
      </c>
      <c r="AH60" s="81">
        <f ca="1">IFERROR(__xludf.DUMMYFUNCTION("IMPORTRANGE(""https://docs.google.com/spreadsheets/d/1tpwhWwkqkBeiSWCcfB5f2fbwPRbM9hHOEDSDHpl2MIc/edit?usp=sharing"",""นครปฐม!N201"")"),0)</f>
        <v>0</v>
      </c>
      <c r="AI60" s="82">
        <f t="shared" ca="1" si="88"/>
        <v>0</v>
      </c>
      <c r="AJ60" s="81">
        <f ca="1">IFERROR(__xludf.DUMMYFUNCTION("IMPORTRANGE(""https://docs.google.com/spreadsheets/d/1tpwhWwkqkBeiSWCcfB5f2fbwPRbM9hHOEDSDHpl2MIc/edit?usp=sharing"",""นครปฐม!L202"")"),0)</f>
        <v>0</v>
      </c>
      <c r="AK60" s="81">
        <f ca="1">IFERROR(__xludf.DUMMYFUNCTION("IMPORTRANGE(""https://docs.google.com/spreadsheets/d/1tpwhWwkqkBeiSWCcfB5f2fbwPRbM9hHOEDSDHpl2MIc/edit?usp=sharing"",""นครปฐม!N202"")"),0)</f>
        <v>0</v>
      </c>
      <c r="AL60" s="82">
        <f t="shared" ca="1" si="89"/>
        <v>0</v>
      </c>
      <c r="AM60" s="81">
        <f ca="1">IFERROR(__xludf.DUMMYFUNCTION("IMPORTRANGE(""https://docs.google.com/spreadsheets/d/1tpwhWwkqkBeiSWCcfB5f2fbwPRbM9hHOEDSDHpl2MIc/edit?usp=sharing"",""นครปฐม!I204"")"),0)</f>
        <v>0</v>
      </c>
      <c r="AN60" s="81">
        <f ca="1">IFERROR(__xludf.DUMMYFUNCTION("IMPORTRANGE(""https://docs.google.com/spreadsheets/d/1tpwhWwkqkBeiSWCcfB5f2fbwPRbM9hHOEDSDHpl2MIc/edit?usp=sharing"",""นครปฐม!J204"")"),0)</f>
        <v>0</v>
      </c>
      <c r="AO60" s="82">
        <f t="shared" ca="1" si="90"/>
        <v>0</v>
      </c>
      <c r="AP60" s="297">
        <f ca="1">IFERROR(__xludf.DUMMYFUNCTION("IMPORTRANGE(""https://docs.google.com/spreadsheets/d/1tpwhWwkqkBeiSWCcfB5f2fbwPRbM9hHOEDSDHpl2MIc/edit?usp=sharing"",""นครปฐม!J206"")"),0)</f>
        <v>0</v>
      </c>
      <c r="AQ60" s="297">
        <f ca="1">IFERROR(__xludf.DUMMYFUNCTION("IMPORTRANGE(""https://docs.google.com/spreadsheets/d/1tpwhWwkqkBeiSWCcfB5f2fbwPRbM9hHOEDSDHpl2MIc/edit?usp=sharing"",""นครปฐม!J207"")"),0)</f>
        <v>0</v>
      </c>
      <c r="AR60" s="81">
        <f ca="1">IFERROR(__xludf.DUMMYFUNCTION("IMPORTRANGE(""https://docs.google.com/spreadsheets/d/1tpwhWwkqkBeiSWCcfB5f2fbwPRbM9hHOEDSDHpl2MIc/edit?usp=sharing"",""นครปฐม!L210"")"),0)</f>
        <v>0</v>
      </c>
      <c r="AS60" s="81">
        <f ca="1">IFERROR(__xludf.DUMMYFUNCTION("IMPORTRANGE(""https://docs.google.com/spreadsheets/d/1tpwhWwkqkBeiSWCcfB5f2fbwPRbM9hHOEDSDHpl2MIc/edit?usp=sharing"",""นครปฐม!N210"")"),0)</f>
        <v>0</v>
      </c>
      <c r="AT60" s="82">
        <f t="shared" ca="1" si="91"/>
        <v>0</v>
      </c>
      <c r="AU60" s="81">
        <f ca="1">IFERROR(__xludf.DUMMYFUNCTION("IMPORTRANGE(""https://docs.google.com/spreadsheets/d/1tpwhWwkqkBeiSWCcfB5f2fbwPRbM9hHOEDSDHpl2MIc/edit?usp=sharing"",""นครปฐม!L211"")"),0)</f>
        <v>0</v>
      </c>
      <c r="AV60" s="81">
        <f ca="1">IFERROR(__xludf.DUMMYFUNCTION("IMPORTRANGE(""https://docs.google.com/spreadsheets/d/1tpwhWwkqkBeiSWCcfB5f2fbwPRbM9hHOEDSDHpl2MIc/edit?usp=sharing"",""นครปฐม!N211"")"),0)</f>
        <v>0</v>
      </c>
      <c r="AW60" s="82">
        <f t="shared" ca="1" si="92"/>
        <v>0</v>
      </c>
      <c r="AX60" s="81">
        <f ca="1">IFERROR(__xludf.DUMMYFUNCTION("IMPORTRANGE(""https://docs.google.com/spreadsheets/d/1tpwhWwkqkBeiSWCcfB5f2fbwPRbM9hHOEDSDHpl2MIc/edit?usp=sharing"",""นครปฐม!L212"")"),0)</f>
        <v>0</v>
      </c>
      <c r="AY60" s="81">
        <f ca="1">IFERROR(__xludf.DUMMYFUNCTION("IMPORTRANGE(""https://docs.google.com/spreadsheets/d/1tpwhWwkqkBeiSWCcfB5f2fbwPRbM9hHOEDSDHpl2MIc/edit?usp=sharing"",""นครปฐม!N212"")"),0)</f>
        <v>0</v>
      </c>
      <c r="AZ60" s="82">
        <f t="shared" ca="1" si="93"/>
        <v>0</v>
      </c>
      <c r="BA60" s="81">
        <f ca="1">IFERROR(__xludf.DUMMYFUNCTION("IMPORTRANGE(""https://docs.google.com/spreadsheets/d/1tpwhWwkqkBeiSWCcfB5f2fbwPRbM9hHOEDSDHpl2MIc/edit?usp=sharing"",""นครปฐม!I214"")"),0)</f>
        <v>0</v>
      </c>
      <c r="BB60" s="81">
        <f ca="1">IFERROR(__xludf.DUMMYFUNCTION("IMPORTRANGE(""https://docs.google.com/spreadsheets/d/1tpwhWwkqkBeiSWCcfB5f2fbwPRbM9hHOEDSDHpl2MIc/edit?usp=sharing"",""นครปฐม!J214"")"),0)</f>
        <v>0</v>
      </c>
      <c r="BC60" s="82">
        <f t="shared" ca="1" si="94"/>
        <v>0</v>
      </c>
      <c r="BD60" s="81">
        <f ca="1">IFERROR(__xludf.DUMMYFUNCTION("IMPORTRANGE(""https://docs.google.com/spreadsheets/d/1tpwhWwkqkBeiSWCcfB5f2fbwPRbM9hHOEDSDHpl2MIc/edit?usp=sharing"",""นครปฐม!I215"")"),0)</f>
        <v>0</v>
      </c>
      <c r="BE60" s="81">
        <f ca="1">IFERROR(__xludf.DUMMYFUNCTION("IMPORTRANGE(""https://docs.google.com/spreadsheets/d/1tpwhWwkqkBeiSWCcfB5f2fbwPRbM9hHOEDSDHpl2MIc/edit?usp=sharing"",""นครปฐม!J215"")"),0)</f>
        <v>0</v>
      </c>
      <c r="BF60" s="82">
        <f t="shared" ca="1" si="95"/>
        <v>0</v>
      </c>
      <c r="BG60" s="81">
        <f ca="1">IFERROR(__xludf.DUMMYFUNCTION("IMPORTRANGE(""https://docs.google.com/spreadsheets/d/1tpwhWwkqkBeiSWCcfB5f2fbwPRbM9hHOEDSDHpl2MIc/edit?usp=sharing"",""นครปฐม!L218"")"),3000)</f>
        <v>3000</v>
      </c>
      <c r="BH60" s="81">
        <f ca="1">IFERROR(__xludf.DUMMYFUNCTION("IMPORTRANGE(""https://docs.google.com/spreadsheets/d/1tpwhWwkqkBeiSWCcfB5f2fbwPRbM9hHOEDSDHpl2MIc/edit?usp=sharing"",""นครปฐม!N218"")"),3000)</f>
        <v>3000</v>
      </c>
      <c r="BI60" s="82">
        <f t="shared" ca="1" si="96"/>
        <v>100</v>
      </c>
      <c r="BJ60" s="81">
        <f ca="1">IFERROR(__xludf.DUMMYFUNCTION("IMPORTRANGE(""https://docs.google.com/spreadsheets/d/1tpwhWwkqkBeiSWCcfB5f2fbwPRbM9hHOEDSDHpl2MIc/edit?usp=sharing"",""นครปฐม!L219"")"),2900)</f>
        <v>2900</v>
      </c>
      <c r="BK60" s="81">
        <f ca="1">IFERROR(__xludf.DUMMYFUNCTION("IMPORTRANGE(""https://docs.google.com/spreadsheets/d/1tpwhWwkqkBeiSWCcfB5f2fbwPRbM9hHOEDSDHpl2MIc/edit?usp=sharing"",""นครปฐม!N219"")"),2900)</f>
        <v>2900</v>
      </c>
      <c r="BL60" s="82">
        <f t="shared" ca="1" si="97"/>
        <v>100</v>
      </c>
      <c r="BM60" s="81">
        <f ca="1">IFERROR(__xludf.DUMMYFUNCTION("IMPORTRANGE(""https://docs.google.com/spreadsheets/d/1tpwhWwkqkBeiSWCcfB5f2fbwPRbM9hHOEDSDHpl2MIc/edit?usp=sharing"",""นครปฐม!L220"")"),0)</f>
        <v>0</v>
      </c>
      <c r="BN60" s="81">
        <f ca="1">IFERROR(__xludf.DUMMYFUNCTION("IMPORTRANGE(""https://docs.google.com/spreadsheets/d/1tpwhWwkqkBeiSWCcfB5f2fbwPRbM9hHOEDSDHpl2MIc/edit?usp=sharing"",""นครปฐม!N220"")"),0)</f>
        <v>0</v>
      </c>
      <c r="BO60" s="82">
        <f t="shared" ca="1" si="98"/>
        <v>0</v>
      </c>
      <c r="BP60" s="81">
        <f ca="1">IFERROR(__xludf.DUMMYFUNCTION("IMPORTRANGE(""https://docs.google.com/spreadsheets/d/1tpwhWwkqkBeiSWCcfB5f2fbwPRbM9hHOEDSDHpl2MIc/edit?usp=sharing"",""นครปฐม!I223"")"),5000)</f>
        <v>5000</v>
      </c>
      <c r="BQ60" s="81">
        <f ca="1">IFERROR(__xludf.DUMMYFUNCTION("IMPORTRANGE(""https://docs.google.com/spreadsheets/d/1tpwhWwkqkBeiSWCcfB5f2fbwPRbM9hHOEDSDHpl2MIc/edit?usp=sharing"",""นครปฐม!J223"")"),5000)</f>
        <v>5000</v>
      </c>
      <c r="BR60" s="82">
        <f t="shared" ca="1" si="99"/>
        <v>100</v>
      </c>
      <c r="BS60" s="81">
        <f ca="1">IFERROR(__xludf.DUMMYFUNCTION("IMPORTRANGE(""https://docs.google.com/spreadsheets/d/1tpwhWwkqkBeiSWCcfB5f2fbwPRbM9hHOEDSDHpl2MIc/edit?usp=sharing"",""นครปฐม!I224"")"),5000)</f>
        <v>5000</v>
      </c>
      <c r="BT60" s="81">
        <f ca="1">IFERROR(__xludf.DUMMYFUNCTION("IMPORTRANGE(""https://docs.google.com/spreadsheets/d/1tpwhWwkqkBeiSWCcfB5f2fbwPRbM9hHOEDSDHpl2MIc/edit?usp=sharing"",""นครปฐม!J224"")"),5000)</f>
        <v>5000</v>
      </c>
      <c r="BU60" s="82">
        <f t="shared" ca="1" si="100"/>
        <v>100</v>
      </c>
      <c r="BV60" s="81">
        <f ca="1">IFERROR(__xludf.DUMMYFUNCTION("IMPORTRANGE(""https://docs.google.com/spreadsheets/d/1tpwhWwkqkBeiSWCcfB5f2fbwPRbM9hHOEDSDHpl2MIc/edit?usp=sharing"",""นครปฐม!I225"")"),0)</f>
        <v>0</v>
      </c>
      <c r="BW60" s="81">
        <f ca="1">IFERROR(__xludf.DUMMYFUNCTION("IMPORTRANGE(""https://docs.google.com/spreadsheets/d/1tpwhWwkqkBeiSWCcfB5f2fbwPRbM9hHOEDSDHpl2MIc/edit?usp=sharing"",""นครปฐม!J225"")"),0)</f>
        <v>0</v>
      </c>
      <c r="BX60" s="82">
        <f t="shared" ca="1" si="101"/>
        <v>0</v>
      </c>
      <c r="BY60" s="81">
        <f ca="1">IFERROR(__xludf.DUMMYFUNCTION("IMPORTRANGE(""https://docs.google.com/spreadsheets/d/1tpwhWwkqkBeiSWCcfB5f2fbwPRbM9hHOEDSDHpl2MIc/edit?usp=sharing"",""นครปฐม!L228"")"),20000)</f>
        <v>20000</v>
      </c>
      <c r="BZ60" s="81">
        <f ca="1">IFERROR(__xludf.DUMMYFUNCTION("IMPORTRANGE(""https://docs.google.com/spreadsheets/d/1tpwhWwkqkBeiSWCcfB5f2fbwPRbM9hHOEDSDHpl2MIc/edit?usp=sharing"",""นครปฐม!N228"")"),20000)</f>
        <v>20000</v>
      </c>
      <c r="CA60" s="82">
        <f t="shared" ca="1" si="102"/>
        <v>100</v>
      </c>
      <c r="CB60" s="81">
        <f ca="1">IFERROR(__xludf.DUMMYFUNCTION("IMPORTRANGE(""https://docs.google.com/spreadsheets/d/1tpwhWwkqkBeiSWCcfB5f2fbwPRbM9hHOEDSDHpl2MIc/edit?usp=sharing"",""นครปฐม!L229"")"),16550)</f>
        <v>16550</v>
      </c>
      <c r="CC60" s="81">
        <f ca="1">IFERROR(__xludf.DUMMYFUNCTION("IMPORTRANGE(""https://docs.google.com/spreadsheets/d/1tpwhWwkqkBeiSWCcfB5f2fbwPRbM9hHOEDSDHpl2MIc/edit?usp=sharing"",""นครปฐม!N229"")"),16550)</f>
        <v>16550</v>
      </c>
      <c r="CD60" s="82">
        <f t="shared" ca="1" si="103"/>
        <v>100</v>
      </c>
      <c r="CE60" s="81">
        <f ca="1">IFERROR(__xludf.DUMMYFUNCTION("IMPORTRANGE(""https://docs.google.com/spreadsheets/d/1tpwhWwkqkBeiSWCcfB5f2fbwPRbM9hHOEDSDHpl2MIc/edit?usp=sharing"",""นครปฐม!L230"")"),10000)</f>
        <v>10000</v>
      </c>
      <c r="CF60" s="81">
        <f ca="1">IFERROR(__xludf.DUMMYFUNCTION("IMPORTRANGE(""https://docs.google.com/spreadsheets/d/1tpwhWwkqkBeiSWCcfB5f2fbwPRbM9hHOEDSDHpl2MIc/edit?usp=sharing"",""นครปฐม!N230"")"),10000)</f>
        <v>10000</v>
      </c>
      <c r="CG60" s="82">
        <f t="shared" ca="1" si="104"/>
        <v>100</v>
      </c>
      <c r="CH60" s="81">
        <f ca="1">IFERROR(__xludf.DUMMYFUNCTION("IMPORTRANGE(""https://docs.google.com/spreadsheets/d/1tpwhWwkqkBeiSWCcfB5f2fbwPRbM9hHOEDSDHpl2MIc/edit?usp=sharing"",""นครปฐม!L231"")"),10000)</f>
        <v>10000</v>
      </c>
      <c r="CI60" s="81">
        <f ca="1">IFERROR(__xludf.DUMMYFUNCTION("IMPORTRANGE(""https://docs.google.com/spreadsheets/d/1tpwhWwkqkBeiSWCcfB5f2fbwPRbM9hHOEDSDHpl2MIc/edit?usp=sharing"",""นครปฐม!N231"")"),10000)</f>
        <v>10000</v>
      </c>
      <c r="CJ60" s="82">
        <f t="shared" ca="1" si="105"/>
        <v>100</v>
      </c>
      <c r="CK60" s="81">
        <f ca="1">IFERROR(__xludf.DUMMYFUNCTION("IMPORTRANGE(""https://docs.google.com/spreadsheets/d/1tpwhWwkqkBeiSWCcfB5f2fbwPRbM9hHOEDSDHpl2MIc/edit?usp=sharing"",""นครปฐม!I233"")"),15)</f>
        <v>15</v>
      </c>
      <c r="CL60" s="81">
        <f ca="1">IFERROR(__xludf.DUMMYFUNCTION("IMPORTRANGE(""https://docs.google.com/spreadsheets/d/1tpwhWwkqkBeiSWCcfB5f2fbwPRbM9hHOEDSDHpl2MIc/edit?usp=sharing"",""นครปฐม!J233"")"),15)</f>
        <v>15</v>
      </c>
      <c r="CM60" s="82">
        <f t="shared" ca="1" si="106"/>
        <v>100</v>
      </c>
      <c r="CN60" s="81">
        <f ca="1">IFERROR(__xludf.DUMMYFUNCTION("IMPORTRANGE(""https://docs.google.com/spreadsheets/d/1tpwhWwkqkBeiSWCcfB5f2fbwPRbM9hHOEDSDHpl2MIc/edit?usp=sharing"",""นครปฐม!J235"")"),15)</f>
        <v>15</v>
      </c>
      <c r="CO60" s="81">
        <f ca="1">IFERROR(__xludf.DUMMYFUNCTION("IMPORTRANGE(""https://docs.google.com/spreadsheets/d/1tpwhWwkqkBeiSWCcfB5f2fbwPRbM9hHOEDSDHpl2MIc/edit?usp=sharing"",""นครปฐม!J236"")"),1)</f>
        <v>1</v>
      </c>
    </row>
    <row r="61" spans="1:93" ht="21" customHeight="1" x14ac:dyDescent="0.3">
      <c r="A61" s="73">
        <v>9</v>
      </c>
      <c r="B61" s="74" t="s">
        <v>83</v>
      </c>
      <c r="C61" s="75">
        <f t="shared" ca="1" si="0"/>
        <v>919700</v>
      </c>
      <c r="D61" s="76">
        <f t="shared" ca="1" si="187"/>
        <v>919700</v>
      </c>
      <c r="E61" s="77">
        <f ca="1">IFERROR(__xludf.DUMMYFUNCTION("IMPORTRANGE(""https://docs.google.com/spreadsheets/d/1MeEWN-I1oV_STSDYn1IFDPWt_1FKiwhDph83XaGc0o0/edit?usp=sharing"",""งบพรบ!CP61"")"),671800)</f>
        <v>671800</v>
      </c>
      <c r="F61" s="77">
        <f ca="1">IFERROR(__xludf.DUMMYFUNCTION("IMPORTRANGE(""https://docs.google.com/spreadsheets/d/1MeEWN-I1oV_STSDYn1IFDPWt_1FKiwhDph83XaGc0o0/edit?usp=sharing"",""งบพรบ!CQ61"")"),247900)</f>
        <v>247900</v>
      </c>
      <c r="G61" s="77">
        <f ca="1">IFERROR(__xludf.DUMMYFUNCTION("IMPORTRANGE(""https://docs.google.com/spreadsheets/d/1MeEWN-I1oV_STSDYn1IFDPWt_1FKiwhDph83XaGc0o0/edit?usp=sharing"",""งบพรบ!CR61"")"),0)</f>
        <v>0</v>
      </c>
      <c r="H61" s="77">
        <f ca="1">IFERROR(__xludf.DUMMYFUNCTION("IMPORTRANGE(""https://docs.google.com/spreadsheets/d/1MeEWN-I1oV_STSDYn1IFDPWt_1FKiwhDph83XaGc0o0/edit?usp=sharing"",""งบพรบ!CT61"")"),946970)</f>
        <v>946970</v>
      </c>
      <c r="I61" s="77">
        <f ca="1">IFERROR(__xludf.DUMMYFUNCTION("IMPORTRANGE(""https://docs.google.com/spreadsheets/d/1MeEWN-I1oV_STSDYn1IFDPWt_1FKiwhDph83XaGc0o0/edit?usp=sharing"",""งบพรบ!CU61"")"),0)</f>
        <v>0</v>
      </c>
      <c r="J61" s="77">
        <f t="shared" ca="1" si="3"/>
        <v>852188.93</v>
      </c>
      <c r="K61" s="78">
        <f t="shared" ca="1" si="4"/>
        <v>92.659446558660434</v>
      </c>
      <c r="L61" s="77">
        <f ca="1">IFERROR(__xludf.DUMMYFUNCTION("IMPORTRANGE(""https://docs.google.com/spreadsheets/d/1MeEWN-I1oV_STSDYn1IFDPWt_1FKiwhDph83XaGc0o0/edit?usp=sharing"",""งบพรบ!CV61"")"),852188.93)</f>
        <v>852188.93</v>
      </c>
      <c r="M61" s="79">
        <f t="shared" ca="1" si="5"/>
        <v>92.659446558660434</v>
      </c>
      <c r="N61" s="79">
        <f t="shared" ca="1" si="6"/>
        <v>89.991122210840899</v>
      </c>
      <c r="O61" s="80">
        <f ca="1">IFERROR(__xludf.DUMMYFUNCTION("IMPORTRANGE(""https://docs.google.com/spreadsheets/d/1MeEWN-I1oV_STSDYn1IFDPWt_1FKiwhDph83XaGc0o0/edit?usp=sharing"",""งบพรบ!CW61"")"),0)</f>
        <v>0</v>
      </c>
      <c r="P61" s="80">
        <f t="shared" ca="1" si="10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IFERROR(__xludf.DUMMYFUNCTION("IMPORTRANGE(""https://docs.google.com/spreadsheets/d/1fJJCVBkBnhriyv0Cp5ZFMr0I_yrfdEITNpb4zILJgUQ/edit?usp=sharing"",""ปทุมธานี!L191"")"),6000)</f>
        <v>6000</v>
      </c>
      <c r="S61" s="81">
        <f ca="1">IFERROR(__xludf.DUMMYFUNCTION("IMPORTRANGE(""https://docs.google.com/spreadsheets/d/1fJJCVBkBnhriyv0Cp5ZFMr0I_yrfdEITNpb4zILJgUQ/edit?usp=sharing"",""ปทุมธานี!N191"")"),4700)</f>
        <v>4700</v>
      </c>
      <c r="T61" s="82">
        <f t="shared" ca="1" si="84"/>
        <v>78.333333333333329</v>
      </c>
      <c r="U61" s="81">
        <f ca="1">IFERROR(__xludf.DUMMYFUNCTION("IMPORTRANGE(""https://docs.google.com/spreadsheets/d/1fJJCVBkBnhriyv0Cp5ZFMr0I_yrfdEITNpb4zILJgUQ/edit?usp=sharing"",""ปทุมธานี!I193"")"),4)</f>
        <v>4</v>
      </c>
      <c r="V61" s="81">
        <f ca="1">IFERROR(__xludf.DUMMYFUNCTION("IMPORTRANGE(""https://docs.google.com/spreadsheets/d/1fJJCVBkBnhriyv0Cp5ZFMr0I_yrfdEITNpb4zILJgUQ/edit?usp=sharing"",""ปทุมธานี!J193"")"),4)</f>
        <v>4</v>
      </c>
      <c r="W61" s="82">
        <f t="shared" ca="1" si="85"/>
        <v>100</v>
      </c>
      <c r="X61" s="81">
        <f t="shared" ca="1" si="188"/>
        <v>79</v>
      </c>
      <c r="Y61" s="81">
        <f ca="1">IFERROR(__xludf.DUMMYFUNCTION("IMPORTRANGE(""https://docs.google.com/spreadsheets/d/1fJJCVBkBnhriyv0Cp5ZFMr0I_yrfdEITNpb4zILJgUQ/edit?usp=sharing"",""ปทุมธานี!J195"")"),79)</f>
        <v>79</v>
      </c>
      <c r="Z61" s="81">
        <f ca="1">IFERROR(__xludf.DUMMYFUNCTION("IMPORTRANGE(""https://docs.google.com/spreadsheets/d/1fJJCVBkBnhriyv0Cp5ZFMr0I_yrfdEITNpb4zILJgUQ/edit?usp=sharing"",""ปทุมธานี!J196"")"),0)</f>
        <v>0</v>
      </c>
      <c r="AA61" s="81">
        <f ca="1">IFERROR(__xludf.DUMMYFUNCTION("IMPORTRANGE(""https://docs.google.com/spreadsheets/d/1fJJCVBkBnhriyv0Cp5ZFMr0I_yrfdEITNpb4zILJgUQ/edit?usp=sharing"",""ปทุมธานี!L199"")"),1000)</f>
        <v>1000</v>
      </c>
      <c r="AB61" s="81">
        <f ca="1">IFERROR(__xludf.DUMMYFUNCTION("IMPORTRANGE(""https://docs.google.com/spreadsheets/d/1fJJCVBkBnhriyv0Cp5ZFMr0I_yrfdEITNpb4zILJgUQ/edit?usp=sharing"",""ปทุมธานี!N199"")"),0)</f>
        <v>0</v>
      </c>
      <c r="AC61" s="82">
        <f t="shared" ca="1" si="86"/>
        <v>0</v>
      </c>
      <c r="AD61" s="81">
        <f ca="1">IFERROR(__xludf.DUMMYFUNCTION("IMPORTRANGE(""https://docs.google.com/spreadsheets/d/1fJJCVBkBnhriyv0Cp5ZFMr0I_yrfdEITNpb4zILJgUQ/edit?usp=sharing"",""ปทุมธานี!L200"")"),8000)</f>
        <v>8000</v>
      </c>
      <c r="AE61" s="81">
        <f ca="1">IFERROR(__xludf.DUMMYFUNCTION("IMPORTRANGE(""https://docs.google.com/spreadsheets/d/1fJJCVBkBnhriyv0Cp5ZFMr0I_yrfdEITNpb4zILJgUQ/edit?usp=sharing"",""ปทุมธานี!N200"")"),8830)</f>
        <v>8830</v>
      </c>
      <c r="AF61" s="82">
        <f t="shared" ca="1" si="87"/>
        <v>110.375</v>
      </c>
      <c r="AG61" s="81">
        <f ca="1">IFERROR(__xludf.DUMMYFUNCTION("IMPORTRANGE(""https://docs.google.com/spreadsheets/d/1fJJCVBkBnhriyv0Cp5ZFMr0I_yrfdEITNpb4zILJgUQ/edit?usp=sharing"",""ปทุมธานี!L201"")"),4000)</f>
        <v>4000</v>
      </c>
      <c r="AH61" s="81">
        <f ca="1">IFERROR(__xludf.DUMMYFUNCTION("IMPORTRANGE(""https://docs.google.com/spreadsheets/d/1fJJCVBkBnhriyv0Cp5ZFMr0I_yrfdEITNpb4zILJgUQ/edit?usp=sharing"",""ปทุมธานี!N201"")"),4000)</f>
        <v>4000</v>
      </c>
      <c r="AI61" s="82">
        <f t="shared" ca="1" si="88"/>
        <v>100</v>
      </c>
      <c r="AJ61" s="81">
        <f ca="1">IFERROR(__xludf.DUMMYFUNCTION("IMPORTRANGE(""https://docs.google.com/spreadsheets/d/1fJJCVBkBnhriyv0Cp5ZFMr0I_yrfdEITNpb4zILJgUQ/edit?usp=sharing"",""ปทุมธานี!L202"")"),0)</f>
        <v>0</v>
      </c>
      <c r="AK61" s="81">
        <f ca="1">IFERROR(__xludf.DUMMYFUNCTION("IMPORTRANGE(""https://docs.google.com/spreadsheets/d/1fJJCVBkBnhriyv0Cp5ZFMr0I_yrfdEITNpb4zILJgUQ/edit?usp=sharing"",""ปทุมธานี!N202"")"),0)</f>
        <v>0</v>
      </c>
      <c r="AL61" s="82">
        <f t="shared" ca="1" si="89"/>
        <v>0</v>
      </c>
      <c r="AM61" s="81">
        <f ca="1">IFERROR(__xludf.DUMMYFUNCTION("IMPORTRANGE(""https://docs.google.com/spreadsheets/d/1fJJCVBkBnhriyv0Cp5ZFMr0I_yrfdEITNpb4zILJgUQ/edit?usp=sharing"",""ปทุมธานี!I204"")"),1)</f>
        <v>1</v>
      </c>
      <c r="AN61" s="81">
        <f ca="1">IFERROR(__xludf.DUMMYFUNCTION("IMPORTRANGE(""https://docs.google.com/spreadsheets/d/1fJJCVBkBnhriyv0Cp5ZFMr0I_yrfdEITNpb4zILJgUQ/edit?usp=sharing"",""ปทุมธานี!J204"")"),1)</f>
        <v>1</v>
      </c>
      <c r="AO61" s="82">
        <f t="shared" ca="1" si="90"/>
        <v>100</v>
      </c>
      <c r="AP61" s="297">
        <f ca="1">IFERROR(__xludf.DUMMYFUNCTION("IMPORTRANGE(""https://docs.google.com/spreadsheets/d/1fJJCVBkBnhriyv0Cp5ZFMr0I_yrfdEITNpb4zILJgUQ/edit?usp=sharing"",""ปทุมธานี!J206"")"),1)</f>
        <v>1</v>
      </c>
      <c r="AQ61" s="297">
        <f ca="1">IFERROR(__xludf.DUMMYFUNCTION("IMPORTRANGE(""https://docs.google.com/spreadsheets/d/1fJJCVBkBnhriyv0Cp5ZFMr0I_yrfdEITNpb4zILJgUQ/edit?usp=sharing"",""ปทุมธานี!J207"")"),0)</f>
        <v>0</v>
      </c>
      <c r="AR61" s="81">
        <f ca="1">IFERROR(__xludf.DUMMYFUNCTION("IMPORTRANGE(""https://docs.google.com/spreadsheets/d/1fJJCVBkBnhriyv0Cp5ZFMr0I_yrfdEITNpb4zILJgUQ/edit?usp=sharing"",""ปทุมธานี!L210"")"),0)</f>
        <v>0</v>
      </c>
      <c r="AS61" s="81">
        <f ca="1">IFERROR(__xludf.DUMMYFUNCTION("IMPORTRANGE(""https://docs.google.com/spreadsheets/d/1fJJCVBkBnhriyv0Cp5ZFMr0I_yrfdEITNpb4zILJgUQ/edit?usp=sharing"",""ปทุมธานี!N210"")"),0)</f>
        <v>0</v>
      </c>
      <c r="AT61" s="82">
        <f t="shared" ca="1" si="91"/>
        <v>0</v>
      </c>
      <c r="AU61" s="81">
        <f ca="1">IFERROR(__xludf.DUMMYFUNCTION("IMPORTRANGE(""https://docs.google.com/spreadsheets/d/1fJJCVBkBnhriyv0Cp5ZFMr0I_yrfdEITNpb4zILJgUQ/edit?usp=sharing"",""ปทุมธานี!L211"")"),0)</f>
        <v>0</v>
      </c>
      <c r="AV61" s="81">
        <f ca="1">IFERROR(__xludf.DUMMYFUNCTION("IMPORTRANGE(""https://docs.google.com/spreadsheets/d/1fJJCVBkBnhriyv0Cp5ZFMr0I_yrfdEITNpb4zILJgUQ/edit?usp=sharing"",""ปทุมธานี!N211"")"),0)</f>
        <v>0</v>
      </c>
      <c r="AW61" s="82">
        <f t="shared" ca="1" si="92"/>
        <v>0</v>
      </c>
      <c r="AX61" s="81">
        <f ca="1">IFERROR(__xludf.DUMMYFUNCTION("IMPORTRANGE(""https://docs.google.com/spreadsheets/d/1fJJCVBkBnhriyv0Cp5ZFMr0I_yrfdEITNpb4zILJgUQ/edit?usp=sharing"",""ปทุมธานี!L212"")"),0)</f>
        <v>0</v>
      </c>
      <c r="AY61" s="81">
        <f ca="1">IFERROR(__xludf.DUMMYFUNCTION("IMPORTRANGE(""https://docs.google.com/spreadsheets/d/1fJJCVBkBnhriyv0Cp5ZFMr0I_yrfdEITNpb4zILJgUQ/edit?usp=sharing"",""ปทุมธานี!N212"")"),0)</f>
        <v>0</v>
      </c>
      <c r="AZ61" s="82">
        <f t="shared" ca="1" si="93"/>
        <v>0</v>
      </c>
      <c r="BA61" s="81">
        <f ca="1">IFERROR(__xludf.DUMMYFUNCTION("IMPORTRANGE(""https://docs.google.com/spreadsheets/d/1fJJCVBkBnhriyv0Cp5ZFMr0I_yrfdEITNpb4zILJgUQ/edit?usp=sharing"",""ปทุมธานี!I214"")"),0)</f>
        <v>0</v>
      </c>
      <c r="BB61" s="81">
        <f ca="1">IFERROR(__xludf.DUMMYFUNCTION("IMPORTRANGE(""https://docs.google.com/spreadsheets/d/1fJJCVBkBnhriyv0Cp5ZFMr0I_yrfdEITNpb4zILJgUQ/edit?usp=sharing"",""ปทุมธานี!J214"")"),0)</f>
        <v>0</v>
      </c>
      <c r="BC61" s="82">
        <f t="shared" ca="1" si="94"/>
        <v>0</v>
      </c>
      <c r="BD61" s="81">
        <f ca="1">IFERROR(__xludf.DUMMYFUNCTION("IMPORTRANGE(""https://docs.google.com/spreadsheets/d/1fJJCVBkBnhriyv0Cp5ZFMr0I_yrfdEITNpb4zILJgUQ/edit?usp=sharing"",""ปทุมธานี!I215"")"),0)</f>
        <v>0</v>
      </c>
      <c r="BE61" s="81">
        <f ca="1">IFERROR(__xludf.DUMMYFUNCTION("IMPORTRANGE(""https://docs.google.com/spreadsheets/d/1fJJCVBkBnhriyv0Cp5ZFMr0I_yrfdEITNpb4zILJgUQ/edit?usp=sharing"",""ปทุมธานี!J215"")"),0)</f>
        <v>0</v>
      </c>
      <c r="BF61" s="82">
        <f t="shared" ca="1" si="95"/>
        <v>0</v>
      </c>
      <c r="BG61" s="81">
        <f ca="1">IFERROR(__xludf.DUMMYFUNCTION("IMPORTRANGE(""https://docs.google.com/spreadsheets/d/1fJJCVBkBnhriyv0Cp5ZFMr0I_yrfdEITNpb4zILJgUQ/edit?usp=sharing"",""ปทุมธานี!L218"")"),3000)</f>
        <v>3000</v>
      </c>
      <c r="BH61" s="81">
        <f ca="1">IFERROR(__xludf.DUMMYFUNCTION("IMPORTRANGE(""https://docs.google.com/spreadsheets/d/1fJJCVBkBnhriyv0Cp5ZFMr0I_yrfdEITNpb4zILJgUQ/edit?usp=sharing"",""ปทุมธานี!N218"")"),3000)</f>
        <v>3000</v>
      </c>
      <c r="BI61" s="82">
        <f t="shared" ca="1" si="96"/>
        <v>100</v>
      </c>
      <c r="BJ61" s="81">
        <f ca="1">IFERROR(__xludf.DUMMYFUNCTION("IMPORTRANGE(""https://docs.google.com/spreadsheets/d/1fJJCVBkBnhriyv0Cp5ZFMr0I_yrfdEITNpb4zILJgUQ/edit?usp=sharing"",""ปทุมธานี!L219"")"),5000)</f>
        <v>5000</v>
      </c>
      <c r="BK61" s="81">
        <f ca="1">IFERROR(__xludf.DUMMYFUNCTION("IMPORTRANGE(""https://docs.google.com/spreadsheets/d/1fJJCVBkBnhriyv0Cp5ZFMr0I_yrfdEITNpb4zILJgUQ/edit?usp=sharing"",""ปทุมธานี!N219"")"),5000)</f>
        <v>5000</v>
      </c>
      <c r="BL61" s="82">
        <f t="shared" ca="1" si="97"/>
        <v>100</v>
      </c>
      <c r="BM61" s="81">
        <f ca="1">IFERROR(__xludf.DUMMYFUNCTION("IMPORTRANGE(""https://docs.google.com/spreadsheets/d/1fJJCVBkBnhriyv0Cp5ZFMr0I_yrfdEITNpb4zILJgUQ/edit?usp=sharing"",""ปทุมธานี!L220"")"),0)</f>
        <v>0</v>
      </c>
      <c r="BN61" s="81">
        <f ca="1">IFERROR(__xludf.DUMMYFUNCTION("IMPORTRANGE(""https://docs.google.com/spreadsheets/d/1fJJCVBkBnhriyv0Cp5ZFMr0I_yrfdEITNpb4zILJgUQ/edit?usp=sharing"",""ปทุมธานี!N220"")"),0)</f>
        <v>0</v>
      </c>
      <c r="BO61" s="82">
        <f t="shared" ca="1" si="98"/>
        <v>0</v>
      </c>
      <c r="BP61" s="81">
        <f ca="1">IFERROR(__xludf.DUMMYFUNCTION("IMPORTRANGE(""https://docs.google.com/spreadsheets/d/1fJJCVBkBnhriyv0Cp5ZFMr0I_yrfdEITNpb4zILJgUQ/edit?usp=sharing"",""ปทุมธานี!I223"")"),20000)</f>
        <v>20000</v>
      </c>
      <c r="BQ61" s="81">
        <f ca="1">IFERROR(__xludf.DUMMYFUNCTION("IMPORTRANGE(""https://docs.google.com/spreadsheets/d/1fJJCVBkBnhriyv0Cp5ZFMr0I_yrfdEITNpb4zILJgUQ/edit?usp=sharing"",""ปทุมธานี!J223"")"),20000)</f>
        <v>20000</v>
      </c>
      <c r="BR61" s="82">
        <f t="shared" ca="1" si="99"/>
        <v>100</v>
      </c>
      <c r="BS61" s="81">
        <f ca="1">IFERROR(__xludf.DUMMYFUNCTION("IMPORTRANGE(""https://docs.google.com/spreadsheets/d/1fJJCVBkBnhriyv0Cp5ZFMr0I_yrfdEITNpb4zILJgUQ/edit?usp=sharing"",""ปทุมธานี!I224"")"),20000)</f>
        <v>20000</v>
      </c>
      <c r="BT61" s="81">
        <f ca="1">IFERROR(__xludf.DUMMYFUNCTION("IMPORTRANGE(""https://docs.google.com/spreadsheets/d/1fJJCVBkBnhriyv0Cp5ZFMr0I_yrfdEITNpb4zILJgUQ/edit?usp=sharing"",""ปทุมธานี!J224"")"),20000)</f>
        <v>20000</v>
      </c>
      <c r="BU61" s="82">
        <f t="shared" ca="1" si="100"/>
        <v>100</v>
      </c>
      <c r="BV61" s="81">
        <f ca="1">IFERROR(__xludf.DUMMYFUNCTION("IMPORTRANGE(""https://docs.google.com/spreadsheets/d/1fJJCVBkBnhriyv0Cp5ZFMr0I_yrfdEITNpb4zILJgUQ/edit?usp=sharing"",""ปทุมธานี!I225"")"),0)</f>
        <v>0</v>
      </c>
      <c r="BW61" s="81">
        <f ca="1">IFERROR(__xludf.DUMMYFUNCTION("IMPORTRANGE(""https://docs.google.com/spreadsheets/d/1fJJCVBkBnhriyv0Cp5ZFMr0I_yrfdEITNpb4zILJgUQ/edit?usp=sharing"",""ปทุมธานี!J225"")"),0)</f>
        <v>0</v>
      </c>
      <c r="BX61" s="82">
        <f t="shared" ca="1" si="101"/>
        <v>0</v>
      </c>
      <c r="BY61" s="81">
        <f ca="1">IFERROR(__xludf.DUMMYFUNCTION("IMPORTRANGE(""https://docs.google.com/spreadsheets/d/1fJJCVBkBnhriyv0Cp5ZFMr0I_yrfdEITNpb4zILJgUQ/edit?usp=sharing"",""ปทุมธานี!L228"")"),163000)</f>
        <v>163000</v>
      </c>
      <c r="BZ61" s="81">
        <f ca="1">IFERROR(__xludf.DUMMYFUNCTION("IMPORTRANGE(""https://docs.google.com/spreadsheets/d/1fJJCVBkBnhriyv0Cp5ZFMr0I_yrfdEITNpb4zILJgUQ/edit?usp=sharing"",""ปทุมธานี!N228"")"),161817.34)</f>
        <v>161817.34</v>
      </c>
      <c r="CA61" s="82">
        <f t="shared" ca="1" si="102"/>
        <v>99.274441717791404</v>
      </c>
      <c r="CB61" s="81">
        <f ca="1">IFERROR(__xludf.DUMMYFUNCTION("IMPORTRANGE(""https://docs.google.com/spreadsheets/d/1fJJCVBkBnhriyv0Cp5ZFMr0I_yrfdEITNpb4zILJgUQ/edit?usp=sharing"",""ปทุมธานี!L229"")"),32900)</f>
        <v>32900</v>
      </c>
      <c r="CC61" s="81">
        <f ca="1">IFERROR(__xludf.DUMMYFUNCTION("IMPORTRANGE(""https://docs.google.com/spreadsheets/d/1fJJCVBkBnhriyv0Cp5ZFMr0I_yrfdEITNpb4zILJgUQ/edit?usp=sharing"",""ปทุมธานี!N229"")"),32900)</f>
        <v>32900</v>
      </c>
      <c r="CD61" s="82">
        <f t="shared" ca="1" si="103"/>
        <v>100</v>
      </c>
      <c r="CE61" s="81">
        <f ca="1">IFERROR(__xludf.DUMMYFUNCTION("IMPORTRANGE(""https://docs.google.com/spreadsheets/d/1fJJCVBkBnhriyv0Cp5ZFMr0I_yrfdEITNpb4zILJgUQ/edit?usp=sharing"",""ปทุมธานี!L230"")"),15000)</f>
        <v>15000</v>
      </c>
      <c r="CF61" s="81">
        <f ca="1">IFERROR(__xludf.DUMMYFUNCTION("IMPORTRANGE(""https://docs.google.com/spreadsheets/d/1fJJCVBkBnhriyv0Cp5ZFMr0I_yrfdEITNpb4zILJgUQ/edit?usp=sharing"",""ปทุมธานี!N230"")"),15000)</f>
        <v>15000</v>
      </c>
      <c r="CG61" s="82">
        <f t="shared" ca="1" si="104"/>
        <v>100</v>
      </c>
      <c r="CH61" s="81">
        <f ca="1">IFERROR(__xludf.DUMMYFUNCTION("IMPORTRANGE(""https://docs.google.com/spreadsheets/d/1fJJCVBkBnhriyv0Cp5ZFMr0I_yrfdEITNpb4zILJgUQ/edit?usp=sharing"",""ปทุมธานี!L231"")"),10000)</f>
        <v>10000</v>
      </c>
      <c r="CI61" s="81">
        <f ca="1">IFERROR(__xludf.DUMMYFUNCTION("IMPORTRANGE(""https://docs.google.com/spreadsheets/d/1fJJCVBkBnhriyv0Cp5ZFMr0I_yrfdEITNpb4zILJgUQ/edit?usp=sharing"",""ปทุมธานี!N231"")"),10000)</f>
        <v>10000</v>
      </c>
      <c r="CJ61" s="82">
        <f t="shared" ca="1" si="105"/>
        <v>100</v>
      </c>
      <c r="CK61" s="81">
        <f ca="1">IFERROR(__xludf.DUMMYFUNCTION("IMPORTRANGE(""https://docs.google.com/spreadsheets/d/1fJJCVBkBnhriyv0Cp5ZFMr0I_yrfdEITNpb4zILJgUQ/edit?usp=sharing"",""ปทุมธานี!I233"")"),30)</f>
        <v>30</v>
      </c>
      <c r="CL61" s="81">
        <f ca="1">IFERROR(__xludf.DUMMYFUNCTION("IMPORTRANGE(""https://docs.google.com/spreadsheets/d/1fJJCVBkBnhriyv0Cp5ZFMr0I_yrfdEITNpb4zILJgUQ/edit?usp=sharing"",""ปทุมธานี!J233"")"),30)</f>
        <v>30</v>
      </c>
      <c r="CM61" s="82">
        <f t="shared" ca="1" si="106"/>
        <v>100</v>
      </c>
      <c r="CN61" s="81">
        <f ca="1">IFERROR(__xludf.DUMMYFUNCTION("IMPORTRANGE(""https://docs.google.com/spreadsheets/d/1fJJCVBkBnhriyv0Cp5ZFMr0I_yrfdEITNpb4zILJgUQ/edit?usp=sharing"",""ปทุมธานี!J235"")"),30)</f>
        <v>30</v>
      </c>
      <c r="CO61" s="81">
        <f ca="1">IFERROR(__xludf.DUMMYFUNCTION("IMPORTRANGE(""https://docs.google.com/spreadsheets/d/1fJJCVBkBnhriyv0Cp5ZFMr0I_yrfdEITNpb4zILJgUQ/edit?usp=sharing"",""ปทุมธานี!J236"")"),1)</f>
        <v>1</v>
      </c>
    </row>
    <row r="62" spans="1:93" ht="21" customHeight="1" x14ac:dyDescent="0.3">
      <c r="A62" s="73">
        <v>10</v>
      </c>
      <c r="B62" s="74" t="s">
        <v>84</v>
      </c>
      <c r="C62" s="75">
        <f t="shared" ca="1" si="0"/>
        <v>193000</v>
      </c>
      <c r="D62" s="76">
        <f t="shared" ca="1" si="187"/>
        <v>193000</v>
      </c>
      <c r="E62" s="77">
        <f ca="1">IFERROR(__xludf.DUMMYFUNCTION("IMPORTRANGE(""https://docs.google.com/spreadsheets/d/1MeEWN-I1oV_STSDYn1IFDPWt_1FKiwhDph83XaGc0o0/edit?usp=sharing"",""งบพรบ!CP62"")"),153000)</f>
        <v>153000</v>
      </c>
      <c r="F62" s="77">
        <f ca="1">IFERROR(__xludf.DUMMYFUNCTION("IMPORTRANGE(""https://docs.google.com/spreadsheets/d/1MeEWN-I1oV_STSDYn1IFDPWt_1FKiwhDph83XaGc0o0/edit?usp=sharing"",""งบพรบ!CQ62"")"),40000)</f>
        <v>40000</v>
      </c>
      <c r="G62" s="77">
        <f ca="1">IFERROR(__xludf.DUMMYFUNCTION("IMPORTRANGE(""https://docs.google.com/spreadsheets/d/1MeEWN-I1oV_STSDYn1IFDPWt_1FKiwhDph83XaGc0o0/edit?usp=sharing"",""งบพรบ!CR62"")"),0)</f>
        <v>0</v>
      </c>
      <c r="H62" s="77">
        <f ca="1">IFERROR(__xludf.DUMMYFUNCTION("IMPORTRANGE(""https://docs.google.com/spreadsheets/d/1MeEWN-I1oV_STSDYn1IFDPWt_1FKiwhDph83XaGc0o0/edit?usp=sharing"",""งบพรบ!CT62"")"),193000)</f>
        <v>193000</v>
      </c>
      <c r="I62" s="77">
        <f ca="1">IFERROR(__xludf.DUMMYFUNCTION("IMPORTRANGE(""https://docs.google.com/spreadsheets/d/1MeEWN-I1oV_STSDYn1IFDPWt_1FKiwhDph83XaGc0o0/edit?usp=sharing"",""งบพรบ!CU62"")"),0)</f>
        <v>0</v>
      </c>
      <c r="J62" s="77">
        <f t="shared" ca="1" si="3"/>
        <v>182265</v>
      </c>
      <c r="K62" s="78">
        <f t="shared" ca="1" si="4"/>
        <v>94.437823834196891</v>
      </c>
      <c r="L62" s="77">
        <f ca="1">IFERROR(__xludf.DUMMYFUNCTION("IMPORTRANGE(""https://docs.google.com/spreadsheets/d/1MeEWN-I1oV_STSDYn1IFDPWt_1FKiwhDph83XaGc0o0/edit?usp=sharing"",""งบพรบ!CV62"")"),182265)</f>
        <v>182265</v>
      </c>
      <c r="M62" s="79">
        <f t="shared" ca="1" si="5"/>
        <v>94.437823834196891</v>
      </c>
      <c r="N62" s="79">
        <f t="shared" ca="1" si="6"/>
        <v>94.437823834196891</v>
      </c>
      <c r="O62" s="80">
        <f ca="1">IFERROR(__xludf.DUMMYFUNCTION("IMPORTRANGE(""https://docs.google.com/spreadsheets/d/1MeEWN-I1oV_STSDYn1IFDPWt_1FKiwhDph83XaGc0o0/edit?usp=sharing"",""งบพรบ!CW62"")"),0)</f>
        <v>0</v>
      </c>
      <c r="P62" s="80">
        <f t="shared" ca="1" si="10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81">
        <f ca="1">IFERROR(__xludf.DUMMYFUNCTION("IMPORTRANGE(""https://docs.google.com/spreadsheets/d/1W5Jj_S0gYw6wSO7QcMI02YgyOBDKYgmm0NSUk-AQEac/edit?usp=sharing"",""ประจวบคีรีขันธ์!N191"")"),6000)</f>
        <v>6000</v>
      </c>
      <c r="T62" s="82">
        <f t="shared" ca="1" si="84"/>
        <v>100</v>
      </c>
      <c r="U62" s="81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81">
        <f ca="1">IFERROR(__xludf.DUMMYFUNCTION("IMPORTRANGE(""https://docs.google.com/spreadsheets/d/1W5Jj_S0gYw6wSO7QcMI02YgyOBDKYgmm0NSUk-AQEac/edit?usp=sharing"",""ประจวบคีรีขันธ์!J193"")"),4)</f>
        <v>4</v>
      </c>
      <c r="W62" s="82">
        <f t="shared" ca="1" si="85"/>
        <v>100</v>
      </c>
      <c r="X62" s="81">
        <f t="shared" ca="1" si="188"/>
        <v>153</v>
      </c>
      <c r="Y62" s="81">
        <f ca="1">IFERROR(__xludf.DUMMYFUNCTION("IMPORTRANGE(""https://docs.google.com/spreadsheets/d/1W5Jj_S0gYw6wSO7QcMI02YgyOBDKYgmm0NSUk-AQEac/edit?usp=sharing"",""ประจวบคีรีขันธ์!J195"")"),153)</f>
        <v>153</v>
      </c>
      <c r="Z62" s="81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81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81">
        <f ca="1">IFERROR(__xludf.DUMMYFUNCTION("IMPORTRANGE(""https://docs.google.com/spreadsheets/d/1W5Jj_S0gYw6wSO7QcMI02YgyOBDKYgmm0NSUk-AQEac/edit?usp=sharing"",""ประจวบคีรีขันธ์!N199"")"),1135)</f>
        <v>1135</v>
      </c>
      <c r="AC62" s="82">
        <f t="shared" ca="1" si="86"/>
        <v>56.75</v>
      </c>
      <c r="AD62" s="81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81">
        <f ca="1">IFERROR(__xludf.DUMMYFUNCTION("IMPORTRANGE(""https://docs.google.com/spreadsheets/d/1W5Jj_S0gYw6wSO7QcMI02YgyOBDKYgmm0NSUk-AQEac/edit?usp=sharing"",""ประจวบคีรีขันธ์!N200"")"),16000)</f>
        <v>16000</v>
      </c>
      <c r="AF62" s="82">
        <f t="shared" ca="1" si="87"/>
        <v>100</v>
      </c>
      <c r="AG62" s="81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81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82">
        <f t="shared" ca="1" si="88"/>
        <v>0</v>
      </c>
      <c r="AJ62" s="81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2">
        <f t="shared" ca="1" si="89"/>
        <v>0</v>
      </c>
      <c r="AM62" s="81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81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2">
        <f t="shared" ca="1" si="90"/>
        <v>100</v>
      </c>
      <c r="AP62" s="297" t="str">
        <f ca="1">IFERROR(__xludf.DUMMYFUNCTION("IMPORTRANGE(""https://docs.google.com/spreadsheets/d/1W5Jj_S0gYw6wSO7QcMI02YgyOBDKYgmm0NSUk-AQEac/edit?usp=sharing"",""ประจวบคีรีขันธ์!J206"")"),"")</f>
        <v/>
      </c>
      <c r="AQ62" s="297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81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81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2">
        <f t="shared" ca="1" si="91"/>
        <v>0</v>
      </c>
      <c r="AU62" s="81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81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2">
        <f t="shared" ca="1" si="92"/>
        <v>0</v>
      </c>
      <c r="AX62" s="81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81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2">
        <f t="shared" ca="1" si="93"/>
        <v>0</v>
      </c>
      <c r="BA62" s="81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81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2">
        <f t="shared" ca="1" si="94"/>
        <v>0</v>
      </c>
      <c r="BD62" s="81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81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2">
        <f t="shared" ca="1" si="95"/>
        <v>0</v>
      </c>
      <c r="BG62" s="81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81">
        <f ca="1">IFERROR(__xludf.DUMMYFUNCTION("IMPORTRANGE(""https://docs.google.com/spreadsheets/d/1W5Jj_S0gYw6wSO7QcMI02YgyOBDKYgmm0NSUk-AQEac/edit?usp=sharing"",""ประจวบคีรีขันธ์!N218"")"),1930)</f>
        <v>1930</v>
      </c>
      <c r="BI62" s="82">
        <f t="shared" ca="1" si="96"/>
        <v>64.333333333333329</v>
      </c>
      <c r="BJ62" s="81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81">
        <f ca="1">IFERROR(__xludf.DUMMYFUNCTION("IMPORTRANGE(""https://docs.google.com/spreadsheets/d/1W5Jj_S0gYw6wSO7QcMI02YgyOBDKYgmm0NSUk-AQEac/edit?usp=sharing"",""ประจวบคีรีขันธ์!N219"")"),5000)</f>
        <v>5000</v>
      </c>
      <c r="BL62" s="82">
        <f t="shared" ca="1" si="97"/>
        <v>100</v>
      </c>
      <c r="BM62" s="81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81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2">
        <f t="shared" ca="1" si="98"/>
        <v>0</v>
      </c>
      <c r="BP62" s="81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81">
        <f ca="1">IFERROR(__xludf.DUMMYFUNCTION("IMPORTRANGE(""https://docs.google.com/spreadsheets/d/1W5Jj_S0gYw6wSO7QcMI02YgyOBDKYgmm0NSUk-AQEac/edit?usp=sharing"",""ประจวบคีรีขันธ์!J223"")"),20000)</f>
        <v>20000</v>
      </c>
      <c r="BR62" s="82">
        <f t="shared" ca="1" si="99"/>
        <v>100</v>
      </c>
      <c r="BS62" s="81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81">
        <f ca="1">IFERROR(__xludf.DUMMYFUNCTION("IMPORTRANGE(""https://docs.google.com/spreadsheets/d/1W5Jj_S0gYw6wSO7QcMI02YgyOBDKYgmm0NSUk-AQEac/edit?usp=sharing"",""ประจวบคีรีขันธ์!J224"")"),20000)</f>
        <v>20000</v>
      </c>
      <c r="BU62" s="82">
        <f t="shared" ca="1" si="100"/>
        <v>100</v>
      </c>
      <c r="BV62" s="81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81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2">
        <f t="shared" ca="1" si="101"/>
        <v>0</v>
      </c>
      <c r="BY62" s="81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81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2">
        <f t="shared" ca="1" si="102"/>
        <v>0</v>
      </c>
      <c r="CB62" s="81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81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2">
        <f t="shared" ca="1" si="103"/>
        <v>0</v>
      </c>
      <c r="CE62" s="81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81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2">
        <f t="shared" ca="1" si="104"/>
        <v>0</v>
      </c>
      <c r="CH62" s="81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81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2">
        <f t="shared" ca="1" si="105"/>
        <v>0</v>
      </c>
      <c r="CK62" s="81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81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2">
        <f t="shared" ca="1" si="106"/>
        <v>0</v>
      </c>
      <c r="CN62" s="81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81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3">
        <v>11</v>
      </c>
      <c r="B63" s="74" t="s">
        <v>85</v>
      </c>
      <c r="C63" s="75">
        <f t="shared" ca="1" si="0"/>
        <v>112000</v>
      </c>
      <c r="D63" s="76">
        <f t="shared" ca="1" si="187"/>
        <v>112000</v>
      </c>
      <c r="E63" s="77">
        <f ca="1">IFERROR(__xludf.DUMMYFUNCTION("IMPORTRANGE(""https://docs.google.com/spreadsheets/d/1MeEWN-I1oV_STSDYn1IFDPWt_1FKiwhDph83XaGc0o0/edit?usp=sharing"",""งบพรบ!CP63"")"),0)</f>
        <v>0</v>
      </c>
      <c r="F63" s="77">
        <f ca="1">IFERROR(__xludf.DUMMYFUNCTION("IMPORTRANGE(""https://docs.google.com/spreadsheets/d/1MeEWN-I1oV_STSDYn1IFDPWt_1FKiwhDph83XaGc0o0/edit?usp=sharing"",""งบพรบ!CQ63"")"),112000)</f>
        <v>112000</v>
      </c>
      <c r="G63" s="77">
        <f ca="1">IFERROR(__xludf.DUMMYFUNCTION("IMPORTRANGE(""https://docs.google.com/spreadsheets/d/1MeEWN-I1oV_STSDYn1IFDPWt_1FKiwhDph83XaGc0o0/edit?usp=sharing"",""งบพรบ!CR63"")"),0)</f>
        <v>0</v>
      </c>
      <c r="H63" s="77">
        <f ca="1">IFERROR(__xludf.DUMMYFUNCTION("IMPORTRANGE(""https://docs.google.com/spreadsheets/d/1MeEWN-I1oV_STSDYn1IFDPWt_1FKiwhDph83XaGc0o0/edit?usp=sharing"",""งบพรบ!CT63"")"),117720)</f>
        <v>117720</v>
      </c>
      <c r="I63" s="77">
        <f ca="1">IFERROR(__xludf.DUMMYFUNCTION("IMPORTRANGE(""https://docs.google.com/spreadsheets/d/1MeEWN-I1oV_STSDYn1IFDPWt_1FKiwhDph83XaGc0o0/edit?usp=sharing"",""งบพรบ!CU63"")"),0)</f>
        <v>0</v>
      </c>
      <c r="J63" s="77">
        <f t="shared" ca="1" si="3"/>
        <v>117458</v>
      </c>
      <c r="K63" s="78">
        <f t="shared" ca="1" si="4"/>
        <v>104.87321428571428</v>
      </c>
      <c r="L63" s="77">
        <f ca="1">IFERROR(__xludf.DUMMYFUNCTION("IMPORTRANGE(""https://docs.google.com/spreadsheets/d/1MeEWN-I1oV_STSDYn1IFDPWt_1FKiwhDph83XaGc0o0/edit?usp=sharing"",""งบพรบ!CV63"")"),117458)</f>
        <v>117458</v>
      </c>
      <c r="M63" s="79">
        <f t="shared" ca="1" si="5"/>
        <v>104.87321428571428</v>
      </c>
      <c r="N63" s="79">
        <f t="shared" ca="1" si="6"/>
        <v>99.777437988447161</v>
      </c>
      <c r="O63" s="80">
        <f ca="1">IFERROR(__xludf.DUMMYFUNCTION("IMPORTRANGE(""https://docs.google.com/spreadsheets/d/1MeEWN-I1oV_STSDYn1IFDPWt_1FKiwhDph83XaGc0o0/edit?usp=sharing"",""งบพรบ!CW63"")"),0)</f>
        <v>0</v>
      </c>
      <c r="P63" s="80">
        <f t="shared" ca="1" si="10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IFERROR(__xludf.DUMMYFUNCTION("IMPORTRANGE(""https://docs.google.com/spreadsheets/d/1nYxRXgnCfTXtqUY1otYuTlnrzE0Tn-Y0YRsW5pkRVqo/edit?usp=sharing"",""ปราจีนบุรี!L191"")"),6000)</f>
        <v>6000</v>
      </c>
      <c r="S63" s="81">
        <f ca="1">IFERROR(__xludf.DUMMYFUNCTION("IMPORTRANGE(""https://docs.google.com/spreadsheets/d/1nYxRXgnCfTXtqUY1otYuTlnrzE0Tn-Y0YRsW5pkRVqo/edit?usp=sharing"",""ปราจีนบุรี!N191"")"),6000)</f>
        <v>6000</v>
      </c>
      <c r="T63" s="82">
        <f t="shared" ca="1" si="84"/>
        <v>100</v>
      </c>
      <c r="U63" s="81">
        <f ca="1">IFERROR(__xludf.DUMMYFUNCTION("IMPORTRANGE(""https://docs.google.com/spreadsheets/d/1nYxRXgnCfTXtqUY1otYuTlnrzE0Tn-Y0YRsW5pkRVqo/edit?usp=sharing"",""ปราจีนบุรี!I193"")"),4)</f>
        <v>4</v>
      </c>
      <c r="V63" s="81">
        <f ca="1">IFERROR(__xludf.DUMMYFUNCTION("IMPORTRANGE(""https://docs.google.com/spreadsheets/d/1nYxRXgnCfTXtqUY1otYuTlnrzE0Tn-Y0YRsW5pkRVqo/edit?usp=sharing"",""ปราจีนบุรี!J193"")"),4)</f>
        <v>4</v>
      </c>
      <c r="W63" s="82">
        <f t="shared" ca="1" si="85"/>
        <v>100</v>
      </c>
      <c r="X63" s="81">
        <f t="shared" ca="1" si="188"/>
        <v>25</v>
      </c>
      <c r="Y63" s="81">
        <f ca="1">IFERROR(__xludf.DUMMYFUNCTION("IMPORTRANGE(""https://docs.google.com/spreadsheets/d/1nYxRXgnCfTXtqUY1otYuTlnrzE0Tn-Y0YRsW5pkRVqo/edit?usp=sharing"",""ปราจีนบุรี!J195"")"),25)</f>
        <v>25</v>
      </c>
      <c r="Z63" s="81">
        <f ca="1">IFERROR(__xludf.DUMMYFUNCTION("IMPORTRANGE(""https://docs.google.com/spreadsheets/d/1nYxRXgnCfTXtqUY1otYuTlnrzE0Tn-Y0YRsW5pkRVqo/edit?usp=sharing"",""ปราจีนบุรี!J196"")"),0)</f>
        <v>0</v>
      </c>
      <c r="AA63" s="81">
        <f ca="1">IFERROR(__xludf.DUMMYFUNCTION("IMPORTRANGE(""https://docs.google.com/spreadsheets/d/1nYxRXgnCfTXtqUY1otYuTlnrzE0Tn-Y0YRsW5pkRVqo/edit?usp=sharing"",""ปราจีนบุรี!L199"")"),3000)</f>
        <v>3000</v>
      </c>
      <c r="AB63" s="81">
        <f ca="1">IFERROR(__xludf.DUMMYFUNCTION("IMPORTRANGE(""https://docs.google.com/spreadsheets/d/1nYxRXgnCfTXtqUY1otYuTlnrzE0Tn-Y0YRsW5pkRVqo/edit?usp=sharing"",""ปราจีนบุรี!N199"")"),3000)</f>
        <v>3000</v>
      </c>
      <c r="AC63" s="82">
        <f t="shared" ca="1" si="86"/>
        <v>100</v>
      </c>
      <c r="AD63" s="81">
        <f ca="1">IFERROR(__xludf.DUMMYFUNCTION("IMPORTRANGE(""https://docs.google.com/spreadsheets/d/1nYxRXgnCfTXtqUY1otYuTlnrzE0Tn-Y0YRsW5pkRVqo/edit?usp=sharing"",""ปราจีนบุรี!L200"")"),24000)</f>
        <v>24000</v>
      </c>
      <c r="AE63" s="81">
        <f ca="1">IFERROR(__xludf.DUMMYFUNCTION("IMPORTRANGE(""https://docs.google.com/spreadsheets/d/1nYxRXgnCfTXtqUY1otYuTlnrzE0Tn-Y0YRsW5pkRVqo/edit?usp=sharing"",""ปราจีนบุรี!N200"")"),24000)</f>
        <v>24000</v>
      </c>
      <c r="AF63" s="82">
        <f t="shared" ca="1" si="87"/>
        <v>100</v>
      </c>
      <c r="AG63" s="81">
        <f ca="1">IFERROR(__xludf.DUMMYFUNCTION("IMPORTRANGE(""https://docs.google.com/spreadsheets/d/1nYxRXgnCfTXtqUY1otYuTlnrzE0Tn-Y0YRsW5pkRVqo/edit?usp=sharing"",""ปราจีนบุรี!L201"")"),12000)</f>
        <v>12000</v>
      </c>
      <c r="AH63" s="81">
        <f ca="1">IFERROR(__xludf.DUMMYFUNCTION("IMPORTRANGE(""https://docs.google.com/spreadsheets/d/1nYxRXgnCfTXtqUY1otYuTlnrzE0Tn-Y0YRsW5pkRVqo/edit?usp=sharing"",""ปราจีนบุรี!N201"")"),12000)</f>
        <v>12000</v>
      </c>
      <c r="AI63" s="82">
        <f t="shared" ca="1" si="88"/>
        <v>100</v>
      </c>
      <c r="AJ63" s="81">
        <f ca="1">IFERROR(__xludf.DUMMYFUNCTION("IMPORTRANGE(""https://docs.google.com/spreadsheets/d/1nYxRXgnCfTXtqUY1otYuTlnrzE0Tn-Y0YRsW5pkRVqo/edit?usp=sharing"",""ปราจีนบุรี!L202"")"),0)</f>
        <v>0</v>
      </c>
      <c r="AK63" s="81">
        <f ca="1">IFERROR(__xludf.DUMMYFUNCTION("IMPORTRANGE(""https://docs.google.com/spreadsheets/d/1nYxRXgnCfTXtqUY1otYuTlnrzE0Tn-Y0YRsW5pkRVqo/edit?usp=sharing"",""ปราจีนบุรี!N202"")"),0)</f>
        <v>0</v>
      </c>
      <c r="AL63" s="82">
        <f t="shared" ca="1" si="89"/>
        <v>0</v>
      </c>
      <c r="AM63" s="81">
        <f ca="1">IFERROR(__xludf.DUMMYFUNCTION("IMPORTRANGE(""https://docs.google.com/spreadsheets/d/1nYxRXgnCfTXtqUY1otYuTlnrzE0Tn-Y0YRsW5pkRVqo/edit?usp=sharing"",""ปราจีนบุรี!I204"")"),3)</f>
        <v>3</v>
      </c>
      <c r="AN63" s="81">
        <f ca="1">IFERROR(__xludf.DUMMYFUNCTION("IMPORTRANGE(""https://docs.google.com/spreadsheets/d/1nYxRXgnCfTXtqUY1otYuTlnrzE0Tn-Y0YRsW5pkRVqo/edit?usp=sharing"",""ปราจีนบุรี!J204"")"),3)</f>
        <v>3</v>
      </c>
      <c r="AO63" s="82">
        <f t="shared" ca="1" si="90"/>
        <v>100</v>
      </c>
      <c r="AP63" s="297">
        <f ca="1">IFERROR(__xludf.DUMMYFUNCTION("IMPORTRANGE(""https://docs.google.com/spreadsheets/d/1nYxRXgnCfTXtqUY1otYuTlnrzE0Tn-Y0YRsW5pkRVqo/edit?usp=sharing"",""ปราจีนบุรี!J206"")"),3)</f>
        <v>3</v>
      </c>
      <c r="AQ63" s="297">
        <f ca="1">IFERROR(__xludf.DUMMYFUNCTION("IMPORTRANGE(""https://docs.google.com/spreadsheets/d/1nYxRXgnCfTXtqUY1otYuTlnrzE0Tn-Y0YRsW5pkRVqo/edit?usp=sharing"",""ปราจีนบุรี!J207"")"),0)</f>
        <v>0</v>
      </c>
      <c r="AR63" s="81">
        <f ca="1">IFERROR(__xludf.DUMMYFUNCTION("IMPORTRANGE(""https://docs.google.com/spreadsheets/d/1nYxRXgnCfTXtqUY1otYuTlnrzE0Tn-Y0YRsW5pkRVqo/edit?usp=sharing"",""ปราจีนบุรี!L210"")"),0)</f>
        <v>0</v>
      </c>
      <c r="AS63" s="81">
        <f ca="1">IFERROR(__xludf.DUMMYFUNCTION("IMPORTRANGE(""https://docs.google.com/spreadsheets/d/1nYxRXgnCfTXtqUY1otYuTlnrzE0Tn-Y0YRsW5pkRVqo/edit?usp=sharing"",""ปราจีนบุรี!N210"")"),0)</f>
        <v>0</v>
      </c>
      <c r="AT63" s="82">
        <f t="shared" ca="1" si="91"/>
        <v>0</v>
      </c>
      <c r="AU63" s="81">
        <f ca="1">IFERROR(__xludf.DUMMYFUNCTION("IMPORTRANGE(""https://docs.google.com/spreadsheets/d/1nYxRXgnCfTXtqUY1otYuTlnrzE0Tn-Y0YRsW5pkRVqo/edit?usp=sharing"",""ปราจีนบุรี!L211"")"),0)</f>
        <v>0</v>
      </c>
      <c r="AV63" s="81">
        <f ca="1">IFERROR(__xludf.DUMMYFUNCTION("IMPORTRANGE(""https://docs.google.com/spreadsheets/d/1nYxRXgnCfTXtqUY1otYuTlnrzE0Tn-Y0YRsW5pkRVqo/edit?usp=sharing"",""ปราจีนบุรี!N211"")"),0)</f>
        <v>0</v>
      </c>
      <c r="AW63" s="82">
        <f t="shared" ca="1" si="92"/>
        <v>0</v>
      </c>
      <c r="AX63" s="81">
        <f ca="1">IFERROR(__xludf.DUMMYFUNCTION("IMPORTRANGE(""https://docs.google.com/spreadsheets/d/1nYxRXgnCfTXtqUY1otYuTlnrzE0Tn-Y0YRsW5pkRVqo/edit?usp=sharing"",""ปราจีนบุรี!L212"")"),0)</f>
        <v>0</v>
      </c>
      <c r="AY63" s="81">
        <f ca="1">IFERROR(__xludf.DUMMYFUNCTION("IMPORTRANGE(""https://docs.google.com/spreadsheets/d/1nYxRXgnCfTXtqUY1otYuTlnrzE0Tn-Y0YRsW5pkRVqo/edit?usp=sharing"",""ปราจีนบุรี!N212"")"),0)</f>
        <v>0</v>
      </c>
      <c r="AZ63" s="82">
        <f t="shared" ca="1" si="93"/>
        <v>0</v>
      </c>
      <c r="BA63" s="81">
        <f ca="1">IFERROR(__xludf.DUMMYFUNCTION("IMPORTRANGE(""https://docs.google.com/spreadsheets/d/1nYxRXgnCfTXtqUY1otYuTlnrzE0Tn-Y0YRsW5pkRVqo/edit?usp=sharing"",""ปราจีนบุรี!I214"")"),0)</f>
        <v>0</v>
      </c>
      <c r="BB63" s="81">
        <f ca="1">IFERROR(__xludf.DUMMYFUNCTION("IMPORTRANGE(""https://docs.google.com/spreadsheets/d/1nYxRXgnCfTXtqUY1otYuTlnrzE0Tn-Y0YRsW5pkRVqo/edit?usp=sharing"",""ปราจีนบุรี!J214"")"),0)</f>
        <v>0</v>
      </c>
      <c r="BC63" s="82">
        <f t="shared" ca="1" si="94"/>
        <v>0</v>
      </c>
      <c r="BD63" s="81">
        <f ca="1">IFERROR(__xludf.DUMMYFUNCTION("IMPORTRANGE(""https://docs.google.com/spreadsheets/d/1nYxRXgnCfTXtqUY1otYuTlnrzE0Tn-Y0YRsW5pkRVqo/edit?usp=sharing"",""ปราจีนบุรี!I215"")"),0)</f>
        <v>0</v>
      </c>
      <c r="BE63" s="81">
        <f ca="1">IFERROR(__xludf.DUMMYFUNCTION("IMPORTRANGE(""https://docs.google.com/spreadsheets/d/1nYxRXgnCfTXtqUY1otYuTlnrzE0Tn-Y0YRsW5pkRVqo/edit?usp=sharing"",""ปราจีนบุรี!J215"")"),0)</f>
        <v>0</v>
      </c>
      <c r="BF63" s="82">
        <f t="shared" ca="1" si="95"/>
        <v>0</v>
      </c>
      <c r="BG63" s="81">
        <f ca="1">IFERROR(__xludf.DUMMYFUNCTION("IMPORTRANGE(""https://docs.google.com/spreadsheets/d/1nYxRXgnCfTXtqUY1otYuTlnrzE0Tn-Y0YRsW5pkRVqo/edit?usp=sharing"",""ปราจีนบุรี!L218"")"),3000)</f>
        <v>3000</v>
      </c>
      <c r="BH63" s="81">
        <f ca="1">IFERROR(__xludf.DUMMYFUNCTION("IMPORTRANGE(""https://docs.google.com/spreadsheets/d/1nYxRXgnCfTXtqUY1otYuTlnrzE0Tn-Y0YRsW5pkRVqo/edit?usp=sharing"",""ปราจีนบุรี!N218"")"),3000)</f>
        <v>3000</v>
      </c>
      <c r="BI63" s="82">
        <f t="shared" ca="1" si="96"/>
        <v>100</v>
      </c>
      <c r="BJ63" s="81">
        <f ca="1">IFERROR(__xludf.DUMMYFUNCTION("IMPORTRANGE(""https://docs.google.com/spreadsheets/d/1nYxRXgnCfTXtqUY1otYuTlnrzE0Tn-Y0YRsW5pkRVqo/edit?usp=sharing"",""ปราจีนบุรี!L219"")"),5000)</f>
        <v>5000</v>
      </c>
      <c r="BK63" s="81">
        <f ca="1">IFERROR(__xludf.DUMMYFUNCTION("IMPORTRANGE(""https://docs.google.com/spreadsheets/d/1nYxRXgnCfTXtqUY1otYuTlnrzE0Tn-Y0YRsW5pkRVqo/edit?usp=sharing"",""ปราจีนบุรี!N219"")"),5000)</f>
        <v>5000</v>
      </c>
      <c r="BL63" s="82">
        <f t="shared" ca="1" si="97"/>
        <v>100</v>
      </c>
      <c r="BM63" s="81">
        <f ca="1">IFERROR(__xludf.DUMMYFUNCTION("IMPORTRANGE(""https://docs.google.com/spreadsheets/d/1nYxRXgnCfTXtqUY1otYuTlnrzE0Tn-Y0YRsW5pkRVqo/edit?usp=sharing"",""ปราจีนบุรี!L220"")"),0)</f>
        <v>0</v>
      </c>
      <c r="BN63" s="81">
        <f ca="1">IFERROR(__xludf.DUMMYFUNCTION("IMPORTRANGE(""https://docs.google.com/spreadsheets/d/1nYxRXgnCfTXtqUY1otYuTlnrzE0Tn-Y0YRsW5pkRVqo/edit?usp=sharing"",""ปราจีนบุรี!N220"")"),0)</f>
        <v>0</v>
      </c>
      <c r="BO63" s="82">
        <f t="shared" ca="1" si="98"/>
        <v>0</v>
      </c>
      <c r="BP63" s="81">
        <f ca="1">IFERROR(__xludf.DUMMYFUNCTION("IMPORTRANGE(""https://docs.google.com/spreadsheets/d/1nYxRXgnCfTXtqUY1otYuTlnrzE0Tn-Y0YRsW5pkRVqo/edit?usp=sharing"",""ปราจีนบุรี!I223"")"),20000)</f>
        <v>20000</v>
      </c>
      <c r="BQ63" s="81">
        <f ca="1">IFERROR(__xludf.DUMMYFUNCTION("IMPORTRANGE(""https://docs.google.com/spreadsheets/d/1nYxRXgnCfTXtqUY1otYuTlnrzE0Tn-Y0YRsW5pkRVqo/edit?usp=sharing"",""ปราจีนบุรี!J223"")"),20000)</f>
        <v>20000</v>
      </c>
      <c r="BR63" s="82">
        <f t="shared" ca="1" si="99"/>
        <v>100</v>
      </c>
      <c r="BS63" s="81">
        <f ca="1">IFERROR(__xludf.DUMMYFUNCTION("IMPORTRANGE(""https://docs.google.com/spreadsheets/d/1nYxRXgnCfTXtqUY1otYuTlnrzE0Tn-Y0YRsW5pkRVqo/edit?usp=sharing"",""ปราจีนบุรี!I224"")"),20000)</f>
        <v>20000</v>
      </c>
      <c r="BT63" s="81">
        <f ca="1">IFERROR(__xludf.DUMMYFUNCTION("IMPORTRANGE(""https://docs.google.com/spreadsheets/d/1nYxRXgnCfTXtqUY1otYuTlnrzE0Tn-Y0YRsW5pkRVqo/edit?usp=sharing"",""ปราจีนบุรี!J224"")"),20000)</f>
        <v>20000</v>
      </c>
      <c r="BU63" s="82">
        <f t="shared" ca="1" si="100"/>
        <v>100</v>
      </c>
      <c r="BV63" s="81">
        <f ca="1">IFERROR(__xludf.DUMMYFUNCTION("IMPORTRANGE(""https://docs.google.com/spreadsheets/d/1nYxRXgnCfTXtqUY1otYuTlnrzE0Tn-Y0YRsW5pkRVqo/edit?usp=sharing"",""ปราจีนบุรี!I225"")"),0)</f>
        <v>0</v>
      </c>
      <c r="BW63" s="81">
        <f ca="1">IFERROR(__xludf.DUMMYFUNCTION("IMPORTRANGE(""https://docs.google.com/spreadsheets/d/1nYxRXgnCfTXtqUY1otYuTlnrzE0Tn-Y0YRsW5pkRVqo/edit?usp=sharing"",""ปราจีนบุรี!J225"")"),0)</f>
        <v>0</v>
      </c>
      <c r="BX63" s="82">
        <f t="shared" ca="1" si="101"/>
        <v>0</v>
      </c>
      <c r="BY63" s="81">
        <f ca="1">IFERROR(__xludf.DUMMYFUNCTION("IMPORTRANGE(""https://docs.google.com/spreadsheets/d/1nYxRXgnCfTXtqUY1otYuTlnrzE0Tn-Y0YRsW5pkRVqo/edit?usp=sharing"",""ปราจีนบุรี!L228"")"),17000)</f>
        <v>17000</v>
      </c>
      <c r="BZ63" s="81">
        <f ca="1">IFERROR(__xludf.DUMMYFUNCTION("IMPORTRANGE(""https://docs.google.com/spreadsheets/d/1nYxRXgnCfTXtqUY1otYuTlnrzE0Tn-Y0YRsW5pkRVqo/edit?usp=sharing"",""ปราจีนบุรี!N228"")"),17000)</f>
        <v>17000</v>
      </c>
      <c r="CA63" s="82">
        <f t="shared" ca="1" si="102"/>
        <v>100</v>
      </c>
      <c r="CB63" s="81">
        <f ca="1">IFERROR(__xludf.DUMMYFUNCTION("IMPORTRANGE(""https://docs.google.com/spreadsheets/d/1nYxRXgnCfTXtqUY1otYuTlnrzE0Tn-Y0YRsW5pkRVqo/edit?usp=sharing"",""ปราจีนบุรี!L229"")"),32000)</f>
        <v>32000</v>
      </c>
      <c r="CC63" s="81">
        <f ca="1">IFERROR(__xludf.DUMMYFUNCTION("IMPORTRANGE(""https://docs.google.com/spreadsheets/d/1nYxRXgnCfTXtqUY1otYuTlnrzE0Tn-Y0YRsW5pkRVqo/edit?usp=sharing"",""ปราจีนบุรี!N229"")"),32000)</f>
        <v>32000</v>
      </c>
      <c r="CD63" s="82">
        <f t="shared" ca="1" si="103"/>
        <v>100</v>
      </c>
      <c r="CE63" s="81">
        <f ca="1">IFERROR(__xludf.DUMMYFUNCTION("IMPORTRANGE(""https://docs.google.com/spreadsheets/d/1nYxRXgnCfTXtqUY1otYuTlnrzE0Tn-Y0YRsW5pkRVqo/edit?usp=sharing"",""ปราจีนบุรี!L230"")"),0)</f>
        <v>0</v>
      </c>
      <c r="CF63" s="81">
        <f ca="1">IFERROR(__xludf.DUMMYFUNCTION("IMPORTRANGE(""https://docs.google.com/spreadsheets/d/1nYxRXgnCfTXtqUY1otYuTlnrzE0Tn-Y0YRsW5pkRVqo/edit?usp=sharing"",""ปราจีนบุรี!N230"")"),0)</f>
        <v>0</v>
      </c>
      <c r="CG63" s="82">
        <f t="shared" ca="1" si="104"/>
        <v>0</v>
      </c>
      <c r="CH63" s="81">
        <f ca="1">IFERROR(__xludf.DUMMYFUNCTION("IMPORTRANGE(""https://docs.google.com/spreadsheets/d/1nYxRXgnCfTXtqUY1otYuTlnrzE0Tn-Y0YRsW5pkRVqo/edit?usp=sharing"",""ปราจีนบุรี!L231"")"),10000)</f>
        <v>10000</v>
      </c>
      <c r="CI63" s="81">
        <f ca="1">IFERROR(__xludf.DUMMYFUNCTION("IMPORTRANGE(""https://docs.google.com/spreadsheets/d/1nYxRXgnCfTXtqUY1otYuTlnrzE0Tn-Y0YRsW5pkRVqo/edit?usp=sharing"",""ปราจีนบุรี!N231"")"),10000)</f>
        <v>10000</v>
      </c>
      <c r="CJ63" s="82">
        <f t="shared" ca="1" si="105"/>
        <v>100</v>
      </c>
      <c r="CK63" s="81">
        <f ca="1">IFERROR(__xludf.DUMMYFUNCTION("IMPORTRANGE(""https://docs.google.com/spreadsheets/d/1nYxRXgnCfTXtqUY1otYuTlnrzE0Tn-Y0YRsW5pkRVqo/edit?usp=sharing"",""ปราจีนบุรี!I233"")"),20)</f>
        <v>20</v>
      </c>
      <c r="CL63" s="81">
        <f ca="1">IFERROR(__xludf.DUMMYFUNCTION("IMPORTRANGE(""https://docs.google.com/spreadsheets/d/1nYxRXgnCfTXtqUY1otYuTlnrzE0Tn-Y0YRsW5pkRVqo/edit?usp=sharing"",""ปราจีนบุรี!J233"")"),20)</f>
        <v>20</v>
      </c>
      <c r="CM63" s="82">
        <f t="shared" ca="1" si="106"/>
        <v>100</v>
      </c>
      <c r="CN63" s="81">
        <f ca="1">IFERROR(__xludf.DUMMYFUNCTION("IMPORTRANGE(""https://docs.google.com/spreadsheets/d/1nYxRXgnCfTXtqUY1otYuTlnrzE0Tn-Y0YRsW5pkRVqo/edit?usp=sharing"",""ปราจีนบุรี!J235"")"),0)</f>
        <v>0</v>
      </c>
      <c r="CO63" s="81">
        <f ca="1">IFERROR(__xludf.DUMMYFUNCTION("IMPORTRANGE(""https://docs.google.com/spreadsheets/d/1nYxRXgnCfTXtqUY1otYuTlnrzE0Tn-Y0YRsW5pkRVqo/edit?usp=sharing"",""ปราจีนบุรี!J236"")"),1)</f>
        <v>1</v>
      </c>
    </row>
    <row r="64" spans="1:93" ht="21" customHeight="1" x14ac:dyDescent="0.3">
      <c r="A64" s="73">
        <v>12</v>
      </c>
      <c r="B64" s="74" t="s">
        <v>86</v>
      </c>
      <c r="C64" s="75">
        <f t="shared" ca="1" si="0"/>
        <v>527750</v>
      </c>
      <c r="D64" s="76">
        <f t="shared" ca="1" si="187"/>
        <v>527750</v>
      </c>
      <c r="E64" s="77">
        <f ca="1">IFERROR(__xludf.DUMMYFUNCTION("IMPORTRANGE(""https://docs.google.com/spreadsheets/d/1MeEWN-I1oV_STSDYn1IFDPWt_1FKiwhDph83XaGc0o0/edit?usp=sharing"",""งบพรบ!CP64"")"),286000)</f>
        <v>286000</v>
      </c>
      <c r="F64" s="77">
        <f ca="1">IFERROR(__xludf.DUMMYFUNCTION("IMPORTRANGE(""https://docs.google.com/spreadsheets/d/1MeEWN-I1oV_STSDYn1IFDPWt_1FKiwhDph83XaGc0o0/edit?usp=sharing"",""งบพรบ!CQ64"")"),241750)</f>
        <v>241750</v>
      </c>
      <c r="G64" s="77">
        <f ca="1">IFERROR(__xludf.DUMMYFUNCTION("IMPORTRANGE(""https://docs.google.com/spreadsheets/d/1MeEWN-I1oV_STSDYn1IFDPWt_1FKiwhDph83XaGc0o0/edit?usp=sharing"",""งบพรบ!CR64"")"),0)</f>
        <v>0</v>
      </c>
      <c r="H64" s="77">
        <f ca="1">IFERROR(__xludf.DUMMYFUNCTION("IMPORTRANGE(""https://docs.google.com/spreadsheets/d/1MeEWN-I1oV_STSDYn1IFDPWt_1FKiwhDph83XaGc0o0/edit?usp=sharing"",""งบพรบ!CT64"")"),559770)</f>
        <v>559770</v>
      </c>
      <c r="I64" s="77">
        <f ca="1">IFERROR(__xludf.DUMMYFUNCTION("IMPORTRANGE(""https://docs.google.com/spreadsheets/d/1MeEWN-I1oV_STSDYn1IFDPWt_1FKiwhDph83XaGc0o0/edit?usp=sharing"",""งบพรบ!CU64"")"),0)</f>
        <v>0</v>
      </c>
      <c r="J64" s="77">
        <f t="shared" ca="1" si="3"/>
        <v>534967.31000000006</v>
      </c>
      <c r="K64" s="78">
        <f t="shared" ca="1" si="4"/>
        <v>101.36756229275227</v>
      </c>
      <c r="L64" s="77">
        <f ca="1">IFERROR(__xludf.DUMMYFUNCTION("IMPORTRANGE(""https://docs.google.com/spreadsheets/d/1MeEWN-I1oV_STSDYn1IFDPWt_1FKiwhDph83XaGc0o0/edit?usp=sharing"",""งบพรบ!CV64"")"),534967.31)</f>
        <v>534967.31000000006</v>
      </c>
      <c r="M64" s="79">
        <f t="shared" ca="1" si="5"/>
        <v>101.36756229275227</v>
      </c>
      <c r="N64" s="79">
        <f t="shared" ca="1" si="6"/>
        <v>95.569128392018158</v>
      </c>
      <c r="O64" s="80">
        <f ca="1">IFERROR(__xludf.DUMMYFUNCTION("IMPORTRANGE(""https://docs.google.com/spreadsheets/d/1MeEWN-I1oV_STSDYn1IFDPWt_1FKiwhDph83XaGc0o0/edit?usp=sharing"",""งบพรบ!CW64"")"),0)</f>
        <v>0</v>
      </c>
      <c r="P64" s="80">
        <f t="shared" ca="1" si="10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81">
        <f ca="1">IFERROR(__xludf.DUMMYFUNCTION("IMPORTRANGE(""https://docs.google.com/spreadsheets/d/1nNHCLO8ZAXOMfQvxux7cf_hrzPAh8FAvaHq_ClKbZNo/edit?usp=sharing"",""พระนครศรีอยุธยา!N191"")"),6000)</f>
        <v>6000</v>
      </c>
      <c r="T64" s="82">
        <f t="shared" ca="1" si="84"/>
        <v>100</v>
      </c>
      <c r="U64" s="81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81">
        <f ca="1">IFERROR(__xludf.DUMMYFUNCTION("IMPORTRANGE(""https://docs.google.com/spreadsheets/d/1nNHCLO8ZAXOMfQvxux7cf_hrzPAh8FAvaHq_ClKbZNo/edit?usp=sharing"",""พระนครศรีอยุธยา!J193"")"),4)</f>
        <v>4</v>
      </c>
      <c r="W64" s="82">
        <f t="shared" ca="1" si="85"/>
        <v>100</v>
      </c>
      <c r="X64" s="81">
        <f t="shared" ca="1" si="188"/>
        <v>179</v>
      </c>
      <c r="Y64" s="81">
        <f ca="1">IFERROR(__xludf.DUMMYFUNCTION("IMPORTRANGE(""https://docs.google.com/spreadsheets/d/1nNHCLO8ZAXOMfQvxux7cf_hrzPAh8FAvaHq_ClKbZNo/edit?usp=sharing"",""พระนครศรีอยุธยา!J195"")"),179)</f>
        <v>179</v>
      </c>
      <c r="Z64" s="81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81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81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2">
        <f t="shared" ca="1" si="86"/>
        <v>0</v>
      </c>
      <c r="AD64" s="81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81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2">
        <f t="shared" ca="1" si="87"/>
        <v>0</v>
      </c>
      <c r="AG64" s="81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2">
        <f t="shared" ca="1" si="88"/>
        <v>0</v>
      </c>
      <c r="AJ64" s="81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81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2">
        <f t="shared" ca="1" si="89"/>
        <v>0</v>
      </c>
      <c r="AM64" s="81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81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2">
        <f t="shared" ca="1" si="90"/>
        <v>0</v>
      </c>
      <c r="AP64" s="297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97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81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81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2">
        <f t="shared" ca="1" si="91"/>
        <v>0</v>
      </c>
      <c r="AU64" s="81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81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2">
        <f t="shared" ca="1" si="92"/>
        <v>0</v>
      </c>
      <c r="AX64" s="81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81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2">
        <f t="shared" ca="1" si="93"/>
        <v>0</v>
      </c>
      <c r="BA64" s="81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81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2">
        <f t="shared" ca="1" si="94"/>
        <v>0</v>
      </c>
      <c r="BD64" s="81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81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2">
        <f t="shared" ca="1" si="95"/>
        <v>0</v>
      </c>
      <c r="BG64" s="81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81">
        <f ca="1">IFERROR(__xludf.DUMMYFUNCTION("IMPORTRANGE(""https://docs.google.com/spreadsheets/d/1nNHCLO8ZAXOMfQvxux7cf_hrzPAh8FAvaHq_ClKbZNo/edit?usp=sharing"",""พระนครศรีอยุธยา!N218"")"),3000)</f>
        <v>3000</v>
      </c>
      <c r="BI64" s="82">
        <f t="shared" ca="1" si="96"/>
        <v>100</v>
      </c>
      <c r="BJ64" s="81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81">
        <f ca="1">IFERROR(__xludf.DUMMYFUNCTION("IMPORTRANGE(""https://docs.google.com/spreadsheets/d/1nNHCLO8ZAXOMfQvxux7cf_hrzPAh8FAvaHq_ClKbZNo/edit?usp=sharing"",""พระนครศรีอยุธยา!N219"")"),5000)</f>
        <v>5000</v>
      </c>
      <c r="BL64" s="82">
        <f t="shared" ca="1" si="97"/>
        <v>100</v>
      </c>
      <c r="BM64" s="81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81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2">
        <f t="shared" ca="1" si="98"/>
        <v>0</v>
      </c>
      <c r="BP64" s="81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81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82">
        <f t="shared" ca="1" si="99"/>
        <v>100</v>
      </c>
      <c r="BS64" s="81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81">
        <f ca="1">IFERROR(__xludf.DUMMYFUNCTION("IMPORTRANGE(""https://docs.google.com/spreadsheets/d/1nNHCLO8ZAXOMfQvxux7cf_hrzPAh8FAvaHq_ClKbZNo/edit?usp=sharing"",""พระนครศรีอยุธยา!J224"")"),20000)</f>
        <v>20000</v>
      </c>
      <c r="BU64" s="82">
        <f t="shared" ca="1" si="100"/>
        <v>100</v>
      </c>
      <c r="BV64" s="81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81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2">
        <f t="shared" ca="1" si="101"/>
        <v>0</v>
      </c>
      <c r="BY64" s="81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81">
        <f ca="1">IFERROR(__xludf.DUMMYFUNCTION("IMPORTRANGE(""https://docs.google.com/spreadsheets/d/1nNHCLO8ZAXOMfQvxux7cf_hrzPAh8FAvaHq_ClKbZNo/edit?usp=sharing"",""พระนครศรีอยุธยา!N228"")"),152089.4)</f>
        <v>152089.4</v>
      </c>
      <c r="CA64" s="82">
        <f t="shared" ca="1" si="102"/>
        <v>93.306380368098161</v>
      </c>
      <c r="CB64" s="81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81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2">
        <f t="shared" ca="1" si="103"/>
        <v>100</v>
      </c>
      <c r="CE64" s="81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81">
        <f ca="1">IFERROR(__xludf.DUMMYFUNCTION("IMPORTRANGE(""https://docs.google.com/spreadsheets/d/1nNHCLO8ZAXOMfQvxux7cf_hrzPAh8FAvaHq_ClKbZNo/edit?usp=sharing"",""พระนครศรีอยุธยา!N230"")"),17500)</f>
        <v>17500</v>
      </c>
      <c r="CG64" s="82">
        <f t="shared" ca="1" si="104"/>
        <v>100</v>
      </c>
      <c r="CH64" s="81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81">
        <f ca="1">IFERROR(__xludf.DUMMYFUNCTION("IMPORTRANGE(""https://docs.google.com/spreadsheets/d/1nNHCLO8ZAXOMfQvxux7cf_hrzPAh8FAvaHq_ClKbZNo/edit?usp=sharing"",""พระนครศรีอยุธยา!N231"")"),10000)</f>
        <v>10000</v>
      </c>
      <c r="CJ64" s="82">
        <f t="shared" ca="1" si="105"/>
        <v>100</v>
      </c>
      <c r="CK64" s="81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81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2">
        <f t="shared" ca="1" si="106"/>
        <v>100</v>
      </c>
      <c r="CN64" s="81">
        <f ca="1">IFERROR(__xludf.DUMMYFUNCTION("IMPORTRANGE(""https://docs.google.com/spreadsheets/d/1nNHCLO8ZAXOMfQvxux7cf_hrzPAh8FAvaHq_ClKbZNo/edit?usp=sharing"",""พระนครศรีอยุธยา!J235"")"),35)</f>
        <v>35</v>
      </c>
      <c r="CO64" s="81">
        <f ca="1">IFERROR(__xludf.DUMMYFUNCTION("IMPORTRANGE(""https://docs.google.com/spreadsheets/d/1nNHCLO8ZAXOMfQvxux7cf_hrzPAh8FAvaHq_ClKbZNo/edit?usp=sharing"",""พระนครศรีอยุธยา!J236"")"),1)</f>
        <v>1</v>
      </c>
    </row>
    <row r="65" spans="1:93" ht="21" customHeight="1" x14ac:dyDescent="0.3">
      <c r="A65" s="73">
        <v>13</v>
      </c>
      <c r="B65" s="74" t="s">
        <v>87</v>
      </c>
      <c r="C65" s="75">
        <f t="shared" ca="1" si="0"/>
        <v>45500</v>
      </c>
      <c r="D65" s="76">
        <f t="shared" ca="1" si="187"/>
        <v>45500</v>
      </c>
      <c r="E65" s="77">
        <f ca="1">IFERROR(__xludf.DUMMYFUNCTION("IMPORTRANGE(""https://docs.google.com/spreadsheets/d/1MeEWN-I1oV_STSDYn1IFDPWt_1FKiwhDph83XaGc0o0/edit?usp=sharing"",""งบพรบ!CP65"")"),0)</f>
        <v>0</v>
      </c>
      <c r="F65" s="77">
        <f ca="1">IFERROR(__xludf.DUMMYFUNCTION("IMPORTRANGE(""https://docs.google.com/spreadsheets/d/1MeEWN-I1oV_STSDYn1IFDPWt_1FKiwhDph83XaGc0o0/edit?usp=sharing"",""งบพรบ!CQ65"")"),45500)</f>
        <v>45500</v>
      </c>
      <c r="G65" s="77">
        <f ca="1">IFERROR(__xludf.DUMMYFUNCTION("IMPORTRANGE(""https://docs.google.com/spreadsheets/d/1MeEWN-I1oV_STSDYn1IFDPWt_1FKiwhDph83XaGc0o0/edit?usp=sharing"",""งบพรบ!CR65"")"),0)</f>
        <v>0</v>
      </c>
      <c r="H65" s="77">
        <f ca="1">IFERROR(__xludf.DUMMYFUNCTION("IMPORTRANGE(""https://docs.google.com/spreadsheets/d/1MeEWN-I1oV_STSDYn1IFDPWt_1FKiwhDph83XaGc0o0/edit?usp=sharing"",""งบพรบ!CT65"")"),45500)</f>
        <v>45500</v>
      </c>
      <c r="I65" s="77">
        <f ca="1">IFERROR(__xludf.DUMMYFUNCTION("IMPORTRANGE(""https://docs.google.com/spreadsheets/d/1MeEWN-I1oV_STSDYn1IFDPWt_1FKiwhDph83XaGc0o0/edit?usp=sharing"",""งบพรบ!CU65"")"),0)</f>
        <v>0</v>
      </c>
      <c r="J65" s="77">
        <f t="shared" ca="1" si="3"/>
        <v>38310</v>
      </c>
      <c r="K65" s="78">
        <f t="shared" ca="1" si="4"/>
        <v>84.197802197802204</v>
      </c>
      <c r="L65" s="77">
        <f ca="1">IFERROR(__xludf.DUMMYFUNCTION("IMPORTRANGE(""https://docs.google.com/spreadsheets/d/1MeEWN-I1oV_STSDYn1IFDPWt_1FKiwhDph83XaGc0o0/edit?usp=sharing"",""งบพรบ!CV65"")"),38310)</f>
        <v>38310</v>
      </c>
      <c r="M65" s="79">
        <f t="shared" ca="1" si="5"/>
        <v>84.197802197802204</v>
      </c>
      <c r="N65" s="79">
        <f t="shared" ca="1" si="6"/>
        <v>84.197802197802204</v>
      </c>
      <c r="O65" s="80">
        <f ca="1">IFERROR(__xludf.DUMMYFUNCTION("IMPORTRANGE(""https://docs.google.com/spreadsheets/d/1MeEWN-I1oV_STSDYn1IFDPWt_1FKiwhDph83XaGc0o0/edit?usp=sharing"",""งบพรบ!CW65"")"),0)</f>
        <v>0</v>
      </c>
      <c r="P65" s="80">
        <f t="shared" ca="1" si="10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IFERROR(__xludf.DUMMYFUNCTION("IMPORTRANGE(""https://docs.google.com/spreadsheets/d/1CdNicvf3i6yt4tJlCePe3V1Va76wYqW0QzMzTsaGRrA/edit?usp=sharing"",""เพชรบุรี!L191"")"),6000)</f>
        <v>6000</v>
      </c>
      <c r="S65" s="81">
        <f ca="1">IFERROR(__xludf.DUMMYFUNCTION("IMPORTRANGE(""https://docs.google.com/spreadsheets/d/1CdNicvf3i6yt4tJlCePe3V1Va76wYqW0QzMzTsaGRrA/edit?usp=sharing"",""เพชรบุรี!N191"")"),3130)</f>
        <v>3130</v>
      </c>
      <c r="T65" s="82">
        <f t="shared" ca="1" si="84"/>
        <v>52.166666666666664</v>
      </c>
      <c r="U65" s="81">
        <f ca="1">IFERROR(__xludf.DUMMYFUNCTION("IMPORTRANGE(""https://docs.google.com/spreadsheets/d/1CdNicvf3i6yt4tJlCePe3V1Va76wYqW0QzMzTsaGRrA/edit?usp=sharing"",""เพชรบุรี!I193"")"),4)</f>
        <v>4</v>
      </c>
      <c r="V65" s="81">
        <f ca="1">IFERROR(__xludf.DUMMYFUNCTION("IMPORTRANGE(""https://docs.google.com/spreadsheets/d/1CdNicvf3i6yt4tJlCePe3V1Va76wYqW0QzMzTsaGRrA/edit?usp=sharing"",""เพชรบุรี!J193"")"),4)</f>
        <v>4</v>
      </c>
      <c r="W65" s="82">
        <f t="shared" ca="1" si="85"/>
        <v>100</v>
      </c>
      <c r="X65" s="81">
        <f t="shared" ca="1" si="188"/>
        <v>188</v>
      </c>
      <c r="Y65" s="81">
        <f ca="1">IFERROR(__xludf.DUMMYFUNCTION("IMPORTRANGE(""https://docs.google.com/spreadsheets/d/1CdNicvf3i6yt4tJlCePe3V1Va76wYqW0QzMzTsaGRrA/edit?usp=sharing"",""เพชรบุรี!J195"")"),188)</f>
        <v>188</v>
      </c>
      <c r="Z65" s="81">
        <f ca="1">IFERROR(__xludf.DUMMYFUNCTION("IMPORTRANGE(""https://docs.google.com/spreadsheets/d/1CdNicvf3i6yt4tJlCePe3V1Va76wYqW0QzMzTsaGRrA/edit?usp=sharing"",""เพชรบุรี!J196"")"),0)</f>
        <v>0</v>
      </c>
      <c r="AA65" s="81">
        <f ca="1">IFERROR(__xludf.DUMMYFUNCTION("IMPORTRANGE(""https://docs.google.com/spreadsheets/d/1CdNicvf3i6yt4tJlCePe3V1Va76wYqW0QzMzTsaGRrA/edit?usp=sharing"",""เพชรบุรี!L199"")"),2000)</f>
        <v>2000</v>
      </c>
      <c r="AB65" s="81">
        <f ca="1">IFERROR(__xludf.DUMMYFUNCTION("IMPORTRANGE(""https://docs.google.com/spreadsheets/d/1CdNicvf3i6yt4tJlCePe3V1Va76wYqW0QzMzTsaGRrA/edit?usp=sharing"",""เพชรบุรี!N199"")"),2000)</f>
        <v>2000</v>
      </c>
      <c r="AC65" s="82">
        <f t="shared" ca="1" si="86"/>
        <v>100</v>
      </c>
      <c r="AD65" s="81">
        <f ca="1">IFERROR(__xludf.DUMMYFUNCTION("IMPORTRANGE(""https://docs.google.com/spreadsheets/d/1CdNicvf3i6yt4tJlCePe3V1Va76wYqW0QzMzTsaGRrA/edit?usp=sharing"",""เพชรบุรี!L200"")"),16000)</f>
        <v>16000</v>
      </c>
      <c r="AE65" s="81">
        <f ca="1">IFERROR(__xludf.DUMMYFUNCTION("IMPORTRANGE(""https://docs.google.com/spreadsheets/d/1CdNicvf3i6yt4tJlCePe3V1Va76wYqW0QzMzTsaGRrA/edit?usp=sharing"",""เพชรบุรี!N200"")"),16000)</f>
        <v>16000</v>
      </c>
      <c r="AF65" s="82">
        <f t="shared" ca="1" si="87"/>
        <v>100</v>
      </c>
      <c r="AG65" s="81">
        <f ca="1">IFERROR(__xludf.DUMMYFUNCTION("IMPORTRANGE(""https://docs.google.com/spreadsheets/d/1CdNicvf3i6yt4tJlCePe3V1Va76wYqW0QzMzTsaGRrA/edit?usp=sharing"",""เพชรบุรี!L201"")"),8000)</f>
        <v>8000</v>
      </c>
      <c r="AH65" s="81">
        <f ca="1">IFERROR(__xludf.DUMMYFUNCTION("IMPORTRANGE(""https://docs.google.com/spreadsheets/d/1CdNicvf3i6yt4tJlCePe3V1Va76wYqW0QzMzTsaGRrA/edit?usp=sharing"",""เพชรบุรี!N201"")"),8000)</f>
        <v>8000</v>
      </c>
      <c r="AI65" s="82">
        <f t="shared" ca="1" si="88"/>
        <v>100</v>
      </c>
      <c r="AJ65" s="81">
        <f ca="1">IFERROR(__xludf.DUMMYFUNCTION("IMPORTRANGE(""https://docs.google.com/spreadsheets/d/1CdNicvf3i6yt4tJlCePe3V1Va76wYqW0QzMzTsaGRrA/edit?usp=sharing"",""เพชรบุรี!L202"")"),0)</f>
        <v>0</v>
      </c>
      <c r="AK65" s="81">
        <f ca="1">IFERROR(__xludf.DUMMYFUNCTION("IMPORTRANGE(""https://docs.google.com/spreadsheets/d/1CdNicvf3i6yt4tJlCePe3V1Va76wYqW0QzMzTsaGRrA/edit?usp=sharing"",""เพชรบุรี!N202"")"),0)</f>
        <v>0</v>
      </c>
      <c r="AL65" s="82">
        <f t="shared" ca="1" si="89"/>
        <v>0</v>
      </c>
      <c r="AM65" s="81">
        <f ca="1">IFERROR(__xludf.DUMMYFUNCTION("IMPORTRANGE(""https://docs.google.com/spreadsheets/d/1CdNicvf3i6yt4tJlCePe3V1Va76wYqW0QzMzTsaGRrA/edit?usp=sharing"",""เพชรบุรี!I204"")"),2)</f>
        <v>2</v>
      </c>
      <c r="AN65" s="81">
        <f ca="1">IFERROR(__xludf.DUMMYFUNCTION("IMPORTRANGE(""https://docs.google.com/spreadsheets/d/1CdNicvf3i6yt4tJlCePe3V1Va76wYqW0QzMzTsaGRrA/edit?usp=sharing"",""เพชรบุรี!J204"")"),2)</f>
        <v>2</v>
      </c>
      <c r="AO65" s="82">
        <f t="shared" ca="1" si="90"/>
        <v>100</v>
      </c>
      <c r="AP65" s="297">
        <f ca="1">IFERROR(__xludf.DUMMYFUNCTION("IMPORTRANGE(""https://docs.google.com/spreadsheets/d/1CdNicvf3i6yt4tJlCePe3V1Va76wYqW0QzMzTsaGRrA/edit?usp=sharing"",""เพชรบุรี!J206"")"),2)</f>
        <v>2</v>
      </c>
      <c r="AQ65" s="297">
        <f ca="1">IFERROR(__xludf.DUMMYFUNCTION("IMPORTRANGE(""https://docs.google.com/spreadsheets/d/1CdNicvf3i6yt4tJlCePe3V1Va76wYqW0QzMzTsaGRrA/edit?usp=sharing"",""เพชรบุรี!J207"")"),0)</f>
        <v>0</v>
      </c>
      <c r="AR65" s="81">
        <f ca="1">IFERROR(__xludf.DUMMYFUNCTION("IMPORTRANGE(""https://docs.google.com/spreadsheets/d/1CdNicvf3i6yt4tJlCePe3V1Va76wYqW0QzMzTsaGRrA/edit?usp=sharing"",""เพชรบุรี!L210"")"),0)</f>
        <v>0</v>
      </c>
      <c r="AS65" s="81">
        <f ca="1">IFERROR(__xludf.DUMMYFUNCTION("IMPORTRANGE(""https://docs.google.com/spreadsheets/d/1CdNicvf3i6yt4tJlCePe3V1Va76wYqW0QzMzTsaGRrA/edit?usp=sharing"",""เพชรบุรี!N210"")"),0)</f>
        <v>0</v>
      </c>
      <c r="AT65" s="82">
        <f t="shared" ca="1" si="91"/>
        <v>0</v>
      </c>
      <c r="AU65" s="81">
        <f ca="1">IFERROR(__xludf.DUMMYFUNCTION("IMPORTRANGE(""https://docs.google.com/spreadsheets/d/1CdNicvf3i6yt4tJlCePe3V1Va76wYqW0QzMzTsaGRrA/edit?usp=sharing"",""เพชรบุรี!L211"")"),0)</f>
        <v>0</v>
      </c>
      <c r="AV65" s="81">
        <f ca="1">IFERROR(__xludf.DUMMYFUNCTION("IMPORTRANGE(""https://docs.google.com/spreadsheets/d/1CdNicvf3i6yt4tJlCePe3V1Va76wYqW0QzMzTsaGRrA/edit?usp=sharing"",""เพชรบุรี!N211"")"),0)</f>
        <v>0</v>
      </c>
      <c r="AW65" s="82">
        <f t="shared" ca="1" si="92"/>
        <v>0</v>
      </c>
      <c r="AX65" s="81">
        <f ca="1">IFERROR(__xludf.DUMMYFUNCTION("IMPORTRANGE(""https://docs.google.com/spreadsheets/d/1CdNicvf3i6yt4tJlCePe3V1Va76wYqW0QzMzTsaGRrA/edit?usp=sharing"",""เพชรบุรี!L212"")"),0)</f>
        <v>0</v>
      </c>
      <c r="AY65" s="81">
        <f ca="1">IFERROR(__xludf.DUMMYFUNCTION("IMPORTRANGE(""https://docs.google.com/spreadsheets/d/1CdNicvf3i6yt4tJlCePe3V1Va76wYqW0QzMzTsaGRrA/edit?usp=sharing"",""เพชรบุรี!N212"")"),0)</f>
        <v>0</v>
      </c>
      <c r="AZ65" s="82">
        <f t="shared" ca="1" si="93"/>
        <v>0</v>
      </c>
      <c r="BA65" s="81">
        <f ca="1">IFERROR(__xludf.DUMMYFUNCTION("IMPORTRANGE(""https://docs.google.com/spreadsheets/d/1CdNicvf3i6yt4tJlCePe3V1Va76wYqW0QzMzTsaGRrA/edit?usp=sharing"",""เพชรบุรี!I214"")"),0)</f>
        <v>0</v>
      </c>
      <c r="BB65" s="81">
        <f ca="1">IFERROR(__xludf.DUMMYFUNCTION("IMPORTRANGE(""https://docs.google.com/spreadsheets/d/1CdNicvf3i6yt4tJlCePe3V1Va76wYqW0QzMzTsaGRrA/edit?usp=sharing"",""เพชรบุรี!J214"")"),0)</f>
        <v>0</v>
      </c>
      <c r="BC65" s="82">
        <f t="shared" ca="1" si="94"/>
        <v>0</v>
      </c>
      <c r="BD65" s="81">
        <f ca="1">IFERROR(__xludf.DUMMYFUNCTION("IMPORTRANGE(""https://docs.google.com/spreadsheets/d/1CdNicvf3i6yt4tJlCePe3V1Va76wYqW0QzMzTsaGRrA/edit?usp=sharing"",""เพชรบุรี!I215"")"),0)</f>
        <v>0</v>
      </c>
      <c r="BE65" s="81">
        <f ca="1">IFERROR(__xludf.DUMMYFUNCTION("IMPORTRANGE(""https://docs.google.com/spreadsheets/d/1CdNicvf3i6yt4tJlCePe3V1Va76wYqW0QzMzTsaGRrA/edit?usp=sharing"",""เพชรบุรี!J215"")"),0)</f>
        <v>0</v>
      </c>
      <c r="BF65" s="82">
        <f t="shared" ca="1" si="95"/>
        <v>0</v>
      </c>
      <c r="BG65" s="81">
        <f ca="1">IFERROR(__xludf.DUMMYFUNCTION("IMPORTRANGE(""https://docs.google.com/spreadsheets/d/1CdNicvf3i6yt4tJlCePe3V1Va76wYqW0QzMzTsaGRrA/edit?usp=sharing"",""เพชรบุรี!L218"")"),5000)</f>
        <v>5000</v>
      </c>
      <c r="BH65" s="81">
        <f ca="1">IFERROR(__xludf.DUMMYFUNCTION("IMPORTRANGE(""https://docs.google.com/spreadsheets/d/1CdNicvf3i6yt4tJlCePe3V1Va76wYqW0QzMzTsaGRrA/edit?usp=sharing"",""เพชรบุรี!N218"")"),680)</f>
        <v>680</v>
      </c>
      <c r="BI65" s="82">
        <f t="shared" ca="1" si="96"/>
        <v>13.6</v>
      </c>
      <c r="BJ65" s="81">
        <f ca="1">IFERROR(__xludf.DUMMYFUNCTION("IMPORTRANGE(""https://docs.google.com/spreadsheets/d/1CdNicvf3i6yt4tJlCePe3V1Va76wYqW0QzMzTsaGRrA/edit?usp=sharing"",""เพชรบุรี!L219"")"),8500)</f>
        <v>8500</v>
      </c>
      <c r="BK65" s="81">
        <f ca="1">IFERROR(__xludf.DUMMYFUNCTION("IMPORTRANGE(""https://docs.google.com/spreadsheets/d/1CdNicvf3i6yt4tJlCePe3V1Va76wYqW0QzMzTsaGRrA/edit?usp=sharing"",""เพชรบุรี!N219"")"),8500)</f>
        <v>8500</v>
      </c>
      <c r="BL65" s="82">
        <f t="shared" ca="1" si="97"/>
        <v>100</v>
      </c>
      <c r="BM65" s="81">
        <f ca="1">IFERROR(__xludf.DUMMYFUNCTION("IMPORTRANGE(""https://docs.google.com/spreadsheets/d/1CdNicvf3i6yt4tJlCePe3V1Va76wYqW0QzMzTsaGRrA/edit?usp=sharing"",""เพชรบุรี!L220"")"),0)</f>
        <v>0</v>
      </c>
      <c r="BN65" s="81">
        <f ca="1">IFERROR(__xludf.DUMMYFUNCTION("IMPORTRANGE(""https://docs.google.com/spreadsheets/d/1CdNicvf3i6yt4tJlCePe3V1Va76wYqW0QzMzTsaGRrA/edit?usp=sharing"",""เพชรบุรี!N220"")"),0)</f>
        <v>0</v>
      </c>
      <c r="BO65" s="82">
        <f t="shared" ca="1" si="98"/>
        <v>0</v>
      </c>
      <c r="BP65" s="81">
        <f ca="1">IFERROR(__xludf.DUMMYFUNCTION("IMPORTRANGE(""https://docs.google.com/spreadsheets/d/1CdNicvf3i6yt4tJlCePe3V1Va76wYqW0QzMzTsaGRrA/edit?usp=sharing"",""เพชรบุรี!I223"")"),30000)</f>
        <v>30000</v>
      </c>
      <c r="BQ65" s="81">
        <f ca="1">IFERROR(__xludf.DUMMYFUNCTION("IMPORTRANGE(""https://docs.google.com/spreadsheets/d/1CdNicvf3i6yt4tJlCePe3V1Va76wYqW0QzMzTsaGRrA/edit?usp=sharing"",""เพชรบุรี!J223"")"),30000)</f>
        <v>30000</v>
      </c>
      <c r="BR65" s="82">
        <f t="shared" ca="1" si="99"/>
        <v>100</v>
      </c>
      <c r="BS65" s="81">
        <f ca="1">IFERROR(__xludf.DUMMYFUNCTION("IMPORTRANGE(""https://docs.google.com/spreadsheets/d/1CdNicvf3i6yt4tJlCePe3V1Va76wYqW0QzMzTsaGRrA/edit?usp=sharing"",""เพชรบุรี!I224"")"),30000)</f>
        <v>30000</v>
      </c>
      <c r="BT65" s="81">
        <f ca="1">IFERROR(__xludf.DUMMYFUNCTION("IMPORTRANGE(""https://docs.google.com/spreadsheets/d/1CdNicvf3i6yt4tJlCePe3V1Va76wYqW0QzMzTsaGRrA/edit?usp=sharing"",""เพชรบุรี!J224"")"),30000)</f>
        <v>30000</v>
      </c>
      <c r="BU65" s="82">
        <f t="shared" ca="1" si="100"/>
        <v>100</v>
      </c>
      <c r="BV65" s="81">
        <f ca="1">IFERROR(__xludf.DUMMYFUNCTION("IMPORTRANGE(""https://docs.google.com/spreadsheets/d/1CdNicvf3i6yt4tJlCePe3V1Va76wYqW0QzMzTsaGRrA/edit?usp=sharing"",""เพชรบุรี!I225"")"),0)</f>
        <v>0</v>
      </c>
      <c r="BW65" s="81">
        <f ca="1">IFERROR(__xludf.DUMMYFUNCTION("IMPORTRANGE(""https://docs.google.com/spreadsheets/d/1CdNicvf3i6yt4tJlCePe3V1Va76wYqW0QzMzTsaGRrA/edit?usp=sharing"",""เพชรบุรี!J225"")"),0)</f>
        <v>0</v>
      </c>
      <c r="BX65" s="82">
        <f t="shared" ca="1" si="101"/>
        <v>0</v>
      </c>
      <c r="BY65" s="81">
        <f ca="1">IFERROR(__xludf.DUMMYFUNCTION("IMPORTRANGE(""https://docs.google.com/spreadsheets/d/1CdNicvf3i6yt4tJlCePe3V1Va76wYqW0QzMzTsaGRrA/edit?usp=sharing"",""เพชรบุรี!L228"")"),0)</f>
        <v>0</v>
      </c>
      <c r="BZ65" s="81">
        <f ca="1">IFERROR(__xludf.DUMMYFUNCTION("IMPORTRANGE(""https://docs.google.com/spreadsheets/d/1CdNicvf3i6yt4tJlCePe3V1Va76wYqW0QzMzTsaGRrA/edit?usp=sharing"",""เพชรบุรี!N228"")"),0)</f>
        <v>0</v>
      </c>
      <c r="CA65" s="82">
        <f t="shared" ca="1" si="102"/>
        <v>0</v>
      </c>
      <c r="CB65" s="81">
        <f ca="1">IFERROR(__xludf.DUMMYFUNCTION("IMPORTRANGE(""https://docs.google.com/spreadsheets/d/1CdNicvf3i6yt4tJlCePe3V1Va76wYqW0QzMzTsaGRrA/edit?usp=sharing"",""เพชรบุรี!L229"")"),0)</f>
        <v>0</v>
      </c>
      <c r="CC65" s="81">
        <f ca="1">IFERROR(__xludf.DUMMYFUNCTION("IMPORTRANGE(""https://docs.google.com/spreadsheets/d/1CdNicvf3i6yt4tJlCePe3V1Va76wYqW0QzMzTsaGRrA/edit?usp=sharing"",""เพชรบุรี!N229"")"),0)</f>
        <v>0</v>
      </c>
      <c r="CD65" s="82">
        <f t="shared" ca="1" si="103"/>
        <v>0</v>
      </c>
      <c r="CE65" s="81">
        <f ca="1">IFERROR(__xludf.DUMMYFUNCTION("IMPORTRANGE(""https://docs.google.com/spreadsheets/d/1CdNicvf3i6yt4tJlCePe3V1Va76wYqW0QzMzTsaGRrA/edit?usp=sharing"",""เพชรบุรี!L230"")"),0)</f>
        <v>0</v>
      </c>
      <c r="CF65" s="81">
        <f ca="1">IFERROR(__xludf.DUMMYFUNCTION("IMPORTRANGE(""https://docs.google.com/spreadsheets/d/1CdNicvf3i6yt4tJlCePe3V1Va76wYqW0QzMzTsaGRrA/edit?usp=sharing"",""เพชรบุรี!N230"")"),0)</f>
        <v>0</v>
      </c>
      <c r="CG65" s="82">
        <f t="shared" ca="1" si="104"/>
        <v>0</v>
      </c>
      <c r="CH65" s="81">
        <f ca="1">IFERROR(__xludf.DUMMYFUNCTION("IMPORTRANGE(""https://docs.google.com/spreadsheets/d/1CdNicvf3i6yt4tJlCePe3V1Va76wYqW0QzMzTsaGRrA/edit?usp=sharing"",""เพชรบุรี!L231"")"),0)</f>
        <v>0</v>
      </c>
      <c r="CI65" s="81">
        <f ca="1">IFERROR(__xludf.DUMMYFUNCTION("IMPORTRANGE(""https://docs.google.com/spreadsheets/d/1CdNicvf3i6yt4tJlCePe3V1Va76wYqW0QzMzTsaGRrA/edit?usp=sharing"",""เพชรบุรี!N231"")"),0)</f>
        <v>0</v>
      </c>
      <c r="CJ65" s="82">
        <f t="shared" ca="1" si="105"/>
        <v>0</v>
      </c>
      <c r="CK65" s="81">
        <f ca="1">IFERROR(__xludf.DUMMYFUNCTION("IMPORTRANGE(""https://docs.google.com/spreadsheets/d/1CdNicvf3i6yt4tJlCePe3V1Va76wYqW0QzMzTsaGRrA/edit?usp=sharing"",""เพชรบุรี!I233"")"),0)</f>
        <v>0</v>
      </c>
      <c r="CL65" s="81">
        <f ca="1">IFERROR(__xludf.DUMMYFUNCTION("IMPORTRANGE(""https://docs.google.com/spreadsheets/d/1CdNicvf3i6yt4tJlCePe3V1Va76wYqW0QzMzTsaGRrA/edit?usp=sharing"",""เพชรบุรี!J233"")"),0)</f>
        <v>0</v>
      </c>
      <c r="CM65" s="82">
        <f t="shared" ca="1" si="106"/>
        <v>0</v>
      </c>
      <c r="CN65" s="81">
        <f ca="1">IFERROR(__xludf.DUMMYFUNCTION("IMPORTRANGE(""https://docs.google.com/spreadsheets/d/1CdNicvf3i6yt4tJlCePe3V1Va76wYqW0QzMzTsaGRrA/edit?usp=sharing"",""เพชรบุรี!J235"")"),0)</f>
        <v>0</v>
      </c>
      <c r="CO65" s="81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3">
        <v>14</v>
      </c>
      <c r="B66" s="74" t="s">
        <v>88</v>
      </c>
      <c r="C66" s="75">
        <f t="shared" ca="1" si="0"/>
        <v>253200</v>
      </c>
      <c r="D66" s="76">
        <f t="shared" ca="1" si="187"/>
        <v>253200</v>
      </c>
      <c r="E66" s="77">
        <f ca="1">IFERROR(__xludf.DUMMYFUNCTION("IMPORTRANGE(""https://docs.google.com/spreadsheets/d/1MeEWN-I1oV_STSDYn1IFDPWt_1FKiwhDph83XaGc0o0/edit?usp=sharing"",""งบพรบ!CP66"")"),150000)</f>
        <v>150000</v>
      </c>
      <c r="F66" s="77">
        <f ca="1">IFERROR(__xludf.DUMMYFUNCTION("IMPORTRANGE(""https://docs.google.com/spreadsheets/d/1MeEWN-I1oV_STSDYn1IFDPWt_1FKiwhDph83XaGc0o0/edit?usp=sharing"",""งบพรบ!CQ66"")"),103200)</f>
        <v>103200</v>
      </c>
      <c r="G66" s="77">
        <f ca="1">IFERROR(__xludf.DUMMYFUNCTION("IMPORTRANGE(""https://docs.google.com/spreadsheets/d/1MeEWN-I1oV_STSDYn1IFDPWt_1FKiwhDph83XaGc0o0/edit?usp=sharing"",""งบพรบ!CR66"")"),0)</f>
        <v>0</v>
      </c>
      <c r="H66" s="77">
        <f ca="1">IFERROR(__xludf.DUMMYFUNCTION("IMPORTRANGE(""https://docs.google.com/spreadsheets/d/1MeEWN-I1oV_STSDYn1IFDPWt_1FKiwhDph83XaGc0o0/edit?usp=sharing"",""งบพรบ!CT66"")"),258920)</f>
        <v>258920</v>
      </c>
      <c r="I66" s="77">
        <f ca="1">IFERROR(__xludf.DUMMYFUNCTION("IMPORTRANGE(""https://docs.google.com/spreadsheets/d/1MeEWN-I1oV_STSDYn1IFDPWt_1FKiwhDph83XaGc0o0/edit?usp=sharing"",""งบพรบ!CU66"")"),0)</f>
        <v>0</v>
      </c>
      <c r="J66" s="77">
        <f t="shared" ca="1" si="3"/>
        <v>245899.5</v>
      </c>
      <c r="K66" s="78">
        <f t="shared" ca="1" si="4"/>
        <v>97.116706161137444</v>
      </c>
      <c r="L66" s="77">
        <f ca="1">IFERROR(__xludf.DUMMYFUNCTION("IMPORTRANGE(""https://docs.google.com/spreadsheets/d/1MeEWN-I1oV_STSDYn1IFDPWt_1FKiwhDph83XaGc0o0/edit?usp=sharing"",""งบพรบ!CV66"")"),245899.5)</f>
        <v>245899.5</v>
      </c>
      <c r="M66" s="79">
        <f t="shared" ca="1" si="5"/>
        <v>97.116706161137444</v>
      </c>
      <c r="N66" s="79">
        <f t="shared" ca="1" si="6"/>
        <v>94.97122663370925</v>
      </c>
      <c r="O66" s="80">
        <f ca="1">IFERROR(__xludf.DUMMYFUNCTION("IMPORTRANGE(""https://docs.google.com/spreadsheets/d/1MeEWN-I1oV_STSDYn1IFDPWt_1FKiwhDph83XaGc0o0/edit?usp=sharing"",""งบพรบ!CW66"")"),0)</f>
        <v>0</v>
      </c>
      <c r="P66" s="80">
        <f t="shared" ca="1" si="10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IFERROR(__xludf.DUMMYFUNCTION("IMPORTRANGE(""https://docs.google.com/spreadsheets/d/1XiF77UIVHV0Kjc6xbXuOuJ10WgJYxd4p_22ngKVV5oM/edit?usp=sharing"",""ระยอง!L191"")"),6000)</f>
        <v>6000</v>
      </c>
      <c r="S66" s="81">
        <f ca="1">IFERROR(__xludf.DUMMYFUNCTION("IMPORTRANGE(""https://docs.google.com/spreadsheets/d/1XiF77UIVHV0Kjc6xbXuOuJ10WgJYxd4p_22ngKVV5oM/edit?usp=sharing"",""ระยอง!N191"")"),6000)</f>
        <v>6000</v>
      </c>
      <c r="T66" s="82">
        <f t="shared" ca="1" si="84"/>
        <v>100</v>
      </c>
      <c r="U66" s="81">
        <f ca="1">IFERROR(__xludf.DUMMYFUNCTION("IMPORTRANGE(""https://docs.google.com/spreadsheets/d/1XiF77UIVHV0Kjc6xbXuOuJ10WgJYxd4p_22ngKVV5oM/edit?usp=sharing"",""ระยอง!I193"")"),4)</f>
        <v>4</v>
      </c>
      <c r="V66" s="81">
        <f ca="1">IFERROR(__xludf.DUMMYFUNCTION("IMPORTRANGE(""https://docs.google.com/spreadsheets/d/1XiF77UIVHV0Kjc6xbXuOuJ10WgJYxd4p_22ngKVV5oM/edit?usp=sharing"",""ระยอง!J193"")"),4)</f>
        <v>4</v>
      </c>
      <c r="W66" s="82">
        <f t="shared" ca="1" si="85"/>
        <v>100</v>
      </c>
      <c r="X66" s="81">
        <f t="shared" ca="1" si="188"/>
        <v>258</v>
      </c>
      <c r="Y66" s="81">
        <f ca="1">IFERROR(__xludf.DUMMYFUNCTION("IMPORTRANGE(""https://docs.google.com/spreadsheets/d/1XiF77UIVHV0Kjc6xbXuOuJ10WgJYxd4p_22ngKVV5oM/edit?usp=sharing"",""ระยอง!J195"")"),258)</f>
        <v>258</v>
      </c>
      <c r="Z66" s="81">
        <f ca="1">IFERROR(__xludf.DUMMYFUNCTION("IMPORTRANGE(""https://docs.google.com/spreadsheets/d/1XiF77UIVHV0Kjc6xbXuOuJ10WgJYxd4p_22ngKVV5oM/edit?usp=sharing"",""ระยอง!J196"")"),0)</f>
        <v>0</v>
      </c>
      <c r="AA66" s="81">
        <f ca="1">IFERROR(__xludf.DUMMYFUNCTION("IMPORTRANGE(""https://docs.google.com/spreadsheets/d/1XiF77UIVHV0Kjc6xbXuOuJ10WgJYxd4p_22ngKVV5oM/edit?usp=sharing"",""ระยอง!L199"")"),1000)</f>
        <v>1000</v>
      </c>
      <c r="AB66" s="81">
        <f ca="1">IFERROR(__xludf.DUMMYFUNCTION("IMPORTRANGE(""https://docs.google.com/spreadsheets/d/1XiF77UIVHV0Kjc6xbXuOuJ10WgJYxd4p_22ngKVV5oM/edit?usp=sharing"",""ระยอง!N199"")"),1000)</f>
        <v>1000</v>
      </c>
      <c r="AC66" s="82">
        <f t="shared" ca="1" si="86"/>
        <v>100</v>
      </c>
      <c r="AD66" s="81">
        <f ca="1">IFERROR(__xludf.DUMMYFUNCTION("IMPORTRANGE(""https://docs.google.com/spreadsheets/d/1XiF77UIVHV0Kjc6xbXuOuJ10WgJYxd4p_22ngKVV5oM/edit?usp=sharing"",""ระยอง!L200"")"),8000)</f>
        <v>8000</v>
      </c>
      <c r="AE66" s="81">
        <f ca="1">IFERROR(__xludf.DUMMYFUNCTION("IMPORTRANGE(""https://docs.google.com/spreadsheets/d/1XiF77UIVHV0Kjc6xbXuOuJ10WgJYxd4p_22ngKVV5oM/edit?usp=sharing"",""ระยอง!N200"")"),8000)</f>
        <v>8000</v>
      </c>
      <c r="AF66" s="82">
        <f t="shared" ca="1" si="87"/>
        <v>100</v>
      </c>
      <c r="AG66" s="81">
        <f ca="1">IFERROR(__xludf.DUMMYFUNCTION("IMPORTRANGE(""https://docs.google.com/spreadsheets/d/1XiF77UIVHV0Kjc6xbXuOuJ10WgJYxd4p_22ngKVV5oM/edit?usp=sharing"",""ระยอง!L201"")"),4000)</f>
        <v>4000</v>
      </c>
      <c r="AH66" s="81">
        <f ca="1">IFERROR(__xludf.DUMMYFUNCTION("IMPORTRANGE(""https://docs.google.com/spreadsheets/d/1XiF77UIVHV0Kjc6xbXuOuJ10WgJYxd4p_22ngKVV5oM/edit?usp=sharing"",""ระยอง!N201"")"),4000)</f>
        <v>4000</v>
      </c>
      <c r="AI66" s="82">
        <f t="shared" ca="1" si="88"/>
        <v>100</v>
      </c>
      <c r="AJ66" s="81">
        <f ca="1">IFERROR(__xludf.DUMMYFUNCTION("IMPORTRANGE(""https://docs.google.com/spreadsheets/d/1XiF77UIVHV0Kjc6xbXuOuJ10WgJYxd4p_22ngKVV5oM/edit?usp=sharing"",""ระยอง!L202"")"),0)</f>
        <v>0</v>
      </c>
      <c r="AK66" s="81">
        <f ca="1">IFERROR(__xludf.DUMMYFUNCTION("IMPORTRANGE(""https://docs.google.com/spreadsheets/d/1XiF77UIVHV0Kjc6xbXuOuJ10WgJYxd4p_22ngKVV5oM/edit?usp=sharing"",""ระยอง!N202"")"),0)</f>
        <v>0</v>
      </c>
      <c r="AL66" s="82">
        <f t="shared" ca="1" si="89"/>
        <v>0</v>
      </c>
      <c r="AM66" s="81">
        <f ca="1">IFERROR(__xludf.DUMMYFUNCTION("IMPORTRANGE(""https://docs.google.com/spreadsheets/d/1XiF77UIVHV0Kjc6xbXuOuJ10WgJYxd4p_22ngKVV5oM/edit?usp=sharing"",""ระยอง!I204"")"),1)</f>
        <v>1</v>
      </c>
      <c r="AN66" s="81">
        <f ca="1">IFERROR(__xludf.DUMMYFUNCTION("IMPORTRANGE(""https://docs.google.com/spreadsheets/d/1XiF77UIVHV0Kjc6xbXuOuJ10WgJYxd4p_22ngKVV5oM/edit?usp=sharing"",""ระยอง!J204"")"),1)</f>
        <v>1</v>
      </c>
      <c r="AO66" s="82">
        <f t="shared" ca="1" si="90"/>
        <v>100</v>
      </c>
      <c r="AP66" s="297">
        <f ca="1">IFERROR(__xludf.DUMMYFUNCTION("IMPORTRANGE(""https://docs.google.com/spreadsheets/d/1XiF77UIVHV0Kjc6xbXuOuJ10WgJYxd4p_22ngKVV5oM/edit?usp=sharing"",""ระยอง!J206"")"),1)</f>
        <v>1</v>
      </c>
      <c r="AQ66" s="297">
        <f ca="1">IFERROR(__xludf.DUMMYFUNCTION("IMPORTRANGE(""https://docs.google.com/spreadsheets/d/1XiF77UIVHV0Kjc6xbXuOuJ10WgJYxd4p_22ngKVV5oM/edit?usp=sharing"",""ระยอง!J207"")"),0)</f>
        <v>0</v>
      </c>
      <c r="AR66" s="81">
        <f ca="1">IFERROR(__xludf.DUMMYFUNCTION("IMPORTRANGE(""https://docs.google.com/spreadsheets/d/1XiF77UIVHV0Kjc6xbXuOuJ10WgJYxd4p_22ngKVV5oM/edit?usp=sharing"",""ระยอง!L210"")"),0)</f>
        <v>0</v>
      </c>
      <c r="AS66" s="81">
        <f ca="1">IFERROR(__xludf.DUMMYFUNCTION("IMPORTRANGE(""https://docs.google.com/spreadsheets/d/1XiF77UIVHV0Kjc6xbXuOuJ10WgJYxd4p_22ngKVV5oM/edit?usp=sharing"",""ระยอง!N210"")"),0)</f>
        <v>0</v>
      </c>
      <c r="AT66" s="82">
        <f t="shared" ca="1" si="91"/>
        <v>0</v>
      </c>
      <c r="AU66" s="81">
        <f ca="1">IFERROR(__xludf.DUMMYFUNCTION("IMPORTRANGE(""https://docs.google.com/spreadsheets/d/1XiF77UIVHV0Kjc6xbXuOuJ10WgJYxd4p_22ngKVV5oM/edit?usp=sharing"",""ระยอง!L211"")"),0)</f>
        <v>0</v>
      </c>
      <c r="AV66" s="81">
        <f ca="1">IFERROR(__xludf.DUMMYFUNCTION("IMPORTRANGE(""https://docs.google.com/spreadsheets/d/1XiF77UIVHV0Kjc6xbXuOuJ10WgJYxd4p_22ngKVV5oM/edit?usp=sharing"",""ระยอง!N211"")"),0)</f>
        <v>0</v>
      </c>
      <c r="AW66" s="82">
        <f t="shared" ca="1" si="92"/>
        <v>0</v>
      </c>
      <c r="AX66" s="81">
        <f ca="1">IFERROR(__xludf.DUMMYFUNCTION("IMPORTRANGE(""https://docs.google.com/spreadsheets/d/1XiF77UIVHV0Kjc6xbXuOuJ10WgJYxd4p_22ngKVV5oM/edit?usp=sharing"",""ระยอง!L212"")"),0)</f>
        <v>0</v>
      </c>
      <c r="AY66" s="81">
        <f ca="1">IFERROR(__xludf.DUMMYFUNCTION("IMPORTRANGE(""https://docs.google.com/spreadsheets/d/1XiF77UIVHV0Kjc6xbXuOuJ10WgJYxd4p_22ngKVV5oM/edit?usp=sharing"",""ระยอง!N212"")"),0)</f>
        <v>0</v>
      </c>
      <c r="AZ66" s="82">
        <f t="shared" ca="1" si="93"/>
        <v>0</v>
      </c>
      <c r="BA66" s="81">
        <f ca="1">IFERROR(__xludf.DUMMYFUNCTION("IMPORTRANGE(""https://docs.google.com/spreadsheets/d/1XiF77UIVHV0Kjc6xbXuOuJ10WgJYxd4p_22ngKVV5oM/edit?usp=sharing"",""ระยอง!I214"")"),0)</f>
        <v>0</v>
      </c>
      <c r="BB66" s="81">
        <f ca="1">IFERROR(__xludf.DUMMYFUNCTION("IMPORTRANGE(""https://docs.google.com/spreadsheets/d/1XiF77UIVHV0Kjc6xbXuOuJ10WgJYxd4p_22ngKVV5oM/edit?usp=sharing"",""ระยอง!J214"")"),0)</f>
        <v>0</v>
      </c>
      <c r="BC66" s="82">
        <f t="shared" ca="1" si="94"/>
        <v>0</v>
      </c>
      <c r="BD66" s="81">
        <f ca="1">IFERROR(__xludf.DUMMYFUNCTION("IMPORTRANGE(""https://docs.google.com/spreadsheets/d/1XiF77UIVHV0Kjc6xbXuOuJ10WgJYxd4p_22ngKVV5oM/edit?usp=sharing"",""ระยอง!I215"")"),0)</f>
        <v>0</v>
      </c>
      <c r="BE66" s="81">
        <f ca="1">IFERROR(__xludf.DUMMYFUNCTION("IMPORTRANGE(""https://docs.google.com/spreadsheets/d/1XiF77UIVHV0Kjc6xbXuOuJ10WgJYxd4p_22ngKVV5oM/edit?usp=sharing"",""ระยอง!J215"")"),0)</f>
        <v>0</v>
      </c>
      <c r="BF66" s="82">
        <f t="shared" ca="1" si="95"/>
        <v>0</v>
      </c>
      <c r="BG66" s="81">
        <f ca="1">IFERROR(__xludf.DUMMYFUNCTION("IMPORTRANGE(""https://docs.google.com/spreadsheets/d/1XiF77UIVHV0Kjc6xbXuOuJ10WgJYxd4p_22ngKVV5oM/edit?usp=sharing"",""ระยอง!L218"")"),3000)</f>
        <v>3000</v>
      </c>
      <c r="BH66" s="81">
        <f ca="1">IFERROR(__xludf.DUMMYFUNCTION("IMPORTRANGE(""https://docs.google.com/spreadsheets/d/1XiF77UIVHV0Kjc6xbXuOuJ10WgJYxd4p_22ngKVV5oM/edit?usp=sharing"",""ระยอง!N218"")"),3000)</f>
        <v>3000</v>
      </c>
      <c r="BI66" s="82">
        <f t="shared" ca="1" si="96"/>
        <v>100</v>
      </c>
      <c r="BJ66" s="81">
        <f ca="1">IFERROR(__xludf.DUMMYFUNCTION("IMPORTRANGE(""https://docs.google.com/spreadsheets/d/1XiF77UIVHV0Kjc6xbXuOuJ10WgJYxd4p_22ngKVV5oM/edit?usp=sharing"",""ระยอง!L219"")"),3200)</f>
        <v>3200</v>
      </c>
      <c r="BK66" s="81">
        <f ca="1">IFERROR(__xludf.DUMMYFUNCTION("IMPORTRANGE(""https://docs.google.com/spreadsheets/d/1XiF77UIVHV0Kjc6xbXuOuJ10WgJYxd4p_22ngKVV5oM/edit?usp=sharing"",""ระยอง!N219"")"),3200)</f>
        <v>3200</v>
      </c>
      <c r="BL66" s="82">
        <f t="shared" ca="1" si="97"/>
        <v>100</v>
      </c>
      <c r="BM66" s="81">
        <f ca="1">IFERROR(__xludf.DUMMYFUNCTION("IMPORTRANGE(""https://docs.google.com/spreadsheets/d/1XiF77UIVHV0Kjc6xbXuOuJ10WgJYxd4p_22ngKVV5oM/edit?usp=sharing"",""ระยอง!L220"")"),0)</f>
        <v>0</v>
      </c>
      <c r="BN66" s="81">
        <f ca="1">IFERROR(__xludf.DUMMYFUNCTION("IMPORTRANGE(""https://docs.google.com/spreadsheets/d/1XiF77UIVHV0Kjc6xbXuOuJ10WgJYxd4p_22ngKVV5oM/edit?usp=sharing"",""ระยอง!N220"")"),0)</f>
        <v>0</v>
      </c>
      <c r="BO66" s="82">
        <f t="shared" ca="1" si="98"/>
        <v>0</v>
      </c>
      <c r="BP66" s="81">
        <f ca="1">IFERROR(__xludf.DUMMYFUNCTION("IMPORTRANGE(""https://docs.google.com/spreadsheets/d/1XiF77UIVHV0Kjc6xbXuOuJ10WgJYxd4p_22ngKVV5oM/edit?usp=sharing"",""ระยอง!I223"")"),6400)</f>
        <v>6400</v>
      </c>
      <c r="BQ66" s="81">
        <f ca="1">IFERROR(__xludf.DUMMYFUNCTION("IMPORTRANGE(""https://docs.google.com/spreadsheets/d/1XiF77UIVHV0Kjc6xbXuOuJ10WgJYxd4p_22ngKVV5oM/edit?usp=sharing"",""ระยอง!J223"")"),6400)</f>
        <v>6400</v>
      </c>
      <c r="BR66" s="82">
        <f t="shared" ca="1" si="99"/>
        <v>100</v>
      </c>
      <c r="BS66" s="81">
        <f ca="1">IFERROR(__xludf.DUMMYFUNCTION("IMPORTRANGE(""https://docs.google.com/spreadsheets/d/1XiF77UIVHV0Kjc6xbXuOuJ10WgJYxd4p_22ngKVV5oM/edit?usp=sharing"",""ระยอง!I224"")"),6400)</f>
        <v>6400</v>
      </c>
      <c r="BT66" s="81">
        <f ca="1">IFERROR(__xludf.DUMMYFUNCTION("IMPORTRANGE(""https://docs.google.com/spreadsheets/d/1XiF77UIVHV0Kjc6xbXuOuJ10WgJYxd4p_22ngKVV5oM/edit?usp=sharing"",""ระยอง!J224"")"),6400)</f>
        <v>6400</v>
      </c>
      <c r="BU66" s="82">
        <f t="shared" ca="1" si="100"/>
        <v>100</v>
      </c>
      <c r="BV66" s="81">
        <f ca="1">IFERROR(__xludf.DUMMYFUNCTION("IMPORTRANGE(""https://docs.google.com/spreadsheets/d/1XiF77UIVHV0Kjc6xbXuOuJ10WgJYxd4p_22ngKVV5oM/edit?usp=sharing"",""ระยอง!I225"")"),0)</f>
        <v>0</v>
      </c>
      <c r="BW66" s="81">
        <f ca="1">IFERROR(__xludf.DUMMYFUNCTION("IMPORTRANGE(""https://docs.google.com/spreadsheets/d/1XiF77UIVHV0Kjc6xbXuOuJ10WgJYxd4p_22ngKVV5oM/edit?usp=sharing"",""ระยอง!J225"")"),0)</f>
        <v>0</v>
      </c>
      <c r="BX66" s="82">
        <f t="shared" ca="1" si="101"/>
        <v>0</v>
      </c>
      <c r="BY66" s="81">
        <f ca="1">IFERROR(__xludf.DUMMYFUNCTION("IMPORTRANGE(""https://docs.google.com/spreadsheets/d/1XiF77UIVHV0Kjc6xbXuOuJ10WgJYxd4p_22ngKVV5oM/edit?usp=sharing"",""ระยอง!L228"")"),20000)</f>
        <v>20000</v>
      </c>
      <c r="BZ66" s="81">
        <f ca="1">IFERROR(__xludf.DUMMYFUNCTION("IMPORTRANGE(""https://docs.google.com/spreadsheets/d/1XiF77UIVHV0Kjc6xbXuOuJ10WgJYxd4p_22ngKVV5oM/edit?usp=sharing"",""ระยอง!N228"")"),20000)</f>
        <v>20000</v>
      </c>
      <c r="CA66" s="82">
        <f t="shared" ca="1" si="102"/>
        <v>100</v>
      </c>
      <c r="CB66" s="81">
        <f ca="1">IFERROR(__xludf.DUMMYFUNCTION("IMPORTRANGE(""https://docs.google.com/spreadsheets/d/1XiF77UIVHV0Kjc6xbXuOuJ10WgJYxd4p_22ngKVV5oM/edit?usp=sharing"",""ระยอง!L229"")"),28000)</f>
        <v>28000</v>
      </c>
      <c r="CC66" s="81">
        <f ca="1">IFERROR(__xludf.DUMMYFUNCTION("IMPORTRANGE(""https://docs.google.com/spreadsheets/d/1XiF77UIVHV0Kjc6xbXuOuJ10WgJYxd4p_22ngKVV5oM/edit?usp=sharing"",""ระยอง!N229"")"),28000)</f>
        <v>28000</v>
      </c>
      <c r="CD66" s="82">
        <f t="shared" ca="1" si="103"/>
        <v>100</v>
      </c>
      <c r="CE66" s="81">
        <f ca="1">IFERROR(__xludf.DUMMYFUNCTION("IMPORTRANGE(""https://docs.google.com/spreadsheets/d/1XiF77UIVHV0Kjc6xbXuOuJ10WgJYxd4p_22ngKVV5oM/edit?usp=sharing"",""ระยอง!L230"")"),20000)</f>
        <v>20000</v>
      </c>
      <c r="CF66" s="81">
        <f ca="1">IFERROR(__xludf.DUMMYFUNCTION("IMPORTRANGE(""https://docs.google.com/spreadsheets/d/1XiF77UIVHV0Kjc6xbXuOuJ10WgJYxd4p_22ngKVV5oM/edit?usp=sharing"",""ระยอง!N230"")"),20000)</f>
        <v>20000</v>
      </c>
      <c r="CG66" s="82">
        <f t="shared" ca="1" si="104"/>
        <v>100</v>
      </c>
      <c r="CH66" s="81">
        <f ca="1">IFERROR(__xludf.DUMMYFUNCTION("IMPORTRANGE(""https://docs.google.com/spreadsheets/d/1XiF77UIVHV0Kjc6xbXuOuJ10WgJYxd4p_22ngKVV5oM/edit?usp=sharing"",""ระยอง!L231"")"),10000)</f>
        <v>10000</v>
      </c>
      <c r="CI66" s="81">
        <f ca="1">IFERROR(__xludf.DUMMYFUNCTION("IMPORTRANGE(""https://docs.google.com/spreadsheets/d/1XiF77UIVHV0Kjc6xbXuOuJ10WgJYxd4p_22ngKVV5oM/edit?usp=sharing"",""ระยอง!N231"")"),10000)</f>
        <v>10000</v>
      </c>
      <c r="CJ66" s="82">
        <f t="shared" ca="1" si="105"/>
        <v>100</v>
      </c>
      <c r="CK66" s="81">
        <f ca="1">IFERROR(__xludf.DUMMYFUNCTION("IMPORTRANGE(""https://docs.google.com/spreadsheets/d/1XiF77UIVHV0Kjc6xbXuOuJ10WgJYxd4p_22ngKVV5oM/edit?usp=sharing"",""ระยอง!I233"")"),20)</f>
        <v>20</v>
      </c>
      <c r="CL66" s="81">
        <f ca="1">IFERROR(__xludf.DUMMYFUNCTION("IMPORTRANGE(""https://docs.google.com/spreadsheets/d/1XiF77UIVHV0Kjc6xbXuOuJ10WgJYxd4p_22ngKVV5oM/edit?usp=sharing"",""ระยอง!J233"")"),20)</f>
        <v>20</v>
      </c>
      <c r="CM66" s="82">
        <f t="shared" ca="1" si="106"/>
        <v>100</v>
      </c>
      <c r="CN66" s="81">
        <f ca="1">IFERROR(__xludf.DUMMYFUNCTION("IMPORTRANGE(""https://docs.google.com/spreadsheets/d/1XiF77UIVHV0Kjc6xbXuOuJ10WgJYxd4p_22ngKVV5oM/edit?usp=sharing"",""ระยอง!J235"")"),20)</f>
        <v>20</v>
      </c>
      <c r="CO66" s="81">
        <f ca="1">IFERROR(__xludf.DUMMYFUNCTION("IMPORTRANGE(""https://docs.google.com/spreadsheets/d/1XiF77UIVHV0Kjc6xbXuOuJ10WgJYxd4p_22ngKVV5oM/edit?usp=sharing"",""ระยอง!J236"")"),1)</f>
        <v>1</v>
      </c>
    </row>
    <row r="67" spans="1:93" ht="21" customHeight="1" x14ac:dyDescent="0.3">
      <c r="A67" s="73">
        <v>15</v>
      </c>
      <c r="B67" s="74" t="s">
        <v>89</v>
      </c>
      <c r="C67" s="75">
        <f t="shared" ca="1" si="0"/>
        <v>53000</v>
      </c>
      <c r="D67" s="76">
        <f t="shared" ca="1" si="187"/>
        <v>53000</v>
      </c>
      <c r="E67" s="77">
        <f ca="1">IFERROR(__xludf.DUMMYFUNCTION("IMPORTRANGE(""https://docs.google.com/spreadsheets/d/1MeEWN-I1oV_STSDYn1IFDPWt_1FKiwhDph83XaGc0o0/edit?usp=sharing"",""งบพรบ!CP67"")"),0)</f>
        <v>0</v>
      </c>
      <c r="F67" s="77">
        <f ca="1">IFERROR(__xludf.DUMMYFUNCTION("IMPORTRANGE(""https://docs.google.com/spreadsheets/d/1MeEWN-I1oV_STSDYn1IFDPWt_1FKiwhDph83XaGc0o0/edit?usp=sharing"",""งบพรบ!CQ67"")"),53000)</f>
        <v>53000</v>
      </c>
      <c r="G67" s="77">
        <f ca="1">IFERROR(__xludf.DUMMYFUNCTION("IMPORTRANGE(""https://docs.google.com/spreadsheets/d/1MeEWN-I1oV_STSDYn1IFDPWt_1FKiwhDph83XaGc0o0/edit?usp=sharing"",""งบพรบ!CR67"")"),0)</f>
        <v>0</v>
      </c>
      <c r="H67" s="77">
        <f ca="1">IFERROR(__xludf.DUMMYFUNCTION("IMPORTRANGE(""https://docs.google.com/spreadsheets/d/1MeEWN-I1oV_STSDYn1IFDPWt_1FKiwhDph83XaGc0o0/edit?usp=sharing"",""งบพรบ!CT67"")"),53000)</f>
        <v>53000</v>
      </c>
      <c r="I67" s="77">
        <f ca="1">IFERROR(__xludf.DUMMYFUNCTION("IMPORTRANGE(""https://docs.google.com/spreadsheets/d/1MeEWN-I1oV_STSDYn1IFDPWt_1FKiwhDph83XaGc0o0/edit?usp=sharing"",""งบพรบ!CU67"")"),0)</f>
        <v>0</v>
      </c>
      <c r="J67" s="77">
        <f t="shared" ca="1" si="3"/>
        <v>47165</v>
      </c>
      <c r="K67" s="78">
        <f t="shared" ca="1" si="4"/>
        <v>88.990566037735846</v>
      </c>
      <c r="L67" s="77">
        <f ca="1">IFERROR(__xludf.DUMMYFUNCTION("IMPORTRANGE(""https://docs.google.com/spreadsheets/d/1MeEWN-I1oV_STSDYn1IFDPWt_1FKiwhDph83XaGc0o0/edit?usp=sharing"",""งบพรบ!CV67"")"),47165)</f>
        <v>47165</v>
      </c>
      <c r="M67" s="79">
        <f t="shared" ca="1" si="5"/>
        <v>88.990566037735846</v>
      </c>
      <c r="N67" s="79">
        <f t="shared" ca="1" si="6"/>
        <v>88.990566037735846</v>
      </c>
      <c r="O67" s="80">
        <f ca="1">IFERROR(__xludf.DUMMYFUNCTION("IMPORTRANGE(""https://docs.google.com/spreadsheets/d/1MeEWN-I1oV_STSDYn1IFDPWt_1FKiwhDph83XaGc0o0/edit?usp=sharing"",""งบพรบ!CW67"")"),0)</f>
        <v>0</v>
      </c>
      <c r="P67" s="80">
        <f t="shared" ca="1" si="10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IFERROR(__xludf.DUMMYFUNCTION("IMPORTRANGE(""https://docs.google.com/spreadsheets/d/1qU-W_9MCQD1pgIVXGEOjCFo9QqlmJywuebyGgaN92r8/edit?usp=sharing"",""ราชบุรี!L191"")"),6000)</f>
        <v>6000</v>
      </c>
      <c r="S67" s="81">
        <f ca="1">IFERROR(__xludf.DUMMYFUNCTION("IMPORTRANGE(""https://docs.google.com/spreadsheets/d/1qU-W_9MCQD1pgIVXGEOjCFo9QqlmJywuebyGgaN92r8/edit?usp=sharing"",""ราชบุรี!N191"")"),4410)</f>
        <v>4410</v>
      </c>
      <c r="T67" s="82">
        <f t="shared" ca="1" si="84"/>
        <v>73.5</v>
      </c>
      <c r="U67" s="81">
        <f ca="1">IFERROR(__xludf.DUMMYFUNCTION("IMPORTRANGE(""https://docs.google.com/spreadsheets/d/1qU-W_9MCQD1pgIVXGEOjCFo9QqlmJywuebyGgaN92r8/edit?usp=sharing"",""ราชบุรี!I193"")"),4)</f>
        <v>4</v>
      </c>
      <c r="V67" s="81">
        <f ca="1">IFERROR(__xludf.DUMMYFUNCTION("IMPORTRANGE(""https://docs.google.com/spreadsheets/d/1qU-W_9MCQD1pgIVXGEOjCFo9QqlmJywuebyGgaN92r8/edit?usp=sharing"",""ราชบุรี!J193"")"),4)</f>
        <v>4</v>
      </c>
      <c r="W67" s="82">
        <f t="shared" ca="1" si="85"/>
        <v>100</v>
      </c>
      <c r="X67" s="81">
        <f t="shared" ca="1" si="188"/>
        <v>331</v>
      </c>
      <c r="Y67" s="81">
        <f ca="1">IFERROR(__xludf.DUMMYFUNCTION("IMPORTRANGE(""https://docs.google.com/spreadsheets/d/1qU-W_9MCQD1pgIVXGEOjCFo9QqlmJywuebyGgaN92r8/edit?usp=sharing"",""ราชบุรี!J195"")"),331)</f>
        <v>331</v>
      </c>
      <c r="Z67" s="81">
        <f ca="1">IFERROR(__xludf.DUMMYFUNCTION("IMPORTRANGE(""https://docs.google.com/spreadsheets/d/1qU-W_9MCQD1pgIVXGEOjCFo9QqlmJywuebyGgaN92r8/edit?usp=sharing"",""ราชบุรี!J196"")"),0)</f>
        <v>0</v>
      </c>
      <c r="AA67" s="81">
        <f ca="1">IFERROR(__xludf.DUMMYFUNCTION("IMPORTRANGE(""https://docs.google.com/spreadsheets/d/1qU-W_9MCQD1pgIVXGEOjCFo9QqlmJywuebyGgaN92r8/edit?usp=sharing"",""ราชบุรี!L199"")"),3000)</f>
        <v>3000</v>
      </c>
      <c r="AB67" s="81">
        <f ca="1">IFERROR(__xludf.DUMMYFUNCTION("IMPORTRANGE(""https://docs.google.com/spreadsheets/d/1qU-W_9MCQD1pgIVXGEOjCFo9QqlmJywuebyGgaN92r8/edit?usp=sharing"",""ราชบุรี!N199"")"),1575)</f>
        <v>1575</v>
      </c>
      <c r="AC67" s="82">
        <f t="shared" ca="1" si="86"/>
        <v>52.5</v>
      </c>
      <c r="AD67" s="81">
        <f ca="1">IFERROR(__xludf.DUMMYFUNCTION("IMPORTRANGE(""https://docs.google.com/spreadsheets/d/1qU-W_9MCQD1pgIVXGEOjCFo9QqlmJywuebyGgaN92r8/edit?usp=sharing"",""ราชบุรี!L200"")"),24000)</f>
        <v>24000</v>
      </c>
      <c r="AE67" s="81">
        <f ca="1">IFERROR(__xludf.DUMMYFUNCTION("IMPORTRANGE(""https://docs.google.com/spreadsheets/d/1qU-W_9MCQD1pgIVXGEOjCFo9QqlmJywuebyGgaN92r8/edit?usp=sharing"",""ราชบุรี!N200"")"),24000)</f>
        <v>24000</v>
      </c>
      <c r="AF67" s="82">
        <f t="shared" ca="1" si="87"/>
        <v>100</v>
      </c>
      <c r="AG67" s="81">
        <f ca="1">IFERROR(__xludf.DUMMYFUNCTION("IMPORTRANGE(""https://docs.google.com/spreadsheets/d/1qU-W_9MCQD1pgIVXGEOjCFo9QqlmJywuebyGgaN92r8/edit?usp=sharing"",""ราชบุรี!L201"")"),12000)</f>
        <v>12000</v>
      </c>
      <c r="AH67" s="81">
        <f ca="1">IFERROR(__xludf.DUMMYFUNCTION("IMPORTRANGE(""https://docs.google.com/spreadsheets/d/1qU-W_9MCQD1pgIVXGEOjCFo9QqlmJywuebyGgaN92r8/edit?usp=sharing"",""ราชบุรี!N201"")"),12000)</f>
        <v>12000</v>
      </c>
      <c r="AI67" s="82">
        <f t="shared" ca="1" si="88"/>
        <v>100</v>
      </c>
      <c r="AJ67" s="81">
        <f ca="1">IFERROR(__xludf.DUMMYFUNCTION("IMPORTRANGE(""https://docs.google.com/spreadsheets/d/1qU-W_9MCQD1pgIVXGEOjCFo9QqlmJywuebyGgaN92r8/edit?usp=sharing"",""ราชบุรี!L202"")"),0)</f>
        <v>0</v>
      </c>
      <c r="AK67" s="81">
        <f ca="1">IFERROR(__xludf.DUMMYFUNCTION("IMPORTRANGE(""https://docs.google.com/spreadsheets/d/1qU-W_9MCQD1pgIVXGEOjCFo9QqlmJywuebyGgaN92r8/edit?usp=sharing"",""ราชบุรี!N202"")"),0)</f>
        <v>0</v>
      </c>
      <c r="AL67" s="82">
        <f t="shared" ca="1" si="89"/>
        <v>0</v>
      </c>
      <c r="AM67" s="81">
        <f ca="1">IFERROR(__xludf.DUMMYFUNCTION("IMPORTRANGE(""https://docs.google.com/spreadsheets/d/1qU-W_9MCQD1pgIVXGEOjCFo9QqlmJywuebyGgaN92r8/edit?usp=sharing"",""ราชบุรี!I204"")"),3)</f>
        <v>3</v>
      </c>
      <c r="AN67" s="81">
        <f ca="1">IFERROR(__xludf.DUMMYFUNCTION("IMPORTRANGE(""https://docs.google.com/spreadsheets/d/1qU-W_9MCQD1pgIVXGEOjCFo9QqlmJywuebyGgaN92r8/edit?usp=sharing"",""ราชบุรี!J204"")"),3)</f>
        <v>3</v>
      </c>
      <c r="AO67" s="82">
        <f t="shared" ca="1" si="90"/>
        <v>100</v>
      </c>
      <c r="AP67" s="297">
        <f ca="1">IFERROR(__xludf.DUMMYFUNCTION("IMPORTRANGE(""https://docs.google.com/spreadsheets/d/1qU-W_9MCQD1pgIVXGEOjCFo9QqlmJywuebyGgaN92r8/edit?usp=sharing"",""ราชบุรี!J206"")"),3)</f>
        <v>3</v>
      </c>
      <c r="AQ67" s="297">
        <f ca="1">IFERROR(__xludf.DUMMYFUNCTION("IMPORTRANGE(""https://docs.google.com/spreadsheets/d/1qU-W_9MCQD1pgIVXGEOjCFo9QqlmJywuebyGgaN92r8/edit?usp=sharing"",""ราชบุรี!J207"")"),0)</f>
        <v>0</v>
      </c>
      <c r="AR67" s="81">
        <f ca="1">IFERROR(__xludf.DUMMYFUNCTION("IMPORTRANGE(""https://docs.google.com/spreadsheets/d/1qU-W_9MCQD1pgIVXGEOjCFo9QqlmJywuebyGgaN92r8/edit?usp=sharing"",""ราชบุรี!L210"")"),0)</f>
        <v>0</v>
      </c>
      <c r="AS67" s="81">
        <f ca="1">IFERROR(__xludf.DUMMYFUNCTION("IMPORTRANGE(""https://docs.google.com/spreadsheets/d/1qU-W_9MCQD1pgIVXGEOjCFo9QqlmJywuebyGgaN92r8/edit?usp=sharing"",""ราชบุรี!N210"")"),0)</f>
        <v>0</v>
      </c>
      <c r="AT67" s="82">
        <f t="shared" ca="1" si="91"/>
        <v>0</v>
      </c>
      <c r="AU67" s="81">
        <f ca="1">IFERROR(__xludf.DUMMYFUNCTION("IMPORTRANGE(""https://docs.google.com/spreadsheets/d/1qU-W_9MCQD1pgIVXGEOjCFo9QqlmJywuebyGgaN92r8/edit?usp=sharing"",""ราชบุรี!L211"")"),0)</f>
        <v>0</v>
      </c>
      <c r="AV67" s="81">
        <f ca="1">IFERROR(__xludf.DUMMYFUNCTION("IMPORTRANGE(""https://docs.google.com/spreadsheets/d/1qU-W_9MCQD1pgIVXGEOjCFo9QqlmJywuebyGgaN92r8/edit?usp=sharing"",""ราชบุรี!N211"")"),0)</f>
        <v>0</v>
      </c>
      <c r="AW67" s="82">
        <f t="shared" ca="1" si="92"/>
        <v>0</v>
      </c>
      <c r="AX67" s="81">
        <f ca="1">IFERROR(__xludf.DUMMYFUNCTION("IMPORTRANGE(""https://docs.google.com/spreadsheets/d/1qU-W_9MCQD1pgIVXGEOjCFo9QqlmJywuebyGgaN92r8/edit?usp=sharing"",""ราชบุรี!L212"")"),0)</f>
        <v>0</v>
      </c>
      <c r="AY67" s="81">
        <f ca="1">IFERROR(__xludf.DUMMYFUNCTION("IMPORTRANGE(""https://docs.google.com/spreadsheets/d/1qU-W_9MCQD1pgIVXGEOjCFo9QqlmJywuebyGgaN92r8/edit?usp=sharing"",""ราชบุรี!N212"")"),0)</f>
        <v>0</v>
      </c>
      <c r="AZ67" s="82">
        <f t="shared" ca="1" si="93"/>
        <v>0</v>
      </c>
      <c r="BA67" s="81">
        <f ca="1">IFERROR(__xludf.DUMMYFUNCTION("IMPORTRANGE(""https://docs.google.com/spreadsheets/d/1qU-W_9MCQD1pgIVXGEOjCFo9QqlmJywuebyGgaN92r8/edit?usp=sharing"",""ราชบุรี!I214"")"),0)</f>
        <v>0</v>
      </c>
      <c r="BB67" s="81">
        <f ca="1">IFERROR(__xludf.DUMMYFUNCTION("IMPORTRANGE(""https://docs.google.com/spreadsheets/d/1qU-W_9MCQD1pgIVXGEOjCFo9QqlmJywuebyGgaN92r8/edit?usp=sharing"",""ราชบุรี!J214"")"),0)</f>
        <v>0</v>
      </c>
      <c r="BC67" s="82">
        <f t="shared" ca="1" si="94"/>
        <v>0</v>
      </c>
      <c r="BD67" s="81">
        <f ca="1">IFERROR(__xludf.DUMMYFUNCTION("IMPORTRANGE(""https://docs.google.com/spreadsheets/d/1qU-W_9MCQD1pgIVXGEOjCFo9QqlmJywuebyGgaN92r8/edit?usp=sharing"",""ราชบุรี!I215"")"),0)</f>
        <v>0</v>
      </c>
      <c r="BE67" s="81">
        <f ca="1">IFERROR(__xludf.DUMMYFUNCTION("IMPORTRANGE(""https://docs.google.com/spreadsheets/d/1qU-W_9MCQD1pgIVXGEOjCFo9QqlmJywuebyGgaN92r8/edit?usp=sharing"",""ราชบุรี!J215"")"),0)</f>
        <v>0</v>
      </c>
      <c r="BF67" s="82">
        <f t="shared" ca="1" si="95"/>
        <v>0</v>
      </c>
      <c r="BG67" s="81">
        <f ca="1">IFERROR(__xludf.DUMMYFUNCTION("IMPORTRANGE(""https://docs.google.com/spreadsheets/d/1qU-W_9MCQD1pgIVXGEOjCFo9QqlmJywuebyGgaN92r8/edit?usp=sharing"",""ราชบุรี!L218"")"),3000)</f>
        <v>3000</v>
      </c>
      <c r="BH67" s="81">
        <f ca="1">IFERROR(__xludf.DUMMYFUNCTION("IMPORTRANGE(""https://docs.google.com/spreadsheets/d/1qU-W_9MCQD1pgIVXGEOjCFo9QqlmJywuebyGgaN92r8/edit?usp=sharing"",""ราชบุรี!N218"")"),280)</f>
        <v>280</v>
      </c>
      <c r="BI67" s="82">
        <f t="shared" ca="1" si="96"/>
        <v>9.3333333333333339</v>
      </c>
      <c r="BJ67" s="81">
        <f ca="1">IFERROR(__xludf.DUMMYFUNCTION("IMPORTRANGE(""https://docs.google.com/spreadsheets/d/1qU-W_9MCQD1pgIVXGEOjCFo9QqlmJywuebyGgaN92r8/edit?usp=sharing"",""ราชบุรี!L219"")"),5000)</f>
        <v>5000</v>
      </c>
      <c r="BK67" s="81">
        <f ca="1">IFERROR(__xludf.DUMMYFUNCTION("IMPORTRANGE(""https://docs.google.com/spreadsheets/d/1qU-W_9MCQD1pgIVXGEOjCFo9QqlmJywuebyGgaN92r8/edit?usp=sharing"",""ราชบุรี!N219"")"),4900)</f>
        <v>4900</v>
      </c>
      <c r="BL67" s="82">
        <f t="shared" ca="1" si="97"/>
        <v>98</v>
      </c>
      <c r="BM67" s="81">
        <f ca="1">IFERROR(__xludf.DUMMYFUNCTION("IMPORTRANGE(""https://docs.google.com/spreadsheets/d/1qU-W_9MCQD1pgIVXGEOjCFo9QqlmJywuebyGgaN92r8/edit?usp=sharing"",""ราชบุรี!L220"")"),0)</f>
        <v>0</v>
      </c>
      <c r="BN67" s="81">
        <f ca="1">IFERROR(__xludf.DUMMYFUNCTION("IMPORTRANGE(""https://docs.google.com/spreadsheets/d/1qU-W_9MCQD1pgIVXGEOjCFo9QqlmJywuebyGgaN92r8/edit?usp=sharing"",""ราชบุรี!N220"")"),0)</f>
        <v>0</v>
      </c>
      <c r="BO67" s="82">
        <f t="shared" ca="1" si="98"/>
        <v>0</v>
      </c>
      <c r="BP67" s="81">
        <f ca="1">IFERROR(__xludf.DUMMYFUNCTION("IMPORTRANGE(""https://docs.google.com/spreadsheets/d/1qU-W_9MCQD1pgIVXGEOjCFo9QqlmJywuebyGgaN92r8/edit?usp=sharing"",""ราชบุรี!I223"")"),20000)</f>
        <v>20000</v>
      </c>
      <c r="BQ67" s="81">
        <f ca="1">IFERROR(__xludf.DUMMYFUNCTION("IMPORTRANGE(""https://docs.google.com/spreadsheets/d/1qU-W_9MCQD1pgIVXGEOjCFo9QqlmJywuebyGgaN92r8/edit?usp=sharing"",""ราชบุรี!J223"")"),20000)</f>
        <v>20000</v>
      </c>
      <c r="BR67" s="82">
        <f t="shared" ca="1" si="99"/>
        <v>100</v>
      </c>
      <c r="BS67" s="81">
        <f ca="1">IFERROR(__xludf.DUMMYFUNCTION("IMPORTRANGE(""https://docs.google.com/spreadsheets/d/1qU-W_9MCQD1pgIVXGEOjCFo9QqlmJywuebyGgaN92r8/edit?usp=sharing"",""ราชบุรี!I224"")"),20000)</f>
        <v>20000</v>
      </c>
      <c r="BT67" s="81">
        <f ca="1">IFERROR(__xludf.DUMMYFUNCTION("IMPORTRANGE(""https://docs.google.com/spreadsheets/d/1qU-W_9MCQD1pgIVXGEOjCFo9QqlmJywuebyGgaN92r8/edit?usp=sharing"",""ราชบุรี!J224"")"),20000)</f>
        <v>20000</v>
      </c>
      <c r="BU67" s="82">
        <f t="shared" ca="1" si="100"/>
        <v>100</v>
      </c>
      <c r="BV67" s="81">
        <f ca="1">IFERROR(__xludf.DUMMYFUNCTION("IMPORTRANGE(""https://docs.google.com/spreadsheets/d/1qU-W_9MCQD1pgIVXGEOjCFo9QqlmJywuebyGgaN92r8/edit?usp=sharing"",""ราชบุรี!I225"")"),0)</f>
        <v>0</v>
      </c>
      <c r="BW67" s="81">
        <f ca="1">IFERROR(__xludf.DUMMYFUNCTION("IMPORTRANGE(""https://docs.google.com/spreadsheets/d/1qU-W_9MCQD1pgIVXGEOjCFo9QqlmJywuebyGgaN92r8/edit?usp=sharing"",""ราชบุรี!J225"")"),0)</f>
        <v>0</v>
      </c>
      <c r="BX67" s="82">
        <f t="shared" ca="1" si="101"/>
        <v>0</v>
      </c>
      <c r="BY67" s="81">
        <f ca="1">IFERROR(__xludf.DUMMYFUNCTION("IMPORTRANGE(""https://docs.google.com/spreadsheets/d/1qU-W_9MCQD1pgIVXGEOjCFo9QqlmJywuebyGgaN92r8/edit?usp=sharing"",""ราชบุรี!L228"")"),0)</f>
        <v>0</v>
      </c>
      <c r="BZ67" s="81">
        <f ca="1">IFERROR(__xludf.DUMMYFUNCTION("IMPORTRANGE(""https://docs.google.com/spreadsheets/d/1qU-W_9MCQD1pgIVXGEOjCFo9QqlmJywuebyGgaN92r8/edit?usp=sharing"",""ราชบุรี!N228"")"),0)</f>
        <v>0</v>
      </c>
      <c r="CA67" s="82">
        <f t="shared" ca="1" si="102"/>
        <v>0</v>
      </c>
      <c r="CB67" s="81">
        <f ca="1">IFERROR(__xludf.DUMMYFUNCTION("IMPORTRANGE(""https://docs.google.com/spreadsheets/d/1qU-W_9MCQD1pgIVXGEOjCFo9QqlmJywuebyGgaN92r8/edit?usp=sharing"",""ราชบุรี!L229"")"),0)</f>
        <v>0</v>
      </c>
      <c r="CC67" s="81">
        <f ca="1">IFERROR(__xludf.DUMMYFUNCTION("IMPORTRANGE(""https://docs.google.com/spreadsheets/d/1qU-W_9MCQD1pgIVXGEOjCFo9QqlmJywuebyGgaN92r8/edit?usp=sharing"",""ราชบุรี!N229"")"),0)</f>
        <v>0</v>
      </c>
      <c r="CD67" s="82">
        <f t="shared" ca="1" si="103"/>
        <v>0</v>
      </c>
      <c r="CE67" s="81">
        <f ca="1">IFERROR(__xludf.DUMMYFUNCTION("IMPORTRANGE(""https://docs.google.com/spreadsheets/d/1qU-W_9MCQD1pgIVXGEOjCFo9QqlmJywuebyGgaN92r8/edit?usp=sharing"",""ราชบุรี!L230"")"),0)</f>
        <v>0</v>
      </c>
      <c r="CF67" s="81">
        <f ca="1">IFERROR(__xludf.DUMMYFUNCTION("IMPORTRANGE(""https://docs.google.com/spreadsheets/d/1qU-W_9MCQD1pgIVXGEOjCFo9QqlmJywuebyGgaN92r8/edit?usp=sharing"",""ราชบุรี!N230"")"),0)</f>
        <v>0</v>
      </c>
      <c r="CG67" s="82">
        <f t="shared" ca="1" si="104"/>
        <v>0</v>
      </c>
      <c r="CH67" s="81">
        <f ca="1">IFERROR(__xludf.DUMMYFUNCTION("IMPORTRANGE(""https://docs.google.com/spreadsheets/d/1qU-W_9MCQD1pgIVXGEOjCFo9QqlmJywuebyGgaN92r8/edit?usp=sharing"",""ราชบุรี!L231"")"),0)</f>
        <v>0</v>
      </c>
      <c r="CI67" s="81">
        <f ca="1">IFERROR(__xludf.DUMMYFUNCTION("IMPORTRANGE(""https://docs.google.com/spreadsheets/d/1qU-W_9MCQD1pgIVXGEOjCFo9QqlmJywuebyGgaN92r8/edit?usp=sharing"",""ราชบุรี!N231"")"),0)</f>
        <v>0</v>
      </c>
      <c r="CJ67" s="82">
        <f t="shared" ca="1" si="105"/>
        <v>0</v>
      </c>
      <c r="CK67" s="81">
        <f ca="1">IFERROR(__xludf.DUMMYFUNCTION("IMPORTRANGE(""https://docs.google.com/spreadsheets/d/1qU-W_9MCQD1pgIVXGEOjCFo9QqlmJywuebyGgaN92r8/edit?usp=sharing"",""ราชบุรี!I233"")"),0)</f>
        <v>0</v>
      </c>
      <c r="CL67" s="81">
        <f ca="1">IFERROR(__xludf.DUMMYFUNCTION("IMPORTRANGE(""https://docs.google.com/spreadsheets/d/1qU-W_9MCQD1pgIVXGEOjCFo9QqlmJywuebyGgaN92r8/edit?usp=sharing"",""ราชบุรี!J233"")"),0)</f>
        <v>0</v>
      </c>
      <c r="CM67" s="82">
        <f t="shared" ca="1" si="106"/>
        <v>0</v>
      </c>
      <c r="CN67" s="81">
        <f ca="1">IFERROR(__xludf.DUMMYFUNCTION("IMPORTRANGE(""https://docs.google.com/spreadsheets/d/1qU-W_9MCQD1pgIVXGEOjCFo9QqlmJywuebyGgaN92r8/edit?usp=sharing"",""ราชบุรี!J235"")"),0)</f>
        <v>0</v>
      </c>
      <c r="CO67" s="81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3">
        <v>16</v>
      </c>
      <c r="B68" s="74" t="s">
        <v>90</v>
      </c>
      <c r="C68" s="75">
        <f t="shared" ca="1" si="0"/>
        <v>89000</v>
      </c>
      <c r="D68" s="76">
        <f t="shared" ca="1" si="187"/>
        <v>89000</v>
      </c>
      <c r="E68" s="77">
        <f ca="1">IFERROR(__xludf.DUMMYFUNCTION("IMPORTRANGE(""https://docs.google.com/spreadsheets/d/1MeEWN-I1oV_STSDYn1IFDPWt_1FKiwhDph83XaGc0o0/edit?usp=sharing"",""งบพรบ!CP68"")"),0)</f>
        <v>0</v>
      </c>
      <c r="F68" s="77">
        <f ca="1">IFERROR(__xludf.DUMMYFUNCTION("IMPORTRANGE(""https://docs.google.com/spreadsheets/d/1MeEWN-I1oV_STSDYn1IFDPWt_1FKiwhDph83XaGc0o0/edit?usp=sharing"",""งบพรบ!CQ68"")"),89000)</f>
        <v>89000</v>
      </c>
      <c r="G68" s="77">
        <f ca="1">IFERROR(__xludf.DUMMYFUNCTION("IMPORTRANGE(""https://docs.google.com/spreadsheets/d/1MeEWN-I1oV_STSDYn1IFDPWt_1FKiwhDph83XaGc0o0/edit?usp=sharing"",""งบพรบ!CR68"")"),0)</f>
        <v>0</v>
      </c>
      <c r="H68" s="77">
        <f ca="1">IFERROR(__xludf.DUMMYFUNCTION("IMPORTRANGE(""https://docs.google.com/spreadsheets/d/1MeEWN-I1oV_STSDYn1IFDPWt_1FKiwhDph83XaGc0o0/edit?usp=sharing"",""งบพรบ!CT68"")"),89000)</f>
        <v>89000</v>
      </c>
      <c r="I68" s="77">
        <f ca="1">IFERROR(__xludf.DUMMYFUNCTION("IMPORTRANGE(""https://docs.google.com/spreadsheets/d/1MeEWN-I1oV_STSDYn1IFDPWt_1FKiwhDph83XaGc0o0/edit?usp=sharing"",""งบพรบ!CU68"")"),0)</f>
        <v>0</v>
      </c>
      <c r="J68" s="77">
        <f t="shared" ca="1" si="3"/>
        <v>77006</v>
      </c>
      <c r="K68" s="78">
        <f t="shared" ca="1" si="4"/>
        <v>86.523595505617976</v>
      </c>
      <c r="L68" s="77">
        <f ca="1">IFERROR(__xludf.DUMMYFUNCTION("IMPORTRANGE(""https://docs.google.com/spreadsheets/d/1MeEWN-I1oV_STSDYn1IFDPWt_1FKiwhDph83XaGc0o0/edit?usp=sharing"",""งบพรบ!CV68"")"),77006)</f>
        <v>77006</v>
      </c>
      <c r="M68" s="79">
        <f t="shared" ca="1" si="5"/>
        <v>86.523595505617976</v>
      </c>
      <c r="N68" s="79">
        <f t="shared" ca="1" si="6"/>
        <v>86.523595505617976</v>
      </c>
      <c r="O68" s="80">
        <f ca="1">IFERROR(__xludf.DUMMYFUNCTION("IMPORTRANGE(""https://docs.google.com/spreadsheets/d/1MeEWN-I1oV_STSDYn1IFDPWt_1FKiwhDph83XaGc0o0/edit?usp=sharing"",""งบพรบ!CW68"")"),0)</f>
        <v>0</v>
      </c>
      <c r="P68" s="80">
        <f t="shared" ca="1" si="10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IFERROR(__xludf.DUMMYFUNCTION("IMPORTRANGE(""https://docs.google.com/spreadsheets/d/1xYFIxIM_CspAP5Q-5Zx_V0T_Ut3cjryrjd2hss28vGk/edit?usp=sharing"",""ลพบุรี!L191"")"),6000)</f>
        <v>6000</v>
      </c>
      <c r="S68" s="81">
        <f ca="1">IFERROR(__xludf.DUMMYFUNCTION("IMPORTRANGE(""https://docs.google.com/spreadsheets/d/1xYFIxIM_CspAP5Q-5Zx_V0T_Ut3cjryrjd2hss28vGk/edit?usp=sharing"",""ลพบุรี!N191"")"),2720)</f>
        <v>2720</v>
      </c>
      <c r="T68" s="82">
        <f t="shared" ca="1" si="84"/>
        <v>45.333333333333336</v>
      </c>
      <c r="U68" s="81">
        <f ca="1">IFERROR(__xludf.DUMMYFUNCTION("IMPORTRANGE(""https://docs.google.com/spreadsheets/d/1xYFIxIM_CspAP5Q-5Zx_V0T_Ut3cjryrjd2hss28vGk/edit?usp=sharing"",""ลพบุรี!I193"")"),4)</f>
        <v>4</v>
      </c>
      <c r="V68" s="81">
        <f ca="1">IFERROR(__xludf.DUMMYFUNCTION("IMPORTRANGE(""https://docs.google.com/spreadsheets/d/1xYFIxIM_CspAP5Q-5Zx_V0T_Ut3cjryrjd2hss28vGk/edit?usp=sharing"",""ลพบุรี!J193"")"),3)</f>
        <v>3</v>
      </c>
      <c r="W68" s="82">
        <f t="shared" ca="1" si="85"/>
        <v>75</v>
      </c>
      <c r="X68" s="81">
        <f t="shared" ca="1" si="188"/>
        <v>50</v>
      </c>
      <c r="Y68" s="81">
        <f ca="1">IFERROR(__xludf.DUMMYFUNCTION("IMPORTRANGE(""https://docs.google.com/spreadsheets/d/1xYFIxIM_CspAP5Q-5Zx_V0T_Ut3cjryrjd2hss28vGk/edit?usp=sharing"",""ลพบุรี!J195"")"),50)</f>
        <v>50</v>
      </c>
      <c r="Z68" s="81">
        <f ca="1">IFERROR(__xludf.DUMMYFUNCTION("IMPORTRANGE(""https://docs.google.com/spreadsheets/d/1xYFIxIM_CspAP5Q-5Zx_V0T_Ut3cjryrjd2hss28vGk/edit?usp=sharing"",""ลพบุรี!J196"")"),0)</f>
        <v>0</v>
      </c>
      <c r="AA68" s="81">
        <f ca="1">IFERROR(__xludf.DUMMYFUNCTION("IMPORTRANGE(""https://docs.google.com/spreadsheets/d/1xYFIxIM_CspAP5Q-5Zx_V0T_Ut3cjryrjd2hss28vGk/edit?usp=sharing"",""ลพบุรี!L199"")"),4000)</f>
        <v>4000</v>
      </c>
      <c r="AB68" s="81">
        <f ca="1">IFERROR(__xludf.DUMMYFUNCTION("IMPORTRANGE(""https://docs.google.com/spreadsheets/d/1xYFIxIM_CspAP5Q-5Zx_V0T_Ut3cjryrjd2hss28vGk/edit?usp=sharing"",""ลพบุรี!N199"")"),4000)</f>
        <v>4000</v>
      </c>
      <c r="AC68" s="82">
        <f t="shared" ca="1" si="86"/>
        <v>100</v>
      </c>
      <c r="AD68" s="81">
        <f ca="1">IFERROR(__xludf.DUMMYFUNCTION("IMPORTRANGE(""https://docs.google.com/spreadsheets/d/1xYFIxIM_CspAP5Q-5Zx_V0T_Ut3cjryrjd2hss28vGk/edit?usp=sharing"",""ลพบุรี!L200"")"),32000)</f>
        <v>32000</v>
      </c>
      <c r="AE68" s="81">
        <f ca="1">IFERROR(__xludf.DUMMYFUNCTION("IMPORTRANGE(""https://docs.google.com/spreadsheets/d/1xYFIxIM_CspAP5Q-5Zx_V0T_Ut3cjryrjd2hss28vGk/edit?usp=sharing"",""ลพบุรี!N200"")"),32000)</f>
        <v>32000</v>
      </c>
      <c r="AF68" s="82">
        <f t="shared" ca="1" si="87"/>
        <v>100</v>
      </c>
      <c r="AG68" s="81">
        <f ca="1">IFERROR(__xludf.DUMMYFUNCTION("IMPORTRANGE(""https://docs.google.com/spreadsheets/d/1xYFIxIM_CspAP5Q-5Zx_V0T_Ut3cjryrjd2hss28vGk/edit?usp=sharing"",""ลพบุรี!L201"")"),16000)</f>
        <v>16000</v>
      </c>
      <c r="AH68" s="81">
        <f ca="1">IFERROR(__xludf.DUMMYFUNCTION("IMPORTRANGE(""https://docs.google.com/spreadsheets/d/1xYFIxIM_CspAP5Q-5Zx_V0T_Ut3cjryrjd2hss28vGk/edit?usp=sharing"",""ลพบุรี!N201"")"),16000)</f>
        <v>16000</v>
      </c>
      <c r="AI68" s="82">
        <f t="shared" ca="1" si="88"/>
        <v>100</v>
      </c>
      <c r="AJ68" s="81">
        <f ca="1">IFERROR(__xludf.DUMMYFUNCTION("IMPORTRANGE(""https://docs.google.com/spreadsheets/d/1xYFIxIM_CspAP5Q-5Zx_V0T_Ut3cjryrjd2hss28vGk/edit?usp=sharing"",""ลพบุรี!L202"")"),0)</f>
        <v>0</v>
      </c>
      <c r="AK68" s="81">
        <f ca="1">IFERROR(__xludf.DUMMYFUNCTION("IMPORTRANGE(""https://docs.google.com/spreadsheets/d/1xYFIxIM_CspAP5Q-5Zx_V0T_Ut3cjryrjd2hss28vGk/edit?usp=sharing"",""ลพบุรี!N202"")"),0)</f>
        <v>0</v>
      </c>
      <c r="AL68" s="82">
        <f t="shared" ca="1" si="89"/>
        <v>0</v>
      </c>
      <c r="AM68" s="81">
        <f ca="1">IFERROR(__xludf.DUMMYFUNCTION("IMPORTRANGE(""https://docs.google.com/spreadsheets/d/1xYFIxIM_CspAP5Q-5Zx_V0T_Ut3cjryrjd2hss28vGk/edit?usp=sharing"",""ลพบุรี!I204"")"),4)</f>
        <v>4</v>
      </c>
      <c r="AN68" s="81">
        <f ca="1">IFERROR(__xludf.DUMMYFUNCTION("IMPORTRANGE(""https://docs.google.com/spreadsheets/d/1xYFIxIM_CspAP5Q-5Zx_V0T_Ut3cjryrjd2hss28vGk/edit?usp=sharing"",""ลพบุรี!J204"")"),4)</f>
        <v>4</v>
      </c>
      <c r="AO68" s="82">
        <f t="shared" ca="1" si="90"/>
        <v>100</v>
      </c>
      <c r="AP68" s="297">
        <f ca="1">IFERROR(__xludf.DUMMYFUNCTION("IMPORTRANGE(""https://docs.google.com/spreadsheets/d/1xYFIxIM_CspAP5Q-5Zx_V0T_Ut3cjryrjd2hss28vGk/edit?usp=sharing"",""ลพบุรี!J206"")"),4)</f>
        <v>4</v>
      </c>
      <c r="AQ68" s="297">
        <f ca="1">IFERROR(__xludf.DUMMYFUNCTION("IMPORTRANGE(""https://docs.google.com/spreadsheets/d/1xYFIxIM_CspAP5Q-5Zx_V0T_Ut3cjryrjd2hss28vGk/edit?usp=sharing"",""ลพบุรี!J207"")"),0)</f>
        <v>0</v>
      </c>
      <c r="AR68" s="81">
        <f ca="1">IFERROR(__xludf.DUMMYFUNCTION("IMPORTRANGE(""https://docs.google.com/spreadsheets/d/1xYFIxIM_CspAP5Q-5Zx_V0T_Ut3cjryrjd2hss28vGk/edit?usp=sharing"",""ลพบุรี!L210"")"),0)</f>
        <v>0</v>
      </c>
      <c r="AS68" s="81">
        <f ca="1">IFERROR(__xludf.DUMMYFUNCTION("IMPORTRANGE(""https://docs.google.com/spreadsheets/d/1xYFIxIM_CspAP5Q-5Zx_V0T_Ut3cjryrjd2hss28vGk/edit?usp=sharing"",""ลพบุรี!N210"")"),0)</f>
        <v>0</v>
      </c>
      <c r="AT68" s="82">
        <f t="shared" ca="1" si="91"/>
        <v>0</v>
      </c>
      <c r="AU68" s="81">
        <f ca="1">IFERROR(__xludf.DUMMYFUNCTION("IMPORTRANGE(""https://docs.google.com/spreadsheets/d/1xYFIxIM_CspAP5Q-5Zx_V0T_Ut3cjryrjd2hss28vGk/edit?usp=sharing"",""ลพบุรี!L211"")"),0)</f>
        <v>0</v>
      </c>
      <c r="AV68" s="81">
        <f ca="1">IFERROR(__xludf.DUMMYFUNCTION("IMPORTRANGE(""https://docs.google.com/spreadsheets/d/1xYFIxIM_CspAP5Q-5Zx_V0T_Ut3cjryrjd2hss28vGk/edit?usp=sharing"",""ลพบุรี!N211"")"),0)</f>
        <v>0</v>
      </c>
      <c r="AW68" s="82">
        <f t="shared" ca="1" si="92"/>
        <v>0</v>
      </c>
      <c r="AX68" s="81">
        <f ca="1">IFERROR(__xludf.DUMMYFUNCTION("IMPORTRANGE(""https://docs.google.com/spreadsheets/d/1xYFIxIM_CspAP5Q-5Zx_V0T_Ut3cjryrjd2hss28vGk/edit?usp=sharing"",""ลพบุรี!L212"")"),0)</f>
        <v>0</v>
      </c>
      <c r="AY68" s="81">
        <f ca="1">IFERROR(__xludf.DUMMYFUNCTION("IMPORTRANGE(""https://docs.google.com/spreadsheets/d/1xYFIxIM_CspAP5Q-5Zx_V0T_Ut3cjryrjd2hss28vGk/edit?usp=sharing"",""ลพบุรี!N212"")"),0)</f>
        <v>0</v>
      </c>
      <c r="AZ68" s="82">
        <f t="shared" ca="1" si="93"/>
        <v>0</v>
      </c>
      <c r="BA68" s="81">
        <f ca="1">IFERROR(__xludf.DUMMYFUNCTION("IMPORTRANGE(""https://docs.google.com/spreadsheets/d/1xYFIxIM_CspAP5Q-5Zx_V0T_Ut3cjryrjd2hss28vGk/edit?usp=sharing"",""ลพบุรี!I214"")"),0)</f>
        <v>0</v>
      </c>
      <c r="BB68" s="81">
        <f ca="1">IFERROR(__xludf.DUMMYFUNCTION("IMPORTRANGE(""https://docs.google.com/spreadsheets/d/1xYFIxIM_CspAP5Q-5Zx_V0T_Ut3cjryrjd2hss28vGk/edit?usp=sharing"",""ลพบุรี!J214"")"),0)</f>
        <v>0</v>
      </c>
      <c r="BC68" s="82">
        <f t="shared" ca="1" si="94"/>
        <v>0</v>
      </c>
      <c r="BD68" s="81">
        <f ca="1">IFERROR(__xludf.DUMMYFUNCTION("IMPORTRANGE(""https://docs.google.com/spreadsheets/d/1xYFIxIM_CspAP5Q-5Zx_V0T_Ut3cjryrjd2hss28vGk/edit?usp=sharing"",""ลพบุรี!I215"")"),0)</f>
        <v>0</v>
      </c>
      <c r="BE68" s="81">
        <f ca="1">IFERROR(__xludf.DUMMYFUNCTION("IMPORTRANGE(""https://docs.google.com/spreadsheets/d/1xYFIxIM_CspAP5Q-5Zx_V0T_Ut3cjryrjd2hss28vGk/edit?usp=sharing"",""ลพบุรี!J215"")"),0)</f>
        <v>0</v>
      </c>
      <c r="BF68" s="82">
        <f t="shared" ca="1" si="95"/>
        <v>0</v>
      </c>
      <c r="BG68" s="81">
        <f ca="1">IFERROR(__xludf.DUMMYFUNCTION("IMPORTRANGE(""https://docs.google.com/spreadsheets/d/1xYFIxIM_CspAP5Q-5Zx_V0T_Ut3cjryrjd2hss28vGk/edit?usp=sharing"",""ลพบุรี!L218"")"),6000)</f>
        <v>6000</v>
      </c>
      <c r="BH68" s="81">
        <f ca="1">IFERROR(__xludf.DUMMYFUNCTION("IMPORTRANGE(""https://docs.google.com/spreadsheets/d/1xYFIxIM_CspAP5Q-5Zx_V0T_Ut3cjryrjd2hss28vGk/edit?usp=sharing"",""ลพบุรี!N218"")"),2000)</f>
        <v>2000</v>
      </c>
      <c r="BI68" s="82">
        <f t="shared" ca="1" si="96"/>
        <v>33.333333333333336</v>
      </c>
      <c r="BJ68" s="81">
        <f ca="1">IFERROR(__xludf.DUMMYFUNCTION("IMPORTRANGE(""https://docs.google.com/spreadsheets/d/1xYFIxIM_CspAP5Q-5Zx_V0T_Ut3cjryrjd2hss28vGk/edit?usp=sharing"",""ลพบุรี!L219"")"),25000)</f>
        <v>25000</v>
      </c>
      <c r="BK68" s="81">
        <f ca="1">IFERROR(__xludf.DUMMYFUNCTION("IMPORTRANGE(""https://docs.google.com/spreadsheets/d/1xYFIxIM_CspAP5Q-5Zx_V0T_Ut3cjryrjd2hss28vGk/edit?usp=sharing"",""ลพบุรี!N219"")"),15000)</f>
        <v>15000</v>
      </c>
      <c r="BL68" s="82">
        <f t="shared" ca="1" si="97"/>
        <v>60</v>
      </c>
      <c r="BM68" s="81">
        <f ca="1">IFERROR(__xludf.DUMMYFUNCTION("IMPORTRANGE(""https://docs.google.com/spreadsheets/d/1xYFIxIM_CspAP5Q-5Zx_V0T_Ut3cjryrjd2hss28vGk/edit?usp=sharing"",""ลพบุรี!L220"")"),0)</f>
        <v>0</v>
      </c>
      <c r="BN68" s="81">
        <f ca="1">IFERROR(__xludf.DUMMYFUNCTION("IMPORTRANGE(""https://docs.google.com/spreadsheets/d/1xYFIxIM_CspAP5Q-5Zx_V0T_Ut3cjryrjd2hss28vGk/edit?usp=sharing"",""ลพบุรี!N220"")"),0)</f>
        <v>0</v>
      </c>
      <c r="BO68" s="82">
        <f t="shared" ca="1" si="98"/>
        <v>0</v>
      </c>
      <c r="BP68" s="81">
        <f ca="1">IFERROR(__xludf.DUMMYFUNCTION("IMPORTRANGE(""https://docs.google.com/spreadsheets/d/1xYFIxIM_CspAP5Q-5Zx_V0T_Ut3cjryrjd2hss28vGk/edit?usp=sharing"",""ลพบุรี!I223"")"),100000)</f>
        <v>100000</v>
      </c>
      <c r="BQ68" s="81">
        <f ca="1">IFERROR(__xludf.DUMMYFUNCTION("IMPORTRANGE(""https://docs.google.com/spreadsheets/d/1xYFIxIM_CspAP5Q-5Zx_V0T_Ut3cjryrjd2hss28vGk/edit?usp=sharing"",""ลพบุรี!J223"")"),100000)</f>
        <v>100000</v>
      </c>
      <c r="BR68" s="82">
        <f t="shared" ca="1" si="99"/>
        <v>100</v>
      </c>
      <c r="BS68" s="81">
        <f ca="1">IFERROR(__xludf.DUMMYFUNCTION("IMPORTRANGE(""https://docs.google.com/spreadsheets/d/1xYFIxIM_CspAP5Q-5Zx_V0T_Ut3cjryrjd2hss28vGk/edit?usp=sharing"",""ลพบุรี!I224"")"),100000)</f>
        <v>100000</v>
      </c>
      <c r="BT68" s="81">
        <f ca="1">IFERROR(__xludf.DUMMYFUNCTION("IMPORTRANGE(""https://docs.google.com/spreadsheets/d/1xYFIxIM_CspAP5Q-5Zx_V0T_Ut3cjryrjd2hss28vGk/edit?usp=sharing"",""ลพบุรี!J224"")"),100000)</f>
        <v>100000</v>
      </c>
      <c r="BU68" s="82">
        <f t="shared" ca="1" si="100"/>
        <v>100</v>
      </c>
      <c r="BV68" s="81">
        <f ca="1">IFERROR(__xludf.DUMMYFUNCTION("IMPORTRANGE(""https://docs.google.com/spreadsheets/d/1xYFIxIM_CspAP5Q-5Zx_V0T_Ut3cjryrjd2hss28vGk/edit?usp=sharing"",""ลพบุรี!I225"")"),0)</f>
        <v>0</v>
      </c>
      <c r="BW68" s="81">
        <f ca="1">IFERROR(__xludf.DUMMYFUNCTION("IMPORTRANGE(""https://docs.google.com/spreadsheets/d/1xYFIxIM_CspAP5Q-5Zx_V0T_Ut3cjryrjd2hss28vGk/edit?usp=sharing"",""ลพบุรี!J225"")"),0)</f>
        <v>0</v>
      </c>
      <c r="BX68" s="82">
        <f t="shared" ca="1" si="101"/>
        <v>0</v>
      </c>
      <c r="BY68" s="81">
        <f ca="1">IFERROR(__xludf.DUMMYFUNCTION("IMPORTRANGE(""https://docs.google.com/spreadsheets/d/1xYFIxIM_CspAP5Q-5Zx_V0T_Ut3cjryrjd2hss28vGk/edit?usp=sharing"",""ลพบุรี!L228"")"),0)</f>
        <v>0</v>
      </c>
      <c r="BZ68" s="81">
        <f ca="1">IFERROR(__xludf.DUMMYFUNCTION("IMPORTRANGE(""https://docs.google.com/spreadsheets/d/1xYFIxIM_CspAP5Q-5Zx_V0T_Ut3cjryrjd2hss28vGk/edit?usp=sharing"",""ลพบุรี!N228"")"),0)</f>
        <v>0</v>
      </c>
      <c r="CA68" s="82">
        <f t="shared" ca="1" si="102"/>
        <v>0</v>
      </c>
      <c r="CB68" s="81">
        <f ca="1">IFERROR(__xludf.DUMMYFUNCTION("IMPORTRANGE(""https://docs.google.com/spreadsheets/d/1xYFIxIM_CspAP5Q-5Zx_V0T_Ut3cjryrjd2hss28vGk/edit?usp=sharing"",""ลพบุรี!L229"")"),0)</f>
        <v>0</v>
      </c>
      <c r="CC68" s="81">
        <f ca="1">IFERROR(__xludf.DUMMYFUNCTION("IMPORTRANGE(""https://docs.google.com/spreadsheets/d/1xYFIxIM_CspAP5Q-5Zx_V0T_Ut3cjryrjd2hss28vGk/edit?usp=sharing"",""ลพบุรี!N229"")"),0)</f>
        <v>0</v>
      </c>
      <c r="CD68" s="82">
        <f t="shared" ca="1" si="103"/>
        <v>0</v>
      </c>
      <c r="CE68" s="81">
        <f ca="1">IFERROR(__xludf.DUMMYFUNCTION("IMPORTRANGE(""https://docs.google.com/spreadsheets/d/1xYFIxIM_CspAP5Q-5Zx_V0T_Ut3cjryrjd2hss28vGk/edit?usp=sharing"",""ลพบุรี!L230"")"),0)</f>
        <v>0</v>
      </c>
      <c r="CF68" s="81">
        <f ca="1">IFERROR(__xludf.DUMMYFUNCTION("IMPORTRANGE(""https://docs.google.com/spreadsheets/d/1xYFIxIM_CspAP5Q-5Zx_V0T_Ut3cjryrjd2hss28vGk/edit?usp=sharing"",""ลพบุรี!N230"")"),0)</f>
        <v>0</v>
      </c>
      <c r="CG68" s="82">
        <f t="shared" ca="1" si="104"/>
        <v>0</v>
      </c>
      <c r="CH68" s="81">
        <f ca="1">IFERROR(__xludf.DUMMYFUNCTION("IMPORTRANGE(""https://docs.google.com/spreadsheets/d/1xYFIxIM_CspAP5Q-5Zx_V0T_Ut3cjryrjd2hss28vGk/edit?usp=sharing"",""ลพบุรี!L231"")"),0)</f>
        <v>0</v>
      </c>
      <c r="CI68" s="81">
        <f ca="1">IFERROR(__xludf.DUMMYFUNCTION("IMPORTRANGE(""https://docs.google.com/spreadsheets/d/1xYFIxIM_CspAP5Q-5Zx_V0T_Ut3cjryrjd2hss28vGk/edit?usp=sharing"",""ลพบุรี!N231"")"),0)</f>
        <v>0</v>
      </c>
      <c r="CJ68" s="82">
        <f t="shared" ca="1" si="105"/>
        <v>0</v>
      </c>
      <c r="CK68" s="81">
        <f ca="1">IFERROR(__xludf.DUMMYFUNCTION("IMPORTRANGE(""https://docs.google.com/spreadsheets/d/1xYFIxIM_CspAP5Q-5Zx_V0T_Ut3cjryrjd2hss28vGk/edit?usp=sharing"",""ลพบุรี!I233"")"),0)</f>
        <v>0</v>
      </c>
      <c r="CL68" s="81">
        <f ca="1">IFERROR(__xludf.DUMMYFUNCTION("IMPORTRANGE(""https://docs.google.com/spreadsheets/d/1xYFIxIM_CspAP5Q-5Zx_V0T_Ut3cjryrjd2hss28vGk/edit?usp=sharing"",""ลพบุรี!J233"")"),0)</f>
        <v>0</v>
      </c>
      <c r="CM68" s="82">
        <f t="shared" ca="1" si="106"/>
        <v>0</v>
      </c>
      <c r="CN68" s="81">
        <f ca="1">IFERROR(__xludf.DUMMYFUNCTION("IMPORTRANGE(""https://docs.google.com/spreadsheets/d/1xYFIxIM_CspAP5Q-5Zx_V0T_Ut3cjryrjd2hss28vGk/edit?usp=sharing"",""ลพบุรี!J235"")"),0)</f>
        <v>0</v>
      </c>
      <c r="CO68" s="81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3">
        <v>17</v>
      </c>
      <c r="B69" s="74" t="s">
        <v>91</v>
      </c>
      <c r="C69" s="75">
        <f t="shared" ca="1" si="0"/>
        <v>276800</v>
      </c>
      <c r="D69" s="76">
        <f t="shared" ca="1" si="187"/>
        <v>276800</v>
      </c>
      <c r="E69" s="77">
        <f ca="1">IFERROR(__xludf.DUMMYFUNCTION("IMPORTRANGE(""https://docs.google.com/spreadsheets/d/1MeEWN-I1oV_STSDYn1IFDPWt_1FKiwhDph83XaGc0o0/edit?usp=sharing"",""งบพรบ!CP69"")"),0)</f>
        <v>0</v>
      </c>
      <c r="F69" s="77">
        <f ca="1">IFERROR(__xludf.DUMMYFUNCTION("IMPORTRANGE(""https://docs.google.com/spreadsheets/d/1MeEWN-I1oV_STSDYn1IFDPWt_1FKiwhDph83XaGc0o0/edit?usp=sharing"",""งบพรบ!CQ69"")"),276800)</f>
        <v>276800</v>
      </c>
      <c r="G69" s="77">
        <f ca="1">IFERROR(__xludf.DUMMYFUNCTION("IMPORTRANGE(""https://docs.google.com/spreadsheets/d/1MeEWN-I1oV_STSDYn1IFDPWt_1FKiwhDph83XaGc0o0/edit?usp=sharing"",""งบพรบ!CR69"")"),0)</f>
        <v>0</v>
      </c>
      <c r="H69" s="77">
        <f ca="1">IFERROR(__xludf.DUMMYFUNCTION("IMPORTRANGE(""https://docs.google.com/spreadsheets/d/1MeEWN-I1oV_STSDYn1IFDPWt_1FKiwhDph83XaGc0o0/edit?usp=sharing"",""งบพรบ!CT69"")"),283520)</f>
        <v>283520</v>
      </c>
      <c r="I69" s="77">
        <f ca="1">IFERROR(__xludf.DUMMYFUNCTION("IMPORTRANGE(""https://docs.google.com/spreadsheets/d/1MeEWN-I1oV_STSDYn1IFDPWt_1FKiwhDph83XaGc0o0/edit?usp=sharing"",""งบพรบ!CU69"")"),0)</f>
        <v>0</v>
      </c>
      <c r="J69" s="77">
        <f t="shared" ca="1" si="3"/>
        <v>282310</v>
      </c>
      <c r="K69" s="78">
        <f t="shared" ca="1" si="4"/>
        <v>101.99060693641619</v>
      </c>
      <c r="L69" s="77">
        <f ca="1">IFERROR(__xludf.DUMMYFUNCTION("IMPORTRANGE(""https://docs.google.com/spreadsheets/d/1MeEWN-I1oV_STSDYn1IFDPWt_1FKiwhDph83XaGc0o0/edit?usp=sharing"",""งบพรบ!CV69"")"),282310)</f>
        <v>282310</v>
      </c>
      <c r="M69" s="79">
        <f t="shared" ca="1" si="5"/>
        <v>101.99060693641619</v>
      </c>
      <c r="N69" s="79">
        <f t="shared" ca="1" si="6"/>
        <v>99.573222347629795</v>
      </c>
      <c r="O69" s="80">
        <f ca="1">IFERROR(__xludf.DUMMYFUNCTION("IMPORTRANGE(""https://docs.google.com/spreadsheets/d/1MeEWN-I1oV_STSDYn1IFDPWt_1FKiwhDph83XaGc0o0/edit?usp=sharing"",""งบพรบ!CW69"")"),0)</f>
        <v>0</v>
      </c>
      <c r="P69" s="80">
        <f t="shared" ca="1" si="10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IFERROR(__xludf.DUMMYFUNCTION("IMPORTRANGE(""https://docs.google.com/spreadsheets/d/11s9m3tKsCBdPWq6syhZm27eBGbKneDLZc75co106bio/edit?usp=sharing"",""สระแก้ว!L191"")"),6000)</f>
        <v>6000</v>
      </c>
      <c r="S69" s="81">
        <f ca="1">IFERROR(__xludf.DUMMYFUNCTION("IMPORTRANGE(""https://docs.google.com/spreadsheets/d/11s9m3tKsCBdPWq6syhZm27eBGbKneDLZc75co106bio/edit?usp=sharing"",""สระแก้ว!N191"")"),6000)</f>
        <v>6000</v>
      </c>
      <c r="T69" s="82">
        <f t="shared" ca="1" si="84"/>
        <v>100</v>
      </c>
      <c r="U69" s="81">
        <f ca="1">IFERROR(__xludf.DUMMYFUNCTION("IMPORTRANGE(""https://docs.google.com/spreadsheets/d/11s9m3tKsCBdPWq6syhZm27eBGbKneDLZc75co106bio/edit?usp=sharing"",""สระแก้ว!I193"")"),4)</f>
        <v>4</v>
      </c>
      <c r="V69" s="81">
        <f ca="1">IFERROR(__xludf.DUMMYFUNCTION("IMPORTRANGE(""https://docs.google.com/spreadsheets/d/11s9m3tKsCBdPWq6syhZm27eBGbKneDLZc75co106bio/edit?usp=sharing"",""สระแก้ว!J193"")"),4)</f>
        <v>4</v>
      </c>
      <c r="W69" s="82">
        <f t="shared" ca="1" si="85"/>
        <v>100</v>
      </c>
      <c r="X69" s="81">
        <f t="shared" ca="1" si="188"/>
        <v>0</v>
      </c>
      <c r="Y69" s="81">
        <f ca="1">IFERROR(__xludf.DUMMYFUNCTION("IMPORTRANGE(""https://docs.google.com/spreadsheets/d/11s9m3tKsCBdPWq6syhZm27eBGbKneDLZc75co106bio/edit?usp=sharing"",""สระแก้ว!J195"")"),0)</f>
        <v>0</v>
      </c>
      <c r="Z69" s="81">
        <f ca="1">IFERROR(__xludf.DUMMYFUNCTION("IMPORTRANGE(""https://docs.google.com/spreadsheets/d/11s9m3tKsCBdPWq6syhZm27eBGbKneDLZc75co106bio/edit?usp=sharing"",""สระแก้ว!J196"")"),0)</f>
        <v>0</v>
      </c>
      <c r="AA69" s="81">
        <f ca="1">IFERROR(__xludf.DUMMYFUNCTION("IMPORTRANGE(""https://docs.google.com/spreadsheets/d/11s9m3tKsCBdPWq6syhZm27eBGbKneDLZc75co106bio/edit?usp=sharing"",""สระแก้ว!L199"")"),3000)</f>
        <v>3000</v>
      </c>
      <c r="AB69" s="81">
        <f ca="1">IFERROR(__xludf.DUMMYFUNCTION("IMPORTRANGE(""https://docs.google.com/spreadsheets/d/11s9m3tKsCBdPWq6syhZm27eBGbKneDLZc75co106bio/edit?usp=sharing"",""สระแก้ว!N199"")"),3000)</f>
        <v>3000</v>
      </c>
      <c r="AC69" s="82">
        <f t="shared" ca="1" si="86"/>
        <v>100</v>
      </c>
      <c r="AD69" s="81">
        <f ca="1">IFERROR(__xludf.DUMMYFUNCTION("IMPORTRANGE(""https://docs.google.com/spreadsheets/d/11s9m3tKsCBdPWq6syhZm27eBGbKneDLZc75co106bio/edit?usp=sharing"",""สระแก้ว!L200"")"),24000)</f>
        <v>24000</v>
      </c>
      <c r="AE69" s="81">
        <f ca="1">IFERROR(__xludf.DUMMYFUNCTION("IMPORTRANGE(""https://docs.google.com/spreadsheets/d/11s9m3tKsCBdPWq6syhZm27eBGbKneDLZc75co106bio/edit?usp=sharing"",""สระแก้ว!N200"")"),24000)</f>
        <v>24000</v>
      </c>
      <c r="AF69" s="82">
        <f t="shared" ca="1" si="87"/>
        <v>100</v>
      </c>
      <c r="AG69" s="81">
        <f ca="1">IFERROR(__xludf.DUMMYFUNCTION("IMPORTRANGE(""https://docs.google.com/spreadsheets/d/11s9m3tKsCBdPWq6syhZm27eBGbKneDLZc75co106bio/edit?usp=sharing"",""สระแก้ว!L201"")"),12000)</f>
        <v>12000</v>
      </c>
      <c r="AH69" s="81">
        <f ca="1">IFERROR(__xludf.DUMMYFUNCTION("IMPORTRANGE(""https://docs.google.com/spreadsheets/d/11s9m3tKsCBdPWq6syhZm27eBGbKneDLZc75co106bio/edit?usp=sharing"",""สระแก้ว!N201"")"),12000)</f>
        <v>12000</v>
      </c>
      <c r="AI69" s="82">
        <f t="shared" ca="1" si="88"/>
        <v>100</v>
      </c>
      <c r="AJ69" s="81">
        <f ca="1">IFERROR(__xludf.DUMMYFUNCTION("IMPORTRANGE(""https://docs.google.com/spreadsheets/d/11s9m3tKsCBdPWq6syhZm27eBGbKneDLZc75co106bio/edit?usp=sharing"",""สระแก้ว!L202"")"),0)</f>
        <v>0</v>
      </c>
      <c r="AK69" s="81">
        <f ca="1">IFERROR(__xludf.DUMMYFUNCTION("IMPORTRANGE(""https://docs.google.com/spreadsheets/d/11s9m3tKsCBdPWq6syhZm27eBGbKneDLZc75co106bio/edit?usp=sharing"",""สระแก้ว!N202"")"),0)</f>
        <v>0</v>
      </c>
      <c r="AL69" s="82">
        <f t="shared" ca="1" si="89"/>
        <v>0</v>
      </c>
      <c r="AM69" s="81">
        <f ca="1">IFERROR(__xludf.DUMMYFUNCTION("IMPORTRANGE(""https://docs.google.com/spreadsheets/d/11s9m3tKsCBdPWq6syhZm27eBGbKneDLZc75co106bio/edit?usp=sharing"",""สระแก้ว!I204"")"),3)</f>
        <v>3</v>
      </c>
      <c r="AN69" s="81">
        <f ca="1">IFERROR(__xludf.DUMMYFUNCTION("IMPORTRANGE(""https://docs.google.com/spreadsheets/d/11s9m3tKsCBdPWq6syhZm27eBGbKneDLZc75co106bio/edit?usp=sharing"",""สระแก้ว!J204"")"),3)</f>
        <v>3</v>
      </c>
      <c r="AO69" s="82">
        <f t="shared" ca="1" si="90"/>
        <v>100</v>
      </c>
      <c r="AP69" s="297">
        <f ca="1">IFERROR(__xludf.DUMMYFUNCTION("IMPORTRANGE(""https://docs.google.com/spreadsheets/d/11s9m3tKsCBdPWq6syhZm27eBGbKneDLZc75co106bio/edit?usp=sharing"",""สระแก้ว!J206"")"),3)</f>
        <v>3</v>
      </c>
      <c r="AQ69" s="297">
        <f ca="1">IFERROR(__xludf.DUMMYFUNCTION("IMPORTRANGE(""https://docs.google.com/spreadsheets/d/11s9m3tKsCBdPWq6syhZm27eBGbKneDLZc75co106bio/edit?usp=sharing"",""สระแก้ว!J207"")"),0)</f>
        <v>0</v>
      </c>
      <c r="AR69" s="81">
        <f ca="1">IFERROR(__xludf.DUMMYFUNCTION("IMPORTRANGE(""https://docs.google.com/spreadsheets/d/11s9m3tKsCBdPWq6syhZm27eBGbKneDLZc75co106bio/edit?usp=sharing"",""สระแก้ว!L210"")"),6000)</f>
        <v>6000</v>
      </c>
      <c r="AS69" s="81">
        <f ca="1">IFERROR(__xludf.DUMMYFUNCTION("IMPORTRANGE(""https://docs.google.com/spreadsheets/d/11s9m3tKsCBdPWq6syhZm27eBGbKneDLZc75co106bio/edit?usp=sharing"",""สระแก้ว!N210"")"),6000)</f>
        <v>6000</v>
      </c>
      <c r="AT69" s="82">
        <f t="shared" ca="1" si="91"/>
        <v>100</v>
      </c>
      <c r="AU69" s="81">
        <f ca="1">IFERROR(__xludf.DUMMYFUNCTION("IMPORTRANGE(""https://docs.google.com/spreadsheets/d/11s9m3tKsCBdPWq6syhZm27eBGbKneDLZc75co106bio/edit?usp=sharing"",""สระแก้ว!L211"")"),30000)</f>
        <v>30000</v>
      </c>
      <c r="AV69" s="81">
        <f ca="1">IFERROR(__xludf.DUMMYFUNCTION("IMPORTRANGE(""https://docs.google.com/spreadsheets/d/11s9m3tKsCBdPWq6syhZm27eBGbKneDLZc75co106bio/edit?usp=sharing"",""สระแก้ว!N211"")"),30000)</f>
        <v>30000</v>
      </c>
      <c r="AW69" s="82">
        <f t="shared" ca="1" si="92"/>
        <v>100</v>
      </c>
      <c r="AX69" s="81">
        <f ca="1">IFERROR(__xludf.DUMMYFUNCTION("IMPORTRANGE(""https://docs.google.com/spreadsheets/d/11s9m3tKsCBdPWq6syhZm27eBGbKneDLZc75co106bio/edit?usp=sharing"",""สระแก้ว!L212"")"),48000)</f>
        <v>48000</v>
      </c>
      <c r="AY69" s="81">
        <f ca="1">IFERROR(__xludf.DUMMYFUNCTION("IMPORTRANGE(""https://docs.google.com/spreadsheets/d/11s9m3tKsCBdPWq6syhZm27eBGbKneDLZc75co106bio/edit?usp=sharing"",""สระแก้ว!N212"")"),48000)</f>
        <v>48000</v>
      </c>
      <c r="AZ69" s="82">
        <f t="shared" ca="1" si="93"/>
        <v>100</v>
      </c>
      <c r="BA69" s="81">
        <f ca="1">IFERROR(__xludf.DUMMYFUNCTION("IMPORTRANGE(""https://docs.google.com/spreadsheets/d/11s9m3tKsCBdPWq6syhZm27eBGbKneDLZc75co106bio/edit?usp=sharing"",""สระแก้ว!I214"")"),6)</f>
        <v>6</v>
      </c>
      <c r="BB69" s="81">
        <f ca="1">IFERROR(__xludf.DUMMYFUNCTION("IMPORTRANGE(""https://docs.google.com/spreadsheets/d/11s9m3tKsCBdPWq6syhZm27eBGbKneDLZc75co106bio/edit?usp=sharing"",""สระแก้ว!J214"")"),6)</f>
        <v>6</v>
      </c>
      <c r="BC69" s="82">
        <f t="shared" ca="1" si="94"/>
        <v>100</v>
      </c>
      <c r="BD69" s="81">
        <f ca="1">IFERROR(__xludf.DUMMYFUNCTION("IMPORTRANGE(""https://docs.google.com/spreadsheets/d/11s9m3tKsCBdPWq6syhZm27eBGbKneDLZc75co106bio/edit?usp=sharing"",""สระแก้ว!I215"")"),6)</f>
        <v>6</v>
      </c>
      <c r="BE69" s="81">
        <f ca="1">IFERROR(__xludf.DUMMYFUNCTION("IMPORTRANGE(""https://docs.google.com/spreadsheets/d/11s9m3tKsCBdPWq6syhZm27eBGbKneDLZc75co106bio/edit?usp=sharing"",""สระแก้ว!J215"")"),6)</f>
        <v>6</v>
      </c>
      <c r="BF69" s="82">
        <f t="shared" ca="1" si="95"/>
        <v>100</v>
      </c>
      <c r="BG69" s="81">
        <f ca="1">IFERROR(__xludf.DUMMYFUNCTION("IMPORTRANGE(""https://docs.google.com/spreadsheets/d/11s9m3tKsCBdPWq6syhZm27eBGbKneDLZc75co106bio/edit?usp=sharing"",""สระแก้ว!L218"")"),5000)</f>
        <v>5000</v>
      </c>
      <c r="BH69" s="81">
        <f ca="1">IFERROR(__xludf.DUMMYFUNCTION("IMPORTRANGE(""https://docs.google.com/spreadsheets/d/11s9m3tKsCBdPWq6syhZm27eBGbKneDLZc75co106bio/edit?usp=sharing"",""สระแก้ว!N218"")"),2830)</f>
        <v>2830</v>
      </c>
      <c r="BI69" s="82">
        <f t="shared" ca="1" si="96"/>
        <v>56.6</v>
      </c>
      <c r="BJ69" s="81">
        <f ca="1">IFERROR(__xludf.DUMMYFUNCTION("IMPORTRANGE(""https://docs.google.com/spreadsheets/d/11s9m3tKsCBdPWq6syhZm27eBGbKneDLZc75co106bio/edit?usp=sharing"",""สระแก้ว!L219"")"),10000)</f>
        <v>10000</v>
      </c>
      <c r="BK69" s="81">
        <f ca="1">IFERROR(__xludf.DUMMYFUNCTION("IMPORTRANGE(""https://docs.google.com/spreadsheets/d/11s9m3tKsCBdPWq6syhZm27eBGbKneDLZc75co106bio/edit?usp=sharing"",""สระแก้ว!N219"")"),10000)</f>
        <v>10000</v>
      </c>
      <c r="BL69" s="82">
        <f t="shared" ca="1" si="97"/>
        <v>100</v>
      </c>
      <c r="BM69" s="81">
        <f ca="1">IFERROR(__xludf.DUMMYFUNCTION("IMPORTRANGE(""https://docs.google.com/spreadsheets/d/11s9m3tKsCBdPWq6syhZm27eBGbKneDLZc75co106bio/edit?usp=sharing"",""สระแก้ว!L220"")"),0)</f>
        <v>0</v>
      </c>
      <c r="BN69" s="81">
        <f ca="1">IFERROR(__xludf.DUMMYFUNCTION("IMPORTRANGE(""https://docs.google.com/spreadsheets/d/11s9m3tKsCBdPWq6syhZm27eBGbKneDLZc75co106bio/edit?usp=sharing"",""สระแก้ว!N220"")"),0)</f>
        <v>0</v>
      </c>
      <c r="BO69" s="82">
        <f t="shared" ca="1" si="98"/>
        <v>0</v>
      </c>
      <c r="BP69" s="81">
        <f ca="1">IFERROR(__xludf.DUMMYFUNCTION("IMPORTRANGE(""https://docs.google.com/spreadsheets/d/11s9m3tKsCBdPWq6syhZm27eBGbKneDLZc75co106bio/edit?usp=sharing"",""สระแก้ว!I223"")"),40000)</f>
        <v>40000</v>
      </c>
      <c r="BQ69" s="81">
        <f ca="1">IFERROR(__xludf.DUMMYFUNCTION("IMPORTRANGE(""https://docs.google.com/spreadsheets/d/11s9m3tKsCBdPWq6syhZm27eBGbKneDLZc75co106bio/edit?usp=sharing"",""สระแก้ว!J223"")"),40000)</f>
        <v>40000</v>
      </c>
      <c r="BR69" s="82">
        <f t="shared" ca="1" si="99"/>
        <v>100</v>
      </c>
      <c r="BS69" s="81">
        <f ca="1">IFERROR(__xludf.DUMMYFUNCTION("IMPORTRANGE(""https://docs.google.com/spreadsheets/d/11s9m3tKsCBdPWq6syhZm27eBGbKneDLZc75co106bio/edit?usp=sharing"",""สระแก้ว!I224"")"),40000)</f>
        <v>40000</v>
      </c>
      <c r="BT69" s="81">
        <f ca="1">IFERROR(__xludf.DUMMYFUNCTION("IMPORTRANGE(""https://docs.google.com/spreadsheets/d/11s9m3tKsCBdPWq6syhZm27eBGbKneDLZc75co106bio/edit?usp=sharing"",""สระแก้ว!J224"")"),40000)</f>
        <v>40000</v>
      </c>
      <c r="BU69" s="82">
        <f t="shared" ca="1" si="100"/>
        <v>100</v>
      </c>
      <c r="BV69" s="81">
        <f ca="1">IFERROR(__xludf.DUMMYFUNCTION("IMPORTRANGE(""https://docs.google.com/spreadsheets/d/11s9m3tKsCBdPWq6syhZm27eBGbKneDLZc75co106bio/edit?usp=sharing"",""สระแก้ว!I225"")"),0)</f>
        <v>0</v>
      </c>
      <c r="BW69" s="81">
        <f ca="1">IFERROR(__xludf.DUMMYFUNCTION("IMPORTRANGE(""https://docs.google.com/spreadsheets/d/11s9m3tKsCBdPWq6syhZm27eBGbKneDLZc75co106bio/edit?usp=sharing"",""สระแก้ว!J225"")"),0)</f>
        <v>0</v>
      </c>
      <c r="BX69" s="82">
        <f t="shared" ca="1" si="101"/>
        <v>0</v>
      </c>
      <c r="BY69" s="81">
        <f ca="1">IFERROR(__xludf.DUMMYFUNCTION("IMPORTRANGE(""https://docs.google.com/spreadsheets/d/11s9m3tKsCBdPWq6syhZm27eBGbKneDLZc75co106bio/edit?usp=sharing"",""สระแก้ว!L228"")"),40000)</f>
        <v>40000</v>
      </c>
      <c r="BZ69" s="81">
        <f ca="1">IFERROR(__xludf.DUMMYFUNCTION("IMPORTRANGE(""https://docs.google.com/spreadsheets/d/11s9m3tKsCBdPWq6syhZm27eBGbKneDLZc75co106bio/edit?usp=sharing"",""สระแก้ว!N228"")"),37580)</f>
        <v>37580</v>
      </c>
      <c r="CA69" s="82">
        <f t="shared" ca="1" si="102"/>
        <v>93.95</v>
      </c>
      <c r="CB69" s="81">
        <f ca="1">IFERROR(__xludf.DUMMYFUNCTION("IMPORTRANGE(""https://docs.google.com/spreadsheets/d/11s9m3tKsCBdPWq6syhZm27eBGbKneDLZc75co106bio/edit?usp=sharing"",""สระแก้ว!L229"")"),52800)</f>
        <v>52800</v>
      </c>
      <c r="CC69" s="81">
        <f ca="1">IFERROR(__xludf.DUMMYFUNCTION("IMPORTRANGE(""https://docs.google.com/spreadsheets/d/11s9m3tKsCBdPWq6syhZm27eBGbKneDLZc75co106bio/edit?usp=sharing"",""สระแก้ว!N229"")"),52800)</f>
        <v>52800</v>
      </c>
      <c r="CD69" s="82">
        <f t="shared" ca="1" si="103"/>
        <v>100</v>
      </c>
      <c r="CE69" s="81">
        <f ca="1">IFERROR(__xludf.DUMMYFUNCTION("IMPORTRANGE(""https://docs.google.com/spreadsheets/d/11s9m3tKsCBdPWq6syhZm27eBGbKneDLZc75co106bio/edit?usp=sharing"",""สระแก้ว!L230"")"),20000)</f>
        <v>20000</v>
      </c>
      <c r="CF69" s="81">
        <f ca="1">IFERROR(__xludf.DUMMYFUNCTION("IMPORTRANGE(""https://docs.google.com/spreadsheets/d/11s9m3tKsCBdPWq6syhZm27eBGbKneDLZc75co106bio/edit?usp=sharing"",""สระแก้ว!N230"")"),20000)</f>
        <v>20000</v>
      </c>
      <c r="CG69" s="82">
        <f t="shared" ca="1" si="104"/>
        <v>100</v>
      </c>
      <c r="CH69" s="81">
        <f ca="1">IFERROR(__xludf.DUMMYFUNCTION("IMPORTRANGE(""https://docs.google.com/spreadsheets/d/11s9m3tKsCBdPWq6syhZm27eBGbKneDLZc75co106bio/edit?usp=sharing"",""สระแก้ว!L231"")"),20000)</f>
        <v>20000</v>
      </c>
      <c r="CI69" s="81">
        <f ca="1">IFERROR(__xludf.DUMMYFUNCTION("IMPORTRANGE(""https://docs.google.com/spreadsheets/d/11s9m3tKsCBdPWq6syhZm27eBGbKneDLZc75co106bio/edit?usp=sharing"",""สระแก้ว!N231"")"),19790)</f>
        <v>19790</v>
      </c>
      <c r="CJ69" s="82">
        <f t="shared" ca="1" si="105"/>
        <v>98.95</v>
      </c>
      <c r="CK69" s="81">
        <f ca="1">IFERROR(__xludf.DUMMYFUNCTION("IMPORTRANGE(""https://docs.google.com/spreadsheets/d/11s9m3tKsCBdPWq6syhZm27eBGbKneDLZc75co106bio/edit?usp=sharing"",""สระแก้ว!I233"")"),60)</f>
        <v>60</v>
      </c>
      <c r="CL69" s="81">
        <f ca="1">IFERROR(__xludf.DUMMYFUNCTION("IMPORTRANGE(""https://docs.google.com/spreadsheets/d/11s9m3tKsCBdPWq6syhZm27eBGbKneDLZc75co106bio/edit?usp=sharing"",""สระแก้ว!J233"")"),60)</f>
        <v>60</v>
      </c>
      <c r="CM69" s="82">
        <f t="shared" ca="1" si="106"/>
        <v>100</v>
      </c>
      <c r="CN69" s="81">
        <f ca="1">IFERROR(__xludf.DUMMYFUNCTION("IMPORTRANGE(""https://docs.google.com/spreadsheets/d/11s9m3tKsCBdPWq6syhZm27eBGbKneDLZc75co106bio/edit?usp=sharing"",""สระแก้ว!J235"")"),20)</f>
        <v>20</v>
      </c>
      <c r="CO69" s="81">
        <f ca="1">IFERROR(__xludf.DUMMYFUNCTION("IMPORTRANGE(""https://docs.google.com/spreadsheets/d/11s9m3tKsCBdPWq6syhZm27eBGbKneDLZc75co106bio/edit?usp=sharing"",""สระแก้ว!J236"")"),2)</f>
        <v>2</v>
      </c>
    </row>
    <row r="70" spans="1:93" ht="21" customHeight="1" x14ac:dyDescent="0.3">
      <c r="A70" s="73">
        <v>18</v>
      </c>
      <c r="B70" s="74" t="s">
        <v>92</v>
      </c>
      <c r="C70" s="75">
        <f t="shared" ca="1" si="0"/>
        <v>208200</v>
      </c>
      <c r="D70" s="76">
        <f t="shared" ca="1" si="187"/>
        <v>208200</v>
      </c>
      <c r="E70" s="77">
        <f ca="1">IFERROR(__xludf.DUMMYFUNCTION("IMPORTRANGE(""https://docs.google.com/spreadsheets/d/1MeEWN-I1oV_STSDYn1IFDPWt_1FKiwhDph83XaGc0o0/edit?usp=sharing"",""งบพรบ!CP70"")"),145200)</f>
        <v>145200</v>
      </c>
      <c r="F70" s="77">
        <f ca="1">IFERROR(__xludf.DUMMYFUNCTION("IMPORTRANGE(""https://docs.google.com/spreadsheets/d/1MeEWN-I1oV_STSDYn1IFDPWt_1FKiwhDph83XaGc0o0/edit?usp=sharing"",""งบพรบ!CQ70"")"),63000)</f>
        <v>63000</v>
      </c>
      <c r="G70" s="77">
        <f ca="1">IFERROR(__xludf.DUMMYFUNCTION("IMPORTRANGE(""https://docs.google.com/spreadsheets/d/1MeEWN-I1oV_STSDYn1IFDPWt_1FKiwhDph83XaGc0o0/edit?usp=sharing"",""งบพรบ!CR70"")"),0)</f>
        <v>0</v>
      </c>
      <c r="H70" s="77">
        <f ca="1">IFERROR(__xludf.DUMMYFUNCTION("IMPORTRANGE(""https://docs.google.com/spreadsheets/d/1MeEWN-I1oV_STSDYn1IFDPWt_1FKiwhDph83XaGc0o0/edit?usp=sharing"",""งบพรบ!CT70"")"),203180)</f>
        <v>203180</v>
      </c>
      <c r="I70" s="77">
        <f ca="1">IFERROR(__xludf.DUMMYFUNCTION("IMPORTRANGE(""https://docs.google.com/spreadsheets/d/1MeEWN-I1oV_STSDYn1IFDPWt_1FKiwhDph83XaGc0o0/edit?usp=sharing"",""งบพรบ!CU70"")"),0)</f>
        <v>0</v>
      </c>
      <c r="J70" s="77">
        <f t="shared" ca="1" si="3"/>
        <v>187851.01</v>
      </c>
      <c r="K70" s="78">
        <f t="shared" ca="1" si="4"/>
        <v>90.226229586935645</v>
      </c>
      <c r="L70" s="77">
        <f ca="1">IFERROR(__xludf.DUMMYFUNCTION("IMPORTRANGE(""https://docs.google.com/spreadsheets/d/1MeEWN-I1oV_STSDYn1IFDPWt_1FKiwhDph83XaGc0o0/edit?usp=sharing"",""งบพรบ!CV70"")"),187851.01)</f>
        <v>187851.01</v>
      </c>
      <c r="M70" s="79">
        <f t="shared" ca="1" si="5"/>
        <v>90.226229586935645</v>
      </c>
      <c r="N70" s="79">
        <f t="shared" ca="1" si="6"/>
        <v>92.45546313613545</v>
      </c>
      <c r="O70" s="80">
        <f ca="1">IFERROR(__xludf.DUMMYFUNCTION("IMPORTRANGE(""https://docs.google.com/spreadsheets/d/1MeEWN-I1oV_STSDYn1IFDPWt_1FKiwhDph83XaGc0o0/edit?usp=sharing"",""งบพรบ!CW70"")"),0)</f>
        <v>0</v>
      </c>
      <c r="P70" s="80">
        <f t="shared" ca="1" si="10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IFERROR(__xludf.DUMMYFUNCTION("IMPORTRANGE(""https://docs.google.com/spreadsheets/d/1Nn1EvsFPtXldgpgVb3Rcng2K2cls68LFQsBh2FyW0Bg/edit?usp=sharing"",""สระบุรี!L191"")"),6000)</f>
        <v>6000</v>
      </c>
      <c r="S70" s="81">
        <f ca="1">IFERROR(__xludf.DUMMYFUNCTION("IMPORTRANGE(""https://docs.google.com/spreadsheets/d/1Nn1EvsFPtXldgpgVb3Rcng2K2cls68LFQsBh2FyW0Bg/edit?usp=sharing"",""สระบุรี!N191"")"),6000)</f>
        <v>6000</v>
      </c>
      <c r="T70" s="82">
        <f t="shared" ca="1" si="84"/>
        <v>100</v>
      </c>
      <c r="U70" s="81">
        <f ca="1">IFERROR(__xludf.DUMMYFUNCTION("IMPORTRANGE(""https://docs.google.com/spreadsheets/d/1Nn1EvsFPtXldgpgVb3Rcng2K2cls68LFQsBh2FyW0Bg/edit?usp=sharing"",""สระบุรี!I193"")"),4)</f>
        <v>4</v>
      </c>
      <c r="V70" s="81">
        <f ca="1">IFERROR(__xludf.DUMMYFUNCTION("IMPORTRANGE(""https://docs.google.com/spreadsheets/d/1Nn1EvsFPtXldgpgVb3Rcng2K2cls68LFQsBh2FyW0Bg/edit?usp=sharing"",""สระบุรี!J193"")"),2)</f>
        <v>2</v>
      </c>
      <c r="W70" s="82">
        <f t="shared" ca="1" si="85"/>
        <v>50</v>
      </c>
      <c r="X70" s="81">
        <f t="shared" ca="1" si="188"/>
        <v>0</v>
      </c>
      <c r="Y70" s="81">
        <f ca="1">IFERROR(__xludf.DUMMYFUNCTION("IMPORTRANGE(""https://docs.google.com/spreadsheets/d/1Nn1EvsFPtXldgpgVb3Rcng2K2cls68LFQsBh2FyW0Bg/edit?usp=sharing"",""สระบุรี!J195"")"),0)</f>
        <v>0</v>
      </c>
      <c r="Z70" s="81">
        <f ca="1">IFERROR(__xludf.DUMMYFUNCTION("IMPORTRANGE(""https://docs.google.com/spreadsheets/d/1Nn1EvsFPtXldgpgVb3Rcng2K2cls68LFQsBh2FyW0Bg/edit?usp=sharing"",""สระบุรี!J196"")"),0)</f>
        <v>0</v>
      </c>
      <c r="AA70" s="81">
        <f ca="1">IFERROR(__xludf.DUMMYFUNCTION("IMPORTRANGE(""https://docs.google.com/spreadsheets/d/1Nn1EvsFPtXldgpgVb3Rcng2K2cls68LFQsBh2FyW0Bg/edit?usp=sharing"",""สระบุรี!L199"")"),3000)</f>
        <v>3000</v>
      </c>
      <c r="AB70" s="81">
        <f ca="1">IFERROR(__xludf.DUMMYFUNCTION("IMPORTRANGE(""https://docs.google.com/spreadsheets/d/1Nn1EvsFPtXldgpgVb3Rcng2K2cls68LFQsBh2FyW0Bg/edit?usp=sharing"",""สระบุรี!N199"")"),3000)</f>
        <v>3000</v>
      </c>
      <c r="AC70" s="82">
        <f t="shared" ca="1" si="86"/>
        <v>100</v>
      </c>
      <c r="AD70" s="81">
        <f ca="1">IFERROR(__xludf.DUMMYFUNCTION("IMPORTRANGE(""https://docs.google.com/spreadsheets/d/1Nn1EvsFPtXldgpgVb3Rcng2K2cls68LFQsBh2FyW0Bg/edit?usp=sharing"",""สระบุรี!L200"")"),24000)</f>
        <v>24000</v>
      </c>
      <c r="AE70" s="81">
        <f ca="1">IFERROR(__xludf.DUMMYFUNCTION("IMPORTRANGE(""https://docs.google.com/spreadsheets/d/1Nn1EvsFPtXldgpgVb3Rcng2K2cls68LFQsBh2FyW0Bg/edit?usp=sharing"",""สระบุรี!N200"")"),23980)</f>
        <v>23980</v>
      </c>
      <c r="AF70" s="82">
        <f t="shared" ca="1" si="87"/>
        <v>99.916666666666671</v>
      </c>
      <c r="AG70" s="81">
        <f ca="1">IFERROR(__xludf.DUMMYFUNCTION("IMPORTRANGE(""https://docs.google.com/spreadsheets/d/1Nn1EvsFPtXldgpgVb3Rcng2K2cls68LFQsBh2FyW0Bg/edit?usp=sharing"",""สระบุรี!L201"")"),12000)</f>
        <v>12000</v>
      </c>
      <c r="AH70" s="81">
        <f ca="1">IFERROR(__xludf.DUMMYFUNCTION("IMPORTRANGE(""https://docs.google.com/spreadsheets/d/1Nn1EvsFPtXldgpgVb3Rcng2K2cls68LFQsBh2FyW0Bg/edit?usp=sharing"",""สระบุรี!N201"")"),12000)</f>
        <v>12000</v>
      </c>
      <c r="AI70" s="82">
        <f t="shared" ca="1" si="88"/>
        <v>100</v>
      </c>
      <c r="AJ70" s="81">
        <f ca="1">IFERROR(__xludf.DUMMYFUNCTION("IMPORTRANGE(""https://docs.google.com/spreadsheets/d/1Nn1EvsFPtXldgpgVb3Rcng2K2cls68LFQsBh2FyW0Bg/edit?usp=sharing"",""สระบุรี!L202"")"),0)</f>
        <v>0</v>
      </c>
      <c r="AK70" s="81">
        <f ca="1">IFERROR(__xludf.DUMMYFUNCTION("IMPORTRANGE(""https://docs.google.com/spreadsheets/d/1Nn1EvsFPtXldgpgVb3Rcng2K2cls68LFQsBh2FyW0Bg/edit?usp=sharing"",""สระบุรี!N202"")"),0)</f>
        <v>0</v>
      </c>
      <c r="AL70" s="82">
        <f t="shared" ca="1" si="89"/>
        <v>0</v>
      </c>
      <c r="AM70" s="81">
        <f ca="1">IFERROR(__xludf.DUMMYFUNCTION("IMPORTRANGE(""https://docs.google.com/spreadsheets/d/1Nn1EvsFPtXldgpgVb3Rcng2K2cls68LFQsBh2FyW0Bg/edit?usp=sharing"",""สระบุรี!I204"")"),3)</f>
        <v>3</v>
      </c>
      <c r="AN70" s="81">
        <f ca="1">IFERROR(__xludf.DUMMYFUNCTION("IMPORTRANGE(""https://docs.google.com/spreadsheets/d/1Nn1EvsFPtXldgpgVb3Rcng2K2cls68LFQsBh2FyW0Bg/edit?usp=sharing"",""สระบุรี!J204"")"),3)</f>
        <v>3</v>
      </c>
      <c r="AO70" s="82">
        <f t="shared" ca="1" si="90"/>
        <v>100</v>
      </c>
      <c r="AP70" s="297">
        <f ca="1">IFERROR(__xludf.DUMMYFUNCTION("IMPORTRANGE(""https://docs.google.com/spreadsheets/d/1Nn1EvsFPtXldgpgVb3Rcng2K2cls68LFQsBh2FyW0Bg/edit?usp=sharing"",""สระบุรี!J206"")"),3)</f>
        <v>3</v>
      </c>
      <c r="AQ70" s="297">
        <f ca="1">IFERROR(__xludf.DUMMYFUNCTION("IMPORTRANGE(""https://docs.google.com/spreadsheets/d/1Nn1EvsFPtXldgpgVb3Rcng2K2cls68LFQsBh2FyW0Bg/edit?usp=sharing"",""สระบุรี!J207"")"),0)</f>
        <v>0</v>
      </c>
      <c r="AR70" s="81">
        <f ca="1">IFERROR(__xludf.DUMMYFUNCTION("IMPORTRANGE(""https://docs.google.com/spreadsheets/d/1Nn1EvsFPtXldgpgVb3Rcng2K2cls68LFQsBh2FyW0Bg/edit?usp=sharing"",""สระบุรี!L210"")"),0)</f>
        <v>0</v>
      </c>
      <c r="AS70" s="81">
        <f ca="1">IFERROR(__xludf.DUMMYFUNCTION("IMPORTRANGE(""https://docs.google.com/spreadsheets/d/1Nn1EvsFPtXldgpgVb3Rcng2K2cls68LFQsBh2FyW0Bg/edit?usp=sharing"",""สระบุรี!N210"")"),0)</f>
        <v>0</v>
      </c>
      <c r="AT70" s="82">
        <f t="shared" ca="1" si="91"/>
        <v>0</v>
      </c>
      <c r="AU70" s="81">
        <f ca="1">IFERROR(__xludf.DUMMYFUNCTION("IMPORTRANGE(""https://docs.google.com/spreadsheets/d/1Nn1EvsFPtXldgpgVb3Rcng2K2cls68LFQsBh2FyW0Bg/edit?usp=sharing"",""สระบุรี!L211"")"),0)</f>
        <v>0</v>
      </c>
      <c r="AV70" s="81">
        <f ca="1">IFERROR(__xludf.DUMMYFUNCTION("IMPORTRANGE(""https://docs.google.com/spreadsheets/d/1Nn1EvsFPtXldgpgVb3Rcng2K2cls68LFQsBh2FyW0Bg/edit?usp=sharing"",""สระบุรี!N211"")"),0)</f>
        <v>0</v>
      </c>
      <c r="AW70" s="82">
        <f t="shared" ca="1" si="92"/>
        <v>0</v>
      </c>
      <c r="AX70" s="81">
        <f ca="1">IFERROR(__xludf.DUMMYFUNCTION("IMPORTRANGE(""https://docs.google.com/spreadsheets/d/1Nn1EvsFPtXldgpgVb3Rcng2K2cls68LFQsBh2FyW0Bg/edit?usp=sharing"",""สระบุรี!L212"")"),0)</f>
        <v>0</v>
      </c>
      <c r="AY70" s="81">
        <f ca="1">IFERROR(__xludf.DUMMYFUNCTION("IMPORTRANGE(""https://docs.google.com/spreadsheets/d/1Nn1EvsFPtXldgpgVb3Rcng2K2cls68LFQsBh2FyW0Bg/edit?usp=sharing"",""สระบุรี!N212"")"),0)</f>
        <v>0</v>
      </c>
      <c r="AZ70" s="82">
        <f t="shared" ca="1" si="93"/>
        <v>0</v>
      </c>
      <c r="BA70" s="81">
        <f ca="1">IFERROR(__xludf.DUMMYFUNCTION("IMPORTRANGE(""https://docs.google.com/spreadsheets/d/1Nn1EvsFPtXldgpgVb3Rcng2K2cls68LFQsBh2FyW0Bg/edit?usp=sharing"",""สระบุรี!I214"")"),0)</f>
        <v>0</v>
      </c>
      <c r="BB70" s="81">
        <f ca="1">IFERROR(__xludf.DUMMYFUNCTION("IMPORTRANGE(""https://docs.google.com/spreadsheets/d/1Nn1EvsFPtXldgpgVb3Rcng2K2cls68LFQsBh2FyW0Bg/edit?usp=sharing"",""สระบุรี!J214"")"),0)</f>
        <v>0</v>
      </c>
      <c r="BC70" s="82">
        <f t="shared" ca="1" si="94"/>
        <v>0</v>
      </c>
      <c r="BD70" s="81">
        <f ca="1">IFERROR(__xludf.DUMMYFUNCTION("IMPORTRANGE(""https://docs.google.com/spreadsheets/d/1Nn1EvsFPtXldgpgVb3Rcng2K2cls68LFQsBh2FyW0Bg/edit?usp=sharing"",""สระบุรี!I215"")"),0)</f>
        <v>0</v>
      </c>
      <c r="BE70" s="81">
        <f ca="1">IFERROR(__xludf.DUMMYFUNCTION("IMPORTRANGE(""https://docs.google.com/spreadsheets/d/1Nn1EvsFPtXldgpgVb3Rcng2K2cls68LFQsBh2FyW0Bg/edit?usp=sharing"",""สระบุรี!J215"")"),0)</f>
        <v>0</v>
      </c>
      <c r="BF70" s="82">
        <f t="shared" ca="1" si="95"/>
        <v>0</v>
      </c>
      <c r="BG70" s="81">
        <f ca="1">IFERROR(__xludf.DUMMYFUNCTION("IMPORTRANGE(""https://docs.google.com/spreadsheets/d/1Nn1EvsFPtXldgpgVb3Rcng2K2cls68LFQsBh2FyW0Bg/edit?usp=sharing"",""สระบุรี!L218"")"),3000)</f>
        <v>3000</v>
      </c>
      <c r="BH70" s="81">
        <f ca="1">IFERROR(__xludf.DUMMYFUNCTION("IMPORTRANGE(""https://docs.google.com/spreadsheets/d/1Nn1EvsFPtXldgpgVb3Rcng2K2cls68LFQsBh2FyW0Bg/edit?usp=sharing"",""สระบุรี!N218"")"),3000)</f>
        <v>3000</v>
      </c>
      <c r="BI70" s="82">
        <f t="shared" ca="1" si="96"/>
        <v>100</v>
      </c>
      <c r="BJ70" s="81">
        <f ca="1">IFERROR(__xludf.DUMMYFUNCTION("IMPORTRANGE(""https://docs.google.com/spreadsheets/d/1Nn1EvsFPtXldgpgVb3Rcng2K2cls68LFQsBh2FyW0Bg/edit?usp=sharing"",""สระบุรี!L219"")"),5000)</f>
        <v>5000</v>
      </c>
      <c r="BK70" s="81">
        <f ca="1">IFERROR(__xludf.DUMMYFUNCTION("IMPORTRANGE(""https://docs.google.com/spreadsheets/d/1Nn1EvsFPtXldgpgVb3Rcng2K2cls68LFQsBh2FyW0Bg/edit?usp=sharing"",""สระบุรี!N219"")"),0)</f>
        <v>0</v>
      </c>
      <c r="BL70" s="82">
        <f t="shared" ca="1" si="97"/>
        <v>0</v>
      </c>
      <c r="BM70" s="81">
        <f ca="1">IFERROR(__xludf.DUMMYFUNCTION("IMPORTRANGE(""https://docs.google.com/spreadsheets/d/1Nn1EvsFPtXldgpgVb3Rcng2K2cls68LFQsBh2FyW0Bg/edit?usp=sharing"",""สระบุรี!L220"")"),10000)</f>
        <v>10000</v>
      </c>
      <c r="BN70" s="81">
        <f ca="1">IFERROR(__xludf.DUMMYFUNCTION("IMPORTRANGE(""https://docs.google.com/spreadsheets/d/1Nn1EvsFPtXldgpgVb3Rcng2K2cls68LFQsBh2FyW0Bg/edit?usp=sharing"",""สระบุรี!N220"")"),10000)</f>
        <v>10000</v>
      </c>
      <c r="BO70" s="82">
        <f t="shared" ca="1" si="98"/>
        <v>100</v>
      </c>
      <c r="BP70" s="81">
        <f ca="1">IFERROR(__xludf.DUMMYFUNCTION("IMPORTRANGE(""https://docs.google.com/spreadsheets/d/1Nn1EvsFPtXldgpgVb3Rcng2K2cls68LFQsBh2FyW0Bg/edit?usp=sharing"",""สระบุรี!I223"")"),20000)</f>
        <v>20000</v>
      </c>
      <c r="BQ70" s="81">
        <f ca="1">IFERROR(__xludf.DUMMYFUNCTION("IMPORTRANGE(""https://docs.google.com/spreadsheets/d/1Nn1EvsFPtXldgpgVb3Rcng2K2cls68LFQsBh2FyW0Bg/edit?usp=sharing"",""สระบุรี!J223"")"),20000)</f>
        <v>20000</v>
      </c>
      <c r="BR70" s="82">
        <f t="shared" ca="1" si="99"/>
        <v>100</v>
      </c>
      <c r="BS70" s="81">
        <f ca="1">IFERROR(__xludf.DUMMYFUNCTION("IMPORTRANGE(""https://docs.google.com/spreadsheets/d/1Nn1EvsFPtXldgpgVb3Rcng2K2cls68LFQsBh2FyW0Bg/edit?usp=sharing"",""สระบุรี!I224"")"),20000)</f>
        <v>20000</v>
      </c>
      <c r="BT70" s="81">
        <f ca="1">IFERROR(__xludf.DUMMYFUNCTION("IMPORTRANGE(""https://docs.google.com/spreadsheets/d/1Nn1EvsFPtXldgpgVb3Rcng2K2cls68LFQsBh2FyW0Bg/edit?usp=sharing"",""สระบุรี!J224"")"),20000)</f>
        <v>20000</v>
      </c>
      <c r="BU70" s="82">
        <f t="shared" ca="1" si="100"/>
        <v>100</v>
      </c>
      <c r="BV70" s="81">
        <f ca="1">IFERROR(__xludf.DUMMYFUNCTION("IMPORTRANGE(""https://docs.google.com/spreadsheets/d/1Nn1EvsFPtXldgpgVb3Rcng2K2cls68LFQsBh2FyW0Bg/edit?usp=sharing"",""สระบุรี!I225"")"),10)</f>
        <v>10</v>
      </c>
      <c r="BW70" s="81">
        <f ca="1">IFERROR(__xludf.DUMMYFUNCTION("IMPORTRANGE(""https://docs.google.com/spreadsheets/d/1Nn1EvsFPtXldgpgVb3Rcng2K2cls68LFQsBh2FyW0Bg/edit?usp=sharing"",""สระบุรี!J225"")"),10)</f>
        <v>10</v>
      </c>
      <c r="BX70" s="82">
        <f t="shared" ca="1" si="101"/>
        <v>100</v>
      </c>
      <c r="BY70" s="81">
        <f ca="1">IFERROR(__xludf.DUMMYFUNCTION("IMPORTRANGE(""https://docs.google.com/spreadsheets/d/1Nn1EvsFPtXldgpgVb3Rcng2K2cls68LFQsBh2FyW0Bg/edit?usp=sharing"",""สระบุรี!L228"")"),0)</f>
        <v>0</v>
      </c>
      <c r="BZ70" s="81">
        <f ca="1">IFERROR(__xludf.DUMMYFUNCTION("IMPORTRANGE(""https://docs.google.com/spreadsheets/d/1Nn1EvsFPtXldgpgVb3Rcng2K2cls68LFQsBh2FyW0Bg/edit?usp=sharing"",""สระบุรี!N228"")"),0)</f>
        <v>0</v>
      </c>
      <c r="CA70" s="82">
        <f t="shared" ca="1" si="102"/>
        <v>0</v>
      </c>
      <c r="CB70" s="81">
        <f ca="1">IFERROR(__xludf.DUMMYFUNCTION("IMPORTRANGE(""https://docs.google.com/spreadsheets/d/1Nn1EvsFPtXldgpgVb3Rcng2K2cls68LFQsBh2FyW0Bg/edit?usp=sharing"",""สระบุรี!L229"")"),0)</f>
        <v>0</v>
      </c>
      <c r="CC70" s="81">
        <f ca="1">IFERROR(__xludf.DUMMYFUNCTION("IMPORTRANGE(""https://docs.google.com/spreadsheets/d/1Nn1EvsFPtXldgpgVb3Rcng2K2cls68LFQsBh2FyW0Bg/edit?usp=sharing"",""สระบุรี!N229"")"),0)</f>
        <v>0</v>
      </c>
      <c r="CD70" s="82">
        <f t="shared" ca="1" si="103"/>
        <v>0</v>
      </c>
      <c r="CE70" s="81">
        <f ca="1">IFERROR(__xludf.DUMMYFUNCTION("IMPORTRANGE(""https://docs.google.com/spreadsheets/d/1Nn1EvsFPtXldgpgVb3Rcng2K2cls68LFQsBh2FyW0Bg/edit?usp=sharing"",""สระบุรี!L230"")"),0)</f>
        <v>0</v>
      </c>
      <c r="CF70" s="81">
        <f ca="1">IFERROR(__xludf.DUMMYFUNCTION("IMPORTRANGE(""https://docs.google.com/spreadsheets/d/1Nn1EvsFPtXldgpgVb3Rcng2K2cls68LFQsBh2FyW0Bg/edit?usp=sharing"",""สระบุรี!N230"")"),0)</f>
        <v>0</v>
      </c>
      <c r="CG70" s="82">
        <f t="shared" ca="1" si="104"/>
        <v>0</v>
      </c>
      <c r="CH70" s="81">
        <f ca="1">IFERROR(__xludf.DUMMYFUNCTION("IMPORTRANGE(""https://docs.google.com/spreadsheets/d/1Nn1EvsFPtXldgpgVb3Rcng2K2cls68LFQsBh2FyW0Bg/edit?usp=sharing"",""สระบุรี!L231"")"),0)</f>
        <v>0</v>
      </c>
      <c r="CI70" s="81">
        <f ca="1">IFERROR(__xludf.DUMMYFUNCTION("IMPORTRANGE(""https://docs.google.com/spreadsheets/d/1Nn1EvsFPtXldgpgVb3Rcng2K2cls68LFQsBh2FyW0Bg/edit?usp=sharing"",""สระบุรี!N231"")"),0)</f>
        <v>0</v>
      </c>
      <c r="CJ70" s="82">
        <f t="shared" ca="1" si="105"/>
        <v>0</v>
      </c>
      <c r="CK70" s="81">
        <f ca="1">IFERROR(__xludf.DUMMYFUNCTION("IMPORTRANGE(""https://docs.google.com/spreadsheets/d/1Nn1EvsFPtXldgpgVb3Rcng2K2cls68LFQsBh2FyW0Bg/edit?usp=sharing"",""สระบุรี!I233"")"),0)</f>
        <v>0</v>
      </c>
      <c r="CL70" s="81">
        <f ca="1">IFERROR(__xludf.DUMMYFUNCTION("IMPORTRANGE(""https://docs.google.com/spreadsheets/d/1Nn1EvsFPtXldgpgVb3Rcng2K2cls68LFQsBh2FyW0Bg/edit?usp=sharing"",""สระบุรี!J233"")"),0)</f>
        <v>0</v>
      </c>
      <c r="CM70" s="82">
        <f t="shared" ca="1" si="106"/>
        <v>0</v>
      </c>
      <c r="CN70" s="81">
        <f ca="1">IFERROR(__xludf.DUMMYFUNCTION("IMPORTRANGE(""https://docs.google.com/spreadsheets/d/1Nn1EvsFPtXldgpgVb3Rcng2K2cls68LFQsBh2FyW0Bg/edit?usp=sharing"",""สระบุรี!J235"")"),0)</f>
        <v>0</v>
      </c>
      <c r="CO70" s="81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3">
        <v>19</v>
      </c>
      <c r="B71" s="74" t="s">
        <v>93</v>
      </c>
      <c r="C71" s="75">
        <f t="shared" ca="1" si="0"/>
        <v>12500</v>
      </c>
      <c r="D71" s="76">
        <f t="shared" ca="1" si="187"/>
        <v>12500</v>
      </c>
      <c r="E71" s="77">
        <f ca="1">IFERROR(__xludf.DUMMYFUNCTION("IMPORTRANGE(""https://docs.google.com/spreadsheets/d/1MeEWN-I1oV_STSDYn1IFDPWt_1FKiwhDph83XaGc0o0/edit?usp=sharing"",""งบพรบ!CP71"")"),0)</f>
        <v>0</v>
      </c>
      <c r="F71" s="77">
        <f ca="1">IFERROR(__xludf.DUMMYFUNCTION("IMPORTRANGE(""https://docs.google.com/spreadsheets/d/1MeEWN-I1oV_STSDYn1IFDPWt_1FKiwhDph83XaGc0o0/edit?usp=sharing"",""งบพรบ!CQ71"")"),12500)</f>
        <v>12500</v>
      </c>
      <c r="G71" s="77">
        <f ca="1">IFERROR(__xludf.DUMMYFUNCTION("IMPORTRANGE(""https://docs.google.com/spreadsheets/d/1MeEWN-I1oV_STSDYn1IFDPWt_1FKiwhDph83XaGc0o0/edit?usp=sharing"",""งบพรบ!CR71"")"),0)</f>
        <v>0</v>
      </c>
      <c r="H71" s="77">
        <f ca="1">IFERROR(__xludf.DUMMYFUNCTION("IMPORTRANGE(""https://docs.google.com/spreadsheets/d/1MeEWN-I1oV_STSDYn1IFDPWt_1FKiwhDph83XaGc0o0/edit?usp=sharing"",""งบพรบ!CT71"")"),12500)</f>
        <v>12500</v>
      </c>
      <c r="I71" s="77">
        <f ca="1">IFERROR(__xludf.DUMMYFUNCTION("IMPORTRANGE(""https://docs.google.com/spreadsheets/d/1MeEWN-I1oV_STSDYn1IFDPWt_1FKiwhDph83XaGc0o0/edit?usp=sharing"",""งบพรบ!CU71"")"),0)</f>
        <v>0</v>
      </c>
      <c r="J71" s="77">
        <f t="shared" ca="1" si="3"/>
        <v>12000</v>
      </c>
      <c r="K71" s="78">
        <f t="shared" ca="1" si="4"/>
        <v>96</v>
      </c>
      <c r="L71" s="77">
        <f ca="1">IFERROR(__xludf.DUMMYFUNCTION("IMPORTRANGE(""https://docs.google.com/spreadsheets/d/1MeEWN-I1oV_STSDYn1IFDPWt_1FKiwhDph83XaGc0o0/edit?usp=sharing"",""งบพรบ!CV71"")"),12000)</f>
        <v>12000</v>
      </c>
      <c r="M71" s="79">
        <f t="shared" ca="1" si="5"/>
        <v>96</v>
      </c>
      <c r="N71" s="79">
        <f t="shared" ca="1" si="6"/>
        <v>96</v>
      </c>
      <c r="O71" s="80">
        <f ca="1">IFERROR(__xludf.DUMMYFUNCTION("IMPORTRANGE(""https://docs.google.com/spreadsheets/d/1MeEWN-I1oV_STSDYn1IFDPWt_1FKiwhDph83XaGc0o0/edit?usp=sharing"",""งบพรบ!CW71"")"),0)</f>
        <v>0</v>
      </c>
      <c r="P71" s="80">
        <f t="shared" ca="1" si="10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IFERROR(__xludf.DUMMYFUNCTION("IMPORTRANGE(""https://docs.google.com/spreadsheets/d/149xufxukrnEciK3WPbNpHwUK8BKEJxp3UcBG3Al6dA4/edit?usp=sharing"",""สิงห์บุรี!L191"")"),6000)</f>
        <v>6000</v>
      </c>
      <c r="S71" s="81">
        <f ca="1">IFERROR(__xludf.DUMMYFUNCTION("IMPORTRANGE(""https://docs.google.com/spreadsheets/d/149xufxukrnEciK3WPbNpHwUK8BKEJxp3UcBG3Al6dA4/edit?usp=sharing"",""สิงห์บุรี!N191"")"),6000)</f>
        <v>6000</v>
      </c>
      <c r="T71" s="82">
        <f t="shared" ca="1" si="84"/>
        <v>100</v>
      </c>
      <c r="U71" s="81">
        <f ca="1">IFERROR(__xludf.DUMMYFUNCTION("IMPORTRANGE(""https://docs.google.com/spreadsheets/d/149xufxukrnEciK3WPbNpHwUK8BKEJxp3UcBG3Al6dA4/edit?usp=sharing"",""สิงห์บุรี!I193"")"),4)</f>
        <v>4</v>
      </c>
      <c r="V71" s="81">
        <f ca="1">IFERROR(__xludf.DUMMYFUNCTION("IMPORTRANGE(""https://docs.google.com/spreadsheets/d/149xufxukrnEciK3WPbNpHwUK8BKEJxp3UcBG3Al6dA4/edit?usp=sharing"",""สิงห์บุรี!J193"")"),4)</f>
        <v>4</v>
      </c>
      <c r="W71" s="82">
        <f t="shared" ca="1" si="85"/>
        <v>100</v>
      </c>
      <c r="X71" s="81">
        <f t="shared" ca="1" si="188"/>
        <v>198</v>
      </c>
      <c r="Y71" s="81">
        <f ca="1">IFERROR(__xludf.DUMMYFUNCTION("IMPORTRANGE(""https://docs.google.com/spreadsheets/d/149xufxukrnEciK3WPbNpHwUK8BKEJxp3UcBG3Al6dA4/edit?usp=sharing"",""สิงห์บุรี!J195"")"),198)</f>
        <v>198</v>
      </c>
      <c r="Z71" s="81">
        <f ca="1">IFERROR(__xludf.DUMMYFUNCTION("IMPORTRANGE(""https://docs.google.com/spreadsheets/d/149xufxukrnEciK3WPbNpHwUK8BKEJxp3UcBG3Al6dA4/edit?usp=sharing"",""สิงห์บุรี!J196"")"),0)</f>
        <v>0</v>
      </c>
      <c r="AA71" s="81">
        <f ca="1">IFERROR(__xludf.DUMMYFUNCTION("IMPORTRANGE(""https://docs.google.com/spreadsheets/d/149xufxukrnEciK3WPbNpHwUK8BKEJxp3UcBG3Al6dA4/edit?usp=sharing"",""สิงห์บุรี!L199"")"),0)</f>
        <v>0</v>
      </c>
      <c r="AB71" s="81">
        <f ca="1">IFERROR(__xludf.DUMMYFUNCTION("IMPORTRANGE(""https://docs.google.com/spreadsheets/d/149xufxukrnEciK3WPbNpHwUK8BKEJxp3UcBG3Al6dA4/edit?usp=sharing"",""สิงห์บุรี!N199"")"),0)</f>
        <v>0</v>
      </c>
      <c r="AC71" s="82">
        <f t="shared" ca="1" si="86"/>
        <v>0</v>
      </c>
      <c r="AD71" s="81">
        <f ca="1">IFERROR(__xludf.DUMMYFUNCTION("IMPORTRANGE(""https://docs.google.com/spreadsheets/d/149xufxukrnEciK3WPbNpHwUK8BKEJxp3UcBG3Al6dA4/edit?usp=sharing"",""สิงห์บุรี!L200"")"),0)</f>
        <v>0</v>
      </c>
      <c r="AE71" s="81">
        <f ca="1">IFERROR(__xludf.DUMMYFUNCTION("IMPORTRANGE(""https://docs.google.com/spreadsheets/d/149xufxukrnEciK3WPbNpHwUK8BKEJxp3UcBG3Al6dA4/edit?usp=sharing"",""สิงห์บุรี!N200"")"),0)</f>
        <v>0</v>
      </c>
      <c r="AF71" s="82">
        <f t="shared" ca="1" si="87"/>
        <v>0</v>
      </c>
      <c r="AG71" s="81">
        <f ca="1">IFERROR(__xludf.DUMMYFUNCTION("IMPORTRANGE(""https://docs.google.com/spreadsheets/d/149xufxukrnEciK3WPbNpHwUK8BKEJxp3UcBG3Al6dA4/edit?usp=sharing"",""สิงห์บุรี!L201"")"),0)</f>
        <v>0</v>
      </c>
      <c r="AH71" s="81">
        <f ca="1">IFERROR(__xludf.DUMMYFUNCTION("IMPORTRANGE(""https://docs.google.com/spreadsheets/d/149xufxukrnEciK3WPbNpHwUK8BKEJxp3UcBG3Al6dA4/edit?usp=sharing"",""สิงห์บุรี!N201"")"),0)</f>
        <v>0</v>
      </c>
      <c r="AI71" s="82">
        <f t="shared" ca="1" si="88"/>
        <v>0</v>
      </c>
      <c r="AJ71" s="81">
        <f ca="1">IFERROR(__xludf.DUMMYFUNCTION("IMPORTRANGE(""https://docs.google.com/spreadsheets/d/149xufxukrnEciK3WPbNpHwUK8BKEJxp3UcBG3Al6dA4/edit?usp=sharing"",""สิงห์บุรี!L202"")"),0)</f>
        <v>0</v>
      </c>
      <c r="AK71" s="81">
        <f ca="1">IFERROR(__xludf.DUMMYFUNCTION("IMPORTRANGE(""https://docs.google.com/spreadsheets/d/149xufxukrnEciK3WPbNpHwUK8BKEJxp3UcBG3Al6dA4/edit?usp=sharing"",""สิงห์บุรี!N202"")"),0)</f>
        <v>0</v>
      </c>
      <c r="AL71" s="82">
        <f t="shared" ca="1" si="89"/>
        <v>0</v>
      </c>
      <c r="AM71" s="81">
        <f ca="1">IFERROR(__xludf.DUMMYFUNCTION("IMPORTRANGE(""https://docs.google.com/spreadsheets/d/149xufxukrnEciK3WPbNpHwUK8BKEJxp3UcBG3Al6dA4/edit?usp=sharing"",""สิงห์บุรี!I204"")"),0)</f>
        <v>0</v>
      </c>
      <c r="AN71" s="81">
        <f ca="1">IFERROR(__xludf.DUMMYFUNCTION("IMPORTRANGE(""https://docs.google.com/spreadsheets/d/149xufxukrnEciK3WPbNpHwUK8BKEJxp3UcBG3Al6dA4/edit?usp=sharing"",""สิงห์บุรี!J204"")"),0)</f>
        <v>0</v>
      </c>
      <c r="AO71" s="82">
        <f t="shared" ca="1" si="90"/>
        <v>0</v>
      </c>
      <c r="AP71" s="297">
        <f ca="1">IFERROR(__xludf.DUMMYFUNCTION("IMPORTRANGE(""https://docs.google.com/spreadsheets/d/149xufxukrnEciK3WPbNpHwUK8BKEJxp3UcBG3Al6dA4/edit?usp=sharing"",""สิงห์บุรี!J206"")"),0)</f>
        <v>0</v>
      </c>
      <c r="AQ71" s="297">
        <f ca="1">IFERROR(__xludf.DUMMYFUNCTION("IMPORTRANGE(""https://docs.google.com/spreadsheets/d/149xufxukrnEciK3WPbNpHwUK8BKEJxp3UcBG3Al6dA4/edit?usp=sharing"",""สิงห์บุรี!J207"")"),0)</f>
        <v>0</v>
      </c>
      <c r="AR71" s="81">
        <f ca="1">IFERROR(__xludf.DUMMYFUNCTION("IMPORTRANGE(""https://docs.google.com/spreadsheets/d/149xufxukrnEciK3WPbNpHwUK8BKEJxp3UcBG3Al6dA4/edit?usp=sharing"",""สิงห์บุรี!L210"")"),0)</f>
        <v>0</v>
      </c>
      <c r="AS71" s="81">
        <f ca="1">IFERROR(__xludf.DUMMYFUNCTION("IMPORTRANGE(""https://docs.google.com/spreadsheets/d/149xufxukrnEciK3WPbNpHwUK8BKEJxp3UcBG3Al6dA4/edit?usp=sharing"",""สิงห์บุรี!N210"")"),0)</f>
        <v>0</v>
      </c>
      <c r="AT71" s="82">
        <f t="shared" ca="1" si="91"/>
        <v>0</v>
      </c>
      <c r="AU71" s="81">
        <f ca="1">IFERROR(__xludf.DUMMYFUNCTION("IMPORTRANGE(""https://docs.google.com/spreadsheets/d/149xufxukrnEciK3WPbNpHwUK8BKEJxp3UcBG3Al6dA4/edit?usp=sharing"",""สิงห์บุรี!L211"")"),0)</f>
        <v>0</v>
      </c>
      <c r="AV71" s="81">
        <f ca="1">IFERROR(__xludf.DUMMYFUNCTION("IMPORTRANGE(""https://docs.google.com/spreadsheets/d/149xufxukrnEciK3WPbNpHwUK8BKEJxp3UcBG3Al6dA4/edit?usp=sharing"",""สิงห์บุรี!N211"")"),0)</f>
        <v>0</v>
      </c>
      <c r="AW71" s="82">
        <f t="shared" ca="1" si="92"/>
        <v>0</v>
      </c>
      <c r="AX71" s="81">
        <f ca="1">IFERROR(__xludf.DUMMYFUNCTION("IMPORTRANGE(""https://docs.google.com/spreadsheets/d/149xufxukrnEciK3WPbNpHwUK8BKEJxp3UcBG3Al6dA4/edit?usp=sharing"",""สิงห์บุรี!L212"")"),0)</f>
        <v>0</v>
      </c>
      <c r="AY71" s="81">
        <f ca="1">IFERROR(__xludf.DUMMYFUNCTION("IMPORTRANGE(""https://docs.google.com/spreadsheets/d/149xufxukrnEciK3WPbNpHwUK8BKEJxp3UcBG3Al6dA4/edit?usp=sharing"",""สิงห์บุรี!N212"")"),0)</f>
        <v>0</v>
      </c>
      <c r="AZ71" s="82">
        <f t="shared" ca="1" si="93"/>
        <v>0</v>
      </c>
      <c r="BA71" s="81">
        <f ca="1">IFERROR(__xludf.DUMMYFUNCTION("IMPORTRANGE(""https://docs.google.com/spreadsheets/d/149xufxukrnEciK3WPbNpHwUK8BKEJxp3UcBG3Al6dA4/edit?usp=sharing"",""สิงห์บุรี!I214"")"),0)</f>
        <v>0</v>
      </c>
      <c r="BB71" s="81">
        <f ca="1">IFERROR(__xludf.DUMMYFUNCTION("IMPORTRANGE(""https://docs.google.com/spreadsheets/d/149xufxukrnEciK3WPbNpHwUK8BKEJxp3UcBG3Al6dA4/edit?usp=sharing"",""สิงห์บุรี!J214"")"),0)</f>
        <v>0</v>
      </c>
      <c r="BC71" s="82">
        <f t="shared" ca="1" si="94"/>
        <v>0</v>
      </c>
      <c r="BD71" s="81">
        <f ca="1">IFERROR(__xludf.DUMMYFUNCTION("IMPORTRANGE(""https://docs.google.com/spreadsheets/d/149xufxukrnEciK3WPbNpHwUK8BKEJxp3UcBG3Al6dA4/edit?usp=sharing"",""สิงห์บุรี!I215"")"),0)</f>
        <v>0</v>
      </c>
      <c r="BE71" s="81">
        <f ca="1">IFERROR(__xludf.DUMMYFUNCTION("IMPORTRANGE(""https://docs.google.com/spreadsheets/d/149xufxukrnEciK3WPbNpHwUK8BKEJxp3UcBG3Al6dA4/edit?usp=sharing"",""สิงห์บุรี!J215"")"),0)</f>
        <v>0</v>
      </c>
      <c r="BF71" s="82">
        <f t="shared" ca="1" si="95"/>
        <v>0</v>
      </c>
      <c r="BG71" s="81">
        <f ca="1">IFERROR(__xludf.DUMMYFUNCTION("IMPORTRANGE(""https://docs.google.com/spreadsheets/d/149xufxukrnEciK3WPbNpHwUK8BKEJxp3UcBG3Al6dA4/edit?usp=sharing"",""สิงห์บุรี!L218"")"),3000)</f>
        <v>3000</v>
      </c>
      <c r="BH71" s="81">
        <f ca="1">IFERROR(__xludf.DUMMYFUNCTION("IMPORTRANGE(""https://docs.google.com/spreadsheets/d/149xufxukrnEciK3WPbNpHwUK8BKEJxp3UcBG3Al6dA4/edit?usp=sharing"",""สิงห์บุรี!N218"")"),2500)</f>
        <v>2500</v>
      </c>
      <c r="BI71" s="82">
        <f t="shared" ca="1" si="96"/>
        <v>83.333333333333329</v>
      </c>
      <c r="BJ71" s="81">
        <f ca="1">IFERROR(__xludf.DUMMYFUNCTION("IMPORTRANGE(""https://docs.google.com/spreadsheets/d/149xufxukrnEciK3WPbNpHwUK8BKEJxp3UcBG3Al6dA4/edit?usp=sharing"",""สิงห์บุรี!L219"")"),3500)</f>
        <v>3500</v>
      </c>
      <c r="BK71" s="81">
        <f ca="1">IFERROR(__xludf.DUMMYFUNCTION("IMPORTRANGE(""https://docs.google.com/spreadsheets/d/149xufxukrnEciK3WPbNpHwUK8BKEJxp3UcBG3Al6dA4/edit?usp=sharing"",""สิงห์บุรี!N219"")"),3500)</f>
        <v>3500</v>
      </c>
      <c r="BL71" s="82">
        <f t="shared" ca="1" si="97"/>
        <v>100</v>
      </c>
      <c r="BM71" s="81">
        <f ca="1">IFERROR(__xludf.DUMMYFUNCTION("IMPORTRANGE(""https://docs.google.com/spreadsheets/d/149xufxukrnEciK3WPbNpHwUK8BKEJxp3UcBG3Al6dA4/edit?usp=sharing"",""สิงห์บุรี!L220"")"),0)</f>
        <v>0</v>
      </c>
      <c r="BN71" s="81">
        <f ca="1">IFERROR(__xludf.DUMMYFUNCTION("IMPORTRANGE(""https://docs.google.com/spreadsheets/d/149xufxukrnEciK3WPbNpHwUK8BKEJxp3UcBG3Al6dA4/edit?usp=sharing"",""สิงห์บุรี!N220"")"),0)</f>
        <v>0</v>
      </c>
      <c r="BO71" s="82">
        <f t="shared" ca="1" si="98"/>
        <v>0</v>
      </c>
      <c r="BP71" s="81">
        <f ca="1">IFERROR(__xludf.DUMMYFUNCTION("IMPORTRANGE(""https://docs.google.com/spreadsheets/d/149xufxukrnEciK3WPbNpHwUK8BKEJxp3UcBG3Al6dA4/edit?usp=sharing"",""สิงห์บุรี!I223"")"),10000)</f>
        <v>10000</v>
      </c>
      <c r="BQ71" s="81">
        <f ca="1">IFERROR(__xludf.DUMMYFUNCTION("IMPORTRANGE(""https://docs.google.com/spreadsheets/d/149xufxukrnEciK3WPbNpHwUK8BKEJxp3UcBG3Al6dA4/edit?usp=sharing"",""สิงห์บุรี!J223"")"),10000)</f>
        <v>10000</v>
      </c>
      <c r="BR71" s="82">
        <f t="shared" ca="1" si="99"/>
        <v>100</v>
      </c>
      <c r="BS71" s="81">
        <f ca="1">IFERROR(__xludf.DUMMYFUNCTION("IMPORTRANGE(""https://docs.google.com/spreadsheets/d/149xufxukrnEciK3WPbNpHwUK8BKEJxp3UcBG3Al6dA4/edit?usp=sharing"",""สิงห์บุรี!I224"")"),10000)</f>
        <v>10000</v>
      </c>
      <c r="BT71" s="81">
        <f ca="1">IFERROR(__xludf.DUMMYFUNCTION("IMPORTRANGE(""https://docs.google.com/spreadsheets/d/149xufxukrnEciK3WPbNpHwUK8BKEJxp3UcBG3Al6dA4/edit?usp=sharing"",""สิงห์บุรี!J224"")"),10000)</f>
        <v>10000</v>
      </c>
      <c r="BU71" s="82">
        <f t="shared" ca="1" si="100"/>
        <v>100</v>
      </c>
      <c r="BV71" s="81">
        <f ca="1">IFERROR(__xludf.DUMMYFUNCTION("IMPORTRANGE(""https://docs.google.com/spreadsheets/d/149xufxukrnEciK3WPbNpHwUK8BKEJxp3UcBG3Al6dA4/edit?usp=sharing"",""สิงห์บุรี!I225"")"),0)</f>
        <v>0</v>
      </c>
      <c r="BW71" s="81">
        <f ca="1">IFERROR(__xludf.DUMMYFUNCTION("IMPORTRANGE(""https://docs.google.com/spreadsheets/d/149xufxukrnEciK3WPbNpHwUK8BKEJxp3UcBG3Al6dA4/edit?usp=sharing"",""สิงห์บุรี!J225"")"),0)</f>
        <v>0</v>
      </c>
      <c r="BX71" s="82">
        <f t="shared" ca="1" si="101"/>
        <v>0</v>
      </c>
      <c r="BY71" s="81">
        <f ca="1">IFERROR(__xludf.DUMMYFUNCTION("IMPORTRANGE(""https://docs.google.com/spreadsheets/d/149xufxukrnEciK3WPbNpHwUK8BKEJxp3UcBG3Al6dA4/edit?usp=sharing"",""สิงห์บุรี!L228"")"),0)</f>
        <v>0</v>
      </c>
      <c r="BZ71" s="81">
        <f ca="1">IFERROR(__xludf.DUMMYFUNCTION("IMPORTRANGE(""https://docs.google.com/spreadsheets/d/149xufxukrnEciK3WPbNpHwUK8BKEJxp3UcBG3Al6dA4/edit?usp=sharing"",""สิงห์บุรี!N228"")"),0)</f>
        <v>0</v>
      </c>
      <c r="CA71" s="82">
        <f t="shared" ca="1" si="102"/>
        <v>0</v>
      </c>
      <c r="CB71" s="81">
        <f ca="1">IFERROR(__xludf.DUMMYFUNCTION("IMPORTRANGE(""https://docs.google.com/spreadsheets/d/149xufxukrnEciK3WPbNpHwUK8BKEJxp3UcBG3Al6dA4/edit?usp=sharing"",""สิงห์บุรี!L229"")"),0)</f>
        <v>0</v>
      </c>
      <c r="CC71" s="81">
        <f ca="1">IFERROR(__xludf.DUMMYFUNCTION("IMPORTRANGE(""https://docs.google.com/spreadsheets/d/149xufxukrnEciK3WPbNpHwUK8BKEJxp3UcBG3Al6dA4/edit?usp=sharing"",""สิงห์บุรี!N229"")"),0)</f>
        <v>0</v>
      </c>
      <c r="CD71" s="82">
        <f t="shared" ca="1" si="103"/>
        <v>0</v>
      </c>
      <c r="CE71" s="81">
        <f ca="1">IFERROR(__xludf.DUMMYFUNCTION("IMPORTRANGE(""https://docs.google.com/spreadsheets/d/149xufxukrnEciK3WPbNpHwUK8BKEJxp3UcBG3Al6dA4/edit?usp=sharing"",""สิงห์บุรี!L230"")"),0)</f>
        <v>0</v>
      </c>
      <c r="CF71" s="81">
        <f ca="1">IFERROR(__xludf.DUMMYFUNCTION("IMPORTRANGE(""https://docs.google.com/spreadsheets/d/149xufxukrnEciK3WPbNpHwUK8BKEJxp3UcBG3Al6dA4/edit?usp=sharing"",""สิงห์บุรี!N230"")"),0)</f>
        <v>0</v>
      </c>
      <c r="CG71" s="82">
        <f t="shared" ca="1" si="104"/>
        <v>0</v>
      </c>
      <c r="CH71" s="81">
        <f ca="1">IFERROR(__xludf.DUMMYFUNCTION("IMPORTRANGE(""https://docs.google.com/spreadsheets/d/149xufxukrnEciK3WPbNpHwUK8BKEJxp3UcBG3Al6dA4/edit?usp=sharing"",""สิงห์บุรี!L231"")"),0)</f>
        <v>0</v>
      </c>
      <c r="CI71" s="81">
        <f ca="1">IFERROR(__xludf.DUMMYFUNCTION("IMPORTRANGE(""https://docs.google.com/spreadsheets/d/149xufxukrnEciK3WPbNpHwUK8BKEJxp3UcBG3Al6dA4/edit?usp=sharing"",""สิงห์บุรี!N231"")"),0)</f>
        <v>0</v>
      </c>
      <c r="CJ71" s="82">
        <f t="shared" ca="1" si="105"/>
        <v>0</v>
      </c>
      <c r="CK71" s="81">
        <f ca="1">IFERROR(__xludf.DUMMYFUNCTION("IMPORTRANGE(""https://docs.google.com/spreadsheets/d/149xufxukrnEciK3WPbNpHwUK8BKEJxp3UcBG3Al6dA4/edit?usp=sharing"",""สิงห์บุรี!I233"")"),0)</f>
        <v>0</v>
      </c>
      <c r="CL71" s="81">
        <f ca="1">IFERROR(__xludf.DUMMYFUNCTION("IMPORTRANGE(""https://docs.google.com/spreadsheets/d/149xufxukrnEciK3WPbNpHwUK8BKEJxp3UcBG3Al6dA4/edit?usp=sharing"",""สิงห์บุรี!J233"")"),0)</f>
        <v>0</v>
      </c>
      <c r="CM71" s="82">
        <f t="shared" ca="1" si="106"/>
        <v>0</v>
      </c>
      <c r="CN71" s="81">
        <f ca="1">IFERROR(__xludf.DUMMYFUNCTION("IMPORTRANGE(""https://docs.google.com/spreadsheets/d/149xufxukrnEciK3WPbNpHwUK8BKEJxp3UcBG3Al6dA4/edit?usp=sharing"",""สิงห์บุรี!J235"")"),0)</f>
        <v>0</v>
      </c>
      <c r="CO71" s="81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3">
        <v>20</v>
      </c>
      <c r="B72" s="74" t="s">
        <v>94</v>
      </c>
      <c r="C72" s="75">
        <f t="shared" ca="1" si="0"/>
        <v>27000</v>
      </c>
      <c r="D72" s="76">
        <f t="shared" ca="1" si="187"/>
        <v>27000</v>
      </c>
      <c r="E72" s="77">
        <f ca="1">IFERROR(__xludf.DUMMYFUNCTION("IMPORTRANGE(""https://docs.google.com/spreadsheets/d/1MeEWN-I1oV_STSDYn1IFDPWt_1FKiwhDph83XaGc0o0/edit?usp=sharing"",""งบพรบ!CP72"")"),0)</f>
        <v>0</v>
      </c>
      <c r="F72" s="77">
        <f ca="1">IFERROR(__xludf.DUMMYFUNCTION("IMPORTRANGE(""https://docs.google.com/spreadsheets/d/1MeEWN-I1oV_STSDYn1IFDPWt_1FKiwhDph83XaGc0o0/edit?usp=sharing"",""งบพรบ!CQ72"")"),27000)</f>
        <v>27000</v>
      </c>
      <c r="G72" s="77">
        <f ca="1">IFERROR(__xludf.DUMMYFUNCTION("IMPORTRANGE(""https://docs.google.com/spreadsheets/d/1MeEWN-I1oV_STSDYn1IFDPWt_1FKiwhDph83XaGc0o0/edit?usp=sharing"",""งบพรบ!CR72"")"),0)</f>
        <v>0</v>
      </c>
      <c r="H72" s="77">
        <f ca="1">IFERROR(__xludf.DUMMYFUNCTION("IMPORTRANGE(""https://docs.google.com/spreadsheets/d/1MeEWN-I1oV_STSDYn1IFDPWt_1FKiwhDph83XaGc0o0/edit?usp=sharing"",""งบพรบ!CT72"")"),27000)</f>
        <v>27000</v>
      </c>
      <c r="I72" s="77">
        <f ca="1">IFERROR(__xludf.DUMMYFUNCTION("IMPORTRANGE(""https://docs.google.com/spreadsheets/d/1MeEWN-I1oV_STSDYn1IFDPWt_1FKiwhDph83XaGc0o0/edit?usp=sharing"",""งบพรบ!CU72"")"),0)</f>
        <v>0</v>
      </c>
      <c r="J72" s="77">
        <f t="shared" ca="1" si="3"/>
        <v>26050</v>
      </c>
      <c r="K72" s="78">
        <f t="shared" ca="1" si="4"/>
        <v>96.481481481481481</v>
      </c>
      <c r="L72" s="77">
        <f ca="1">IFERROR(__xludf.DUMMYFUNCTION("IMPORTRANGE(""https://docs.google.com/spreadsheets/d/1MeEWN-I1oV_STSDYn1IFDPWt_1FKiwhDph83XaGc0o0/edit?usp=sharing"",""งบพรบ!CV72"")"),26050)</f>
        <v>26050</v>
      </c>
      <c r="M72" s="79">
        <f t="shared" ca="1" si="5"/>
        <v>96.481481481481481</v>
      </c>
      <c r="N72" s="79">
        <f t="shared" ca="1" si="6"/>
        <v>96.481481481481481</v>
      </c>
      <c r="O72" s="80">
        <f ca="1">IFERROR(__xludf.DUMMYFUNCTION("IMPORTRANGE(""https://docs.google.com/spreadsheets/d/1MeEWN-I1oV_STSDYn1IFDPWt_1FKiwhDph83XaGc0o0/edit?usp=sharing"",""งบพรบ!CW72"")"),0)</f>
        <v>0</v>
      </c>
      <c r="P72" s="80">
        <f t="shared" ca="1" si="10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IFERROR(__xludf.DUMMYFUNCTION("IMPORTRANGE(""https://docs.google.com/spreadsheets/d/132g-zJpz2uMKimp17uOIx8A7o3w1Z25zwJyXnwsB56c/edit?usp=sharing"",""สุพรรณบุรี!L191"")"),6000)</f>
        <v>6000</v>
      </c>
      <c r="S72" s="81">
        <f ca="1">IFERROR(__xludf.DUMMYFUNCTION("IMPORTRANGE(""https://docs.google.com/spreadsheets/d/132g-zJpz2uMKimp17uOIx8A7o3w1Z25zwJyXnwsB56c/edit?usp=sharing"",""สุพรรณบุรี!N191"")"),5050)</f>
        <v>5050</v>
      </c>
      <c r="T72" s="82">
        <f t="shared" ca="1" si="84"/>
        <v>84.166666666666671</v>
      </c>
      <c r="U72" s="81">
        <f ca="1">IFERROR(__xludf.DUMMYFUNCTION("IMPORTRANGE(""https://docs.google.com/spreadsheets/d/132g-zJpz2uMKimp17uOIx8A7o3w1Z25zwJyXnwsB56c/edit?usp=sharing"",""สุพรรณบุรี!I193"")"),4)</f>
        <v>4</v>
      </c>
      <c r="V72" s="81">
        <f ca="1">IFERROR(__xludf.DUMMYFUNCTION("IMPORTRANGE(""https://docs.google.com/spreadsheets/d/132g-zJpz2uMKimp17uOIx8A7o3w1Z25zwJyXnwsB56c/edit?usp=sharing"",""สุพรรณบุรี!J193"")"),4)</f>
        <v>4</v>
      </c>
      <c r="W72" s="82">
        <f t="shared" ca="1" si="85"/>
        <v>100</v>
      </c>
      <c r="X72" s="81">
        <f t="shared" ca="1" si="188"/>
        <v>150</v>
      </c>
      <c r="Y72" s="81">
        <f ca="1">IFERROR(__xludf.DUMMYFUNCTION("IMPORTRANGE(""https://docs.google.com/spreadsheets/d/132g-zJpz2uMKimp17uOIx8A7o3w1Z25zwJyXnwsB56c/edit?usp=sharing"",""สุพรรณบุรี!J195"")"),150)</f>
        <v>150</v>
      </c>
      <c r="Z72" s="81">
        <f ca="1">IFERROR(__xludf.DUMMYFUNCTION("IMPORTRANGE(""https://docs.google.com/spreadsheets/d/132g-zJpz2uMKimp17uOIx8A7o3w1Z25zwJyXnwsB56c/edit?usp=sharing"",""สุพรรณบุรี!J196"")"),0)</f>
        <v>0</v>
      </c>
      <c r="AA72" s="81">
        <f ca="1">IFERROR(__xludf.DUMMYFUNCTION("IMPORTRANGE(""https://docs.google.com/spreadsheets/d/132g-zJpz2uMKimp17uOIx8A7o3w1Z25zwJyXnwsB56c/edit?usp=sharing"",""สุพรรณบุรี!L199"")"),1000)</f>
        <v>1000</v>
      </c>
      <c r="AB72" s="81">
        <f ca="1">IFERROR(__xludf.DUMMYFUNCTION("IMPORTRANGE(""https://docs.google.com/spreadsheets/d/132g-zJpz2uMKimp17uOIx8A7o3w1Z25zwJyXnwsB56c/edit?usp=sharing"",""สุพรรณบุรี!N199"")"),1000)</f>
        <v>1000</v>
      </c>
      <c r="AC72" s="82">
        <f t="shared" ca="1" si="86"/>
        <v>100</v>
      </c>
      <c r="AD72" s="81">
        <f ca="1">IFERROR(__xludf.DUMMYFUNCTION("IMPORTRANGE(""https://docs.google.com/spreadsheets/d/132g-zJpz2uMKimp17uOIx8A7o3w1Z25zwJyXnwsB56c/edit?usp=sharing"",""สุพรรณบุรี!L200"")"),8000)</f>
        <v>8000</v>
      </c>
      <c r="AE72" s="81">
        <f ca="1">IFERROR(__xludf.DUMMYFUNCTION("IMPORTRANGE(""https://docs.google.com/spreadsheets/d/132g-zJpz2uMKimp17uOIx8A7o3w1Z25zwJyXnwsB56c/edit?usp=sharing"",""สุพรรณบุรี!N200"")"),8000)</f>
        <v>8000</v>
      </c>
      <c r="AF72" s="82">
        <f t="shared" ca="1" si="87"/>
        <v>100</v>
      </c>
      <c r="AG72" s="81">
        <f ca="1">IFERROR(__xludf.DUMMYFUNCTION("IMPORTRANGE(""https://docs.google.com/spreadsheets/d/132g-zJpz2uMKimp17uOIx8A7o3w1Z25zwJyXnwsB56c/edit?usp=sharing"",""สุพรรณบุรี!L201"")"),4000)</f>
        <v>4000</v>
      </c>
      <c r="AH72" s="81">
        <f ca="1">IFERROR(__xludf.DUMMYFUNCTION("IMPORTRANGE(""https://docs.google.com/spreadsheets/d/132g-zJpz2uMKimp17uOIx8A7o3w1Z25zwJyXnwsB56c/edit?usp=sharing"",""สุพรรณบุรี!N201"")"),4000)</f>
        <v>4000</v>
      </c>
      <c r="AI72" s="82">
        <f t="shared" ca="1" si="88"/>
        <v>100</v>
      </c>
      <c r="AJ72" s="81">
        <f ca="1">IFERROR(__xludf.DUMMYFUNCTION("IMPORTRANGE(""https://docs.google.com/spreadsheets/d/132g-zJpz2uMKimp17uOIx8A7o3w1Z25zwJyXnwsB56c/edit?usp=sharing"",""สุพรรณบุรี!L202"")"),0)</f>
        <v>0</v>
      </c>
      <c r="AK72" s="81">
        <f ca="1">IFERROR(__xludf.DUMMYFUNCTION("IMPORTRANGE(""https://docs.google.com/spreadsheets/d/132g-zJpz2uMKimp17uOIx8A7o3w1Z25zwJyXnwsB56c/edit?usp=sharing"",""สุพรรณบุรี!N202"")"),0)</f>
        <v>0</v>
      </c>
      <c r="AL72" s="82">
        <f t="shared" ca="1" si="89"/>
        <v>0</v>
      </c>
      <c r="AM72" s="81">
        <f ca="1">IFERROR(__xludf.DUMMYFUNCTION("IMPORTRANGE(""https://docs.google.com/spreadsheets/d/132g-zJpz2uMKimp17uOIx8A7o3w1Z25zwJyXnwsB56c/edit?usp=sharing"",""สุพรรณบุรี!I204"")"),1)</f>
        <v>1</v>
      </c>
      <c r="AN72" s="81">
        <f ca="1">IFERROR(__xludf.DUMMYFUNCTION("IMPORTRANGE(""https://docs.google.com/spreadsheets/d/132g-zJpz2uMKimp17uOIx8A7o3w1Z25zwJyXnwsB56c/edit?usp=sharing"",""สุพรรณบุรี!J204"")"),1)</f>
        <v>1</v>
      </c>
      <c r="AO72" s="82">
        <f t="shared" ca="1" si="90"/>
        <v>100</v>
      </c>
      <c r="AP72" s="297">
        <f ca="1">IFERROR(__xludf.DUMMYFUNCTION("IMPORTRANGE(""https://docs.google.com/spreadsheets/d/132g-zJpz2uMKimp17uOIx8A7o3w1Z25zwJyXnwsB56c/edit?usp=sharing"",""สุพรรณบุรี!J206"")"),1)</f>
        <v>1</v>
      </c>
      <c r="AQ72" s="297">
        <f ca="1">IFERROR(__xludf.DUMMYFUNCTION("IMPORTRANGE(""https://docs.google.com/spreadsheets/d/132g-zJpz2uMKimp17uOIx8A7o3w1Z25zwJyXnwsB56c/edit?usp=sharing"",""สุพรรณบุรี!J207"")"),0)</f>
        <v>0</v>
      </c>
      <c r="AR72" s="81">
        <f ca="1">IFERROR(__xludf.DUMMYFUNCTION("IMPORTRANGE(""https://docs.google.com/spreadsheets/d/132g-zJpz2uMKimp17uOIx8A7o3w1Z25zwJyXnwsB56c/edit?usp=sharing"",""สุพรรณบุรี!L210"")"),0)</f>
        <v>0</v>
      </c>
      <c r="AS72" s="81">
        <f ca="1">IFERROR(__xludf.DUMMYFUNCTION("IMPORTRANGE(""https://docs.google.com/spreadsheets/d/132g-zJpz2uMKimp17uOIx8A7o3w1Z25zwJyXnwsB56c/edit?usp=sharing"",""สุพรรณบุรี!N210"")"),0)</f>
        <v>0</v>
      </c>
      <c r="AT72" s="82">
        <f t="shared" ca="1" si="91"/>
        <v>0</v>
      </c>
      <c r="AU72" s="81">
        <f ca="1">IFERROR(__xludf.DUMMYFUNCTION("IMPORTRANGE(""https://docs.google.com/spreadsheets/d/132g-zJpz2uMKimp17uOIx8A7o3w1Z25zwJyXnwsB56c/edit?usp=sharing"",""สุพรรณบุรี!L211"")"),0)</f>
        <v>0</v>
      </c>
      <c r="AV72" s="81">
        <f ca="1">IFERROR(__xludf.DUMMYFUNCTION("IMPORTRANGE(""https://docs.google.com/spreadsheets/d/132g-zJpz2uMKimp17uOIx8A7o3w1Z25zwJyXnwsB56c/edit?usp=sharing"",""สุพรรณบุรี!N211"")"),0)</f>
        <v>0</v>
      </c>
      <c r="AW72" s="82">
        <f t="shared" ca="1" si="92"/>
        <v>0</v>
      </c>
      <c r="AX72" s="81">
        <f ca="1">IFERROR(__xludf.DUMMYFUNCTION("IMPORTRANGE(""https://docs.google.com/spreadsheets/d/132g-zJpz2uMKimp17uOIx8A7o3w1Z25zwJyXnwsB56c/edit?usp=sharing"",""สุพรรณบุรี!L212"")"),0)</f>
        <v>0</v>
      </c>
      <c r="AY72" s="81">
        <f ca="1">IFERROR(__xludf.DUMMYFUNCTION("IMPORTRANGE(""https://docs.google.com/spreadsheets/d/132g-zJpz2uMKimp17uOIx8A7o3w1Z25zwJyXnwsB56c/edit?usp=sharing"",""สุพรรณบุรี!N212"")"),0)</f>
        <v>0</v>
      </c>
      <c r="AZ72" s="82">
        <f t="shared" ca="1" si="93"/>
        <v>0</v>
      </c>
      <c r="BA72" s="81">
        <f ca="1">IFERROR(__xludf.DUMMYFUNCTION("IMPORTRANGE(""https://docs.google.com/spreadsheets/d/132g-zJpz2uMKimp17uOIx8A7o3w1Z25zwJyXnwsB56c/edit?usp=sharing"",""สุพรรณบุรี!I214"")"),0)</f>
        <v>0</v>
      </c>
      <c r="BB72" s="81">
        <f ca="1">IFERROR(__xludf.DUMMYFUNCTION("IMPORTRANGE(""https://docs.google.com/spreadsheets/d/132g-zJpz2uMKimp17uOIx8A7o3w1Z25zwJyXnwsB56c/edit?usp=sharing"",""สุพรรณบุรี!J214"")"),0)</f>
        <v>0</v>
      </c>
      <c r="BC72" s="82">
        <f t="shared" ca="1" si="94"/>
        <v>0</v>
      </c>
      <c r="BD72" s="81">
        <f ca="1">IFERROR(__xludf.DUMMYFUNCTION("IMPORTRANGE(""https://docs.google.com/spreadsheets/d/132g-zJpz2uMKimp17uOIx8A7o3w1Z25zwJyXnwsB56c/edit?usp=sharing"",""สุพรรณบุรี!I215"")"),0)</f>
        <v>0</v>
      </c>
      <c r="BE72" s="81">
        <f ca="1">IFERROR(__xludf.DUMMYFUNCTION("IMPORTRANGE(""https://docs.google.com/spreadsheets/d/132g-zJpz2uMKimp17uOIx8A7o3w1Z25zwJyXnwsB56c/edit?usp=sharing"",""สุพรรณบุรี!J215"")"),0)</f>
        <v>0</v>
      </c>
      <c r="BF72" s="82">
        <f t="shared" ca="1" si="95"/>
        <v>0</v>
      </c>
      <c r="BG72" s="81">
        <f ca="1">IFERROR(__xludf.DUMMYFUNCTION("IMPORTRANGE(""https://docs.google.com/spreadsheets/d/132g-zJpz2uMKimp17uOIx8A7o3w1Z25zwJyXnwsB56c/edit?usp=sharing"",""สุพรรณบุรี!L218"")"),3000)</f>
        <v>3000</v>
      </c>
      <c r="BH72" s="81">
        <f ca="1">IFERROR(__xludf.DUMMYFUNCTION("IMPORTRANGE(""https://docs.google.com/spreadsheets/d/132g-zJpz2uMKimp17uOIx8A7o3w1Z25zwJyXnwsB56c/edit?usp=sharing"",""สุพรรณบุรี!N218"")"),3200)</f>
        <v>3200</v>
      </c>
      <c r="BI72" s="82">
        <f t="shared" ca="1" si="96"/>
        <v>106.66666666666667</v>
      </c>
      <c r="BJ72" s="81">
        <f ca="1">IFERROR(__xludf.DUMMYFUNCTION("IMPORTRANGE(""https://docs.google.com/spreadsheets/d/132g-zJpz2uMKimp17uOIx8A7o3w1Z25zwJyXnwsB56c/edit?usp=sharing"",""สุพรรณบุรี!L219"")"),5000)</f>
        <v>5000</v>
      </c>
      <c r="BK72" s="81">
        <f ca="1">IFERROR(__xludf.DUMMYFUNCTION("IMPORTRANGE(""https://docs.google.com/spreadsheets/d/132g-zJpz2uMKimp17uOIx8A7o3w1Z25zwJyXnwsB56c/edit?usp=sharing"",""สุพรรณบุรี!N219"")"),4800)</f>
        <v>4800</v>
      </c>
      <c r="BL72" s="82">
        <f t="shared" ca="1" si="97"/>
        <v>96</v>
      </c>
      <c r="BM72" s="81">
        <f ca="1">IFERROR(__xludf.DUMMYFUNCTION("IMPORTRANGE(""https://docs.google.com/spreadsheets/d/132g-zJpz2uMKimp17uOIx8A7o3w1Z25zwJyXnwsB56c/edit?usp=sharing"",""สุพรรณบุรี!L220"")"),0)</f>
        <v>0</v>
      </c>
      <c r="BN72" s="81">
        <f ca="1">IFERROR(__xludf.DUMMYFUNCTION("IMPORTRANGE(""https://docs.google.com/spreadsheets/d/132g-zJpz2uMKimp17uOIx8A7o3w1Z25zwJyXnwsB56c/edit?usp=sharing"",""สุพรรณบุรี!N220"")"),0)</f>
        <v>0</v>
      </c>
      <c r="BO72" s="82">
        <f t="shared" ca="1" si="98"/>
        <v>0</v>
      </c>
      <c r="BP72" s="81">
        <f ca="1">IFERROR(__xludf.DUMMYFUNCTION("IMPORTRANGE(""https://docs.google.com/spreadsheets/d/132g-zJpz2uMKimp17uOIx8A7o3w1Z25zwJyXnwsB56c/edit?usp=sharing"",""สุพรรณบุรี!I223"")"),20000)</f>
        <v>20000</v>
      </c>
      <c r="BQ72" s="81">
        <f ca="1">IFERROR(__xludf.DUMMYFUNCTION("IMPORTRANGE(""https://docs.google.com/spreadsheets/d/132g-zJpz2uMKimp17uOIx8A7o3w1Z25zwJyXnwsB56c/edit?usp=sharing"",""สุพรรณบุรี!J223"")"),20000)</f>
        <v>20000</v>
      </c>
      <c r="BR72" s="82">
        <f t="shared" ca="1" si="99"/>
        <v>100</v>
      </c>
      <c r="BS72" s="81">
        <f ca="1">IFERROR(__xludf.DUMMYFUNCTION("IMPORTRANGE(""https://docs.google.com/spreadsheets/d/132g-zJpz2uMKimp17uOIx8A7o3w1Z25zwJyXnwsB56c/edit?usp=sharing"",""สุพรรณบุรี!I224"")"),20000)</f>
        <v>20000</v>
      </c>
      <c r="BT72" s="81">
        <f ca="1">IFERROR(__xludf.DUMMYFUNCTION("IMPORTRANGE(""https://docs.google.com/spreadsheets/d/132g-zJpz2uMKimp17uOIx8A7o3w1Z25zwJyXnwsB56c/edit?usp=sharing"",""สุพรรณบุรี!J224"")"),20000)</f>
        <v>20000</v>
      </c>
      <c r="BU72" s="82">
        <f t="shared" ca="1" si="100"/>
        <v>100</v>
      </c>
      <c r="BV72" s="81">
        <f ca="1">IFERROR(__xludf.DUMMYFUNCTION("IMPORTRANGE(""https://docs.google.com/spreadsheets/d/132g-zJpz2uMKimp17uOIx8A7o3w1Z25zwJyXnwsB56c/edit?usp=sharing"",""สุพรรณบุรี!I225"")"),0)</f>
        <v>0</v>
      </c>
      <c r="BW72" s="81">
        <f ca="1">IFERROR(__xludf.DUMMYFUNCTION("IMPORTRANGE(""https://docs.google.com/spreadsheets/d/132g-zJpz2uMKimp17uOIx8A7o3w1Z25zwJyXnwsB56c/edit?usp=sharing"",""สุพรรณบุรี!J225"")"),0)</f>
        <v>0</v>
      </c>
      <c r="BX72" s="82">
        <f t="shared" ca="1" si="101"/>
        <v>0</v>
      </c>
      <c r="BY72" s="81">
        <f ca="1">IFERROR(__xludf.DUMMYFUNCTION("IMPORTRANGE(""https://docs.google.com/spreadsheets/d/132g-zJpz2uMKimp17uOIx8A7o3w1Z25zwJyXnwsB56c/edit?usp=sharing"",""สุพรรณบุรี!L228"")"),0)</f>
        <v>0</v>
      </c>
      <c r="BZ72" s="81">
        <f ca="1">IFERROR(__xludf.DUMMYFUNCTION("IMPORTRANGE(""https://docs.google.com/spreadsheets/d/132g-zJpz2uMKimp17uOIx8A7o3w1Z25zwJyXnwsB56c/edit?usp=sharing"",""สุพรรณบุรี!N228"")"),0)</f>
        <v>0</v>
      </c>
      <c r="CA72" s="82">
        <f t="shared" ca="1" si="102"/>
        <v>0</v>
      </c>
      <c r="CB72" s="81">
        <f ca="1">IFERROR(__xludf.DUMMYFUNCTION("IMPORTRANGE(""https://docs.google.com/spreadsheets/d/132g-zJpz2uMKimp17uOIx8A7o3w1Z25zwJyXnwsB56c/edit?usp=sharing"",""สุพรรณบุรี!L229"")"),0)</f>
        <v>0</v>
      </c>
      <c r="CC72" s="81">
        <f ca="1">IFERROR(__xludf.DUMMYFUNCTION("IMPORTRANGE(""https://docs.google.com/spreadsheets/d/132g-zJpz2uMKimp17uOIx8A7o3w1Z25zwJyXnwsB56c/edit?usp=sharing"",""สุพรรณบุรี!N229"")"),0)</f>
        <v>0</v>
      </c>
      <c r="CD72" s="82">
        <f t="shared" ca="1" si="103"/>
        <v>0</v>
      </c>
      <c r="CE72" s="81">
        <f ca="1">IFERROR(__xludf.DUMMYFUNCTION("IMPORTRANGE(""https://docs.google.com/spreadsheets/d/132g-zJpz2uMKimp17uOIx8A7o3w1Z25zwJyXnwsB56c/edit?usp=sharing"",""สุพรรณบุรี!L230"")"),0)</f>
        <v>0</v>
      </c>
      <c r="CF72" s="81">
        <f ca="1">IFERROR(__xludf.DUMMYFUNCTION("IMPORTRANGE(""https://docs.google.com/spreadsheets/d/132g-zJpz2uMKimp17uOIx8A7o3w1Z25zwJyXnwsB56c/edit?usp=sharing"",""สุพรรณบุรี!N230"")"),0)</f>
        <v>0</v>
      </c>
      <c r="CG72" s="82">
        <f t="shared" ca="1" si="104"/>
        <v>0</v>
      </c>
      <c r="CH72" s="81">
        <f ca="1">IFERROR(__xludf.DUMMYFUNCTION("IMPORTRANGE(""https://docs.google.com/spreadsheets/d/132g-zJpz2uMKimp17uOIx8A7o3w1Z25zwJyXnwsB56c/edit?usp=sharing"",""สุพรรณบุรี!L231"")"),0)</f>
        <v>0</v>
      </c>
      <c r="CI72" s="81">
        <f ca="1">IFERROR(__xludf.DUMMYFUNCTION("IMPORTRANGE(""https://docs.google.com/spreadsheets/d/132g-zJpz2uMKimp17uOIx8A7o3w1Z25zwJyXnwsB56c/edit?usp=sharing"",""สุพรรณบุรี!N231"")"),0)</f>
        <v>0</v>
      </c>
      <c r="CJ72" s="82">
        <f t="shared" ca="1" si="105"/>
        <v>0</v>
      </c>
      <c r="CK72" s="81">
        <f ca="1">IFERROR(__xludf.DUMMYFUNCTION("IMPORTRANGE(""https://docs.google.com/spreadsheets/d/132g-zJpz2uMKimp17uOIx8A7o3w1Z25zwJyXnwsB56c/edit?usp=sharing"",""สุพรรณบุรี!I233"")"),0)</f>
        <v>0</v>
      </c>
      <c r="CL72" s="81">
        <f ca="1">IFERROR(__xludf.DUMMYFUNCTION("IMPORTRANGE(""https://docs.google.com/spreadsheets/d/132g-zJpz2uMKimp17uOIx8A7o3w1Z25zwJyXnwsB56c/edit?usp=sharing"",""สุพรรณบุรี!J233"")"),0)</f>
        <v>0</v>
      </c>
      <c r="CM72" s="82">
        <f t="shared" ca="1" si="106"/>
        <v>0</v>
      </c>
      <c r="CN72" s="81">
        <f ca="1">IFERROR(__xludf.DUMMYFUNCTION("IMPORTRANGE(""https://docs.google.com/spreadsheets/d/132g-zJpz2uMKimp17uOIx8A7o3w1Z25zwJyXnwsB56c/edit?usp=sharing"",""สุพรรณบุรี!J235"")"),0)</f>
        <v>0</v>
      </c>
      <c r="CO72" s="81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4">
        <v>21</v>
      </c>
      <c r="B73" s="85" t="s">
        <v>95</v>
      </c>
      <c r="C73" s="86">
        <f t="shared" ca="1" si="0"/>
        <v>11900</v>
      </c>
      <c r="D73" s="87">
        <f t="shared" ca="1" si="187"/>
        <v>11900</v>
      </c>
      <c r="E73" s="88">
        <f ca="1">IFERROR(__xludf.DUMMYFUNCTION("IMPORTRANGE(""https://docs.google.com/spreadsheets/d/1MeEWN-I1oV_STSDYn1IFDPWt_1FKiwhDph83XaGc0o0/edit?usp=sharing"",""งบพรบ!CP73"")"),0)</f>
        <v>0</v>
      </c>
      <c r="F73" s="88">
        <f ca="1">IFERROR(__xludf.DUMMYFUNCTION("IMPORTRANGE(""https://docs.google.com/spreadsheets/d/1MeEWN-I1oV_STSDYn1IFDPWt_1FKiwhDph83XaGc0o0/edit?usp=sharing"",""งบพรบ!CQ73"")"),11900)</f>
        <v>11900</v>
      </c>
      <c r="G73" s="88">
        <f ca="1">IFERROR(__xludf.DUMMYFUNCTION("IMPORTRANGE(""https://docs.google.com/spreadsheets/d/1MeEWN-I1oV_STSDYn1IFDPWt_1FKiwhDph83XaGc0o0/edit?usp=sharing"",""งบพรบ!CR73"")"),0)</f>
        <v>0</v>
      </c>
      <c r="H73" s="88">
        <f ca="1">IFERROR(__xludf.DUMMYFUNCTION("IMPORTRANGE(""https://docs.google.com/spreadsheets/d/1MeEWN-I1oV_STSDYn1IFDPWt_1FKiwhDph83XaGc0o0/edit?usp=sharing"",""งบพรบ!CT73"")"),21930)</f>
        <v>21930</v>
      </c>
      <c r="I73" s="88">
        <f ca="1">IFERROR(__xludf.DUMMYFUNCTION("IMPORTRANGE(""https://docs.google.com/spreadsheets/d/1MeEWN-I1oV_STSDYn1IFDPWt_1FKiwhDph83XaGc0o0/edit?usp=sharing"",""งบพรบ!CU73"")"),0)</f>
        <v>0</v>
      </c>
      <c r="J73" s="88">
        <f t="shared" ca="1" si="3"/>
        <v>21930</v>
      </c>
      <c r="K73" s="89">
        <f t="shared" ca="1" si="4"/>
        <v>184.28571428571428</v>
      </c>
      <c r="L73" s="88">
        <f ca="1">IFERROR(__xludf.DUMMYFUNCTION("IMPORTRANGE(""https://docs.google.com/spreadsheets/d/1MeEWN-I1oV_STSDYn1IFDPWt_1FKiwhDph83XaGc0o0/edit?usp=sharing"",""งบพรบ!CV73"")"),21930)</f>
        <v>21930</v>
      </c>
      <c r="M73" s="90">
        <f t="shared" ca="1" si="5"/>
        <v>184.28571428571428</v>
      </c>
      <c r="N73" s="90">
        <f t="shared" ca="1" si="6"/>
        <v>100</v>
      </c>
      <c r="O73" s="91">
        <f ca="1">IFERROR(__xludf.DUMMYFUNCTION("IMPORTRANGE(""https://docs.google.com/spreadsheets/d/1MeEWN-I1oV_STSDYn1IFDPWt_1FKiwhDph83XaGc0o0/edit?usp=sharing"",""งบพรบ!CW73"")"),0)</f>
        <v>0</v>
      </c>
      <c r="P73" s="91">
        <f t="shared" ca="1" si="10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IFERROR(__xludf.DUMMYFUNCTION("IMPORTRANGE(""https://docs.google.com/spreadsheets/d/12Q_U0nVnFdxDFwa0pej9xvx8ZvLC9Dpi_vRro_aiG5g/edit?usp=sharing"",""อ่างทอง!L191"")"),6000)</f>
        <v>6000</v>
      </c>
      <c r="S73" s="92">
        <f ca="1">IFERROR(__xludf.DUMMYFUNCTION("IMPORTRANGE(""https://docs.google.com/spreadsheets/d/12Q_U0nVnFdxDFwa0pej9xvx8ZvLC9Dpi_vRro_aiG5g/edit?usp=sharing"",""อ่างทอง!N191"")"),6000)</f>
        <v>6000</v>
      </c>
      <c r="T73" s="93">
        <f t="shared" ca="1" si="84"/>
        <v>100</v>
      </c>
      <c r="U73" s="92">
        <f ca="1">IFERROR(__xludf.DUMMYFUNCTION("IMPORTRANGE(""https://docs.google.com/spreadsheets/d/12Q_U0nVnFdxDFwa0pej9xvx8ZvLC9Dpi_vRro_aiG5g/edit?usp=sharing"",""อ่างทอง!I193"")"),4)</f>
        <v>4</v>
      </c>
      <c r="V73" s="92">
        <f ca="1">IFERROR(__xludf.DUMMYFUNCTION("IMPORTRANGE(""https://docs.google.com/spreadsheets/d/12Q_U0nVnFdxDFwa0pej9xvx8ZvLC9Dpi_vRro_aiG5g/edit?usp=sharing"",""อ่างทอง!J193"")"),4)</f>
        <v>4</v>
      </c>
      <c r="W73" s="93">
        <f t="shared" ca="1" si="85"/>
        <v>100</v>
      </c>
      <c r="X73" s="92">
        <f t="shared" ca="1" si="188"/>
        <v>36</v>
      </c>
      <c r="Y73" s="92">
        <f ca="1">IFERROR(__xludf.DUMMYFUNCTION("IMPORTRANGE(""https://docs.google.com/spreadsheets/d/12Q_U0nVnFdxDFwa0pej9xvx8ZvLC9Dpi_vRro_aiG5g/edit?usp=sharing"",""อ่างทอง!J195"")"),36)</f>
        <v>36</v>
      </c>
      <c r="Z73" s="92">
        <f ca="1">IFERROR(__xludf.DUMMYFUNCTION("IMPORTRANGE(""https://docs.google.com/spreadsheets/d/12Q_U0nVnFdxDFwa0pej9xvx8ZvLC9Dpi_vRro_aiG5g/edit?usp=sharing"",""อ่างทอง!J196"")"),0)</f>
        <v>0</v>
      </c>
      <c r="AA73" s="92">
        <f ca="1">IFERROR(__xludf.DUMMYFUNCTION("IMPORTRANGE(""https://docs.google.com/spreadsheets/d/12Q_U0nVnFdxDFwa0pej9xvx8ZvLC9Dpi_vRro_aiG5g/edit?usp=sharing"",""อ่างทอง!L199"")"),0)</f>
        <v>0</v>
      </c>
      <c r="AB73" s="92">
        <f ca="1">IFERROR(__xludf.DUMMYFUNCTION("IMPORTRANGE(""https://docs.google.com/spreadsheets/d/12Q_U0nVnFdxDFwa0pej9xvx8ZvLC9Dpi_vRro_aiG5g/edit?usp=sharing"",""อ่างทอง!N199"")"),0)</f>
        <v>0</v>
      </c>
      <c r="AC73" s="93">
        <f t="shared" ca="1" si="86"/>
        <v>0</v>
      </c>
      <c r="AD73" s="92">
        <f ca="1">IFERROR(__xludf.DUMMYFUNCTION("IMPORTRANGE(""https://docs.google.com/spreadsheets/d/12Q_U0nVnFdxDFwa0pej9xvx8ZvLC9Dpi_vRro_aiG5g/edit?usp=sharing"",""อ่างทอง!L200"")"),0)</f>
        <v>0</v>
      </c>
      <c r="AE73" s="92">
        <f ca="1">IFERROR(__xludf.DUMMYFUNCTION("IMPORTRANGE(""https://docs.google.com/spreadsheets/d/12Q_U0nVnFdxDFwa0pej9xvx8ZvLC9Dpi_vRro_aiG5g/edit?usp=sharing"",""อ่างทอง!N200"")"),0)</f>
        <v>0</v>
      </c>
      <c r="AF73" s="93">
        <f t="shared" ca="1" si="87"/>
        <v>0</v>
      </c>
      <c r="AG73" s="92">
        <f ca="1">IFERROR(__xludf.DUMMYFUNCTION("IMPORTRANGE(""https://docs.google.com/spreadsheets/d/12Q_U0nVnFdxDFwa0pej9xvx8ZvLC9Dpi_vRro_aiG5g/edit?usp=sharing"",""อ่างทอง!L201"")"),0)</f>
        <v>0</v>
      </c>
      <c r="AH73" s="92">
        <f ca="1">IFERROR(__xludf.DUMMYFUNCTION("IMPORTRANGE(""https://docs.google.com/spreadsheets/d/12Q_U0nVnFdxDFwa0pej9xvx8ZvLC9Dpi_vRro_aiG5g/edit?usp=sharing"",""อ่างทอง!N201"")"),0)</f>
        <v>0</v>
      </c>
      <c r="AI73" s="93">
        <f t="shared" ca="1" si="88"/>
        <v>0</v>
      </c>
      <c r="AJ73" s="92">
        <f ca="1">IFERROR(__xludf.DUMMYFUNCTION("IMPORTRANGE(""https://docs.google.com/spreadsheets/d/12Q_U0nVnFdxDFwa0pej9xvx8ZvLC9Dpi_vRro_aiG5g/edit?usp=sharing"",""อ่างทอง!L202"")"),0)</f>
        <v>0</v>
      </c>
      <c r="AK73" s="92">
        <f ca="1">IFERROR(__xludf.DUMMYFUNCTION("IMPORTRANGE(""https://docs.google.com/spreadsheets/d/12Q_U0nVnFdxDFwa0pej9xvx8ZvLC9Dpi_vRro_aiG5g/edit?usp=sharing"",""อ่างทอง!N202"")"),0)</f>
        <v>0</v>
      </c>
      <c r="AL73" s="93">
        <f t="shared" ca="1" si="89"/>
        <v>0</v>
      </c>
      <c r="AM73" s="92">
        <f ca="1">IFERROR(__xludf.DUMMYFUNCTION("IMPORTRANGE(""https://docs.google.com/spreadsheets/d/12Q_U0nVnFdxDFwa0pej9xvx8ZvLC9Dpi_vRro_aiG5g/edit?usp=sharing"",""อ่างทอง!I204"")"),0)</f>
        <v>0</v>
      </c>
      <c r="AN73" s="92">
        <f ca="1">IFERROR(__xludf.DUMMYFUNCTION("IMPORTRANGE(""https://docs.google.com/spreadsheets/d/12Q_U0nVnFdxDFwa0pej9xvx8ZvLC9Dpi_vRro_aiG5g/edit?usp=sharing"",""อ่างทอง!J204"")"),0)</f>
        <v>0</v>
      </c>
      <c r="AO73" s="93">
        <f t="shared" ca="1" si="90"/>
        <v>0</v>
      </c>
      <c r="AP73" s="298">
        <f ca="1">IFERROR(__xludf.DUMMYFUNCTION("IMPORTRANGE(""https://docs.google.com/spreadsheets/d/12Q_U0nVnFdxDFwa0pej9xvx8ZvLC9Dpi_vRro_aiG5g/edit?usp=sharing"",""อ่างทอง!J206"")"),0)</f>
        <v>0</v>
      </c>
      <c r="AQ73" s="298">
        <f ca="1">IFERROR(__xludf.DUMMYFUNCTION("IMPORTRANGE(""https://docs.google.com/spreadsheets/d/12Q_U0nVnFdxDFwa0pej9xvx8ZvLC9Dpi_vRro_aiG5g/edit?usp=sharing"",""อ่างทอง!J207"")"),0)</f>
        <v>0</v>
      </c>
      <c r="AR73" s="92">
        <f ca="1">IFERROR(__xludf.DUMMYFUNCTION("IMPORTRANGE(""https://docs.google.com/spreadsheets/d/12Q_U0nVnFdxDFwa0pej9xvx8ZvLC9Dpi_vRro_aiG5g/edit?usp=sharing"",""อ่างทอง!L210"")"),0)</f>
        <v>0</v>
      </c>
      <c r="AS73" s="92">
        <f ca="1">IFERROR(__xludf.DUMMYFUNCTION("IMPORTRANGE(""https://docs.google.com/spreadsheets/d/12Q_U0nVnFdxDFwa0pej9xvx8ZvLC9Dpi_vRro_aiG5g/edit?usp=sharing"",""อ่างทอง!N210"")"),0)</f>
        <v>0</v>
      </c>
      <c r="AT73" s="93">
        <f t="shared" ca="1" si="91"/>
        <v>0</v>
      </c>
      <c r="AU73" s="92">
        <f ca="1">IFERROR(__xludf.DUMMYFUNCTION("IMPORTRANGE(""https://docs.google.com/spreadsheets/d/12Q_U0nVnFdxDFwa0pej9xvx8ZvLC9Dpi_vRro_aiG5g/edit?usp=sharing"",""อ่างทอง!L211"")"),0)</f>
        <v>0</v>
      </c>
      <c r="AV73" s="92">
        <f ca="1">IFERROR(__xludf.DUMMYFUNCTION("IMPORTRANGE(""https://docs.google.com/spreadsheets/d/12Q_U0nVnFdxDFwa0pej9xvx8ZvLC9Dpi_vRro_aiG5g/edit?usp=sharing"",""อ่างทอง!N211"")"),0)</f>
        <v>0</v>
      </c>
      <c r="AW73" s="93">
        <f t="shared" ca="1" si="92"/>
        <v>0</v>
      </c>
      <c r="AX73" s="92">
        <f ca="1">IFERROR(__xludf.DUMMYFUNCTION("IMPORTRANGE(""https://docs.google.com/spreadsheets/d/12Q_U0nVnFdxDFwa0pej9xvx8ZvLC9Dpi_vRro_aiG5g/edit?usp=sharing"",""อ่างทอง!L212"")"),0)</f>
        <v>0</v>
      </c>
      <c r="AY73" s="92">
        <f ca="1">IFERROR(__xludf.DUMMYFUNCTION("IMPORTRANGE(""https://docs.google.com/spreadsheets/d/12Q_U0nVnFdxDFwa0pej9xvx8ZvLC9Dpi_vRro_aiG5g/edit?usp=sharing"",""อ่างทอง!N212"")"),0)</f>
        <v>0</v>
      </c>
      <c r="AZ73" s="93">
        <f t="shared" ca="1" si="93"/>
        <v>0</v>
      </c>
      <c r="BA73" s="92">
        <f ca="1">IFERROR(__xludf.DUMMYFUNCTION("IMPORTRANGE(""https://docs.google.com/spreadsheets/d/12Q_U0nVnFdxDFwa0pej9xvx8ZvLC9Dpi_vRro_aiG5g/edit?usp=sharing"",""อ่างทอง!I214"")"),0)</f>
        <v>0</v>
      </c>
      <c r="BB73" s="92">
        <f ca="1">IFERROR(__xludf.DUMMYFUNCTION("IMPORTRANGE(""https://docs.google.com/spreadsheets/d/12Q_U0nVnFdxDFwa0pej9xvx8ZvLC9Dpi_vRro_aiG5g/edit?usp=sharing"",""อ่างทอง!J214"")"),0)</f>
        <v>0</v>
      </c>
      <c r="BC73" s="93">
        <f t="shared" ca="1" si="94"/>
        <v>0</v>
      </c>
      <c r="BD73" s="92">
        <f ca="1">IFERROR(__xludf.DUMMYFUNCTION("IMPORTRANGE(""https://docs.google.com/spreadsheets/d/12Q_U0nVnFdxDFwa0pej9xvx8ZvLC9Dpi_vRro_aiG5g/edit?usp=sharing"",""อ่างทอง!I215"")"),0)</f>
        <v>0</v>
      </c>
      <c r="BE73" s="92">
        <f ca="1">IFERROR(__xludf.DUMMYFUNCTION("IMPORTRANGE(""https://docs.google.com/spreadsheets/d/12Q_U0nVnFdxDFwa0pej9xvx8ZvLC9Dpi_vRro_aiG5g/edit?usp=sharing"",""อ่างทอง!J215"")"),0)</f>
        <v>0</v>
      </c>
      <c r="BF73" s="93">
        <f t="shared" ca="1" si="95"/>
        <v>0</v>
      </c>
      <c r="BG73" s="92">
        <f ca="1">IFERROR(__xludf.DUMMYFUNCTION("IMPORTRANGE(""https://docs.google.com/spreadsheets/d/12Q_U0nVnFdxDFwa0pej9xvx8ZvLC9Dpi_vRro_aiG5g/edit?usp=sharing"",""อ่างทอง!L218"")"),3000)</f>
        <v>3000</v>
      </c>
      <c r="BH73" s="92">
        <f ca="1">IFERROR(__xludf.DUMMYFUNCTION("IMPORTRANGE(""https://docs.google.com/spreadsheets/d/12Q_U0nVnFdxDFwa0pej9xvx8ZvLC9Dpi_vRro_aiG5g/edit?usp=sharing"",""อ่างทอง!N218"")"),4900)</f>
        <v>4900</v>
      </c>
      <c r="BI73" s="93">
        <f t="shared" ca="1" si="96"/>
        <v>163.33333333333334</v>
      </c>
      <c r="BJ73" s="92">
        <f ca="1">IFERROR(__xludf.DUMMYFUNCTION("IMPORTRANGE(""https://docs.google.com/spreadsheets/d/12Q_U0nVnFdxDFwa0pej9xvx8ZvLC9Dpi_vRro_aiG5g/edit?usp=sharing"",""อ่างทอง!L219"")"),2900)</f>
        <v>2900</v>
      </c>
      <c r="BK73" s="92">
        <f ca="1">IFERROR(__xludf.DUMMYFUNCTION("IMPORTRANGE(""https://docs.google.com/spreadsheets/d/12Q_U0nVnFdxDFwa0pej9xvx8ZvLC9Dpi_vRro_aiG5g/edit?usp=sharing"",""อ่างทอง!N219"")"),1000)</f>
        <v>1000</v>
      </c>
      <c r="BL73" s="93">
        <f t="shared" ca="1" si="97"/>
        <v>34.482758620689658</v>
      </c>
      <c r="BM73" s="92">
        <f ca="1">IFERROR(__xludf.DUMMYFUNCTION("IMPORTRANGE(""https://docs.google.com/spreadsheets/d/12Q_U0nVnFdxDFwa0pej9xvx8ZvLC9Dpi_vRro_aiG5g/edit?usp=sharing"",""อ่างทอง!L220"")"),0)</f>
        <v>0</v>
      </c>
      <c r="BN73" s="92">
        <f ca="1">IFERROR(__xludf.DUMMYFUNCTION("IMPORTRANGE(""https://docs.google.com/spreadsheets/d/12Q_U0nVnFdxDFwa0pej9xvx8ZvLC9Dpi_vRro_aiG5g/edit?usp=sharing"",""อ่างทอง!N220"")"),0)</f>
        <v>0</v>
      </c>
      <c r="BO73" s="93">
        <f t="shared" ca="1" si="98"/>
        <v>0</v>
      </c>
      <c r="BP73" s="92">
        <f ca="1">IFERROR(__xludf.DUMMYFUNCTION("IMPORTRANGE(""https://docs.google.com/spreadsheets/d/12Q_U0nVnFdxDFwa0pej9xvx8ZvLC9Dpi_vRro_aiG5g/edit?usp=sharing"",""อ่างทอง!I223"")"),5000)</f>
        <v>5000</v>
      </c>
      <c r="BQ73" s="92">
        <f ca="1">IFERROR(__xludf.DUMMYFUNCTION("IMPORTRANGE(""https://docs.google.com/spreadsheets/d/12Q_U0nVnFdxDFwa0pej9xvx8ZvLC9Dpi_vRro_aiG5g/edit?usp=sharing"",""อ่างทอง!J223"")"),5000)</f>
        <v>5000</v>
      </c>
      <c r="BR73" s="93">
        <f t="shared" ca="1" si="99"/>
        <v>100</v>
      </c>
      <c r="BS73" s="92">
        <f ca="1">IFERROR(__xludf.DUMMYFUNCTION("IMPORTRANGE(""https://docs.google.com/spreadsheets/d/12Q_U0nVnFdxDFwa0pej9xvx8ZvLC9Dpi_vRro_aiG5g/edit?usp=sharing"",""อ่างทอง!I224"")"),5000)</f>
        <v>5000</v>
      </c>
      <c r="BT73" s="92">
        <f ca="1">IFERROR(__xludf.DUMMYFUNCTION("IMPORTRANGE(""https://docs.google.com/spreadsheets/d/12Q_U0nVnFdxDFwa0pej9xvx8ZvLC9Dpi_vRro_aiG5g/edit?usp=sharing"",""อ่างทอง!J224"")"),5000)</f>
        <v>5000</v>
      </c>
      <c r="BU73" s="93">
        <f t="shared" ca="1" si="100"/>
        <v>100</v>
      </c>
      <c r="BV73" s="92">
        <f ca="1">IFERROR(__xludf.DUMMYFUNCTION("IMPORTRANGE(""https://docs.google.com/spreadsheets/d/12Q_U0nVnFdxDFwa0pej9xvx8ZvLC9Dpi_vRro_aiG5g/edit?usp=sharing"",""อ่างทอง!I225"")"),0)</f>
        <v>0</v>
      </c>
      <c r="BW73" s="92">
        <f ca="1">IFERROR(__xludf.DUMMYFUNCTION("IMPORTRANGE(""https://docs.google.com/spreadsheets/d/12Q_U0nVnFdxDFwa0pej9xvx8ZvLC9Dpi_vRro_aiG5g/edit?usp=sharing"",""อ่างทอง!J225"")"),0)</f>
        <v>0</v>
      </c>
      <c r="BX73" s="93">
        <f t="shared" ca="1" si="101"/>
        <v>0</v>
      </c>
      <c r="BY73" s="92">
        <f ca="1">IFERROR(__xludf.DUMMYFUNCTION("IMPORTRANGE(""https://docs.google.com/spreadsheets/d/12Q_U0nVnFdxDFwa0pej9xvx8ZvLC9Dpi_vRro_aiG5g/edit?usp=sharing"",""อ่างทอง!L228"")"),0)</f>
        <v>0</v>
      </c>
      <c r="BZ73" s="92">
        <f ca="1">IFERROR(__xludf.DUMMYFUNCTION("IMPORTRANGE(""https://docs.google.com/spreadsheets/d/12Q_U0nVnFdxDFwa0pej9xvx8ZvLC9Dpi_vRro_aiG5g/edit?usp=sharing"",""อ่างทอง!N228"")"),0)</f>
        <v>0</v>
      </c>
      <c r="CA73" s="93">
        <f t="shared" ca="1" si="102"/>
        <v>0</v>
      </c>
      <c r="CB73" s="92">
        <f ca="1">IFERROR(__xludf.DUMMYFUNCTION("IMPORTRANGE(""https://docs.google.com/spreadsheets/d/12Q_U0nVnFdxDFwa0pej9xvx8ZvLC9Dpi_vRro_aiG5g/edit?usp=sharing"",""อ่างทอง!L229"")"),0)</f>
        <v>0</v>
      </c>
      <c r="CC73" s="92">
        <f ca="1">IFERROR(__xludf.DUMMYFUNCTION("IMPORTRANGE(""https://docs.google.com/spreadsheets/d/12Q_U0nVnFdxDFwa0pej9xvx8ZvLC9Dpi_vRro_aiG5g/edit?usp=sharing"",""อ่างทอง!N229"")"),0)</f>
        <v>0</v>
      </c>
      <c r="CD73" s="93">
        <f t="shared" ca="1" si="103"/>
        <v>0</v>
      </c>
      <c r="CE73" s="92">
        <f ca="1">IFERROR(__xludf.DUMMYFUNCTION("IMPORTRANGE(""https://docs.google.com/spreadsheets/d/12Q_U0nVnFdxDFwa0pej9xvx8ZvLC9Dpi_vRro_aiG5g/edit?usp=sharing"",""อ่างทอง!L230"")"),0)</f>
        <v>0</v>
      </c>
      <c r="CF73" s="92">
        <f ca="1">IFERROR(__xludf.DUMMYFUNCTION("IMPORTRANGE(""https://docs.google.com/spreadsheets/d/12Q_U0nVnFdxDFwa0pej9xvx8ZvLC9Dpi_vRro_aiG5g/edit?usp=sharing"",""อ่างทอง!N230"")"),0)</f>
        <v>0</v>
      </c>
      <c r="CG73" s="93">
        <f t="shared" ca="1" si="104"/>
        <v>0</v>
      </c>
      <c r="CH73" s="92">
        <f ca="1">IFERROR(__xludf.DUMMYFUNCTION("IMPORTRANGE(""https://docs.google.com/spreadsheets/d/12Q_U0nVnFdxDFwa0pej9xvx8ZvLC9Dpi_vRro_aiG5g/edit?usp=sharing"",""อ่างทอง!L231"")"),0)</f>
        <v>0</v>
      </c>
      <c r="CI73" s="92">
        <f ca="1">IFERROR(__xludf.DUMMYFUNCTION("IMPORTRANGE(""https://docs.google.com/spreadsheets/d/12Q_U0nVnFdxDFwa0pej9xvx8ZvLC9Dpi_vRro_aiG5g/edit?usp=sharing"",""อ่างทอง!N231"")"),0)</f>
        <v>0</v>
      </c>
      <c r="CJ73" s="93">
        <f t="shared" ca="1" si="105"/>
        <v>0</v>
      </c>
      <c r="CK73" s="92">
        <f ca="1">IFERROR(__xludf.DUMMYFUNCTION("IMPORTRANGE(""https://docs.google.com/spreadsheets/d/12Q_U0nVnFdxDFwa0pej9xvx8ZvLC9Dpi_vRro_aiG5g/edit?usp=sharing"",""อ่างทอง!I233"")"),0)</f>
        <v>0</v>
      </c>
      <c r="CL73" s="92">
        <f ca="1">IFERROR(__xludf.DUMMYFUNCTION("IMPORTRANGE(""https://docs.google.com/spreadsheets/d/12Q_U0nVnFdxDFwa0pej9xvx8ZvLC9Dpi_vRro_aiG5g/edit?usp=sharing"",""อ่างทอง!J233"")"),0)</f>
        <v>0</v>
      </c>
      <c r="CM73" s="93">
        <f t="shared" ca="1" si="106"/>
        <v>0</v>
      </c>
      <c r="CN73" s="92">
        <f ca="1">IFERROR(__xludf.DUMMYFUNCTION("IMPORTRANGE(""https://docs.google.com/spreadsheets/d/12Q_U0nVnFdxDFwa0pej9xvx8ZvLC9Dpi_vRro_aiG5g/edit?usp=sharing"",""อ่างทอง!J235"")"),0)</f>
        <v>0</v>
      </c>
      <c r="CO73" s="92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381" t="s">
        <v>96</v>
      </c>
      <c r="B74" s="370"/>
      <c r="C74" s="99">
        <f t="shared" ca="1" si="0"/>
        <v>2070000</v>
      </c>
      <c r="D74" s="57">
        <f t="shared" ref="D74:I74" ca="1" si="189">SUM(D75:D88)</f>
        <v>2070000</v>
      </c>
      <c r="E74" s="57">
        <f t="shared" ca="1" si="189"/>
        <v>1025100</v>
      </c>
      <c r="F74" s="57">
        <f t="shared" ca="1" si="189"/>
        <v>1044900</v>
      </c>
      <c r="G74" s="57">
        <f t="shared" ca="1" si="189"/>
        <v>0</v>
      </c>
      <c r="H74" s="57">
        <f t="shared" ca="1" si="189"/>
        <v>2440250</v>
      </c>
      <c r="I74" s="57">
        <f t="shared" ca="1" si="189"/>
        <v>0</v>
      </c>
      <c r="J74" s="57">
        <f t="shared" ca="1" si="3"/>
        <v>2186938.5300000003</v>
      </c>
      <c r="K74" s="95">
        <f t="shared" ca="1" si="4"/>
        <v>105.6492043478261</v>
      </c>
      <c r="L74" s="57">
        <f ca="1">SUM(L75:L88)</f>
        <v>2186938.5300000003</v>
      </c>
      <c r="M74" s="96">
        <f t="shared" ca="1" si="5"/>
        <v>105.6492043478261</v>
      </c>
      <c r="N74" s="96">
        <f t="shared" ca="1" si="6"/>
        <v>89.619445958405919</v>
      </c>
      <c r="O74" s="97">
        <f ca="1">SUM(O75:O88)</f>
        <v>0</v>
      </c>
      <c r="P74" s="97">
        <f t="shared" ca="1" si="108"/>
        <v>0</v>
      </c>
      <c r="Q74" s="96">
        <f t="shared" ca="1" si="8"/>
        <v>0</v>
      </c>
      <c r="R74" s="57">
        <f t="shared" ref="R74:S74" ca="1" si="190">SUM(R75:R88)</f>
        <v>84000</v>
      </c>
      <c r="S74" s="57">
        <f t="shared" ca="1" si="190"/>
        <v>74810</v>
      </c>
      <c r="T74" s="96">
        <f t="shared" ca="1" si="84"/>
        <v>89.05952380952381</v>
      </c>
      <c r="U74" s="57">
        <f t="shared" ref="U74:V74" ca="1" si="191">SUM(U75:U88)</f>
        <v>56</v>
      </c>
      <c r="V74" s="57">
        <f t="shared" ca="1" si="191"/>
        <v>56</v>
      </c>
      <c r="W74" s="96">
        <f t="shared" ca="1" si="85"/>
        <v>100</v>
      </c>
      <c r="X74" s="57">
        <f t="shared" ref="X74:AB74" ca="1" si="192">SUM(X75:X88)</f>
        <v>2225</v>
      </c>
      <c r="Y74" s="57">
        <f t="shared" ca="1" si="192"/>
        <v>2225</v>
      </c>
      <c r="Z74" s="57">
        <f t="shared" ca="1" si="192"/>
        <v>0</v>
      </c>
      <c r="AA74" s="57">
        <f t="shared" ca="1" si="192"/>
        <v>28000</v>
      </c>
      <c r="AB74" s="57">
        <f t="shared" ca="1" si="192"/>
        <v>20329</v>
      </c>
      <c r="AC74" s="96">
        <f t="shared" ca="1" si="86"/>
        <v>72.603571428571428</v>
      </c>
      <c r="AD74" s="57">
        <f t="shared" ref="AD74:AE74" ca="1" si="193">SUM(AD75:AD88)</f>
        <v>224000</v>
      </c>
      <c r="AE74" s="57">
        <f t="shared" ca="1" si="193"/>
        <v>225144.62</v>
      </c>
      <c r="AF74" s="96">
        <f t="shared" ca="1" si="87"/>
        <v>100.51099107142858</v>
      </c>
      <c r="AG74" s="57">
        <f t="shared" ref="AG74:AH74" ca="1" si="194">SUM(AG75:AG88)</f>
        <v>112000</v>
      </c>
      <c r="AH74" s="57">
        <f t="shared" ca="1" si="194"/>
        <v>106584</v>
      </c>
      <c r="AI74" s="96">
        <f t="shared" ca="1" si="88"/>
        <v>95.164285714285711</v>
      </c>
      <c r="AJ74" s="57">
        <f t="shared" ref="AJ74:AK74" ca="1" si="195">SUM(AJ75:AJ88)</f>
        <v>10000</v>
      </c>
      <c r="AK74" s="57">
        <f t="shared" ca="1" si="195"/>
        <v>0</v>
      </c>
      <c r="AL74" s="96">
        <f t="shared" ca="1" si="89"/>
        <v>0</v>
      </c>
      <c r="AM74" s="57">
        <f t="shared" ref="AM74:AN74" ca="1" si="196">SUM(AM75:AM88)</f>
        <v>28</v>
      </c>
      <c r="AN74" s="57">
        <f t="shared" ca="1" si="196"/>
        <v>28</v>
      </c>
      <c r="AO74" s="96">
        <f t="shared" ca="1" si="90"/>
        <v>100</v>
      </c>
      <c r="AP74" s="294">
        <f t="shared" ref="AP74:AS74" ca="1" si="197">SUM(AP75:AP88)</f>
        <v>28</v>
      </c>
      <c r="AQ74" s="294">
        <f t="shared" ca="1" si="197"/>
        <v>0</v>
      </c>
      <c r="AR74" s="57">
        <f t="shared" ca="1" si="197"/>
        <v>10000</v>
      </c>
      <c r="AS74" s="57">
        <f t="shared" ca="1" si="197"/>
        <v>8000</v>
      </c>
      <c r="AT74" s="96">
        <f t="shared" ca="1" si="91"/>
        <v>80</v>
      </c>
      <c r="AU74" s="57">
        <f t="shared" ref="AU74:AV74" ca="1" si="198">SUM(AU75:AU88)</f>
        <v>50000</v>
      </c>
      <c r="AV74" s="57">
        <f t="shared" ca="1" si="198"/>
        <v>40000</v>
      </c>
      <c r="AW74" s="96">
        <f t="shared" ca="1" si="92"/>
        <v>80</v>
      </c>
      <c r="AX74" s="57">
        <f t="shared" ref="AX74:AY74" ca="1" si="199">SUM(AX75:AX88)</f>
        <v>80000</v>
      </c>
      <c r="AY74" s="57">
        <f t="shared" ca="1" si="199"/>
        <v>80305</v>
      </c>
      <c r="AZ74" s="96">
        <f t="shared" ca="1" si="93"/>
        <v>100.38124999999999</v>
      </c>
      <c r="BA74" s="57">
        <f t="shared" ref="BA74:BB74" ca="1" si="200">SUM(BA75:BA88)</f>
        <v>10</v>
      </c>
      <c r="BB74" s="57">
        <f t="shared" ca="1" si="200"/>
        <v>10</v>
      </c>
      <c r="BC74" s="96">
        <f t="shared" ca="1" si="94"/>
        <v>100</v>
      </c>
      <c r="BD74" s="57">
        <f t="shared" ref="BD74:BE74" ca="1" si="201">SUM(BD75:BD88)</f>
        <v>10</v>
      </c>
      <c r="BE74" s="57">
        <f t="shared" ca="1" si="201"/>
        <v>10</v>
      </c>
      <c r="BF74" s="96">
        <f t="shared" ca="1" si="95"/>
        <v>100</v>
      </c>
      <c r="BG74" s="57">
        <f t="shared" ref="BG74:BH74" ca="1" si="202">SUM(BG75:BG88)</f>
        <v>43000</v>
      </c>
      <c r="BH74" s="57">
        <f t="shared" ca="1" si="202"/>
        <v>31680</v>
      </c>
      <c r="BI74" s="96">
        <f t="shared" ca="1" si="96"/>
        <v>73.674418604651166</v>
      </c>
      <c r="BJ74" s="57">
        <f t="shared" ref="BJ74:BK74" ca="1" si="203">SUM(BJ75:BJ88)</f>
        <v>70600</v>
      </c>
      <c r="BK74" s="57">
        <f t="shared" ca="1" si="203"/>
        <v>55065</v>
      </c>
      <c r="BL74" s="96">
        <f t="shared" ca="1" si="97"/>
        <v>77.995750708215297</v>
      </c>
      <c r="BM74" s="57">
        <f t="shared" ref="BM74:BN74" ca="1" si="204">SUM(BM75:BM88)</f>
        <v>40000</v>
      </c>
      <c r="BN74" s="57">
        <f t="shared" ca="1" si="204"/>
        <v>36206.699999999997</v>
      </c>
      <c r="BO74" s="96">
        <f t="shared" ca="1" si="98"/>
        <v>90.516749999999988</v>
      </c>
      <c r="BP74" s="57">
        <f t="shared" ref="BP74:BQ74" ca="1" si="205">SUM(BP75:BP88)</f>
        <v>239000</v>
      </c>
      <c r="BQ74" s="57">
        <f t="shared" ca="1" si="205"/>
        <v>189000</v>
      </c>
      <c r="BR74" s="96">
        <f t="shared" ca="1" si="99"/>
        <v>79.079497907949786</v>
      </c>
      <c r="BS74" s="57">
        <f t="shared" ref="BS74:BT74" ca="1" si="206">SUM(BS75:BS88)</f>
        <v>239000</v>
      </c>
      <c r="BT74" s="57">
        <f t="shared" ca="1" si="206"/>
        <v>214000</v>
      </c>
      <c r="BU74" s="96">
        <f t="shared" ca="1" si="100"/>
        <v>89.539748953974893</v>
      </c>
      <c r="BV74" s="57">
        <f t="shared" ref="BV74:BW74" ca="1" si="207">SUM(BV75:BV88)</f>
        <v>40</v>
      </c>
      <c r="BW74" s="57">
        <f t="shared" ca="1" si="207"/>
        <v>40</v>
      </c>
      <c r="BX74" s="96">
        <f t="shared" ca="1" si="101"/>
        <v>100</v>
      </c>
      <c r="BY74" s="57">
        <f t="shared" ref="BY74:BZ74" ca="1" si="208">SUM(BY75:BY88)</f>
        <v>165000</v>
      </c>
      <c r="BZ74" s="57">
        <f t="shared" ca="1" si="208"/>
        <v>134633.32</v>
      </c>
      <c r="CA74" s="96">
        <f t="shared" ca="1" si="102"/>
        <v>81.595951515151512</v>
      </c>
      <c r="CB74" s="57">
        <f t="shared" ref="CB74:CC74" ca="1" si="209">SUM(CB75:CB88)</f>
        <v>88300</v>
      </c>
      <c r="CC74" s="57">
        <f t="shared" ca="1" si="209"/>
        <v>85539</v>
      </c>
      <c r="CD74" s="96">
        <f t="shared" ca="1" si="103"/>
        <v>96.873159682899214</v>
      </c>
      <c r="CE74" s="57">
        <f t="shared" ref="CE74:CF74" ca="1" si="210">SUM(CE75:CE88)</f>
        <v>0</v>
      </c>
      <c r="CF74" s="57">
        <f t="shared" ca="1" si="210"/>
        <v>0</v>
      </c>
      <c r="CG74" s="96">
        <f t="shared" ca="1" si="104"/>
        <v>0</v>
      </c>
      <c r="CH74" s="57">
        <f t="shared" ref="CH74:CI74" ca="1" si="211">SUM(CH75:CH88)</f>
        <v>40000</v>
      </c>
      <c r="CI74" s="57">
        <f t="shared" ca="1" si="211"/>
        <v>29760</v>
      </c>
      <c r="CJ74" s="96">
        <f t="shared" ca="1" si="105"/>
        <v>74.400000000000006</v>
      </c>
      <c r="CK74" s="57">
        <f t="shared" ref="CK74:CL74" ca="1" si="212">SUM(CK75:CK88)</f>
        <v>100</v>
      </c>
      <c r="CL74" s="57">
        <f t="shared" ca="1" si="212"/>
        <v>110</v>
      </c>
      <c r="CM74" s="96">
        <f t="shared" ca="1" si="106"/>
        <v>110</v>
      </c>
      <c r="CN74" s="57">
        <f t="shared" ref="CN74:CO74" ca="1" si="213">SUM(CN75:CN88)</f>
        <v>0</v>
      </c>
      <c r="CO74" s="57">
        <f t="shared" ca="1" si="213"/>
        <v>4</v>
      </c>
    </row>
    <row r="75" spans="1:93" ht="21" customHeight="1" x14ac:dyDescent="0.3">
      <c r="A75" s="63">
        <v>1</v>
      </c>
      <c r="B75" s="64" t="s">
        <v>97</v>
      </c>
      <c r="C75" s="98">
        <f t="shared" ca="1" si="0"/>
        <v>60500</v>
      </c>
      <c r="D75" s="66">
        <f t="shared" ref="D75:D88" ca="1" si="214">+E75+F75</f>
        <v>60500</v>
      </c>
      <c r="E75" s="67">
        <f ca="1">IFERROR(__xludf.DUMMYFUNCTION("IMPORTRANGE(""https://docs.google.com/spreadsheets/d/1MeEWN-I1oV_STSDYn1IFDPWt_1FKiwhDph83XaGc0o0/edit?usp=sharing"",""งบพรบ!CP75"")"),0)</f>
        <v>0</v>
      </c>
      <c r="F75" s="67">
        <f ca="1">IFERROR(__xludf.DUMMYFUNCTION("IMPORTRANGE(""https://docs.google.com/spreadsheets/d/1MeEWN-I1oV_STSDYn1IFDPWt_1FKiwhDph83XaGc0o0/edit?usp=sharing"",""งบพรบ!CQ75"")"),60500)</f>
        <v>60500</v>
      </c>
      <c r="G75" s="100">
        <f ca="1">IFERROR(__xludf.DUMMYFUNCTION("IMPORTRANGE(""https://docs.google.com/spreadsheets/d/1MeEWN-I1oV_STSDYn1IFDPWt_1FKiwhDph83XaGc0o0/edit?usp=sharing"",""งบพรบ!CR75"")"),0)</f>
        <v>0</v>
      </c>
      <c r="H75" s="100">
        <f ca="1">IFERROR(__xludf.DUMMYFUNCTION("IMPORTRANGE(""https://docs.google.com/spreadsheets/d/1MeEWN-I1oV_STSDYn1IFDPWt_1FKiwhDph83XaGc0o0/edit?usp=sharing"",""งบพรบ!CT75"")"),77660)</f>
        <v>77660</v>
      </c>
      <c r="I75" s="100">
        <f ca="1">IFERROR(__xludf.DUMMYFUNCTION("IMPORTRANGE(""https://docs.google.com/spreadsheets/d/1MeEWN-I1oV_STSDYn1IFDPWt_1FKiwhDph83XaGc0o0/edit?usp=sharing"",""งบพรบ!CU75"")"),0)</f>
        <v>0</v>
      </c>
      <c r="J75" s="100">
        <f t="shared" ca="1" si="3"/>
        <v>77660</v>
      </c>
      <c r="K75" s="101">
        <f t="shared" ca="1" si="4"/>
        <v>128.36363636363637</v>
      </c>
      <c r="L75" s="77">
        <f ca="1">IFERROR(__xludf.DUMMYFUNCTION("IMPORTRANGE(""https://docs.google.com/spreadsheets/d/1MeEWN-I1oV_STSDYn1IFDPWt_1FKiwhDph83XaGc0o0/edit?usp=sharing"",""งบพรบ!CV75"")"),77660)</f>
        <v>77660</v>
      </c>
      <c r="M75" s="70">
        <f t="shared" ca="1" si="5"/>
        <v>128.36363636363637</v>
      </c>
      <c r="N75" s="70">
        <f t="shared" ca="1" si="6"/>
        <v>100</v>
      </c>
      <c r="O75" s="71">
        <f ca="1">IFERROR(__xludf.DUMMYFUNCTION("IMPORTRANGE(""https://docs.google.com/spreadsheets/d/1MeEWN-I1oV_STSDYn1IFDPWt_1FKiwhDph83XaGc0o0/edit?usp=sharing"",""งบพรบ!CW75"")"),0)</f>
        <v>0</v>
      </c>
      <c r="P75" s="71">
        <f t="shared" ca="1" si="10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IFERROR(__xludf.DUMMYFUNCTION("IMPORTRANGE(""https://docs.google.com/spreadsheets/d/1kC41EOXpGBFOW658Fs3oD8beYlym0-zO54WY-2Qnp9I/edit?usp=sharing"",""กระบี่!L191"")"),6000)</f>
        <v>6000</v>
      </c>
      <c r="S75" s="68">
        <f ca="1">IFERROR(__xludf.DUMMYFUNCTION("IMPORTRANGE(""https://docs.google.com/spreadsheets/d/1kC41EOXpGBFOW658Fs3oD8beYlym0-zO54WY-2Qnp9I/edit?usp=sharing"",""กระบี่!N191"")"),3550)</f>
        <v>3550</v>
      </c>
      <c r="T75" s="72">
        <f t="shared" ca="1" si="84"/>
        <v>59.166666666666664</v>
      </c>
      <c r="U75" s="68">
        <f ca="1">IFERROR(__xludf.DUMMYFUNCTION("IMPORTRANGE(""https://docs.google.com/spreadsheets/d/1kC41EOXpGBFOW658Fs3oD8beYlym0-zO54WY-2Qnp9I/edit?usp=sharing"",""กระบี่!I193"")"),4)</f>
        <v>4</v>
      </c>
      <c r="V75" s="68">
        <f ca="1">IFERROR(__xludf.DUMMYFUNCTION("IMPORTRANGE(""https://docs.google.com/spreadsheets/d/1kC41EOXpGBFOW658Fs3oD8beYlym0-zO54WY-2Qnp9I/edit?usp=sharing"",""กระบี่!J193"")"),4)</f>
        <v>4</v>
      </c>
      <c r="W75" s="72">
        <f t="shared" ca="1" si="85"/>
        <v>100</v>
      </c>
      <c r="X75" s="68">
        <f t="shared" ref="X75:X88" ca="1" si="215">Y75+Z75</f>
        <v>34</v>
      </c>
      <c r="Y75" s="68">
        <f ca="1">IFERROR(__xludf.DUMMYFUNCTION("IMPORTRANGE(""https://docs.google.com/spreadsheets/d/1kC41EOXpGBFOW658Fs3oD8beYlym0-zO54WY-2Qnp9I/edit?usp=sharing"",""กระบี่!J195"")"),34)</f>
        <v>34</v>
      </c>
      <c r="Z75" s="68">
        <f ca="1">IFERROR(__xludf.DUMMYFUNCTION("IMPORTRANGE(""https://docs.google.com/spreadsheets/d/1kC41EOXpGBFOW658Fs3oD8beYlym0-zO54WY-2Qnp9I/edit?usp=sharing"",""กระบี่!J196"")"),0)</f>
        <v>0</v>
      </c>
      <c r="AA75" s="68">
        <f ca="1">IFERROR(__xludf.DUMMYFUNCTION("IMPORTRANGE(""https://docs.google.com/spreadsheets/d/1kC41EOXpGBFOW658Fs3oD8beYlym0-zO54WY-2Qnp9I/edit?usp=sharing"",""กระบี่!L199"")"),2000)</f>
        <v>2000</v>
      </c>
      <c r="AB75" s="68">
        <f ca="1">IFERROR(__xludf.DUMMYFUNCTION("IMPORTRANGE(""https://docs.google.com/spreadsheets/d/1kC41EOXpGBFOW658Fs3oD8beYlym0-zO54WY-2Qnp9I/edit?usp=sharing"",""กระบี่!N199"")"),1893)</f>
        <v>1893</v>
      </c>
      <c r="AC75" s="72">
        <f t="shared" ca="1" si="86"/>
        <v>94.65</v>
      </c>
      <c r="AD75" s="68">
        <f ca="1">IFERROR(__xludf.DUMMYFUNCTION("IMPORTRANGE(""https://docs.google.com/spreadsheets/d/1kC41EOXpGBFOW658Fs3oD8beYlym0-zO54WY-2Qnp9I/edit?usp=sharing"",""กระบี่!L200"")"),16000)</f>
        <v>16000</v>
      </c>
      <c r="AE75" s="68">
        <f ca="1">IFERROR(__xludf.DUMMYFUNCTION("IMPORTRANGE(""https://docs.google.com/spreadsheets/d/1kC41EOXpGBFOW658Fs3oD8beYlym0-zO54WY-2Qnp9I/edit?usp=sharing"",""กระบี่!N200"")"),16017)</f>
        <v>16017</v>
      </c>
      <c r="AF75" s="72">
        <f t="shared" ca="1" si="87"/>
        <v>100.10625</v>
      </c>
      <c r="AG75" s="68">
        <f ca="1">IFERROR(__xludf.DUMMYFUNCTION("IMPORTRANGE(""https://docs.google.com/spreadsheets/d/1kC41EOXpGBFOW658Fs3oD8beYlym0-zO54WY-2Qnp9I/edit?usp=sharing"",""กระบี่!L201"")"),8000)</f>
        <v>8000</v>
      </c>
      <c r="AH75" s="68">
        <f ca="1">IFERROR(__xludf.DUMMYFUNCTION("IMPORTRANGE(""https://docs.google.com/spreadsheets/d/1kC41EOXpGBFOW658Fs3oD8beYlym0-zO54WY-2Qnp9I/edit?usp=sharing"",""กระบี่!N201"")"),8090)</f>
        <v>8090</v>
      </c>
      <c r="AI75" s="72">
        <f t="shared" ca="1" si="88"/>
        <v>101.125</v>
      </c>
      <c r="AJ75" s="68">
        <f ca="1">IFERROR(__xludf.DUMMYFUNCTION("IMPORTRANGE(""https://docs.google.com/spreadsheets/d/1kC41EOXpGBFOW658Fs3oD8beYlym0-zO54WY-2Qnp9I/edit?usp=sharing"",""กระบี่!L202"")"),0)</f>
        <v>0</v>
      </c>
      <c r="AK75" s="68">
        <f ca="1">IFERROR(__xludf.DUMMYFUNCTION("IMPORTRANGE(""https://docs.google.com/spreadsheets/d/1kC41EOXpGBFOW658Fs3oD8beYlym0-zO54WY-2Qnp9I/edit?usp=sharing"",""กระบี่!N202"")"),0)</f>
        <v>0</v>
      </c>
      <c r="AL75" s="72">
        <f t="shared" ca="1" si="89"/>
        <v>0</v>
      </c>
      <c r="AM75" s="68">
        <f ca="1">IFERROR(__xludf.DUMMYFUNCTION("IMPORTRANGE(""https://docs.google.com/spreadsheets/d/1kC41EOXpGBFOW658Fs3oD8beYlym0-zO54WY-2Qnp9I/edit?usp=sharing"",""กระบี่!I204"")"),2)</f>
        <v>2</v>
      </c>
      <c r="AN75" s="68">
        <f ca="1">IFERROR(__xludf.DUMMYFUNCTION("IMPORTRANGE(""https://docs.google.com/spreadsheets/d/1kC41EOXpGBFOW658Fs3oD8beYlym0-zO54WY-2Qnp9I/edit?usp=sharing"",""กระบี่!J204"")"),2)</f>
        <v>2</v>
      </c>
      <c r="AO75" s="72">
        <f t="shared" ca="1" si="90"/>
        <v>100</v>
      </c>
      <c r="AP75" s="297">
        <f ca="1">IFERROR(__xludf.DUMMYFUNCTION("IMPORTRANGE(""https://docs.google.com/spreadsheets/d/1kC41EOXpGBFOW658Fs3oD8beYlym0-zO54WY-2Qnp9I/edit?usp=sharing"",""กระบี่!J206"")"),2)</f>
        <v>2</v>
      </c>
      <c r="AQ75" s="297">
        <f ca="1">IFERROR(__xludf.DUMMYFUNCTION("IMPORTRANGE(""https://docs.google.com/spreadsheets/d/1kC41EOXpGBFOW658Fs3oD8beYlym0-zO54WY-2Qnp9I/edit?usp=sharing"",""กระบี่!J207"")"),0)</f>
        <v>0</v>
      </c>
      <c r="AR75" s="68">
        <f ca="1">IFERROR(__xludf.DUMMYFUNCTION("IMPORTRANGE(""https://docs.google.com/spreadsheets/d/1kC41EOXpGBFOW658Fs3oD8beYlym0-zO54WY-2Qnp9I/edit?usp=sharing"",""กระบี่!L210"")"),0)</f>
        <v>0</v>
      </c>
      <c r="AS75" s="68">
        <f ca="1">IFERROR(__xludf.DUMMYFUNCTION("IMPORTRANGE(""https://docs.google.com/spreadsheets/d/1kC41EOXpGBFOW658Fs3oD8beYlym0-zO54WY-2Qnp9I/edit?usp=sharing"",""กระบี่!N210"")"),0)</f>
        <v>0</v>
      </c>
      <c r="AT75" s="72">
        <f t="shared" ca="1" si="91"/>
        <v>0</v>
      </c>
      <c r="AU75" s="68">
        <f ca="1">IFERROR(__xludf.DUMMYFUNCTION("IMPORTRANGE(""https://docs.google.com/spreadsheets/d/1kC41EOXpGBFOW658Fs3oD8beYlym0-zO54WY-2Qnp9I/edit?usp=sharing"",""กระบี่!L211"")"),0)</f>
        <v>0</v>
      </c>
      <c r="AV75" s="68">
        <f ca="1">IFERROR(__xludf.DUMMYFUNCTION("IMPORTRANGE(""https://docs.google.com/spreadsheets/d/1kC41EOXpGBFOW658Fs3oD8beYlym0-zO54WY-2Qnp9I/edit?usp=sharing"",""กระบี่!N211"")"),0)</f>
        <v>0</v>
      </c>
      <c r="AW75" s="72">
        <f t="shared" ca="1" si="92"/>
        <v>0</v>
      </c>
      <c r="AX75" s="68">
        <f ca="1">IFERROR(__xludf.DUMMYFUNCTION("IMPORTRANGE(""https://docs.google.com/spreadsheets/d/1kC41EOXpGBFOW658Fs3oD8beYlym0-zO54WY-2Qnp9I/edit?usp=sharing"",""กระบี่!L212"")"),0)</f>
        <v>0</v>
      </c>
      <c r="AY75" s="68">
        <f ca="1">IFERROR(__xludf.DUMMYFUNCTION("IMPORTRANGE(""https://docs.google.com/spreadsheets/d/1kC41EOXpGBFOW658Fs3oD8beYlym0-zO54WY-2Qnp9I/edit?usp=sharing"",""กระบี่!N212"")"),0)</f>
        <v>0</v>
      </c>
      <c r="AZ75" s="72">
        <f t="shared" ca="1" si="93"/>
        <v>0</v>
      </c>
      <c r="BA75" s="68">
        <f ca="1">IFERROR(__xludf.DUMMYFUNCTION("IMPORTRANGE(""https://docs.google.com/spreadsheets/d/1kC41EOXpGBFOW658Fs3oD8beYlym0-zO54WY-2Qnp9I/edit?usp=sharing"",""กระบี่!I214"")"),0)</f>
        <v>0</v>
      </c>
      <c r="BB75" s="68">
        <f ca="1">IFERROR(__xludf.DUMMYFUNCTION("IMPORTRANGE(""https://docs.google.com/spreadsheets/d/1kC41EOXpGBFOW658Fs3oD8beYlym0-zO54WY-2Qnp9I/edit?usp=sharing"",""กระบี่!J214"")"),0)</f>
        <v>0</v>
      </c>
      <c r="BC75" s="72">
        <f t="shared" ca="1" si="94"/>
        <v>0</v>
      </c>
      <c r="BD75" s="68">
        <f ca="1">IFERROR(__xludf.DUMMYFUNCTION("IMPORTRANGE(""https://docs.google.com/spreadsheets/d/1kC41EOXpGBFOW658Fs3oD8beYlym0-zO54WY-2Qnp9I/edit?usp=sharing"",""กระบี่!I215"")"),0)</f>
        <v>0</v>
      </c>
      <c r="BE75" s="68">
        <f ca="1">IFERROR(__xludf.DUMMYFUNCTION("IMPORTRANGE(""https://docs.google.com/spreadsheets/d/1kC41EOXpGBFOW658Fs3oD8beYlym0-zO54WY-2Qnp9I/edit?usp=sharing"",""กระบี่!J215"")"),0)</f>
        <v>0</v>
      </c>
      <c r="BF75" s="72">
        <f t="shared" ca="1" si="95"/>
        <v>0</v>
      </c>
      <c r="BG75" s="68">
        <f ca="1">IFERROR(__xludf.DUMMYFUNCTION("IMPORTRANGE(""https://docs.google.com/spreadsheets/d/1kC41EOXpGBFOW658Fs3oD8beYlym0-zO54WY-2Qnp9I/edit?usp=sharing"",""กระบี่!L218"")"),5000)</f>
        <v>5000</v>
      </c>
      <c r="BH75" s="68">
        <f ca="1">IFERROR(__xludf.DUMMYFUNCTION("IMPORTRANGE(""https://docs.google.com/spreadsheets/d/1kC41EOXpGBFOW658Fs3oD8beYlym0-zO54WY-2Qnp9I/edit?usp=sharing"",""กระบี่!N218"")"),5000)</f>
        <v>5000</v>
      </c>
      <c r="BI75" s="72">
        <f t="shared" ca="1" si="96"/>
        <v>100</v>
      </c>
      <c r="BJ75" s="68">
        <f ca="1">IFERROR(__xludf.DUMMYFUNCTION("IMPORTRANGE(""https://docs.google.com/spreadsheets/d/1kC41EOXpGBFOW658Fs3oD8beYlym0-zO54WY-2Qnp9I/edit?usp=sharing"",""กระบี่!L219"")"),13500)</f>
        <v>13500</v>
      </c>
      <c r="BK75" s="68">
        <f ca="1">IFERROR(__xludf.DUMMYFUNCTION("IMPORTRANGE(""https://docs.google.com/spreadsheets/d/1kC41EOXpGBFOW658Fs3oD8beYlym0-zO54WY-2Qnp9I/edit?usp=sharing"",""กระบี่!N219"")"),13500)</f>
        <v>13500</v>
      </c>
      <c r="BL75" s="72">
        <f t="shared" ca="1" si="97"/>
        <v>100</v>
      </c>
      <c r="BM75" s="68">
        <f ca="1">IFERROR(__xludf.DUMMYFUNCTION("IMPORTRANGE(""https://docs.google.com/spreadsheets/d/1kC41EOXpGBFOW658Fs3oD8beYlym0-zO54WY-2Qnp9I/edit?usp=sharing"",""กระบี่!L220"")"),10000)</f>
        <v>10000</v>
      </c>
      <c r="BN75" s="68">
        <f ca="1">IFERROR(__xludf.DUMMYFUNCTION("IMPORTRANGE(""https://docs.google.com/spreadsheets/d/1kC41EOXpGBFOW658Fs3oD8beYlym0-zO54WY-2Qnp9I/edit?usp=sharing"",""กระบี่!N220"")"),10000)</f>
        <v>10000</v>
      </c>
      <c r="BO75" s="72">
        <f t="shared" ca="1" si="98"/>
        <v>100</v>
      </c>
      <c r="BP75" s="68">
        <f ca="1">IFERROR(__xludf.DUMMYFUNCTION("IMPORTRANGE(""https://docs.google.com/spreadsheets/d/1kC41EOXpGBFOW658Fs3oD8beYlym0-zO54WY-2Qnp9I/edit?usp=sharing"",""กระบี่!I223"")"),50000)</f>
        <v>50000</v>
      </c>
      <c r="BQ75" s="68">
        <f ca="1">IFERROR(__xludf.DUMMYFUNCTION("IMPORTRANGE(""https://docs.google.com/spreadsheets/d/1kC41EOXpGBFOW658Fs3oD8beYlym0-zO54WY-2Qnp9I/edit?usp=sharing"",""กระบี่!J223"")"),50000)</f>
        <v>50000</v>
      </c>
      <c r="BR75" s="72">
        <f t="shared" ca="1" si="99"/>
        <v>100</v>
      </c>
      <c r="BS75" s="68">
        <f ca="1">IFERROR(__xludf.DUMMYFUNCTION("IMPORTRANGE(""https://docs.google.com/spreadsheets/d/1kC41EOXpGBFOW658Fs3oD8beYlym0-zO54WY-2Qnp9I/edit?usp=sharing"",""กระบี่!I224"")"),50000)</f>
        <v>50000</v>
      </c>
      <c r="BT75" s="68">
        <f ca="1">IFERROR(__xludf.DUMMYFUNCTION("IMPORTRANGE(""https://docs.google.com/spreadsheets/d/1kC41EOXpGBFOW658Fs3oD8beYlym0-zO54WY-2Qnp9I/edit?usp=sharing"",""กระบี่!J224"")"),50000)</f>
        <v>50000</v>
      </c>
      <c r="BU75" s="72">
        <f t="shared" ca="1" si="100"/>
        <v>100</v>
      </c>
      <c r="BV75" s="68">
        <f ca="1">IFERROR(__xludf.DUMMYFUNCTION("IMPORTRANGE(""https://docs.google.com/spreadsheets/d/1kC41EOXpGBFOW658Fs3oD8beYlym0-zO54WY-2Qnp9I/edit?usp=sharing"",""กระบี่!I225"")"),10)</f>
        <v>10</v>
      </c>
      <c r="BW75" s="68">
        <f ca="1">IFERROR(__xludf.DUMMYFUNCTION("IMPORTRANGE(""https://docs.google.com/spreadsheets/d/1kC41EOXpGBFOW658Fs3oD8beYlym0-zO54WY-2Qnp9I/edit?usp=sharing"",""กระบี่!J225"")"),10)</f>
        <v>10</v>
      </c>
      <c r="BX75" s="72">
        <f t="shared" ca="1" si="101"/>
        <v>100</v>
      </c>
      <c r="BY75" s="68">
        <f ca="1">IFERROR(__xludf.DUMMYFUNCTION("IMPORTRANGE(""https://docs.google.com/spreadsheets/d/1kC41EOXpGBFOW658Fs3oD8beYlym0-zO54WY-2Qnp9I/edit?usp=sharing"",""กระบี่!L228"")"),0)</f>
        <v>0</v>
      </c>
      <c r="BZ75" s="68">
        <f ca="1">IFERROR(__xludf.DUMMYFUNCTION("IMPORTRANGE(""https://docs.google.com/spreadsheets/d/1kC41EOXpGBFOW658Fs3oD8beYlym0-zO54WY-2Qnp9I/edit?usp=sharing"",""กระบี่!N228"")"),0)</f>
        <v>0</v>
      </c>
      <c r="CA75" s="72">
        <f t="shared" ca="1" si="102"/>
        <v>0</v>
      </c>
      <c r="CB75" s="68">
        <f ca="1">IFERROR(__xludf.DUMMYFUNCTION("IMPORTRANGE(""https://docs.google.com/spreadsheets/d/1kC41EOXpGBFOW658Fs3oD8beYlym0-zO54WY-2Qnp9I/edit?usp=sharing"",""กระบี่!L229"")"),0)</f>
        <v>0</v>
      </c>
      <c r="CC75" s="68">
        <f ca="1">IFERROR(__xludf.DUMMYFUNCTION("IMPORTRANGE(""https://docs.google.com/spreadsheets/d/1kC41EOXpGBFOW658Fs3oD8beYlym0-zO54WY-2Qnp9I/edit?usp=sharing"",""กระบี่!N229"")"),0)</f>
        <v>0</v>
      </c>
      <c r="CD75" s="72">
        <f t="shared" ca="1" si="103"/>
        <v>0</v>
      </c>
      <c r="CE75" s="68">
        <f ca="1">IFERROR(__xludf.DUMMYFUNCTION("IMPORTRANGE(""https://docs.google.com/spreadsheets/d/1kC41EOXpGBFOW658Fs3oD8beYlym0-zO54WY-2Qnp9I/edit?usp=sharing"",""กระบี่!L230"")"),0)</f>
        <v>0</v>
      </c>
      <c r="CF75" s="68">
        <f ca="1">IFERROR(__xludf.DUMMYFUNCTION("IMPORTRANGE(""https://docs.google.com/spreadsheets/d/1kC41EOXpGBFOW658Fs3oD8beYlym0-zO54WY-2Qnp9I/edit?usp=sharing"",""กระบี่!N230"")"),0)</f>
        <v>0</v>
      </c>
      <c r="CG75" s="72">
        <f t="shared" ca="1" si="104"/>
        <v>0</v>
      </c>
      <c r="CH75" s="68">
        <f ca="1">IFERROR(__xludf.DUMMYFUNCTION("IMPORTRANGE(""https://docs.google.com/spreadsheets/d/1kC41EOXpGBFOW658Fs3oD8beYlym0-zO54WY-2Qnp9I/edit?usp=sharing"",""กระบี่!L231"")"),0)</f>
        <v>0</v>
      </c>
      <c r="CI75" s="68">
        <f ca="1">IFERROR(__xludf.DUMMYFUNCTION("IMPORTRANGE(""https://docs.google.com/spreadsheets/d/1kC41EOXpGBFOW658Fs3oD8beYlym0-zO54WY-2Qnp9I/edit?usp=sharing"",""กระบี่!N231"")"),0)</f>
        <v>0</v>
      </c>
      <c r="CJ75" s="72">
        <f t="shared" ca="1" si="105"/>
        <v>0</v>
      </c>
      <c r="CK75" s="68">
        <f ca="1">IFERROR(__xludf.DUMMYFUNCTION("IMPORTRANGE(""https://docs.google.com/spreadsheets/d/1kC41EOXpGBFOW658Fs3oD8beYlym0-zO54WY-2Qnp9I/edit?usp=sharing"",""กระบี่!I233"")"),0)</f>
        <v>0</v>
      </c>
      <c r="CL75" s="68">
        <f ca="1">IFERROR(__xludf.DUMMYFUNCTION("IMPORTRANGE(""https://docs.google.com/spreadsheets/d/1kC41EOXpGBFOW658Fs3oD8beYlym0-zO54WY-2Qnp9I/edit?usp=sharing"",""กระบี่!J233"")"),0)</f>
        <v>0</v>
      </c>
      <c r="CM75" s="72">
        <f t="shared" ca="1" si="106"/>
        <v>0</v>
      </c>
      <c r="CN75" s="68">
        <f ca="1">IFERROR(__xludf.DUMMYFUNCTION("IMPORTRANGE(""https://docs.google.com/spreadsheets/d/1kC41EOXpGBFOW658Fs3oD8beYlym0-zO54WY-2Qnp9I/edit?usp=sharing"",""กระบี่!J235"")"),0)</f>
        <v>0</v>
      </c>
      <c r="CO75" s="68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3">
        <v>2</v>
      </c>
      <c r="B76" s="74" t="s">
        <v>98</v>
      </c>
      <c r="C76" s="75">
        <f t="shared" ca="1" si="0"/>
        <v>64000</v>
      </c>
      <c r="D76" s="76">
        <f t="shared" ca="1" si="214"/>
        <v>64000</v>
      </c>
      <c r="E76" s="77">
        <f ca="1">IFERROR(__xludf.DUMMYFUNCTION("IMPORTRANGE(""https://docs.google.com/spreadsheets/d/1MeEWN-I1oV_STSDYn1IFDPWt_1FKiwhDph83XaGc0o0/edit?usp=sharing"",""งบพรบ!CP76"")"),0)</f>
        <v>0</v>
      </c>
      <c r="F76" s="77">
        <f ca="1">IFERROR(__xludf.DUMMYFUNCTION("IMPORTRANGE(""https://docs.google.com/spreadsheets/d/1MeEWN-I1oV_STSDYn1IFDPWt_1FKiwhDph83XaGc0o0/edit?usp=sharing"",""งบพรบ!CQ76"")"),64000)</f>
        <v>64000</v>
      </c>
      <c r="G76" s="77">
        <f ca="1">IFERROR(__xludf.DUMMYFUNCTION("IMPORTRANGE(""https://docs.google.com/spreadsheets/d/1MeEWN-I1oV_STSDYn1IFDPWt_1FKiwhDph83XaGc0o0/edit?usp=sharing"",""งบพรบ!CR76"")"),0)</f>
        <v>0</v>
      </c>
      <c r="H76" s="77">
        <f ca="1">IFERROR(__xludf.DUMMYFUNCTION("IMPORTRANGE(""https://docs.google.com/spreadsheets/d/1MeEWN-I1oV_STSDYn1IFDPWt_1FKiwhDph83XaGc0o0/edit?usp=sharing"",""งบพรบ!CT76"")"),91830)</f>
        <v>91830</v>
      </c>
      <c r="I76" s="77">
        <f ca="1">IFERROR(__xludf.DUMMYFUNCTION("IMPORTRANGE(""https://docs.google.com/spreadsheets/d/1MeEWN-I1oV_STSDYn1IFDPWt_1FKiwhDph83XaGc0o0/edit?usp=sharing"",""งบพรบ!CU76"")"),0)</f>
        <v>0</v>
      </c>
      <c r="J76" s="77">
        <f t="shared" ca="1" si="3"/>
        <v>81252</v>
      </c>
      <c r="K76" s="78">
        <f t="shared" ca="1" si="4"/>
        <v>126.95625</v>
      </c>
      <c r="L76" s="77">
        <f ca="1">IFERROR(__xludf.DUMMYFUNCTION("IMPORTRANGE(""https://docs.google.com/spreadsheets/d/1MeEWN-I1oV_STSDYn1IFDPWt_1FKiwhDph83XaGc0o0/edit?usp=sharing"",""งบพรบ!CV76"")"),81252)</f>
        <v>81252</v>
      </c>
      <c r="M76" s="79">
        <f t="shared" ca="1" si="5"/>
        <v>126.95625</v>
      </c>
      <c r="N76" s="79">
        <f t="shared" ca="1" si="6"/>
        <v>88.480888598497216</v>
      </c>
      <c r="O76" s="80">
        <f ca="1">IFERROR(__xludf.DUMMYFUNCTION("IMPORTRANGE(""https://docs.google.com/spreadsheets/d/1MeEWN-I1oV_STSDYn1IFDPWt_1FKiwhDph83XaGc0o0/edit?usp=sharing"",""งบพรบ!CW76"")"),0)</f>
        <v>0</v>
      </c>
      <c r="P76" s="80">
        <f t="shared" ca="1" si="10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IFERROR(__xludf.DUMMYFUNCTION("IMPORTRANGE(""https://docs.google.com/spreadsheets/d/1FbzMZY_f3MDiEuK7RpCQKrilJ_kpX0Wm7QBZ1L7EjIU/edit?usp=sharing"",""ชุมพร!L191"")"),6000)</f>
        <v>6000</v>
      </c>
      <c r="S76" s="81">
        <f ca="1">IFERROR(__xludf.DUMMYFUNCTION("IMPORTRANGE(""https://docs.google.com/spreadsheets/d/1FbzMZY_f3MDiEuK7RpCQKrilJ_kpX0Wm7QBZ1L7EjIU/edit?usp=sharing"",""ชุมพร!N191"")"),6000)</f>
        <v>6000</v>
      </c>
      <c r="T76" s="82">
        <f t="shared" ca="1" si="84"/>
        <v>100</v>
      </c>
      <c r="U76" s="81">
        <f ca="1">IFERROR(__xludf.DUMMYFUNCTION("IMPORTRANGE(""https://docs.google.com/spreadsheets/d/1FbzMZY_f3MDiEuK7RpCQKrilJ_kpX0Wm7QBZ1L7EjIU/edit?usp=sharing"",""ชุมพร!I193"")"),4)</f>
        <v>4</v>
      </c>
      <c r="V76" s="81">
        <f ca="1">IFERROR(__xludf.DUMMYFUNCTION("IMPORTRANGE(""https://docs.google.com/spreadsheets/d/1FbzMZY_f3MDiEuK7RpCQKrilJ_kpX0Wm7QBZ1L7EjIU/edit?usp=sharing"",""ชุมพร!J193"")"),4)</f>
        <v>4</v>
      </c>
      <c r="W76" s="82">
        <f t="shared" ca="1" si="85"/>
        <v>100</v>
      </c>
      <c r="X76" s="81">
        <f t="shared" ca="1" si="215"/>
        <v>0</v>
      </c>
      <c r="Y76" s="81">
        <f ca="1">IFERROR(__xludf.DUMMYFUNCTION("IMPORTRANGE(""https://docs.google.com/spreadsheets/d/1FbzMZY_f3MDiEuK7RpCQKrilJ_kpX0Wm7QBZ1L7EjIU/edit?usp=sharing"",""ชุมพร!J195"")"),0)</f>
        <v>0</v>
      </c>
      <c r="Z76" s="81">
        <f ca="1">IFERROR(__xludf.DUMMYFUNCTION("IMPORTRANGE(""https://docs.google.com/spreadsheets/d/1FbzMZY_f3MDiEuK7RpCQKrilJ_kpX0Wm7QBZ1L7EjIU/edit?usp=sharing"",""ชุมพร!J196"")"),0)</f>
        <v>0</v>
      </c>
      <c r="AA76" s="81">
        <f ca="1">IFERROR(__xludf.DUMMYFUNCTION("IMPORTRANGE(""https://docs.google.com/spreadsheets/d/1FbzMZY_f3MDiEuK7RpCQKrilJ_kpX0Wm7QBZ1L7EjIU/edit?usp=sharing"",""ชุมพร!L199"")"),2000)</f>
        <v>2000</v>
      </c>
      <c r="AB76" s="81">
        <f ca="1">IFERROR(__xludf.DUMMYFUNCTION("IMPORTRANGE(""https://docs.google.com/spreadsheets/d/1FbzMZY_f3MDiEuK7RpCQKrilJ_kpX0Wm7QBZ1L7EjIU/edit?usp=sharing"",""ชุมพร!N199"")"),0)</f>
        <v>0</v>
      </c>
      <c r="AC76" s="82">
        <f t="shared" ca="1" si="86"/>
        <v>0</v>
      </c>
      <c r="AD76" s="81">
        <f ca="1">IFERROR(__xludf.DUMMYFUNCTION("IMPORTRANGE(""https://docs.google.com/spreadsheets/d/1FbzMZY_f3MDiEuK7RpCQKrilJ_kpX0Wm7QBZ1L7EjIU/edit?usp=sharing"",""ชุมพร!L200"")"),16000)</f>
        <v>16000</v>
      </c>
      <c r="AE76" s="81">
        <f ca="1">IFERROR(__xludf.DUMMYFUNCTION("IMPORTRANGE(""https://docs.google.com/spreadsheets/d/1FbzMZY_f3MDiEuK7RpCQKrilJ_kpX0Wm7QBZ1L7EjIU/edit?usp=sharing"",""ชุมพร!N200"")"),16000)</f>
        <v>16000</v>
      </c>
      <c r="AF76" s="82">
        <f t="shared" ca="1" si="87"/>
        <v>100</v>
      </c>
      <c r="AG76" s="81">
        <f ca="1">IFERROR(__xludf.DUMMYFUNCTION("IMPORTRANGE(""https://docs.google.com/spreadsheets/d/1FbzMZY_f3MDiEuK7RpCQKrilJ_kpX0Wm7QBZ1L7EjIU/edit?usp=sharing"",""ชุมพร!L201"")"),8000)</f>
        <v>8000</v>
      </c>
      <c r="AH76" s="81">
        <f ca="1">IFERROR(__xludf.DUMMYFUNCTION("IMPORTRANGE(""https://docs.google.com/spreadsheets/d/1FbzMZY_f3MDiEuK7RpCQKrilJ_kpX0Wm7QBZ1L7EjIU/edit?usp=sharing"",""ชุมพร!N201"")"),8000)</f>
        <v>8000</v>
      </c>
      <c r="AI76" s="82">
        <f t="shared" ca="1" si="88"/>
        <v>100</v>
      </c>
      <c r="AJ76" s="81">
        <f ca="1">IFERROR(__xludf.DUMMYFUNCTION("IMPORTRANGE(""https://docs.google.com/spreadsheets/d/1FbzMZY_f3MDiEuK7RpCQKrilJ_kpX0Wm7QBZ1L7EjIU/edit?usp=sharing"",""ชุมพร!L202"")"),0)</f>
        <v>0</v>
      </c>
      <c r="AK76" s="81">
        <f ca="1">IFERROR(__xludf.DUMMYFUNCTION("IMPORTRANGE(""https://docs.google.com/spreadsheets/d/1FbzMZY_f3MDiEuK7RpCQKrilJ_kpX0Wm7QBZ1L7EjIU/edit?usp=sharing"",""ชุมพร!N202"")"),0)</f>
        <v>0</v>
      </c>
      <c r="AL76" s="82">
        <f t="shared" ca="1" si="89"/>
        <v>0</v>
      </c>
      <c r="AM76" s="81">
        <f ca="1">IFERROR(__xludf.DUMMYFUNCTION("IMPORTRANGE(""https://docs.google.com/spreadsheets/d/1FbzMZY_f3MDiEuK7RpCQKrilJ_kpX0Wm7QBZ1L7EjIU/edit?usp=sharing"",""ชุมพร!I204"")"),2)</f>
        <v>2</v>
      </c>
      <c r="AN76" s="81">
        <f ca="1">IFERROR(__xludf.DUMMYFUNCTION("IMPORTRANGE(""https://docs.google.com/spreadsheets/d/1FbzMZY_f3MDiEuK7RpCQKrilJ_kpX0Wm7QBZ1L7EjIU/edit?usp=sharing"",""ชุมพร!J204"")"),2)</f>
        <v>2</v>
      </c>
      <c r="AO76" s="82">
        <f t="shared" ca="1" si="90"/>
        <v>100</v>
      </c>
      <c r="AP76" s="297">
        <f ca="1">IFERROR(__xludf.DUMMYFUNCTION("IMPORTRANGE(""https://docs.google.com/spreadsheets/d/1FbzMZY_f3MDiEuK7RpCQKrilJ_kpX0Wm7QBZ1L7EjIU/edit?usp=sharing"",""ชุมพร!J206"")"),2)</f>
        <v>2</v>
      </c>
      <c r="AQ76" s="297">
        <f ca="1">IFERROR(__xludf.DUMMYFUNCTION("IMPORTRANGE(""https://docs.google.com/spreadsheets/d/1FbzMZY_f3MDiEuK7RpCQKrilJ_kpX0Wm7QBZ1L7EjIU/edit?usp=sharing"",""ชุมพร!J207"")"),0)</f>
        <v>0</v>
      </c>
      <c r="AR76" s="81">
        <f ca="1">IFERROR(__xludf.DUMMYFUNCTION("IMPORTRANGE(""https://docs.google.com/spreadsheets/d/1FbzMZY_f3MDiEuK7RpCQKrilJ_kpX0Wm7QBZ1L7EjIU/edit?usp=sharing"",""ชุมพร!L210"")"),1000)</f>
        <v>1000</v>
      </c>
      <c r="AS76" s="81">
        <f ca="1">IFERROR(__xludf.DUMMYFUNCTION("IMPORTRANGE(""https://docs.google.com/spreadsheets/d/1FbzMZY_f3MDiEuK7RpCQKrilJ_kpX0Wm7QBZ1L7EjIU/edit?usp=sharing"",""ชุมพร!N210"")"),1000)</f>
        <v>1000</v>
      </c>
      <c r="AT76" s="82">
        <f t="shared" ca="1" si="91"/>
        <v>100</v>
      </c>
      <c r="AU76" s="81">
        <f ca="1">IFERROR(__xludf.DUMMYFUNCTION("IMPORTRANGE(""https://docs.google.com/spreadsheets/d/1FbzMZY_f3MDiEuK7RpCQKrilJ_kpX0Wm7QBZ1L7EjIU/edit?usp=sharing"",""ชุมพร!L211"")"),5000)</f>
        <v>5000</v>
      </c>
      <c r="AV76" s="81">
        <f ca="1">IFERROR(__xludf.DUMMYFUNCTION("IMPORTRANGE(""https://docs.google.com/spreadsheets/d/1FbzMZY_f3MDiEuK7RpCQKrilJ_kpX0Wm7QBZ1L7EjIU/edit?usp=sharing"",""ชุมพร!N211"")"),5000)</f>
        <v>5000</v>
      </c>
      <c r="AW76" s="82">
        <f t="shared" ca="1" si="92"/>
        <v>100</v>
      </c>
      <c r="AX76" s="81">
        <f ca="1">IFERROR(__xludf.DUMMYFUNCTION("IMPORTRANGE(""https://docs.google.com/spreadsheets/d/1FbzMZY_f3MDiEuK7RpCQKrilJ_kpX0Wm7QBZ1L7EjIU/edit?usp=sharing"",""ชุมพร!L212"")"),8000)</f>
        <v>8000</v>
      </c>
      <c r="AY76" s="81">
        <f ca="1">IFERROR(__xludf.DUMMYFUNCTION("IMPORTRANGE(""https://docs.google.com/spreadsheets/d/1FbzMZY_f3MDiEuK7RpCQKrilJ_kpX0Wm7QBZ1L7EjIU/edit?usp=sharing"",""ชุมพร!N212"")"),8000)</f>
        <v>8000</v>
      </c>
      <c r="AZ76" s="82">
        <f t="shared" ca="1" si="93"/>
        <v>100</v>
      </c>
      <c r="BA76" s="81">
        <f ca="1">IFERROR(__xludf.DUMMYFUNCTION("IMPORTRANGE(""https://docs.google.com/spreadsheets/d/1FbzMZY_f3MDiEuK7RpCQKrilJ_kpX0Wm7QBZ1L7EjIU/edit?usp=sharing"",""ชุมพร!I214"")"),1)</f>
        <v>1</v>
      </c>
      <c r="BB76" s="81">
        <f ca="1">IFERROR(__xludf.DUMMYFUNCTION("IMPORTRANGE(""https://docs.google.com/spreadsheets/d/1FbzMZY_f3MDiEuK7RpCQKrilJ_kpX0Wm7QBZ1L7EjIU/edit?usp=sharing"",""ชุมพร!J214"")"),1)</f>
        <v>1</v>
      </c>
      <c r="BC76" s="82">
        <f t="shared" ca="1" si="94"/>
        <v>100</v>
      </c>
      <c r="BD76" s="81">
        <f ca="1">IFERROR(__xludf.DUMMYFUNCTION("IMPORTRANGE(""https://docs.google.com/spreadsheets/d/1FbzMZY_f3MDiEuK7RpCQKrilJ_kpX0Wm7QBZ1L7EjIU/edit?usp=sharing"",""ชุมพร!I215"")"),1)</f>
        <v>1</v>
      </c>
      <c r="BE76" s="81">
        <f ca="1">IFERROR(__xludf.DUMMYFUNCTION("IMPORTRANGE(""https://docs.google.com/spreadsheets/d/1FbzMZY_f3MDiEuK7RpCQKrilJ_kpX0Wm7QBZ1L7EjIU/edit?usp=sharing"",""ชุมพร!J215"")"),1)</f>
        <v>1</v>
      </c>
      <c r="BF76" s="82">
        <f t="shared" ca="1" si="95"/>
        <v>100</v>
      </c>
      <c r="BG76" s="81">
        <f ca="1">IFERROR(__xludf.DUMMYFUNCTION("IMPORTRANGE(""https://docs.google.com/spreadsheets/d/1FbzMZY_f3MDiEuK7RpCQKrilJ_kpX0Wm7QBZ1L7EjIU/edit?usp=sharing"",""ชุมพร!L218"")"),3000)</f>
        <v>3000</v>
      </c>
      <c r="BH76" s="81">
        <f ca="1">IFERROR(__xludf.DUMMYFUNCTION("IMPORTRANGE(""https://docs.google.com/spreadsheets/d/1FbzMZY_f3MDiEuK7RpCQKrilJ_kpX0Wm7QBZ1L7EjIU/edit?usp=sharing"",""ชุมพร!N218"")"),1030)</f>
        <v>1030</v>
      </c>
      <c r="BI76" s="82">
        <f t="shared" ca="1" si="96"/>
        <v>34.333333333333336</v>
      </c>
      <c r="BJ76" s="81">
        <f ca="1">IFERROR(__xludf.DUMMYFUNCTION("IMPORTRANGE(""https://docs.google.com/spreadsheets/d/1FbzMZY_f3MDiEuK7RpCQKrilJ_kpX0Wm7QBZ1L7EjIU/edit?usp=sharing"",""ชุมพร!L219"")"),5000)</f>
        <v>5000</v>
      </c>
      <c r="BK76" s="81">
        <f ca="1">IFERROR(__xludf.DUMMYFUNCTION("IMPORTRANGE(""https://docs.google.com/spreadsheets/d/1FbzMZY_f3MDiEuK7RpCQKrilJ_kpX0Wm7QBZ1L7EjIU/edit?usp=sharing"",""ชุมพร!N219"")"),5000)</f>
        <v>5000</v>
      </c>
      <c r="BL76" s="82">
        <f t="shared" ca="1" si="97"/>
        <v>100</v>
      </c>
      <c r="BM76" s="81">
        <f ca="1">IFERROR(__xludf.DUMMYFUNCTION("IMPORTRANGE(""https://docs.google.com/spreadsheets/d/1FbzMZY_f3MDiEuK7RpCQKrilJ_kpX0Wm7QBZ1L7EjIU/edit?usp=sharing"",""ชุมพร!L220"")"),10000)</f>
        <v>10000</v>
      </c>
      <c r="BN76" s="81">
        <f ca="1">IFERROR(__xludf.DUMMYFUNCTION("IMPORTRANGE(""https://docs.google.com/spreadsheets/d/1FbzMZY_f3MDiEuK7RpCQKrilJ_kpX0Wm7QBZ1L7EjIU/edit?usp=sharing"",""ชุมพร!N220"")"),7360)</f>
        <v>7360</v>
      </c>
      <c r="BO76" s="82">
        <f t="shared" ca="1" si="98"/>
        <v>73.599999999999994</v>
      </c>
      <c r="BP76" s="81">
        <f ca="1">IFERROR(__xludf.DUMMYFUNCTION("IMPORTRANGE(""https://docs.google.com/spreadsheets/d/1FbzMZY_f3MDiEuK7RpCQKrilJ_kpX0Wm7QBZ1L7EjIU/edit?usp=sharing"",""ชุมพร!I223"")"),20000)</f>
        <v>20000</v>
      </c>
      <c r="BQ76" s="81">
        <f ca="1">IFERROR(__xludf.DUMMYFUNCTION("IMPORTRANGE(""https://docs.google.com/spreadsheets/d/1FbzMZY_f3MDiEuK7RpCQKrilJ_kpX0Wm7QBZ1L7EjIU/edit?usp=sharing"",""ชุมพร!J223"")"),20000)</f>
        <v>20000</v>
      </c>
      <c r="BR76" s="82">
        <f t="shared" ca="1" si="99"/>
        <v>100</v>
      </c>
      <c r="BS76" s="81">
        <f ca="1">IFERROR(__xludf.DUMMYFUNCTION("IMPORTRANGE(""https://docs.google.com/spreadsheets/d/1FbzMZY_f3MDiEuK7RpCQKrilJ_kpX0Wm7QBZ1L7EjIU/edit?usp=sharing"",""ชุมพร!I224"")"),20000)</f>
        <v>20000</v>
      </c>
      <c r="BT76" s="81">
        <f ca="1">IFERROR(__xludf.DUMMYFUNCTION("IMPORTRANGE(""https://docs.google.com/spreadsheets/d/1FbzMZY_f3MDiEuK7RpCQKrilJ_kpX0Wm7QBZ1L7EjIU/edit?usp=sharing"",""ชุมพร!J224"")"),20000)</f>
        <v>20000</v>
      </c>
      <c r="BU76" s="82">
        <f t="shared" ca="1" si="100"/>
        <v>100</v>
      </c>
      <c r="BV76" s="81">
        <f ca="1">IFERROR(__xludf.DUMMYFUNCTION("IMPORTRANGE(""https://docs.google.com/spreadsheets/d/1FbzMZY_f3MDiEuK7RpCQKrilJ_kpX0Wm7QBZ1L7EjIU/edit?usp=sharing"",""ชุมพร!I225"")"),10)</f>
        <v>10</v>
      </c>
      <c r="BW76" s="81">
        <f ca="1">IFERROR(__xludf.DUMMYFUNCTION("IMPORTRANGE(""https://docs.google.com/spreadsheets/d/1FbzMZY_f3MDiEuK7RpCQKrilJ_kpX0Wm7QBZ1L7EjIU/edit?usp=sharing"",""ชุมพร!J225"")"),10)</f>
        <v>10</v>
      </c>
      <c r="BX76" s="82">
        <f t="shared" ca="1" si="101"/>
        <v>100</v>
      </c>
      <c r="BY76" s="81">
        <f ca="1">IFERROR(__xludf.DUMMYFUNCTION("IMPORTRANGE(""https://docs.google.com/spreadsheets/d/1FbzMZY_f3MDiEuK7RpCQKrilJ_kpX0Wm7QBZ1L7EjIU/edit?usp=sharing"",""ชุมพร!L228"")"),0)</f>
        <v>0</v>
      </c>
      <c r="BZ76" s="81">
        <f ca="1">IFERROR(__xludf.DUMMYFUNCTION("IMPORTRANGE(""https://docs.google.com/spreadsheets/d/1FbzMZY_f3MDiEuK7RpCQKrilJ_kpX0Wm7QBZ1L7EjIU/edit?usp=sharing"",""ชุมพร!N228"")"),0)</f>
        <v>0</v>
      </c>
      <c r="CA76" s="82">
        <f t="shared" ca="1" si="102"/>
        <v>0</v>
      </c>
      <c r="CB76" s="81">
        <f ca="1">IFERROR(__xludf.DUMMYFUNCTION("IMPORTRANGE(""https://docs.google.com/spreadsheets/d/1FbzMZY_f3MDiEuK7RpCQKrilJ_kpX0Wm7QBZ1L7EjIU/edit?usp=sharing"",""ชุมพร!L229"")"),0)</f>
        <v>0</v>
      </c>
      <c r="CC76" s="81">
        <f ca="1">IFERROR(__xludf.DUMMYFUNCTION("IMPORTRANGE(""https://docs.google.com/spreadsheets/d/1FbzMZY_f3MDiEuK7RpCQKrilJ_kpX0Wm7QBZ1L7EjIU/edit?usp=sharing"",""ชุมพร!N229"")"),0)</f>
        <v>0</v>
      </c>
      <c r="CD76" s="82">
        <f t="shared" ca="1" si="103"/>
        <v>0</v>
      </c>
      <c r="CE76" s="81">
        <f ca="1">IFERROR(__xludf.DUMMYFUNCTION("IMPORTRANGE(""https://docs.google.com/spreadsheets/d/1FbzMZY_f3MDiEuK7RpCQKrilJ_kpX0Wm7QBZ1L7EjIU/edit?usp=sharing"",""ชุมพร!L230"")"),0)</f>
        <v>0</v>
      </c>
      <c r="CF76" s="81">
        <f ca="1">IFERROR(__xludf.DUMMYFUNCTION("IMPORTRANGE(""https://docs.google.com/spreadsheets/d/1FbzMZY_f3MDiEuK7RpCQKrilJ_kpX0Wm7QBZ1L7EjIU/edit?usp=sharing"",""ชุมพร!N230"")"),0)</f>
        <v>0</v>
      </c>
      <c r="CG76" s="82">
        <f t="shared" ca="1" si="104"/>
        <v>0</v>
      </c>
      <c r="CH76" s="81">
        <f ca="1">IFERROR(__xludf.DUMMYFUNCTION("IMPORTRANGE(""https://docs.google.com/spreadsheets/d/1FbzMZY_f3MDiEuK7RpCQKrilJ_kpX0Wm7QBZ1L7EjIU/edit?usp=sharing"",""ชุมพร!L231"")"),0)</f>
        <v>0</v>
      </c>
      <c r="CI76" s="81">
        <f ca="1">IFERROR(__xludf.DUMMYFUNCTION("IMPORTRANGE(""https://docs.google.com/spreadsheets/d/1FbzMZY_f3MDiEuK7RpCQKrilJ_kpX0Wm7QBZ1L7EjIU/edit?usp=sharing"",""ชุมพร!N231"")"),0)</f>
        <v>0</v>
      </c>
      <c r="CJ76" s="82">
        <f t="shared" ca="1" si="105"/>
        <v>0</v>
      </c>
      <c r="CK76" s="81">
        <f ca="1">IFERROR(__xludf.DUMMYFUNCTION("IMPORTRANGE(""https://docs.google.com/spreadsheets/d/1FbzMZY_f3MDiEuK7RpCQKrilJ_kpX0Wm7QBZ1L7EjIU/edit?usp=sharing"",""ชุมพร!I233"")"),0)</f>
        <v>0</v>
      </c>
      <c r="CL76" s="81">
        <f ca="1">IFERROR(__xludf.DUMMYFUNCTION("IMPORTRANGE(""https://docs.google.com/spreadsheets/d/1FbzMZY_f3MDiEuK7RpCQKrilJ_kpX0Wm7QBZ1L7EjIU/edit?usp=sharing"",""ชุมพร!J233"")"),0)</f>
        <v>0</v>
      </c>
      <c r="CM76" s="82">
        <f t="shared" ca="1" si="106"/>
        <v>0</v>
      </c>
      <c r="CN76" s="81">
        <f ca="1">IFERROR(__xludf.DUMMYFUNCTION("IMPORTRANGE(""https://docs.google.com/spreadsheets/d/1FbzMZY_f3MDiEuK7RpCQKrilJ_kpX0Wm7QBZ1L7EjIU/edit?usp=sharing"",""ชุมพร!J235"")"),0)</f>
        <v>0</v>
      </c>
      <c r="CO76" s="81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3">
        <v>3</v>
      </c>
      <c r="B77" s="74" t="s">
        <v>99</v>
      </c>
      <c r="C77" s="75">
        <f t="shared" ca="1" si="0"/>
        <v>206200</v>
      </c>
      <c r="D77" s="76">
        <f t="shared" ca="1" si="214"/>
        <v>206200</v>
      </c>
      <c r="E77" s="77">
        <f ca="1">IFERROR(__xludf.DUMMYFUNCTION("IMPORTRANGE(""https://docs.google.com/spreadsheets/d/1MeEWN-I1oV_STSDYn1IFDPWt_1FKiwhDph83XaGc0o0/edit?usp=sharing"",""งบพรบ!CP77"")"),170700)</f>
        <v>170700</v>
      </c>
      <c r="F77" s="77">
        <f ca="1">IFERROR(__xludf.DUMMYFUNCTION("IMPORTRANGE(""https://docs.google.com/spreadsheets/d/1MeEWN-I1oV_STSDYn1IFDPWt_1FKiwhDph83XaGc0o0/edit?usp=sharing"",""งบพรบ!CQ77"")"),35500)</f>
        <v>35500</v>
      </c>
      <c r="G77" s="77">
        <f ca="1">IFERROR(__xludf.DUMMYFUNCTION("IMPORTRANGE(""https://docs.google.com/spreadsheets/d/1MeEWN-I1oV_STSDYn1IFDPWt_1FKiwhDph83XaGc0o0/edit?usp=sharing"",""งบพรบ!CR77"")"),0)</f>
        <v>0</v>
      </c>
      <c r="H77" s="77">
        <f ca="1">IFERROR(__xludf.DUMMYFUNCTION("IMPORTRANGE(""https://docs.google.com/spreadsheets/d/1MeEWN-I1oV_STSDYn1IFDPWt_1FKiwhDph83XaGc0o0/edit?usp=sharing"",""งบพรบ!CT77"")"),206200)</f>
        <v>206200</v>
      </c>
      <c r="I77" s="77">
        <f ca="1">IFERROR(__xludf.DUMMYFUNCTION("IMPORTRANGE(""https://docs.google.com/spreadsheets/d/1MeEWN-I1oV_STSDYn1IFDPWt_1FKiwhDph83XaGc0o0/edit?usp=sharing"",""งบพรบ!CU77"")"),0)</f>
        <v>0</v>
      </c>
      <c r="J77" s="77">
        <f t="shared" ca="1" si="3"/>
        <v>199062.9</v>
      </c>
      <c r="K77" s="78">
        <f t="shared" ca="1" si="4"/>
        <v>96.538748787584865</v>
      </c>
      <c r="L77" s="77">
        <f ca="1">IFERROR(__xludf.DUMMYFUNCTION("IMPORTRANGE(""https://docs.google.com/spreadsheets/d/1MeEWN-I1oV_STSDYn1IFDPWt_1FKiwhDph83XaGc0o0/edit?usp=sharing"",""งบพรบ!CV77"")"),199062.9)</f>
        <v>199062.9</v>
      </c>
      <c r="M77" s="79">
        <f t="shared" ca="1" si="5"/>
        <v>96.538748787584865</v>
      </c>
      <c r="N77" s="79">
        <f t="shared" ca="1" si="6"/>
        <v>96.538748787584865</v>
      </c>
      <c r="O77" s="80">
        <f ca="1">IFERROR(__xludf.DUMMYFUNCTION("IMPORTRANGE(""https://docs.google.com/spreadsheets/d/1MeEWN-I1oV_STSDYn1IFDPWt_1FKiwhDph83XaGc0o0/edit?usp=sharing"",""งบพรบ!CW77"")"),0)</f>
        <v>0</v>
      </c>
      <c r="P77" s="80">
        <f t="shared" ca="1" si="10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IFERROR(__xludf.DUMMYFUNCTION("IMPORTRANGE(""https://docs.google.com/spreadsheets/d/1v5sN-00LrXuhBxw4dkh2GrG_z4l5oAqOdJRBCsUyMaM/edit?usp=sharing"",""ตรัง!L191"")"),6000)</f>
        <v>6000</v>
      </c>
      <c r="S77" s="81">
        <f ca="1">IFERROR(__xludf.DUMMYFUNCTION("IMPORTRANGE(""https://docs.google.com/spreadsheets/d/1v5sN-00LrXuhBxw4dkh2GrG_z4l5oAqOdJRBCsUyMaM/edit?usp=sharing"",""ตรัง!N191"")"),5400)</f>
        <v>5400</v>
      </c>
      <c r="T77" s="82">
        <f t="shared" ca="1" si="84"/>
        <v>90</v>
      </c>
      <c r="U77" s="81">
        <f ca="1">IFERROR(__xludf.DUMMYFUNCTION("IMPORTRANGE(""https://docs.google.com/spreadsheets/d/1v5sN-00LrXuhBxw4dkh2GrG_z4l5oAqOdJRBCsUyMaM/edit?usp=sharing"",""ตรัง!I193"")"),4)</f>
        <v>4</v>
      </c>
      <c r="V77" s="81">
        <f ca="1">IFERROR(__xludf.DUMMYFUNCTION("IMPORTRANGE(""https://docs.google.com/spreadsheets/d/1v5sN-00LrXuhBxw4dkh2GrG_z4l5oAqOdJRBCsUyMaM/edit?usp=sharing"",""ตรัง!J193"")"),4)</f>
        <v>4</v>
      </c>
      <c r="W77" s="82">
        <f t="shared" ca="1" si="85"/>
        <v>100</v>
      </c>
      <c r="X77" s="81">
        <f t="shared" ca="1" si="215"/>
        <v>142</v>
      </c>
      <c r="Y77" s="81">
        <f ca="1">IFERROR(__xludf.DUMMYFUNCTION("IMPORTRANGE(""https://docs.google.com/spreadsheets/d/1v5sN-00LrXuhBxw4dkh2GrG_z4l5oAqOdJRBCsUyMaM/edit?usp=sharing"",""ตรัง!J195"")"),142)</f>
        <v>142</v>
      </c>
      <c r="Z77" s="81">
        <f ca="1">IFERROR(__xludf.DUMMYFUNCTION("IMPORTRANGE(""https://docs.google.com/spreadsheets/d/1v5sN-00LrXuhBxw4dkh2GrG_z4l5oAqOdJRBCsUyMaM/edit?usp=sharing"",""ตรัง!J196"")"),0)</f>
        <v>0</v>
      </c>
      <c r="AA77" s="81">
        <f ca="1">IFERROR(__xludf.DUMMYFUNCTION("IMPORTRANGE(""https://docs.google.com/spreadsheets/d/1v5sN-00LrXuhBxw4dkh2GrG_z4l5oAqOdJRBCsUyMaM/edit?usp=sharing"",""ตรัง!L199"")"),1000)</f>
        <v>1000</v>
      </c>
      <c r="AB77" s="81">
        <f ca="1">IFERROR(__xludf.DUMMYFUNCTION("IMPORTRANGE(""https://docs.google.com/spreadsheets/d/1v5sN-00LrXuhBxw4dkh2GrG_z4l5oAqOdJRBCsUyMaM/edit?usp=sharing"",""ตรัง!N199"")"),240)</f>
        <v>240</v>
      </c>
      <c r="AC77" s="82">
        <f t="shared" ca="1" si="86"/>
        <v>24</v>
      </c>
      <c r="AD77" s="81">
        <f ca="1">IFERROR(__xludf.DUMMYFUNCTION("IMPORTRANGE(""https://docs.google.com/spreadsheets/d/1v5sN-00LrXuhBxw4dkh2GrG_z4l5oAqOdJRBCsUyMaM/edit?usp=sharing"",""ตรัง!L200"")"),8000)</f>
        <v>8000</v>
      </c>
      <c r="AE77" s="81">
        <f ca="1">IFERROR(__xludf.DUMMYFUNCTION("IMPORTRANGE(""https://docs.google.com/spreadsheets/d/1v5sN-00LrXuhBxw4dkh2GrG_z4l5oAqOdJRBCsUyMaM/edit?usp=sharing"",""ตรัง!N200"")"),7983.62)</f>
        <v>7983.62</v>
      </c>
      <c r="AF77" s="82">
        <f t="shared" ca="1" si="87"/>
        <v>99.795249999999996</v>
      </c>
      <c r="AG77" s="81">
        <f ca="1">IFERROR(__xludf.DUMMYFUNCTION("IMPORTRANGE(""https://docs.google.com/spreadsheets/d/1v5sN-00LrXuhBxw4dkh2GrG_z4l5oAqOdJRBCsUyMaM/edit?usp=sharing"",""ตรัง!L201"")"),4000)</f>
        <v>4000</v>
      </c>
      <c r="AH77" s="81">
        <f ca="1">IFERROR(__xludf.DUMMYFUNCTION("IMPORTRANGE(""https://docs.google.com/spreadsheets/d/1v5sN-00LrXuhBxw4dkh2GrG_z4l5oAqOdJRBCsUyMaM/edit?usp=sharing"",""ตรัง!N201"")"),4000)</f>
        <v>4000</v>
      </c>
      <c r="AI77" s="82">
        <f t="shared" ca="1" si="88"/>
        <v>100</v>
      </c>
      <c r="AJ77" s="81">
        <f ca="1">IFERROR(__xludf.DUMMYFUNCTION("IMPORTRANGE(""https://docs.google.com/spreadsheets/d/1v5sN-00LrXuhBxw4dkh2GrG_z4l5oAqOdJRBCsUyMaM/edit?usp=sharing"",""ตรัง!L202"")"),0)</f>
        <v>0</v>
      </c>
      <c r="AK77" s="81">
        <f ca="1">IFERROR(__xludf.DUMMYFUNCTION("IMPORTRANGE(""https://docs.google.com/spreadsheets/d/1v5sN-00LrXuhBxw4dkh2GrG_z4l5oAqOdJRBCsUyMaM/edit?usp=sharing"",""ตรัง!N202"")"),0)</f>
        <v>0</v>
      </c>
      <c r="AL77" s="82">
        <f t="shared" ca="1" si="89"/>
        <v>0</v>
      </c>
      <c r="AM77" s="81">
        <f ca="1">IFERROR(__xludf.DUMMYFUNCTION("IMPORTRANGE(""https://docs.google.com/spreadsheets/d/1v5sN-00LrXuhBxw4dkh2GrG_z4l5oAqOdJRBCsUyMaM/edit?usp=sharing"",""ตรัง!I204"")"),1)</f>
        <v>1</v>
      </c>
      <c r="AN77" s="81">
        <f ca="1">IFERROR(__xludf.DUMMYFUNCTION("IMPORTRANGE(""https://docs.google.com/spreadsheets/d/1v5sN-00LrXuhBxw4dkh2GrG_z4l5oAqOdJRBCsUyMaM/edit?usp=sharing"",""ตรัง!J204"")"),1)</f>
        <v>1</v>
      </c>
      <c r="AO77" s="82">
        <f t="shared" ca="1" si="90"/>
        <v>100</v>
      </c>
      <c r="AP77" s="297">
        <f ca="1">IFERROR(__xludf.DUMMYFUNCTION("IMPORTRANGE(""https://docs.google.com/spreadsheets/d/1v5sN-00LrXuhBxw4dkh2GrG_z4l5oAqOdJRBCsUyMaM/edit?usp=sharing"",""ตรัง!J206"")"),1)</f>
        <v>1</v>
      </c>
      <c r="AQ77" s="297">
        <f ca="1">IFERROR(__xludf.DUMMYFUNCTION("IMPORTRANGE(""https://docs.google.com/spreadsheets/d/1v5sN-00LrXuhBxw4dkh2GrG_z4l5oAqOdJRBCsUyMaM/edit?usp=sharing"",""ตรัง!J207"")"),0)</f>
        <v>0</v>
      </c>
      <c r="AR77" s="81">
        <f ca="1">IFERROR(__xludf.DUMMYFUNCTION("IMPORTRANGE(""https://docs.google.com/spreadsheets/d/1v5sN-00LrXuhBxw4dkh2GrG_z4l5oAqOdJRBCsUyMaM/edit?usp=sharing"",""ตรัง!L210"")"),0)</f>
        <v>0</v>
      </c>
      <c r="AS77" s="81">
        <f ca="1">IFERROR(__xludf.DUMMYFUNCTION("IMPORTRANGE(""https://docs.google.com/spreadsheets/d/1v5sN-00LrXuhBxw4dkh2GrG_z4l5oAqOdJRBCsUyMaM/edit?usp=sharing"",""ตรัง!N210"")"),0)</f>
        <v>0</v>
      </c>
      <c r="AT77" s="82">
        <f t="shared" ca="1" si="91"/>
        <v>0</v>
      </c>
      <c r="AU77" s="81">
        <f ca="1">IFERROR(__xludf.DUMMYFUNCTION("IMPORTRANGE(""https://docs.google.com/spreadsheets/d/1v5sN-00LrXuhBxw4dkh2GrG_z4l5oAqOdJRBCsUyMaM/edit?usp=sharing"",""ตรัง!L211"")"),0)</f>
        <v>0</v>
      </c>
      <c r="AV77" s="81">
        <f ca="1">IFERROR(__xludf.DUMMYFUNCTION("IMPORTRANGE(""https://docs.google.com/spreadsheets/d/1v5sN-00LrXuhBxw4dkh2GrG_z4l5oAqOdJRBCsUyMaM/edit?usp=sharing"",""ตรัง!N211"")"),0)</f>
        <v>0</v>
      </c>
      <c r="AW77" s="82">
        <f t="shared" ca="1" si="92"/>
        <v>0</v>
      </c>
      <c r="AX77" s="81">
        <f ca="1">IFERROR(__xludf.DUMMYFUNCTION("IMPORTRANGE(""https://docs.google.com/spreadsheets/d/1v5sN-00LrXuhBxw4dkh2GrG_z4l5oAqOdJRBCsUyMaM/edit?usp=sharing"",""ตรัง!L212"")"),0)</f>
        <v>0</v>
      </c>
      <c r="AY77" s="81">
        <f ca="1">IFERROR(__xludf.DUMMYFUNCTION("IMPORTRANGE(""https://docs.google.com/spreadsheets/d/1v5sN-00LrXuhBxw4dkh2GrG_z4l5oAqOdJRBCsUyMaM/edit?usp=sharing"",""ตรัง!N212"")"),0)</f>
        <v>0</v>
      </c>
      <c r="AZ77" s="82">
        <f t="shared" ca="1" si="93"/>
        <v>0</v>
      </c>
      <c r="BA77" s="81">
        <f ca="1">IFERROR(__xludf.DUMMYFUNCTION("IMPORTRANGE(""https://docs.google.com/spreadsheets/d/1v5sN-00LrXuhBxw4dkh2GrG_z4l5oAqOdJRBCsUyMaM/edit?usp=sharing"",""ตรัง!I214"")"),0)</f>
        <v>0</v>
      </c>
      <c r="BB77" s="81">
        <f ca="1">IFERROR(__xludf.DUMMYFUNCTION("IMPORTRANGE(""https://docs.google.com/spreadsheets/d/1v5sN-00LrXuhBxw4dkh2GrG_z4l5oAqOdJRBCsUyMaM/edit?usp=sharing"",""ตรัง!J214"")"),0)</f>
        <v>0</v>
      </c>
      <c r="BC77" s="82">
        <f t="shared" ca="1" si="94"/>
        <v>0</v>
      </c>
      <c r="BD77" s="81">
        <f ca="1">IFERROR(__xludf.DUMMYFUNCTION("IMPORTRANGE(""https://docs.google.com/spreadsheets/d/1v5sN-00LrXuhBxw4dkh2GrG_z4l5oAqOdJRBCsUyMaM/edit?usp=sharing"",""ตรัง!I215"")"),0)</f>
        <v>0</v>
      </c>
      <c r="BE77" s="81">
        <f ca="1">IFERROR(__xludf.DUMMYFUNCTION("IMPORTRANGE(""https://docs.google.com/spreadsheets/d/1v5sN-00LrXuhBxw4dkh2GrG_z4l5oAqOdJRBCsUyMaM/edit?usp=sharing"",""ตรัง!J215"")"),0)</f>
        <v>0</v>
      </c>
      <c r="BF77" s="82">
        <f t="shared" ca="1" si="95"/>
        <v>0</v>
      </c>
      <c r="BG77" s="81">
        <f ca="1">IFERROR(__xludf.DUMMYFUNCTION("IMPORTRANGE(""https://docs.google.com/spreadsheets/d/1v5sN-00LrXuhBxw4dkh2GrG_z4l5oAqOdJRBCsUyMaM/edit?usp=sharing"",""ตรัง!L218"")"),3000)</f>
        <v>3000</v>
      </c>
      <c r="BH77" s="81">
        <f ca="1">IFERROR(__xludf.DUMMYFUNCTION("IMPORTRANGE(""https://docs.google.com/spreadsheets/d/1v5sN-00LrXuhBxw4dkh2GrG_z4l5oAqOdJRBCsUyMaM/edit?usp=sharing"",""ตรัง!N218"")"),3500)</f>
        <v>3500</v>
      </c>
      <c r="BI77" s="82">
        <f t="shared" ca="1" si="96"/>
        <v>116.66666666666667</v>
      </c>
      <c r="BJ77" s="81">
        <f ca="1">IFERROR(__xludf.DUMMYFUNCTION("IMPORTRANGE(""https://docs.google.com/spreadsheets/d/1v5sN-00LrXuhBxw4dkh2GrG_z4l5oAqOdJRBCsUyMaM/edit?usp=sharing"",""ตรัง!L219"")"),3500)</f>
        <v>3500</v>
      </c>
      <c r="BK77" s="81">
        <f ca="1">IFERROR(__xludf.DUMMYFUNCTION("IMPORTRANGE(""https://docs.google.com/spreadsheets/d/1v5sN-00LrXuhBxw4dkh2GrG_z4l5oAqOdJRBCsUyMaM/edit?usp=sharing"",""ตรัง!N219"")"),3480)</f>
        <v>3480</v>
      </c>
      <c r="BL77" s="82">
        <f t="shared" ca="1" si="97"/>
        <v>99.428571428571431</v>
      </c>
      <c r="BM77" s="81">
        <f ca="1">IFERROR(__xludf.DUMMYFUNCTION("IMPORTRANGE(""https://docs.google.com/spreadsheets/d/1v5sN-00LrXuhBxw4dkh2GrG_z4l5oAqOdJRBCsUyMaM/edit?usp=sharing"",""ตรัง!L220"")"),10000)</f>
        <v>10000</v>
      </c>
      <c r="BN77" s="81">
        <f ca="1">IFERROR(__xludf.DUMMYFUNCTION("IMPORTRANGE(""https://docs.google.com/spreadsheets/d/1v5sN-00LrXuhBxw4dkh2GrG_z4l5oAqOdJRBCsUyMaM/edit?usp=sharing"",""ตรัง!N220"")"),8846.7)</f>
        <v>8846.7000000000007</v>
      </c>
      <c r="BO77" s="82">
        <f t="shared" ca="1" si="98"/>
        <v>88.467000000000013</v>
      </c>
      <c r="BP77" s="81">
        <f ca="1">IFERROR(__xludf.DUMMYFUNCTION("IMPORTRANGE(""https://docs.google.com/spreadsheets/d/1v5sN-00LrXuhBxw4dkh2GrG_z4l5oAqOdJRBCsUyMaM/edit?usp=sharing"",""ตรัง!I223"")"),10000)</f>
        <v>10000</v>
      </c>
      <c r="BQ77" s="81">
        <f ca="1">IFERROR(__xludf.DUMMYFUNCTION("IMPORTRANGE(""https://docs.google.com/spreadsheets/d/1v5sN-00LrXuhBxw4dkh2GrG_z4l5oAqOdJRBCsUyMaM/edit?usp=sharing"",""ตรัง!J223"")"),10000)</f>
        <v>10000</v>
      </c>
      <c r="BR77" s="82">
        <f t="shared" ca="1" si="99"/>
        <v>100</v>
      </c>
      <c r="BS77" s="81">
        <f ca="1">IFERROR(__xludf.DUMMYFUNCTION("IMPORTRANGE(""https://docs.google.com/spreadsheets/d/1v5sN-00LrXuhBxw4dkh2GrG_z4l5oAqOdJRBCsUyMaM/edit?usp=sharing"",""ตรัง!I224"")"),10000)</f>
        <v>10000</v>
      </c>
      <c r="BT77" s="81">
        <f ca="1">IFERROR(__xludf.DUMMYFUNCTION("IMPORTRANGE(""https://docs.google.com/spreadsheets/d/1v5sN-00LrXuhBxw4dkh2GrG_z4l5oAqOdJRBCsUyMaM/edit?usp=sharing"",""ตรัง!J224"")"),10000)</f>
        <v>10000</v>
      </c>
      <c r="BU77" s="82">
        <f t="shared" ca="1" si="100"/>
        <v>100</v>
      </c>
      <c r="BV77" s="81">
        <f ca="1">IFERROR(__xludf.DUMMYFUNCTION("IMPORTRANGE(""https://docs.google.com/spreadsheets/d/1v5sN-00LrXuhBxw4dkh2GrG_z4l5oAqOdJRBCsUyMaM/edit?usp=sharing"",""ตรัง!I225"")"),10)</f>
        <v>10</v>
      </c>
      <c r="BW77" s="81">
        <f ca="1">IFERROR(__xludf.DUMMYFUNCTION("IMPORTRANGE(""https://docs.google.com/spreadsheets/d/1v5sN-00LrXuhBxw4dkh2GrG_z4l5oAqOdJRBCsUyMaM/edit?usp=sharing"",""ตรัง!J225"")"),10)</f>
        <v>10</v>
      </c>
      <c r="BX77" s="82">
        <f t="shared" ca="1" si="101"/>
        <v>100</v>
      </c>
      <c r="BY77" s="81">
        <f ca="1">IFERROR(__xludf.DUMMYFUNCTION("IMPORTRANGE(""https://docs.google.com/spreadsheets/d/1v5sN-00LrXuhBxw4dkh2GrG_z4l5oAqOdJRBCsUyMaM/edit?usp=sharing"",""ตรัง!L228"")"),0)</f>
        <v>0</v>
      </c>
      <c r="BZ77" s="81">
        <f ca="1">IFERROR(__xludf.DUMMYFUNCTION("IMPORTRANGE(""https://docs.google.com/spreadsheets/d/1v5sN-00LrXuhBxw4dkh2GrG_z4l5oAqOdJRBCsUyMaM/edit?usp=sharing"",""ตรัง!N228"")"),0)</f>
        <v>0</v>
      </c>
      <c r="CA77" s="82">
        <f t="shared" ca="1" si="102"/>
        <v>0</v>
      </c>
      <c r="CB77" s="81">
        <f ca="1">IFERROR(__xludf.DUMMYFUNCTION("IMPORTRANGE(""https://docs.google.com/spreadsheets/d/1v5sN-00LrXuhBxw4dkh2GrG_z4l5oAqOdJRBCsUyMaM/edit?usp=sharing"",""ตรัง!L229"")"),0)</f>
        <v>0</v>
      </c>
      <c r="CC77" s="81">
        <f ca="1">IFERROR(__xludf.DUMMYFUNCTION("IMPORTRANGE(""https://docs.google.com/spreadsheets/d/1v5sN-00LrXuhBxw4dkh2GrG_z4l5oAqOdJRBCsUyMaM/edit?usp=sharing"",""ตรัง!N229"")"),0)</f>
        <v>0</v>
      </c>
      <c r="CD77" s="82">
        <f t="shared" ca="1" si="103"/>
        <v>0</v>
      </c>
      <c r="CE77" s="81">
        <f ca="1">IFERROR(__xludf.DUMMYFUNCTION("IMPORTRANGE(""https://docs.google.com/spreadsheets/d/1v5sN-00LrXuhBxw4dkh2GrG_z4l5oAqOdJRBCsUyMaM/edit?usp=sharing"",""ตรัง!L230"")"),0)</f>
        <v>0</v>
      </c>
      <c r="CF77" s="81">
        <f ca="1">IFERROR(__xludf.DUMMYFUNCTION("IMPORTRANGE(""https://docs.google.com/spreadsheets/d/1v5sN-00LrXuhBxw4dkh2GrG_z4l5oAqOdJRBCsUyMaM/edit?usp=sharing"",""ตรัง!N230"")"),0)</f>
        <v>0</v>
      </c>
      <c r="CG77" s="82">
        <f t="shared" ca="1" si="104"/>
        <v>0</v>
      </c>
      <c r="CH77" s="81">
        <f ca="1">IFERROR(__xludf.DUMMYFUNCTION("IMPORTRANGE(""https://docs.google.com/spreadsheets/d/1v5sN-00LrXuhBxw4dkh2GrG_z4l5oAqOdJRBCsUyMaM/edit?usp=sharing"",""ตรัง!L231"")"),0)</f>
        <v>0</v>
      </c>
      <c r="CI77" s="81">
        <f ca="1">IFERROR(__xludf.DUMMYFUNCTION("IMPORTRANGE(""https://docs.google.com/spreadsheets/d/1v5sN-00LrXuhBxw4dkh2GrG_z4l5oAqOdJRBCsUyMaM/edit?usp=sharing"",""ตรัง!N231"")"),0)</f>
        <v>0</v>
      </c>
      <c r="CJ77" s="82">
        <f t="shared" ca="1" si="105"/>
        <v>0</v>
      </c>
      <c r="CK77" s="81">
        <f ca="1">IFERROR(__xludf.DUMMYFUNCTION("IMPORTRANGE(""https://docs.google.com/spreadsheets/d/1v5sN-00LrXuhBxw4dkh2GrG_z4l5oAqOdJRBCsUyMaM/edit?usp=sharing"",""ตรัง!I233"")"),0)</f>
        <v>0</v>
      </c>
      <c r="CL77" s="81">
        <f ca="1">IFERROR(__xludf.DUMMYFUNCTION("IMPORTRANGE(""https://docs.google.com/spreadsheets/d/1v5sN-00LrXuhBxw4dkh2GrG_z4l5oAqOdJRBCsUyMaM/edit?usp=sharing"",""ตรัง!J233"")"),0)</f>
        <v>0</v>
      </c>
      <c r="CM77" s="82">
        <f t="shared" ca="1" si="106"/>
        <v>0</v>
      </c>
      <c r="CN77" s="81">
        <f ca="1">IFERROR(__xludf.DUMMYFUNCTION("IMPORTRANGE(""https://docs.google.com/spreadsheets/d/1v5sN-00LrXuhBxw4dkh2GrG_z4l5oAqOdJRBCsUyMaM/edit?usp=sharing"",""ตรัง!J235"")"),0)</f>
        <v>0</v>
      </c>
      <c r="CO77" s="81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3">
        <v>4</v>
      </c>
      <c r="B78" s="74" t="s">
        <v>100</v>
      </c>
      <c r="C78" s="75">
        <f t="shared" ca="1" si="0"/>
        <v>673400</v>
      </c>
      <c r="D78" s="76">
        <f t="shared" ca="1" si="214"/>
        <v>673400</v>
      </c>
      <c r="E78" s="77">
        <f ca="1">IFERROR(__xludf.DUMMYFUNCTION("IMPORTRANGE(""https://docs.google.com/spreadsheets/d/1MeEWN-I1oV_STSDYn1IFDPWt_1FKiwhDph83XaGc0o0/edit?usp=sharing"",""งบพรบ!CP78"")"),283600)</f>
        <v>283600</v>
      </c>
      <c r="F78" s="77">
        <f ca="1">IFERROR(__xludf.DUMMYFUNCTION("IMPORTRANGE(""https://docs.google.com/spreadsheets/d/1MeEWN-I1oV_STSDYn1IFDPWt_1FKiwhDph83XaGc0o0/edit?usp=sharing"",""งบพรบ!CQ78"")"),389800)</f>
        <v>389800</v>
      </c>
      <c r="G78" s="77">
        <f ca="1">IFERROR(__xludf.DUMMYFUNCTION("IMPORTRANGE(""https://docs.google.com/spreadsheets/d/1MeEWN-I1oV_STSDYn1IFDPWt_1FKiwhDph83XaGc0o0/edit?usp=sharing"",""งบพรบ!CR78"")"),0)</f>
        <v>0</v>
      </c>
      <c r="H78" s="77">
        <f ca="1">IFERROR(__xludf.DUMMYFUNCTION("IMPORTRANGE(""https://docs.google.com/spreadsheets/d/1MeEWN-I1oV_STSDYn1IFDPWt_1FKiwhDph83XaGc0o0/edit?usp=sharing"",""งบพรบ!CT78"")"),691840)</f>
        <v>691840</v>
      </c>
      <c r="I78" s="77">
        <f ca="1">IFERROR(__xludf.DUMMYFUNCTION("IMPORTRANGE(""https://docs.google.com/spreadsheets/d/1MeEWN-I1oV_STSDYn1IFDPWt_1FKiwhDph83XaGc0o0/edit?usp=sharing"",""งบพรบ!CU78"")"),0)</f>
        <v>0</v>
      </c>
      <c r="J78" s="77">
        <f t="shared" ca="1" si="3"/>
        <v>623129.63</v>
      </c>
      <c r="K78" s="78">
        <f t="shared" ca="1" si="4"/>
        <v>92.534842589842583</v>
      </c>
      <c r="L78" s="77">
        <f ca="1">IFERROR(__xludf.DUMMYFUNCTION("IMPORTRANGE(""https://docs.google.com/spreadsheets/d/1MeEWN-I1oV_STSDYn1IFDPWt_1FKiwhDph83XaGc0o0/edit?usp=sharing"",""งบพรบ!CV78"")"),623129.63)</f>
        <v>623129.63</v>
      </c>
      <c r="M78" s="79">
        <f t="shared" ca="1" si="5"/>
        <v>92.534842589842583</v>
      </c>
      <c r="N78" s="79">
        <f t="shared" ca="1" si="6"/>
        <v>90.068459470397784</v>
      </c>
      <c r="O78" s="80">
        <f ca="1">IFERROR(__xludf.DUMMYFUNCTION("IMPORTRANGE(""https://docs.google.com/spreadsheets/d/1MeEWN-I1oV_STSDYn1IFDPWt_1FKiwhDph83XaGc0o0/edit?usp=sharing"",""งบพรบ!CW78"")"),0)</f>
        <v>0</v>
      </c>
      <c r="P78" s="80">
        <f t="shared" ca="1" si="10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81">
        <f ca="1">IFERROR(__xludf.DUMMYFUNCTION("IMPORTRANGE(""https://docs.google.com/spreadsheets/d/1T5rRTzFc79aSIvqnzkZNvwPstq829QYz_xALlO1Z0s8/edit?usp=sharing"",""นครศรีธรรมราช!N191"")"),6000)</f>
        <v>6000</v>
      </c>
      <c r="T78" s="82">
        <f t="shared" ca="1" si="84"/>
        <v>100</v>
      </c>
      <c r="U78" s="81">
        <f ca="1">IFERROR(__xludf.DUMMYFUNCTION("IMPORTRANGE(""https://docs.google.com/spreadsheets/d/1T5rRTzFc79aSIvqnzkZNvwPstq829QYz_xALlO1Z0s8/edit?usp=sharing"",""นครศรีธรรมราช!I193"")"),4)</f>
        <v>4</v>
      </c>
      <c r="V78" s="81">
        <f ca="1">IFERROR(__xludf.DUMMYFUNCTION("IMPORTRANGE(""https://docs.google.com/spreadsheets/d/1T5rRTzFc79aSIvqnzkZNvwPstq829QYz_xALlO1Z0s8/edit?usp=sharing"",""นครศรีธรรมราช!J193"")"),4)</f>
        <v>4</v>
      </c>
      <c r="W78" s="82">
        <f t="shared" ca="1" si="85"/>
        <v>100</v>
      </c>
      <c r="X78" s="81">
        <f t="shared" ca="1" si="215"/>
        <v>249</v>
      </c>
      <c r="Y78" s="81">
        <f ca="1">IFERROR(__xludf.DUMMYFUNCTION("IMPORTRANGE(""https://docs.google.com/spreadsheets/d/1T5rRTzFc79aSIvqnzkZNvwPstq829QYz_xALlO1Z0s8/edit?usp=sharing"",""นครศรีธรรมราช!J195"")"),249)</f>
        <v>249</v>
      </c>
      <c r="Z78" s="81">
        <f ca="1">IFERROR(__xludf.DUMMYFUNCTION("IMPORTRANGE(""https://docs.google.com/spreadsheets/d/1T5rRTzFc79aSIvqnzkZNvwPstq829QYz_xALlO1Z0s8/edit?usp=sharing"",""นครศรีธรรมราช!J196"")"),0)</f>
        <v>0</v>
      </c>
      <c r="AA78" s="81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81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82">
        <f t="shared" ca="1" si="86"/>
        <v>36.666666666666664</v>
      </c>
      <c r="AD78" s="81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81">
        <f ca="1">IFERROR(__xludf.DUMMYFUNCTION("IMPORTRANGE(""https://docs.google.com/spreadsheets/d/1T5rRTzFc79aSIvqnzkZNvwPstq829QYz_xALlO1Z0s8/edit?usp=sharing"",""นครศรีธรรมราช!N200"")"),24000)</f>
        <v>24000</v>
      </c>
      <c r="AF78" s="82">
        <f t="shared" ca="1" si="87"/>
        <v>100</v>
      </c>
      <c r="AG78" s="81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81">
        <f ca="1">IFERROR(__xludf.DUMMYFUNCTION("IMPORTRANGE(""https://docs.google.com/spreadsheets/d/1T5rRTzFc79aSIvqnzkZNvwPstq829QYz_xALlO1Z0s8/edit?usp=sharing"",""นครศรีธรรมราช!N201"")"),6494)</f>
        <v>6494</v>
      </c>
      <c r="AI78" s="82">
        <f t="shared" ca="1" si="88"/>
        <v>54.116666666666667</v>
      </c>
      <c r="AJ78" s="81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81">
        <f ca="1">IFERROR(__xludf.DUMMYFUNCTION("IMPORTRANGE(""https://docs.google.com/spreadsheets/d/1T5rRTzFc79aSIvqnzkZNvwPstq829QYz_xALlO1Z0s8/edit?usp=sharing"",""นครศรีธรรมราช!N202"")"),0)</f>
        <v>0</v>
      </c>
      <c r="AL78" s="82">
        <f t="shared" ca="1" si="89"/>
        <v>0</v>
      </c>
      <c r="AM78" s="81">
        <f ca="1">IFERROR(__xludf.DUMMYFUNCTION("IMPORTRANGE(""https://docs.google.com/spreadsheets/d/1T5rRTzFc79aSIvqnzkZNvwPstq829QYz_xALlO1Z0s8/edit?usp=sharing"",""นครศรีธรรมราช!I204"")"),3)</f>
        <v>3</v>
      </c>
      <c r="AN78" s="81">
        <f ca="1">IFERROR(__xludf.DUMMYFUNCTION("IMPORTRANGE(""https://docs.google.com/spreadsheets/d/1T5rRTzFc79aSIvqnzkZNvwPstq829QYz_xALlO1Z0s8/edit?usp=sharing"",""นครศรีธรรมราช!J204"")"),3)</f>
        <v>3</v>
      </c>
      <c r="AO78" s="82">
        <f t="shared" ca="1" si="90"/>
        <v>100</v>
      </c>
      <c r="AP78" s="297">
        <f ca="1">IFERROR(__xludf.DUMMYFUNCTION("IMPORTRANGE(""https://docs.google.com/spreadsheets/d/1T5rRTzFc79aSIvqnzkZNvwPstq829QYz_xALlO1Z0s8/edit?usp=sharing"",""นครศรีธรรมราช!J206"")"),3)</f>
        <v>3</v>
      </c>
      <c r="AQ78" s="297">
        <f ca="1">IFERROR(__xludf.DUMMYFUNCTION("IMPORTRANGE(""https://docs.google.com/spreadsheets/d/1T5rRTzFc79aSIvqnzkZNvwPstq829QYz_xALlO1Z0s8/edit?usp=sharing"",""นครศรีธรรมราช!J207"")"),0)</f>
        <v>0</v>
      </c>
      <c r="AR78" s="81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81">
        <f ca="1">IFERROR(__xludf.DUMMYFUNCTION("IMPORTRANGE(""https://docs.google.com/spreadsheets/d/1T5rRTzFc79aSIvqnzkZNvwPstq829QYz_xALlO1Z0s8/edit?usp=sharing"",""นครศรีธรรมราช!N210"")"),0)</f>
        <v>0</v>
      </c>
      <c r="AT78" s="82">
        <f t="shared" ca="1" si="91"/>
        <v>0</v>
      </c>
      <c r="AU78" s="81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81">
        <f ca="1">IFERROR(__xludf.DUMMYFUNCTION("IMPORTRANGE(""https://docs.google.com/spreadsheets/d/1T5rRTzFc79aSIvqnzkZNvwPstq829QYz_xALlO1Z0s8/edit?usp=sharing"",""นครศรีธรรมราช!N211"")"),0)</f>
        <v>0</v>
      </c>
      <c r="AW78" s="82">
        <f t="shared" ca="1" si="92"/>
        <v>0</v>
      </c>
      <c r="AX78" s="81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81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82">
        <f t="shared" ca="1" si="93"/>
        <v>101.90625</v>
      </c>
      <c r="BA78" s="81">
        <f ca="1">IFERROR(__xludf.DUMMYFUNCTION("IMPORTRANGE(""https://docs.google.com/spreadsheets/d/1T5rRTzFc79aSIvqnzkZNvwPstq829QYz_xALlO1Z0s8/edit?usp=sharing"",""นครศรีธรรมราช!I214"")"),2)</f>
        <v>2</v>
      </c>
      <c r="BB78" s="81">
        <f ca="1">IFERROR(__xludf.DUMMYFUNCTION("IMPORTRANGE(""https://docs.google.com/spreadsheets/d/1T5rRTzFc79aSIvqnzkZNvwPstq829QYz_xALlO1Z0s8/edit?usp=sharing"",""นครศรีธรรมราช!J214"")"),2)</f>
        <v>2</v>
      </c>
      <c r="BC78" s="82">
        <f t="shared" ca="1" si="94"/>
        <v>100</v>
      </c>
      <c r="BD78" s="81">
        <f ca="1">IFERROR(__xludf.DUMMYFUNCTION("IMPORTRANGE(""https://docs.google.com/spreadsheets/d/1T5rRTzFc79aSIvqnzkZNvwPstq829QYz_xALlO1Z0s8/edit?usp=sharing"",""นครศรีธรรมราช!I215"")"),2)</f>
        <v>2</v>
      </c>
      <c r="BE78" s="81">
        <f ca="1">IFERROR(__xludf.DUMMYFUNCTION("IMPORTRANGE(""https://docs.google.com/spreadsheets/d/1T5rRTzFc79aSIvqnzkZNvwPstq829QYz_xALlO1Z0s8/edit?usp=sharing"",""นครศรีธรรมราช!J215"")"),2)</f>
        <v>2</v>
      </c>
      <c r="BF78" s="82">
        <f t="shared" ca="1" si="95"/>
        <v>100</v>
      </c>
      <c r="BG78" s="81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81">
        <f ca="1">IFERROR(__xludf.DUMMYFUNCTION("IMPORTRANGE(""https://docs.google.com/spreadsheets/d/1T5rRTzFc79aSIvqnzkZNvwPstq829QYz_xALlO1Z0s8/edit?usp=sharing"",""นครศรีธรรมราช!N218"")"),0)</f>
        <v>0</v>
      </c>
      <c r="BI78" s="82">
        <f t="shared" ca="1" si="96"/>
        <v>0</v>
      </c>
      <c r="BJ78" s="81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81">
        <f ca="1">IFERROR(__xludf.DUMMYFUNCTION("IMPORTRANGE(""https://docs.google.com/spreadsheets/d/1T5rRTzFc79aSIvqnzkZNvwPstq829QYz_xALlO1Z0s8/edit?usp=sharing"",""นครศรีธรรมราช!N219"")"),0)</f>
        <v>0</v>
      </c>
      <c r="BL78" s="82">
        <f t="shared" ca="1" si="97"/>
        <v>0</v>
      </c>
      <c r="BM78" s="81">
        <f ca="1">IFERROR(__xludf.DUMMYFUNCTION("IMPORTRANGE(""https://docs.google.com/spreadsheets/d/1T5rRTzFc79aSIvqnzkZNvwPstq829QYz_xALlO1Z0s8/edit?usp=sharing"",""นครศรีธรรมราช!L220"")"),0)</f>
        <v>0</v>
      </c>
      <c r="BN78" s="81">
        <f ca="1">IFERROR(__xludf.DUMMYFUNCTION("IMPORTRANGE(""https://docs.google.com/spreadsheets/d/1T5rRTzFc79aSIvqnzkZNvwPstq829QYz_xALlO1Z0s8/edit?usp=sharing"",""นครศรีธรรมราช!N220"")"),0)</f>
        <v>0</v>
      </c>
      <c r="BO78" s="82">
        <f t="shared" ca="1" si="98"/>
        <v>0</v>
      </c>
      <c r="BP78" s="81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81">
        <f ca="1">IFERROR(__xludf.DUMMYFUNCTION("IMPORTRANGE(""https://docs.google.com/spreadsheets/d/1T5rRTzFc79aSIvqnzkZNvwPstq829QYz_xALlO1Z0s8/edit?usp=sharing"",""นครศรีธรรมราช!J223"")"),0)</f>
        <v>0</v>
      </c>
      <c r="BR78" s="82">
        <f t="shared" ca="1" si="99"/>
        <v>0</v>
      </c>
      <c r="BS78" s="81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81">
        <f ca="1">IFERROR(__xludf.DUMMYFUNCTION("IMPORTRANGE(""https://docs.google.com/spreadsheets/d/1T5rRTzFc79aSIvqnzkZNvwPstq829QYz_xALlO1Z0s8/edit?usp=sharing"",""นครศรีธรรมราช!J224"")"),25000)</f>
        <v>25000</v>
      </c>
      <c r="BU78" s="82">
        <f t="shared" ca="1" si="100"/>
        <v>50</v>
      </c>
      <c r="BV78" s="81">
        <f ca="1">IFERROR(__xludf.DUMMYFUNCTION("IMPORTRANGE(""https://docs.google.com/spreadsheets/d/1T5rRTzFc79aSIvqnzkZNvwPstq829QYz_xALlO1Z0s8/edit?usp=sharing"",""นครศรีธรรมราช!I225"")"),0)</f>
        <v>0</v>
      </c>
      <c r="BW78" s="81">
        <f ca="1">IFERROR(__xludf.DUMMYFUNCTION("IMPORTRANGE(""https://docs.google.com/spreadsheets/d/1T5rRTzFc79aSIvqnzkZNvwPstq829QYz_xALlO1Z0s8/edit?usp=sharing"",""นครศรีธรรมราช!J225"")"),0)</f>
        <v>0</v>
      </c>
      <c r="BX78" s="82">
        <f t="shared" ca="1" si="101"/>
        <v>0</v>
      </c>
      <c r="BY78" s="81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81">
        <f ca="1">IFERROR(__xludf.DUMMYFUNCTION("IMPORTRANGE(""https://docs.google.com/spreadsheets/d/1T5rRTzFc79aSIvqnzkZNvwPstq829QYz_xALlO1Z0s8/edit?usp=sharing"",""นครศรีธรรมราช!N228"")"),134633.32)</f>
        <v>134633.32</v>
      </c>
      <c r="CA78" s="82">
        <f t="shared" ca="1" si="102"/>
        <v>81.595951515151512</v>
      </c>
      <c r="CB78" s="81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81">
        <f ca="1">IFERROR(__xludf.DUMMYFUNCTION("IMPORTRANGE(""https://docs.google.com/spreadsheets/d/1T5rRTzFc79aSIvqnzkZNvwPstq829QYz_xALlO1Z0s8/edit?usp=sharing"",""นครศรีธรรมราช!N229"")"),85539)</f>
        <v>85539</v>
      </c>
      <c r="CD78" s="82">
        <f t="shared" ca="1" si="103"/>
        <v>96.873159682899214</v>
      </c>
      <c r="CE78" s="81">
        <f ca="1">IFERROR(__xludf.DUMMYFUNCTION("IMPORTRANGE(""https://docs.google.com/spreadsheets/d/1T5rRTzFc79aSIvqnzkZNvwPstq829QYz_xALlO1Z0s8/edit?usp=sharing"",""นครศรีธรรมราช!L230"")"),0)</f>
        <v>0</v>
      </c>
      <c r="CF78" s="81">
        <f ca="1">IFERROR(__xludf.DUMMYFUNCTION("IMPORTRANGE(""https://docs.google.com/spreadsheets/d/1T5rRTzFc79aSIvqnzkZNvwPstq829QYz_xALlO1Z0s8/edit?usp=sharing"",""นครศรีธรรมราช!N230"")"),0)</f>
        <v>0</v>
      </c>
      <c r="CG78" s="82">
        <f t="shared" ca="1" si="104"/>
        <v>0</v>
      </c>
      <c r="CH78" s="81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81">
        <f ca="1">IFERROR(__xludf.DUMMYFUNCTION("IMPORTRANGE(""https://docs.google.com/spreadsheets/d/1T5rRTzFc79aSIvqnzkZNvwPstq829QYz_xALlO1Z0s8/edit?usp=sharing"",""นครศรีธรรมราช!N231"")"),29760)</f>
        <v>29760</v>
      </c>
      <c r="CJ78" s="82">
        <f t="shared" ca="1" si="105"/>
        <v>74.400000000000006</v>
      </c>
      <c r="CK78" s="81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81">
        <f ca="1">IFERROR(__xludf.DUMMYFUNCTION("IMPORTRANGE(""https://docs.google.com/spreadsheets/d/1T5rRTzFc79aSIvqnzkZNvwPstq829QYz_xALlO1Z0s8/edit?usp=sharing"",""นครศรีธรรมราช!J233"")"),110)</f>
        <v>110</v>
      </c>
      <c r="CM78" s="82">
        <f t="shared" ca="1" si="106"/>
        <v>110</v>
      </c>
      <c r="CN78" s="81">
        <f ca="1">IFERROR(__xludf.DUMMYFUNCTION("IMPORTRANGE(""https://docs.google.com/spreadsheets/d/1T5rRTzFc79aSIvqnzkZNvwPstq829QYz_xALlO1Z0s8/edit?usp=sharing"",""นครศรีธรรมราช!J235"")"),0)</f>
        <v>0</v>
      </c>
      <c r="CO78" s="81">
        <f ca="1">IFERROR(__xludf.DUMMYFUNCTION("IMPORTRANGE(""https://docs.google.com/spreadsheets/d/1T5rRTzFc79aSIvqnzkZNvwPstq829QYz_xALlO1Z0s8/edit?usp=sharing"",""นครศรีธรรมราช!J236"")"),4)</f>
        <v>4</v>
      </c>
    </row>
    <row r="79" spans="1:93" ht="21" customHeight="1" x14ac:dyDescent="0.3">
      <c r="A79" s="73">
        <v>5</v>
      </c>
      <c r="B79" s="74" t="s">
        <v>101</v>
      </c>
      <c r="C79" s="75">
        <f t="shared" ca="1" si="0"/>
        <v>281000</v>
      </c>
      <c r="D79" s="76">
        <f t="shared" ca="1" si="214"/>
        <v>281000</v>
      </c>
      <c r="E79" s="77">
        <f ca="1">IFERROR(__xludf.DUMMYFUNCTION("IMPORTRANGE(""https://docs.google.com/spreadsheets/d/1MeEWN-I1oV_STSDYn1IFDPWt_1FKiwhDph83XaGc0o0/edit?usp=sharing"",""งบพรบ!CP79"")"),268500)</f>
        <v>268500</v>
      </c>
      <c r="F79" s="77">
        <f ca="1">IFERROR(__xludf.DUMMYFUNCTION("IMPORTRANGE(""https://docs.google.com/spreadsheets/d/1MeEWN-I1oV_STSDYn1IFDPWt_1FKiwhDph83XaGc0o0/edit?usp=sharing"",""งบพรบ!CQ79"")"),12500)</f>
        <v>12500</v>
      </c>
      <c r="G79" s="77">
        <f ca="1">IFERROR(__xludf.DUMMYFUNCTION("IMPORTRANGE(""https://docs.google.com/spreadsheets/d/1MeEWN-I1oV_STSDYn1IFDPWt_1FKiwhDph83XaGc0o0/edit?usp=sharing"",""งบพรบ!CR79"")"),0)</f>
        <v>0</v>
      </c>
      <c r="H79" s="77">
        <f ca="1">IFERROR(__xludf.DUMMYFUNCTION("IMPORTRANGE(""https://docs.google.com/spreadsheets/d/1MeEWN-I1oV_STSDYn1IFDPWt_1FKiwhDph83XaGc0o0/edit?usp=sharing"",""งบพรบ!CT79"")"),531000)</f>
        <v>531000</v>
      </c>
      <c r="I79" s="77">
        <f ca="1">IFERROR(__xludf.DUMMYFUNCTION("IMPORTRANGE(""https://docs.google.com/spreadsheets/d/1MeEWN-I1oV_STSDYn1IFDPWt_1FKiwhDph83XaGc0o0/edit?usp=sharing"",""งบพรบ!CU79"")"),0)</f>
        <v>0</v>
      </c>
      <c r="J79" s="77">
        <f t="shared" ca="1" si="3"/>
        <v>394100</v>
      </c>
      <c r="K79" s="78">
        <f t="shared" ca="1" si="4"/>
        <v>140.2491103202847</v>
      </c>
      <c r="L79" s="77">
        <f ca="1">IFERROR(__xludf.DUMMYFUNCTION("IMPORTRANGE(""https://docs.google.com/spreadsheets/d/1MeEWN-I1oV_STSDYn1IFDPWt_1FKiwhDph83XaGc0o0/edit?usp=sharing"",""งบพรบ!CV79"")"),394100)</f>
        <v>394100</v>
      </c>
      <c r="M79" s="79">
        <f t="shared" ca="1" si="5"/>
        <v>140.2491103202847</v>
      </c>
      <c r="N79" s="79">
        <f t="shared" ca="1" si="6"/>
        <v>74.218455743879474</v>
      </c>
      <c r="O79" s="80">
        <f ca="1">IFERROR(__xludf.DUMMYFUNCTION("IMPORTRANGE(""https://docs.google.com/spreadsheets/d/1MeEWN-I1oV_STSDYn1IFDPWt_1FKiwhDph83XaGc0o0/edit?usp=sharing"",""งบพรบ!CW79"")"),0)</f>
        <v>0</v>
      </c>
      <c r="P79" s="80">
        <f t="shared" ca="1" si="10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IFERROR(__xludf.DUMMYFUNCTION("IMPORTRANGE(""https://docs.google.com/spreadsheets/d/1BeghqumK0IvCmRd2QOy6_afsZq7ZtAGrSnVJy2u7WmY/edit?usp=sharing"",""นราธิวาส!L191"")"),6000)</f>
        <v>6000</v>
      </c>
      <c r="S79" s="81">
        <f ca="1">IFERROR(__xludf.DUMMYFUNCTION("IMPORTRANGE(""https://docs.google.com/spreadsheets/d/1BeghqumK0IvCmRd2QOy6_afsZq7ZtAGrSnVJy2u7WmY/edit?usp=sharing"",""นราธิวาส!N191"")"),6000)</f>
        <v>6000</v>
      </c>
      <c r="T79" s="82">
        <f t="shared" ca="1" si="84"/>
        <v>100</v>
      </c>
      <c r="U79" s="81">
        <f ca="1">IFERROR(__xludf.DUMMYFUNCTION("IMPORTRANGE(""https://docs.google.com/spreadsheets/d/1BeghqumK0IvCmRd2QOy6_afsZq7ZtAGrSnVJy2u7WmY/edit?usp=sharing"",""นราธิวาส!I193"")"),4)</f>
        <v>4</v>
      </c>
      <c r="V79" s="81">
        <f ca="1">IFERROR(__xludf.DUMMYFUNCTION("IMPORTRANGE(""https://docs.google.com/spreadsheets/d/1BeghqumK0IvCmRd2QOy6_afsZq7ZtAGrSnVJy2u7WmY/edit?usp=sharing"",""นราธิวาส!J193"")"),4)</f>
        <v>4</v>
      </c>
      <c r="W79" s="82">
        <f t="shared" ca="1" si="85"/>
        <v>100</v>
      </c>
      <c r="X79" s="81">
        <f t="shared" ca="1" si="215"/>
        <v>335</v>
      </c>
      <c r="Y79" s="81">
        <f ca="1">IFERROR(__xludf.DUMMYFUNCTION("IMPORTRANGE(""https://docs.google.com/spreadsheets/d/1BeghqumK0IvCmRd2QOy6_afsZq7ZtAGrSnVJy2u7WmY/edit?usp=sharing"",""นราธิวาส!J195"")"),335)</f>
        <v>335</v>
      </c>
      <c r="Z79" s="81">
        <f ca="1">IFERROR(__xludf.DUMMYFUNCTION("IMPORTRANGE(""https://docs.google.com/spreadsheets/d/1BeghqumK0IvCmRd2QOy6_afsZq7ZtAGrSnVJy2u7WmY/edit?usp=sharing"",""นราธิวาส!J196"")"),0)</f>
        <v>0</v>
      </c>
      <c r="AA79" s="81">
        <f ca="1">IFERROR(__xludf.DUMMYFUNCTION("IMPORTRANGE(""https://docs.google.com/spreadsheets/d/1BeghqumK0IvCmRd2QOy6_afsZq7ZtAGrSnVJy2u7WmY/edit?usp=sharing"",""นราธิวาส!L199"")"),0)</f>
        <v>0</v>
      </c>
      <c r="AB79" s="81">
        <f ca="1">IFERROR(__xludf.DUMMYFUNCTION("IMPORTRANGE(""https://docs.google.com/spreadsheets/d/1BeghqumK0IvCmRd2QOy6_afsZq7ZtAGrSnVJy2u7WmY/edit?usp=sharing"",""นราธิวาส!N199"")"),0)</f>
        <v>0</v>
      </c>
      <c r="AC79" s="82">
        <f t="shared" ca="1" si="86"/>
        <v>0</v>
      </c>
      <c r="AD79" s="81">
        <f ca="1">IFERROR(__xludf.DUMMYFUNCTION("IMPORTRANGE(""https://docs.google.com/spreadsheets/d/1BeghqumK0IvCmRd2QOy6_afsZq7ZtAGrSnVJy2u7WmY/edit?usp=sharing"",""นราธิวาส!L200"")"),0)</f>
        <v>0</v>
      </c>
      <c r="AE79" s="81">
        <f ca="1">IFERROR(__xludf.DUMMYFUNCTION("IMPORTRANGE(""https://docs.google.com/spreadsheets/d/1BeghqumK0IvCmRd2QOy6_afsZq7ZtAGrSnVJy2u7WmY/edit?usp=sharing"",""นราธิวาส!N200"")"),0)</f>
        <v>0</v>
      </c>
      <c r="AF79" s="82">
        <f t="shared" ca="1" si="87"/>
        <v>0</v>
      </c>
      <c r="AG79" s="81">
        <f ca="1">IFERROR(__xludf.DUMMYFUNCTION("IMPORTRANGE(""https://docs.google.com/spreadsheets/d/1BeghqumK0IvCmRd2QOy6_afsZq7ZtAGrSnVJy2u7WmY/edit?usp=sharing"",""นราธิวาส!L201"")"),0)</f>
        <v>0</v>
      </c>
      <c r="AH79" s="81">
        <f ca="1">IFERROR(__xludf.DUMMYFUNCTION("IMPORTRANGE(""https://docs.google.com/spreadsheets/d/1BeghqumK0IvCmRd2QOy6_afsZq7ZtAGrSnVJy2u7WmY/edit?usp=sharing"",""นราธิวาส!N201"")"),0)</f>
        <v>0</v>
      </c>
      <c r="AI79" s="82">
        <f t="shared" ca="1" si="88"/>
        <v>0</v>
      </c>
      <c r="AJ79" s="81">
        <f ca="1">IFERROR(__xludf.DUMMYFUNCTION("IMPORTRANGE(""https://docs.google.com/spreadsheets/d/1BeghqumK0IvCmRd2QOy6_afsZq7ZtAGrSnVJy2u7WmY/edit?usp=sharing"",""นราธิวาส!L202"")"),0)</f>
        <v>0</v>
      </c>
      <c r="AK79" s="81">
        <f ca="1">IFERROR(__xludf.DUMMYFUNCTION("IMPORTRANGE(""https://docs.google.com/spreadsheets/d/1BeghqumK0IvCmRd2QOy6_afsZq7ZtAGrSnVJy2u7WmY/edit?usp=sharing"",""นราธิวาส!N202"")"),0)</f>
        <v>0</v>
      </c>
      <c r="AL79" s="82">
        <f t="shared" ca="1" si="89"/>
        <v>0</v>
      </c>
      <c r="AM79" s="81">
        <f ca="1">IFERROR(__xludf.DUMMYFUNCTION("IMPORTRANGE(""https://docs.google.com/spreadsheets/d/1BeghqumK0IvCmRd2QOy6_afsZq7ZtAGrSnVJy2u7WmY/edit?usp=sharing"",""นราธิวาส!I204"")"),0)</f>
        <v>0</v>
      </c>
      <c r="AN79" s="81">
        <f ca="1">IFERROR(__xludf.DUMMYFUNCTION("IMPORTRANGE(""https://docs.google.com/spreadsheets/d/1BeghqumK0IvCmRd2QOy6_afsZq7ZtAGrSnVJy2u7WmY/edit?usp=sharing"",""นราธิวาส!J204"")"),0)</f>
        <v>0</v>
      </c>
      <c r="AO79" s="82">
        <f t="shared" ca="1" si="90"/>
        <v>0</v>
      </c>
      <c r="AP79" s="297">
        <f ca="1">IFERROR(__xludf.DUMMYFUNCTION("IMPORTRANGE(""https://docs.google.com/spreadsheets/d/1BeghqumK0IvCmRd2QOy6_afsZq7ZtAGrSnVJy2u7WmY/edit?usp=sharing"",""นราธิวาส!J206"")"),0)</f>
        <v>0</v>
      </c>
      <c r="AQ79" s="297">
        <f ca="1">IFERROR(__xludf.DUMMYFUNCTION("IMPORTRANGE(""https://docs.google.com/spreadsheets/d/1BeghqumK0IvCmRd2QOy6_afsZq7ZtAGrSnVJy2u7WmY/edit?usp=sharing"",""นราธิวาส!J207"")"),0)</f>
        <v>0</v>
      </c>
      <c r="AR79" s="81">
        <f ca="1">IFERROR(__xludf.DUMMYFUNCTION("IMPORTRANGE(""https://docs.google.com/spreadsheets/d/1BeghqumK0IvCmRd2QOy6_afsZq7ZtAGrSnVJy2u7WmY/edit?usp=sharing"",""นราธิวาส!L210"")"),0)</f>
        <v>0</v>
      </c>
      <c r="AS79" s="81">
        <f ca="1">IFERROR(__xludf.DUMMYFUNCTION("IMPORTRANGE(""https://docs.google.com/spreadsheets/d/1BeghqumK0IvCmRd2QOy6_afsZq7ZtAGrSnVJy2u7WmY/edit?usp=sharing"",""นราธิวาส!N210"")"),0)</f>
        <v>0</v>
      </c>
      <c r="AT79" s="82">
        <f t="shared" ca="1" si="91"/>
        <v>0</v>
      </c>
      <c r="AU79" s="81">
        <f ca="1">IFERROR(__xludf.DUMMYFUNCTION("IMPORTRANGE(""https://docs.google.com/spreadsheets/d/1BeghqumK0IvCmRd2QOy6_afsZq7ZtAGrSnVJy2u7WmY/edit?usp=sharing"",""นราธิวาส!L211"")"),0)</f>
        <v>0</v>
      </c>
      <c r="AV79" s="81">
        <f ca="1">IFERROR(__xludf.DUMMYFUNCTION("IMPORTRANGE(""https://docs.google.com/spreadsheets/d/1BeghqumK0IvCmRd2QOy6_afsZq7ZtAGrSnVJy2u7WmY/edit?usp=sharing"",""นราธิวาส!N211"")"),0)</f>
        <v>0</v>
      </c>
      <c r="AW79" s="82">
        <f t="shared" ca="1" si="92"/>
        <v>0</v>
      </c>
      <c r="AX79" s="81">
        <f ca="1">IFERROR(__xludf.DUMMYFUNCTION("IMPORTRANGE(""https://docs.google.com/spreadsheets/d/1BeghqumK0IvCmRd2QOy6_afsZq7ZtAGrSnVJy2u7WmY/edit?usp=sharing"",""นราธิวาส!L212"")"),0)</f>
        <v>0</v>
      </c>
      <c r="AY79" s="81">
        <f ca="1">IFERROR(__xludf.DUMMYFUNCTION("IMPORTRANGE(""https://docs.google.com/spreadsheets/d/1BeghqumK0IvCmRd2QOy6_afsZq7ZtAGrSnVJy2u7WmY/edit?usp=sharing"",""นราธิวาส!N212"")"),0)</f>
        <v>0</v>
      </c>
      <c r="AZ79" s="82">
        <f t="shared" ca="1" si="93"/>
        <v>0</v>
      </c>
      <c r="BA79" s="81">
        <f ca="1">IFERROR(__xludf.DUMMYFUNCTION("IMPORTRANGE(""https://docs.google.com/spreadsheets/d/1BeghqumK0IvCmRd2QOy6_afsZq7ZtAGrSnVJy2u7WmY/edit?usp=sharing"",""นราธิวาส!I214"")"),0)</f>
        <v>0</v>
      </c>
      <c r="BB79" s="81">
        <f ca="1">IFERROR(__xludf.DUMMYFUNCTION("IMPORTRANGE(""https://docs.google.com/spreadsheets/d/1BeghqumK0IvCmRd2QOy6_afsZq7ZtAGrSnVJy2u7WmY/edit?usp=sharing"",""นราธิวาส!J214"")"),0)</f>
        <v>0</v>
      </c>
      <c r="BC79" s="82">
        <f t="shared" ca="1" si="94"/>
        <v>0</v>
      </c>
      <c r="BD79" s="81">
        <f ca="1">IFERROR(__xludf.DUMMYFUNCTION("IMPORTRANGE(""https://docs.google.com/spreadsheets/d/1BeghqumK0IvCmRd2QOy6_afsZq7ZtAGrSnVJy2u7WmY/edit?usp=sharing"",""นราธิวาส!I215"")"),0)</f>
        <v>0</v>
      </c>
      <c r="BE79" s="81">
        <f ca="1">IFERROR(__xludf.DUMMYFUNCTION("IMPORTRANGE(""https://docs.google.com/spreadsheets/d/1BeghqumK0IvCmRd2QOy6_afsZq7ZtAGrSnVJy2u7WmY/edit?usp=sharing"",""นราธิวาส!J215"")"),0)</f>
        <v>0</v>
      </c>
      <c r="BF79" s="82">
        <f t="shared" ca="1" si="95"/>
        <v>0</v>
      </c>
      <c r="BG79" s="81">
        <f ca="1">IFERROR(__xludf.DUMMYFUNCTION("IMPORTRANGE(""https://docs.google.com/spreadsheets/d/1BeghqumK0IvCmRd2QOy6_afsZq7ZtAGrSnVJy2u7WmY/edit?usp=sharing"",""นราธิวาส!L218"")"),3000)</f>
        <v>3000</v>
      </c>
      <c r="BH79" s="81">
        <f ca="1">IFERROR(__xludf.DUMMYFUNCTION("IMPORTRANGE(""https://docs.google.com/spreadsheets/d/1BeghqumK0IvCmRd2QOy6_afsZq7ZtAGrSnVJy2u7WmY/edit?usp=sharing"",""นราธิวาส!N218"")"),3000)</f>
        <v>3000</v>
      </c>
      <c r="BI79" s="82">
        <f t="shared" ca="1" si="96"/>
        <v>100</v>
      </c>
      <c r="BJ79" s="81">
        <f ca="1">IFERROR(__xludf.DUMMYFUNCTION("IMPORTRANGE(""https://docs.google.com/spreadsheets/d/1BeghqumK0IvCmRd2QOy6_afsZq7ZtAGrSnVJy2u7WmY/edit?usp=sharing"",""นราธิวาส!L219"")"),3500)</f>
        <v>3500</v>
      </c>
      <c r="BK79" s="81">
        <f ca="1">IFERROR(__xludf.DUMMYFUNCTION("IMPORTRANGE(""https://docs.google.com/spreadsheets/d/1BeghqumK0IvCmRd2QOy6_afsZq7ZtAGrSnVJy2u7WmY/edit?usp=sharing"",""นราธิวาส!N219"")"),3500)</f>
        <v>3500</v>
      </c>
      <c r="BL79" s="82">
        <f t="shared" ca="1" si="97"/>
        <v>100</v>
      </c>
      <c r="BM79" s="81">
        <f ca="1">IFERROR(__xludf.DUMMYFUNCTION("IMPORTRANGE(""https://docs.google.com/spreadsheets/d/1BeghqumK0IvCmRd2QOy6_afsZq7ZtAGrSnVJy2u7WmY/edit?usp=sharing"",""นราธิวาส!L220"")"),0)</f>
        <v>0</v>
      </c>
      <c r="BN79" s="81">
        <f ca="1">IFERROR(__xludf.DUMMYFUNCTION("IMPORTRANGE(""https://docs.google.com/spreadsheets/d/1BeghqumK0IvCmRd2QOy6_afsZq7ZtAGrSnVJy2u7WmY/edit?usp=sharing"",""นราธิวาส!N220"")"),0)</f>
        <v>0</v>
      </c>
      <c r="BO79" s="82">
        <f t="shared" ca="1" si="98"/>
        <v>0</v>
      </c>
      <c r="BP79" s="81">
        <f ca="1">IFERROR(__xludf.DUMMYFUNCTION("IMPORTRANGE(""https://docs.google.com/spreadsheets/d/1BeghqumK0IvCmRd2QOy6_afsZq7ZtAGrSnVJy2u7WmY/edit?usp=sharing"",""นราธิวาส!I223"")"),10000)</f>
        <v>10000</v>
      </c>
      <c r="BQ79" s="81">
        <f ca="1">IFERROR(__xludf.DUMMYFUNCTION("IMPORTRANGE(""https://docs.google.com/spreadsheets/d/1BeghqumK0IvCmRd2QOy6_afsZq7ZtAGrSnVJy2u7WmY/edit?usp=sharing"",""นราธิวาส!J223"")"),10000)</f>
        <v>10000</v>
      </c>
      <c r="BR79" s="82">
        <f t="shared" ca="1" si="99"/>
        <v>100</v>
      </c>
      <c r="BS79" s="81">
        <f ca="1">IFERROR(__xludf.DUMMYFUNCTION("IMPORTRANGE(""https://docs.google.com/spreadsheets/d/1BeghqumK0IvCmRd2QOy6_afsZq7ZtAGrSnVJy2u7WmY/edit?usp=sharing"",""นราธิวาส!I224"")"),10000)</f>
        <v>10000</v>
      </c>
      <c r="BT79" s="81">
        <f ca="1">IFERROR(__xludf.DUMMYFUNCTION("IMPORTRANGE(""https://docs.google.com/spreadsheets/d/1BeghqumK0IvCmRd2QOy6_afsZq7ZtAGrSnVJy2u7WmY/edit?usp=sharing"",""นราธิวาส!J224"")"),10000)</f>
        <v>10000</v>
      </c>
      <c r="BU79" s="82">
        <f t="shared" ca="1" si="100"/>
        <v>100</v>
      </c>
      <c r="BV79" s="81">
        <f ca="1">IFERROR(__xludf.DUMMYFUNCTION("IMPORTRANGE(""https://docs.google.com/spreadsheets/d/1BeghqumK0IvCmRd2QOy6_afsZq7ZtAGrSnVJy2u7WmY/edit?usp=sharing"",""นราธิวาส!I225"")"),0)</f>
        <v>0</v>
      </c>
      <c r="BW79" s="81">
        <f ca="1">IFERROR(__xludf.DUMMYFUNCTION("IMPORTRANGE(""https://docs.google.com/spreadsheets/d/1BeghqumK0IvCmRd2QOy6_afsZq7ZtAGrSnVJy2u7WmY/edit?usp=sharing"",""นราธิวาส!J225"")"),0)</f>
        <v>0</v>
      </c>
      <c r="BX79" s="82">
        <f t="shared" ca="1" si="101"/>
        <v>0</v>
      </c>
      <c r="BY79" s="81">
        <f ca="1">IFERROR(__xludf.DUMMYFUNCTION("IMPORTRANGE(""https://docs.google.com/spreadsheets/d/1BeghqumK0IvCmRd2QOy6_afsZq7ZtAGrSnVJy2u7WmY/edit?usp=sharing"",""นราธิวาส!L228"")"),0)</f>
        <v>0</v>
      </c>
      <c r="BZ79" s="81">
        <f ca="1">IFERROR(__xludf.DUMMYFUNCTION("IMPORTRANGE(""https://docs.google.com/spreadsheets/d/1BeghqumK0IvCmRd2QOy6_afsZq7ZtAGrSnVJy2u7WmY/edit?usp=sharing"",""นราธิวาส!N228"")"),0)</f>
        <v>0</v>
      </c>
      <c r="CA79" s="82">
        <f t="shared" ca="1" si="102"/>
        <v>0</v>
      </c>
      <c r="CB79" s="81">
        <f ca="1">IFERROR(__xludf.DUMMYFUNCTION("IMPORTRANGE(""https://docs.google.com/spreadsheets/d/1BeghqumK0IvCmRd2QOy6_afsZq7ZtAGrSnVJy2u7WmY/edit?usp=sharing"",""นราธิวาส!L229"")"),0)</f>
        <v>0</v>
      </c>
      <c r="CC79" s="81">
        <f ca="1">IFERROR(__xludf.DUMMYFUNCTION("IMPORTRANGE(""https://docs.google.com/spreadsheets/d/1BeghqumK0IvCmRd2QOy6_afsZq7ZtAGrSnVJy2u7WmY/edit?usp=sharing"",""นราธิวาส!N229"")"),0)</f>
        <v>0</v>
      </c>
      <c r="CD79" s="82">
        <f t="shared" ca="1" si="103"/>
        <v>0</v>
      </c>
      <c r="CE79" s="81">
        <f ca="1">IFERROR(__xludf.DUMMYFUNCTION("IMPORTRANGE(""https://docs.google.com/spreadsheets/d/1BeghqumK0IvCmRd2QOy6_afsZq7ZtAGrSnVJy2u7WmY/edit?usp=sharing"",""นราธิวาส!L230"")"),0)</f>
        <v>0</v>
      </c>
      <c r="CF79" s="81">
        <f ca="1">IFERROR(__xludf.DUMMYFUNCTION("IMPORTRANGE(""https://docs.google.com/spreadsheets/d/1BeghqumK0IvCmRd2QOy6_afsZq7ZtAGrSnVJy2u7WmY/edit?usp=sharing"",""นราธิวาส!N230"")"),0)</f>
        <v>0</v>
      </c>
      <c r="CG79" s="82">
        <f t="shared" ca="1" si="104"/>
        <v>0</v>
      </c>
      <c r="CH79" s="81">
        <f ca="1">IFERROR(__xludf.DUMMYFUNCTION("IMPORTRANGE(""https://docs.google.com/spreadsheets/d/1BeghqumK0IvCmRd2QOy6_afsZq7ZtAGrSnVJy2u7WmY/edit?usp=sharing"",""นราธิวาส!L231"")"),0)</f>
        <v>0</v>
      </c>
      <c r="CI79" s="81">
        <f ca="1">IFERROR(__xludf.DUMMYFUNCTION("IMPORTRANGE(""https://docs.google.com/spreadsheets/d/1BeghqumK0IvCmRd2QOy6_afsZq7ZtAGrSnVJy2u7WmY/edit?usp=sharing"",""นราธิวาส!N231"")"),0)</f>
        <v>0</v>
      </c>
      <c r="CJ79" s="82">
        <f t="shared" ca="1" si="105"/>
        <v>0</v>
      </c>
      <c r="CK79" s="81">
        <f ca="1">IFERROR(__xludf.DUMMYFUNCTION("IMPORTRANGE(""https://docs.google.com/spreadsheets/d/1BeghqumK0IvCmRd2QOy6_afsZq7ZtAGrSnVJy2u7WmY/edit?usp=sharing"",""นราธิวาส!I233"")"),0)</f>
        <v>0</v>
      </c>
      <c r="CL79" s="81">
        <f ca="1">IFERROR(__xludf.DUMMYFUNCTION("IMPORTRANGE(""https://docs.google.com/spreadsheets/d/1BeghqumK0IvCmRd2QOy6_afsZq7ZtAGrSnVJy2u7WmY/edit?usp=sharing"",""นราธิวาส!J233"")"),0)</f>
        <v>0</v>
      </c>
      <c r="CM79" s="82">
        <f t="shared" ca="1" si="106"/>
        <v>0</v>
      </c>
      <c r="CN79" s="81">
        <f ca="1">IFERROR(__xludf.DUMMYFUNCTION("IMPORTRANGE(""https://docs.google.com/spreadsheets/d/1BeghqumK0IvCmRd2QOy6_afsZq7ZtAGrSnVJy2u7WmY/edit?usp=sharing"",""นราธิวาส!J235"")"),0)</f>
        <v>0</v>
      </c>
      <c r="CO79" s="81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3">
        <v>6</v>
      </c>
      <c r="B80" s="74" t="s">
        <v>102</v>
      </c>
      <c r="C80" s="75">
        <f t="shared" ca="1" si="0"/>
        <v>208400</v>
      </c>
      <c r="D80" s="76">
        <f t="shared" ca="1" si="214"/>
        <v>208400</v>
      </c>
      <c r="E80" s="77">
        <f ca="1">IFERROR(__xludf.DUMMYFUNCTION("IMPORTRANGE(""https://docs.google.com/spreadsheets/d/1MeEWN-I1oV_STSDYn1IFDPWt_1FKiwhDph83XaGc0o0/edit?usp=sharing"",""งบพรบ!CP80"")"),159300)</f>
        <v>159300</v>
      </c>
      <c r="F80" s="77">
        <f ca="1">IFERROR(__xludf.DUMMYFUNCTION("IMPORTRANGE(""https://docs.google.com/spreadsheets/d/1MeEWN-I1oV_STSDYn1IFDPWt_1FKiwhDph83XaGc0o0/edit?usp=sharing"",""งบพรบ!CQ80"")"),49100)</f>
        <v>49100</v>
      </c>
      <c r="G80" s="77">
        <f ca="1">IFERROR(__xludf.DUMMYFUNCTION("IMPORTRANGE(""https://docs.google.com/spreadsheets/d/1MeEWN-I1oV_STSDYn1IFDPWt_1FKiwhDph83XaGc0o0/edit?usp=sharing"",""งบพรบ!CR80"")"),0)</f>
        <v>0</v>
      </c>
      <c r="H80" s="77">
        <f ca="1">IFERROR(__xludf.DUMMYFUNCTION("IMPORTRANGE(""https://docs.google.com/spreadsheets/d/1MeEWN-I1oV_STSDYn1IFDPWt_1FKiwhDph83XaGc0o0/edit?usp=sharing"",""งบพรบ!CT80"")"),208400)</f>
        <v>208400</v>
      </c>
      <c r="I80" s="77">
        <f ca="1">IFERROR(__xludf.DUMMYFUNCTION("IMPORTRANGE(""https://docs.google.com/spreadsheets/d/1MeEWN-I1oV_STSDYn1IFDPWt_1FKiwhDph83XaGc0o0/edit?usp=sharing"",""งบพรบ!CU80"")"),0)</f>
        <v>0</v>
      </c>
      <c r="J80" s="77">
        <f t="shared" ca="1" si="3"/>
        <v>205720</v>
      </c>
      <c r="K80" s="78">
        <f t="shared" ca="1" si="4"/>
        <v>98.714011516314784</v>
      </c>
      <c r="L80" s="77">
        <f ca="1">IFERROR(__xludf.DUMMYFUNCTION("IMPORTRANGE(""https://docs.google.com/spreadsheets/d/1MeEWN-I1oV_STSDYn1IFDPWt_1FKiwhDph83XaGc0o0/edit?usp=sharing"",""งบพรบ!CV80"")"),205720)</f>
        <v>205720</v>
      </c>
      <c r="M80" s="79">
        <f t="shared" ca="1" si="5"/>
        <v>98.714011516314784</v>
      </c>
      <c r="N80" s="79">
        <f t="shared" ca="1" si="6"/>
        <v>98.714011516314784</v>
      </c>
      <c r="O80" s="80">
        <f ca="1">IFERROR(__xludf.DUMMYFUNCTION("IMPORTRANGE(""https://docs.google.com/spreadsheets/d/1MeEWN-I1oV_STSDYn1IFDPWt_1FKiwhDph83XaGc0o0/edit?usp=sharing"",""งบพรบ!CW80"")"),0)</f>
        <v>0</v>
      </c>
      <c r="P80" s="80">
        <f t="shared" ca="1" si="10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IFERROR(__xludf.DUMMYFUNCTION("IMPORTRANGE(""https://docs.google.com/spreadsheets/d/1IwnW3-jjRf74MCLW-6PiFwMUffRQXZwZA7YM609NmRc/edit?usp=sharing"",""ปัตตานี!L191"")"),6000)</f>
        <v>6000</v>
      </c>
      <c r="S80" s="81">
        <f ca="1">IFERROR(__xludf.DUMMYFUNCTION("IMPORTRANGE(""https://docs.google.com/spreadsheets/d/1IwnW3-jjRf74MCLW-6PiFwMUffRQXZwZA7YM609NmRc/edit?usp=sharing"",""ปัตตานี!N191"")"),6000)</f>
        <v>6000</v>
      </c>
      <c r="T80" s="82">
        <f t="shared" ca="1" si="84"/>
        <v>100</v>
      </c>
      <c r="U80" s="81">
        <f ca="1">IFERROR(__xludf.DUMMYFUNCTION("IMPORTRANGE(""https://docs.google.com/spreadsheets/d/1IwnW3-jjRf74MCLW-6PiFwMUffRQXZwZA7YM609NmRc/edit?usp=sharing"",""ปัตตานี!I193"")"),4)</f>
        <v>4</v>
      </c>
      <c r="V80" s="81">
        <f ca="1">IFERROR(__xludf.DUMMYFUNCTION("IMPORTRANGE(""https://docs.google.com/spreadsheets/d/1IwnW3-jjRf74MCLW-6PiFwMUffRQXZwZA7YM609NmRc/edit?usp=sharing"",""ปัตตานี!J193"")"),4)</f>
        <v>4</v>
      </c>
      <c r="W80" s="82">
        <f t="shared" ca="1" si="85"/>
        <v>100</v>
      </c>
      <c r="X80" s="81">
        <f t="shared" ca="1" si="215"/>
        <v>222</v>
      </c>
      <c r="Y80" s="81">
        <f ca="1">IFERROR(__xludf.DUMMYFUNCTION("IMPORTRANGE(""https://docs.google.com/spreadsheets/d/1IwnW3-jjRf74MCLW-6PiFwMUffRQXZwZA7YM609NmRc/edit?usp=sharing"",""ปัตตานี!J195"")"),222)</f>
        <v>222</v>
      </c>
      <c r="Z80" s="81">
        <f ca="1">IFERROR(__xludf.DUMMYFUNCTION("IMPORTRANGE(""https://docs.google.com/spreadsheets/d/1IwnW3-jjRf74MCLW-6PiFwMUffRQXZwZA7YM609NmRc/edit?usp=sharing"",""ปัตตานี!J196"")"),0)</f>
        <v>0</v>
      </c>
      <c r="AA80" s="81">
        <f ca="1">IFERROR(__xludf.DUMMYFUNCTION("IMPORTRANGE(""https://docs.google.com/spreadsheets/d/1IwnW3-jjRf74MCLW-6PiFwMUffRQXZwZA7YM609NmRc/edit?usp=sharing"",""ปัตตานี!L199"")"),2000)</f>
        <v>2000</v>
      </c>
      <c r="AB80" s="81">
        <f ca="1">IFERROR(__xludf.DUMMYFUNCTION("IMPORTRANGE(""https://docs.google.com/spreadsheets/d/1IwnW3-jjRf74MCLW-6PiFwMUffRQXZwZA7YM609NmRc/edit?usp=sharing"",""ปัตตานี!N199"")"),240)</f>
        <v>240</v>
      </c>
      <c r="AC80" s="82">
        <f t="shared" ca="1" si="86"/>
        <v>12</v>
      </c>
      <c r="AD80" s="81">
        <f ca="1">IFERROR(__xludf.DUMMYFUNCTION("IMPORTRANGE(""https://docs.google.com/spreadsheets/d/1IwnW3-jjRf74MCLW-6PiFwMUffRQXZwZA7YM609NmRc/edit?usp=sharing"",""ปัตตานี!L200"")"),16000)</f>
        <v>16000</v>
      </c>
      <c r="AE80" s="81">
        <f ca="1">IFERROR(__xludf.DUMMYFUNCTION("IMPORTRANGE(""https://docs.google.com/spreadsheets/d/1IwnW3-jjRf74MCLW-6PiFwMUffRQXZwZA7YM609NmRc/edit?usp=sharing"",""ปัตตานี!N200"")"),16000)</f>
        <v>16000</v>
      </c>
      <c r="AF80" s="82">
        <f t="shared" ca="1" si="87"/>
        <v>100</v>
      </c>
      <c r="AG80" s="81">
        <f ca="1">IFERROR(__xludf.DUMMYFUNCTION("IMPORTRANGE(""https://docs.google.com/spreadsheets/d/1IwnW3-jjRf74MCLW-6PiFwMUffRQXZwZA7YM609NmRc/edit?usp=sharing"",""ปัตตานี!L201"")"),8000)</f>
        <v>8000</v>
      </c>
      <c r="AH80" s="81">
        <f ca="1">IFERROR(__xludf.DUMMYFUNCTION("IMPORTRANGE(""https://docs.google.com/spreadsheets/d/1IwnW3-jjRf74MCLW-6PiFwMUffRQXZwZA7YM609NmRc/edit?usp=sharing"",""ปัตตานี!N201"")"),8000)</f>
        <v>8000</v>
      </c>
      <c r="AI80" s="82">
        <f t="shared" ca="1" si="88"/>
        <v>100</v>
      </c>
      <c r="AJ80" s="81">
        <f ca="1">IFERROR(__xludf.DUMMYFUNCTION("IMPORTRANGE(""https://docs.google.com/spreadsheets/d/1IwnW3-jjRf74MCLW-6PiFwMUffRQXZwZA7YM609NmRc/edit?usp=sharing"",""ปัตตานี!L202"")"),0)</f>
        <v>0</v>
      </c>
      <c r="AK80" s="81">
        <f ca="1">IFERROR(__xludf.DUMMYFUNCTION("IMPORTRANGE(""https://docs.google.com/spreadsheets/d/1IwnW3-jjRf74MCLW-6PiFwMUffRQXZwZA7YM609NmRc/edit?usp=sharing"",""ปัตตานี!N202"")"),0)</f>
        <v>0</v>
      </c>
      <c r="AL80" s="82">
        <f t="shared" ca="1" si="89"/>
        <v>0</v>
      </c>
      <c r="AM80" s="81">
        <f ca="1">IFERROR(__xludf.DUMMYFUNCTION("IMPORTRANGE(""https://docs.google.com/spreadsheets/d/1IwnW3-jjRf74MCLW-6PiFwMUffRQXZwZA7YM609NmRc/edit?usp=sharing"",""ปัตตานี!I204"")"),2)</f>
        <v>2</v>
      </c>
      <c r="AN80" s="81">
        <f ca="1">IFERROR(__xludf.DUMMYFUNCTION("IMPORTRANGE(""https://docs.google.com/spreadsheets/d/1IwnW3-jjRf74MCLW-6PiFwMUffRQXZwZA7YM609NmRc/edit?usp=sharing"",""ปัตตานี!J204"")"),2)</f>
        <v>2</v>
      </c>
      <c r="AO80" s="82">
        <f t="shared" ca="1" si="90"/>
        <v>100</v>
      </c>
      <c r="AP80" s="297">
        <f ca="1">IFERROR(__xludf.DUMMYFUNCTION("IMPORTRANGE(""https://docs.google.com/spreadsheets/d/1IwnW3-jjRf74MCLW-6PiFwMUffRQXZwZA7YM609NmRc/edit?usp=sharing"",""ปัตตานี!J206"")"),2)</f>
        <v>2</v>
      </c>
      <c r="AQ80" s="297">
        <f ca="1">IFERROR(__xludf.DUMMYFUNCTION("IMPORTRANGE(""https://docs.google.com/spreadsheets/d/1IwnW3-jjRf74MCLW-6PiFwMUffRQXZwZA7YM609NmRc/edit?usp=sharing"",""ปัตตานี!J207"")"),0)</f>
        <v>0</v>
      </c>
      <c r="AR80" s="81">
        <f ca="1">IFERROR(__xludf.DUMMYFUNCTION("IMPORTRANGE(""https://docs.google.com/spreadsheets/d/1IwnW3-jjRf74MCLW-6PiFwMUffRQXZwZA7YM609NmRc/edit?usp=sharing"",""ปัตตานี!L210"")"),0)</f>
        <v>0</v>
      </c>
      <c r="AS80" s="81">
        <f ca="1">IFERROR(__xludf.DUMMYFUNCTION("IMPORTRANGE(""https://docs.google.com/spreadsheets/d/1IwnW3-jjRf74MCLW-6PiFwMUffRQXZwZA7YM609NmRc/edit?usp=sharing"",""ปัตตานี!N210"")"),0)</f>
        <v>0</v>
      </c>
      <c r="AT80" s="82">
        <f t="shared" ca="1" si="91"/>
        <v>0</v>
      </c>
      <c r="AU80" s="81">
        <f ca="1">IFERROR(__xludf.DUMMYFUNCTION("IMPORTRANGE(""https://docs.google.com/spreadsheets/d/1IwnW3-jjRf74MCLW-6PiFwMUffRQXZwZA7YM609NmRc/edit?usp=sharing"",""ปัตตานี!L211"")"),0)</f>
        <v>0</v>
      </c>
      <c r="AV80" s="81">
        <f ca="1">IFERROR(__xludf.DUMMYFUNCTION("IMPORTRANGE(""https://docs.google.com/spreadsheets/d/1IwnW3-jjRf74MCLW-6PiFwMUffRQXZwZA7YM609NmRc/edit?usp=sharing"",""ปัตตานี!N211"")"),0)</f>
        <v>0</v>
      </c>
      <c r="AW80" s="82">
        <f t="shared" ca="1" si="92"/>
        <v>0</v>
      </c>
      <c r="AX80" s="81">
        <f ca="1">IFERROR(__xludf.DUMMYFUNCTION("IMPORTRANGE(""https://docs.google.com/spreadsheets/d/1IwnW3-jjRf74MCLW-6PiFwMUffRQXZwZA7YM609NmRc/edit?usp=sharing"",""ปัตตานี!L212"")"),0)</f>
        <v>0</v>
      </c>
      <c r="AY80" s="81">
        <f ca="1">IFERROR(__xludf.DUMMYFUNCTION("IMPORTRANGE(""https://docs.google.com/spreadsheets/d/1IwnW3-jjRf74MCLW-6PiFwMUffRQXZwZA7YM609NmRc/edit?usp=sharing"",""ปัตตานี!N212"")"),0)</f>
        <v>0</v>
      </c>
      <c r="AZ80" s="82">
        <f t="shared" ca="1" si="93"/>
        <v>0</v>
      </c>
      <c r="BA80" s="81">
        <f ca="1">IFERROR(__xludf.DUMMYFUNCTION("IMPORTRANGE(""https://docs.google.com/spreadsheets/d/1IwnW3-jjRf74MCLW-6PiFwMUffRQXZwZA7YM609NmRc/edit?usp=sharing"",""ปัตตานี!I214"")"),0)</f>
        <v>0</v>
      </c>
      <c r="BB80" s="81">
        <f ca="1">IFERROR(__xludf.DUMMYFUNCTION("IMPORTRANGE(""https://docs.google.com/spreadsheets/d/1IwnW3-jjRf74MCLW-6PiFwMUffRQXZwZA7YM609NmRc/edit?usp=sharing"",""ปัตตานี!J214"")"),0)</f>
        <v>0</v>
      </c>
      <c r="BC80" s="82">
        <f t="shared" ca="1" si="94"/>
        <v>0</v>
      </c>
      <c r="BD80" s="81">
        <f ca="1">IFERROR(__xludf.DUMMYFUNCTION("IMPORTRANGE(""https://docs.google.com/spreadsheets/d/1IwnW3-jjRf74MCLW-6PiFwMUffRQXZwZA7YM609NmRc/edit?usp=sharing"",""ปัตตานี!I215"")"),0)</f>
        <v>0</v>
      </c>
      <c r="BE80" s="81">
        <f ca="1">IFERROR(__xludf.DUMMYFUNCTION("IMPORTRANGE(""https://docs.google.com/spreadsheets/d/1IwnW3-jjRf74MCLW-6PiFwMUffRQXZwZA7YM609NmRc/edit?usp=sharing"",""ปัตตานี!J215"")"),0)</f>
        <v>0</v>
      </c>
      <c r="BF80" s="82">
        <f t="shared" ca="1" si="95"/>
        <v>0</v>
      </c>
      <c r="BG80" s="81">
        <f ca="1">IFERROR(__xludf.DUMMYFUNCTION("IMPORTRANGE(""https://docs.google.com/spreadsheets/d/1IwnW3-jjRf74MCLW-6PiFwMUffRQXZwZA7YM609NmRc/edit?usp=sharing"",""ปัตตานี!L218"")"),3000)</f>
        <v>3000</v>
      </c>
      <c r="BH80" s="81">
        <f ca="1">IFERROR(__xludf.DUMMYFUNCTION("IMPORTRANGE(""https://docs.google.com/spreadsheets/d/1IwnW3-jjRf74MCLW-6PiFwMUffRQXZwZA7YM609NmRc/edit?usp=sharing"",""ปัตตานี!N218"")"),2080)</f>
        <v>2080</v>
      </c>
      <c r="BI80" s="82">
        <f t="shared" ca="1" si="96"/>
        <v>69.333333333333329</v>
      </c>
      <c r="BJ80" s="81">
        <f ca="1">IFERROR(__xludf.DUMMYFUNCTION("IMPORTRANGE(""https://docs.google.com/spreadsheets/d/1IwnW3-jjRf74MCLW-6PiFwMUffRQXZwZA7YM609NmRc/edit?usp=sharing"",""ปัตตานี!L219"")"),4100)</f>
        <v>4100</v>
      </c>
      <c r="BK80" s="81">
        <f ca="1">IFERROR(__xludf.DUMMYFUNCTION("IMPORTRANGE(""https://docs.google.com/spreadsheets/d/1IwnW3-jjRf74MCLW-6PiFwMUffRQXZwZA7YM609NmRc/edit?usp=sharing"",""ปัตตานี!N219"")"),4100)</f>
        <v>4100</v>
      </c>
      <c r="BL80" s="82">
        <f t="shared" ca="1" si="97"/>
        <v>100</v>
      </c>
      <c r="BM80" s="81">
        <f ca="1">IFERROR(__xludf.DUMMYFUNCTION("IMPORTRANGE(""https://docs.google.com/spreadsheets/d/1IwnW3-jjRf74MCLW-6PiFwMUffRQXZwZA7YM609NmRc/edit?usp=sharing"",""ปัตตานี!L220"")"),10000)</f>
        <v>10000</v>
      </c>
      <c r="BN80" s="81">
        <f ca="1">IFERROR(__xludf.DUMMYFUNCTION("IMPORTRANGE(""https://docs.google.com/spreadsheets/d/1IwnW3-jjRf74MCLW-6PiFwMUffRQXZwZA7YM609NmRc/edit?usp=sharing"",""ปัตตานี!N220"")"),10000)</f>
        <v>10000</v>
      </c>
      <c r="BO80" s="82">
        <f t="shared" ca="1" si="98"/>
        <v>100</v>
      </c>
      <c r="BP80" s="81">
        <f ca="1">IFERROR(__xludf.DUMMYFUNCTION("IMPORTRANGE(""https://docs.google.com/spreadsheets/d/1IwnW3-jjRf74MCLW-6PiFwMUffRQXZwZA7YM609NmRc/edit?usp=sharing"",""ปัตตานี!I223"")"),12800)</f>
        <v>12800</v>
      </c>
      <c r="BQ80" s="81">
        <f ca="1">IFERROR(__xludf.DUMMYFUNCTION("IMPORTRANGE(""https://docs.google.com/spreadsheets/d/1IwnW3-jjRf74MCLW-6PiFwMUffRQXZwZA7YM609NmRc/edit?usp=sharing"",""ปัตตานี!J223"")"),12800)</f>
        <v>12800</v>
      </c>
      <c r="BR80" s="82">
        <f t="shared" ca="1" si="99"/>
        <v>100</v>
      </c>
      <c r="BS80" s="81">
        <f ca="1">IFERROR(__xludf.DUMMYFUNCTION("IMPORTRANGE(""https://docs.google.com/spreadsheets/d/1IwnW3-jjRf74MCLW-6PiFwMUffRQXZwZA7YM609NmRc/edit?usp=sharing"",""ปัตตานี!I224"")"),12800)</f>
        <v>12800</v>
      </c>
      <c r="BT80" s="81">
        <f ca="1">IFERROR(__xludf.DUMMYFUNCTION("IMPORTRANGE(""https://docs.google.com/spreadsheets/d/1IwnW3-jjRf74MCLW-6PiFwMUffRQXZwZA7YM609NmRc/edit?usp=sharing"",""ปัตตานี!J224"")"),12800)</f>
        <v>12800</v>
      </c>
      <c r="BU80" s="82">
        <f t="shared" ca="1" si="100"/>
        <v>100</v>
      </c>
      <c r="BV80" s="81">
        <f ca="1">IFERROR(__xludf.DUMMYFUNCTION("IMPORTRANGE(""https://docs.google.com/spreadsheets/d/1IwnW3-jjRf74MCLW-6PiFwMUffRQXZwZA7YM609NmRc/edit?usp=sharing"",""ปัตตานี!I225"")"),10)</f>
        <v>10</v>
      </c>
      <c r="BW80" s="81">
        <f ca="1">IFERROR(__xludf.DUMMYFUNCTION("IMPORTRANGE(""https://docs.google.com/spreadsheets/d/1IwnW3-jjRf74MCLW-6PiFwMUffRQXZwZA7YM609NmRc/edit?usp=sharing"",""ปัตตานี!J225"")"),10)</f>
        <v>10</v>
      </c>
      <c r="BX80" s="82">
        <f t="shared" ca="1" si="101"/>
        <v>100</v>
      </c>
      <c r="BY80" s="81">
        <f ca="1">IFERROR(__xludf.DUMMYFUNCTION("IMPORTRANGE(""https://docs.google.com/spreadsheets/d/1IwnW3-jjRf74MCLW-6PiFwMUffRQXZwZA7YM609NmRc/edit?usp=sharing"",""ปัตตานี!L228"")"),0)</f>
        <v>0</v>
      </c>
      <c r="BZ80" s="81">
        <f ca="1">IFERROR(__xludf.DUMMYFUNCTION("IMPORTRANGE(""https://docs.google.com/spreadsheets/d/1IwnW3-jjRf74MCLW-6PiFwMUffRQXZwZA7YM609NmRc/edit?usp=sharing"",""ปัตตานี!N228"")"),0)</f>
        <v>0</v>
      </c>
      <c r="CA80" s="82">
        <f t="shared" ca="1" si="102"/>
        <v>0</v>
      </c>
      <c r="CB80" s="81">
        <f ca="1">IFERROR(__xludf.DUMMYFUNCTION("IMPORTRANGE(""https://docs.google.com/spreadsheets/d/1IwnW3-jjRf74MCLW-6PiFwMUffRQXZwZA7YM609NmRc/edit?usp=sharing"",""ปัตตานี!L229"")"),0)</f>
        <v>0</v>
      </c>
      <c r="CC80" s="81">
        <f ca="1">IFERROR(__xludf.DUMMYFUNCTION("IMPORTRANGE(""https://docs.google.com/spreadsheets/d/1IwnW3-jjRf74MCLW-6PiFwMUffRQXZwZA7YM609NmRc/edit?usp=sharing"",""ปัตตานี!N229"")"),0)</f>
        <v>0</v>
      </c>
      <c r="CD80" s="82">
        <f t="shared" ca="1" si="103"/>
        <v>0</v>
      </c>
      <c r="CE80" s="81">
        <f ca="1">IFERROR(__xludf.DUMMYFUNCTION("IMPORTRANGE(""https://docs.google.com/spreadsheets/d/1IwnW3-jjRf74MCLW-6PiFwMUffRQXZwZA7YM609NmRc/edit?usp=sharing"",""ปัตตานี!L230"")"),0)</f>
        <v>0</v>
      </c>
      <c r="CF80" s="81">
        <f ca="1">IFERROR(__xludf.DUMMYFUNCTION("IMPORTRANGE(""https://docs.google.com/spreadsheets/d/1IwnW3-jjRf74MCLW-6PiFwMUffRQXZwZA7YM609NmRc/edit?usp=sharing"",""ปัตตานี!N230"")"),0)</f>
        <v>0</v>
      </c>
      <c r="CG80" s="82">
        <f t="shared" ca="1" si="104"/>
        <v>0</v>
      </c>
      <c r="CH80" s="81">
        <f ca="1">IFERROR(__xludf.DUMMYFUNCTION("IMPORTRANGE(""https://docs.google.com/spreadsheets/d/1IwnW3-jjRf74MCLW-6PiFwMUffRQXZwZA7YM609NmRc/edit?usp=sharing"",""ปัตตานี!L231"")"),0)</f>
        <v>0</v>
      </c>
      <c r="CI80" s="81">
        <f ca="1">IFERROR(__xludf.DUMMYFUNCTION("IMPORTRANGE(""https://docs.google.com/spreadsheets/d/1IwnW3-jjRf74MCLW-6PiFwMUffRQXZwZA7YM609NmRc/edit?usp=sharing"",""ปัตตานี!N231"")"),0)</f>
        <v>0</v>
      </c>
      <c r="CJ80" s="82">
        <f t="shared" ca="1" si="105"/>
        <v>0</v>
      </c>
      <c r="CK80" s="81">
        <f ca="1">IFERROR(__xludf.DUMMYFUNCTION("IMPORTRANGE(""https://docs.google.com/spreadsheets/d/1IwnW3-jjRf74MCLW-6PiFwMUffRQXZwZA7YM609NmRc/edit?usp=sharing"",""ปัตตานี!I233"")"),0)</f>
        <v>0</v>
      </c>
      <c r="CL80" s="81">
        <f ca="1">IFERROR(__xludf.DUMMYFUNCTION("IMPORTRANGE(""https://docs.google.com/spreadsheets/d/1IwnW3-jjRf74MCLW-6PiFwMUffRQXZwZA7YM609NmRc/edit?usp=sharing"",""ปัตตานี!J233"")"),0)</f>
        <v>0</v>
      </c>
      <c r="CM80" s="82">
        <f t="shared" ca="1" si="106"/>
        <v>0</v>
      </c>
      <c r="CN80" s="81">
        <f ca="1">IFERROR(__xludf.DUMMYFUNCTION("IMPORTRANGE(""https://docs.google.com/spreadsheets/d/1IwnW3-jjRf74MCLW-6PiFwMUffRQXZwZA7YM609NmRc/edit?usp=sharing"",""ปัตตานี!J235"")"),0)</f>
        <v>0</v>
      </c>
      <c r="CO80" s="81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3">
        <v>7</v>
      </c>
      <c r="B81" s="74" t="s">
        <v>103</v>
      </c>
      <c r="C81" s="75">
        <f t="shared" ca="1" si="0"/>
        <v>45000</v>
      </c>
      <c r="D81" s="76">
        <f t="shared" ca="1" si="214"/>
        <v>45000</v>
      </c>
      <c r="E81" s="77">
        <f ca="1">IFERROR(__xludf.DUMMYFUNCTION("IMPORTRANGE(""https://docs.google.com/spreadsheets/d/1MeEWN-I1oV_STSDYn1IFDPWt_1FKiwhDph83XaGc0o0/edit?usp=sharing"",""งบพรบ!CP81"")"),0)</f>
        <v>0</v>
      </c>
      <c r="F81" s="77">
        <f ca="1">IFERROR(__xludf.DUMMYFUNCTION("IMPORTRANGE(""https://docs.google.com/spreadsheets/d/1MeEWN-I1oV_STSDYn1IFDPWt_1FKiwhDph83XaGc0o0/edit?usp=sharing"",""งบพรบ!CQ81"")"),45000)</f>
        <v>45000</v>
      </c>
      <c r="G81" s="77">
        <f ca="1">IFERROR(__xludf.DUMMYFUNCTION("IMPORTRANGE(""https://docs.google.com/spreadsheets/d/1MeEWN-I1oV_STSDYn1IFDPWt_1FKiwhDph83XaGc0o0/edit?usp=sharing"",""งบพรบ!CR81"")"),0)</f>
        <v>0</v>
      </c>
      <c r="H81" s="77">
        <f ca="1">IFERROR(__xludf.DUMMYFUNCTION("IMPORTRANGE(""https://docs.google.com/spreadsheets/d/1MeEWN-I1oV_STSDYn1IFDPWt_1FKiwhDph83XaGc0o0/edit?usp=sharing"",""งบพรบ!CT81"")"),63440)</f>
        <v>63440</v>
      </c>
      <c r="I81" s="77">
        <f ca="1">IFERROR(__xludf.DUMMYFUNCTION("IMPORTRANGE(""https://docs.google.com/spreadsheets/d/1MeEWN-I1oV_STSDYn1IFDPWt_1FKiwhDph83XaGc0o0/edit?usp=sharing"",""งบพรบ!CU81"")"),0)</f>
        <v>0</v>
      </c>
      <c r="J81" s="77">
        <f t="shared" ca="1" si="3"/>
        <v>45387</v>
      </c>
      <c r="K81" s="78">
        <f t="shared" ca="1" si="4"/>
        <v>100.86</v>
      </c>
      <c r="L81" s="77">
        <f ca="1">IFERROR(__xludf.DUMMYFUNCTION("IMPORTRANGE(""https://docs.google.com/spreadsheets/d/1MeEWN-I1oV_STSDYn1IFDPWt_1FKiwhDph83XaGc0o0/edit?usp=sharing"",""งบพรบ!CV81"")"),45387)</f>
        <v>45387</v>
      </c>
      <c r="M81" s="79">
        <f t="shared" ca="1" si="5"/>
        <v>100.86</v>
      </c>
      <c r="N81" s="79">
        <f t="shared" ca="1" si="6"/>
        <v>71.543190416141229</v>
      </c>
      <c r="O81" s="80">
        <f ca="1">IFERROR(__xludf.DUMMYFUNCTION("IMPORTRANGE(""https://docs.google.com/spreadsheets/d/1MeEWN-I1oV_STSDYn1IFDPWt_1FKiwhDph83XaGc0o0/edit?usp=sharing"",""งบพรบ!CW81"")"),0)</f>
        <v>0</v>
      </c>
      <c r="P81" s="80">
        <f t="shared" ca="1" si="10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IFERROR(__xludf.DUMMYFUNCTION("IMPORTRANGE(""https://docs.google.com/spreadsheets/d/1vl4QWbWdFruual5o_wdo6ZSqXZ_it806oja4CctTLKs/edit?usp=sharing"",""พังงา!L191"")"),6000)</f>
        <v>6000</v>
      </c>
      <c r="S81" s="81">
        <f ca="1">IFERROR(__xludf.DUMMYFUNCTION("IMPORTRANGE(""https://docs.google.com/spreadsheets/d/1vl4QWbWdFruual5o_wdo6ZSqXZ_it806oja4CctTLKs/edit?usp=sharing"",""พังงา!N191"")"),2830)</f>
        <v>2830</v>
      </c>
      <c r="T81" s="82">
        <f t="shared" ca="1" si="84"/>
        <v>47.166666666666664</v>
      </c>
      <c r="U81" s="81">
        <f ca="1">IFERROR(__xludf.DUMMYFUNCTION("IMPORTRANGE(""https://docs.google.com/spreadsheets/d/1vl4QWbWdFruual5o_wdo6ZSqXZ_it806oja4CctTLKs/edit?usp=sharing"",""พังงา!I193"")"),4)</f>
        <v>4</v>
      </c>
      <c r="V81" s="81">
        <f ca="1">IFERROR(__xludf.DUMMYFUNCTION("IMPORTRANGE(""https://docs.google.com/spreadsheets/d/1vl4QWbWdFruual5o_wdo6ZSqXZ_it806oja4CctTLKs/edit?usp=sharing"",""พังงา!J193"")"),4)</f>
        <v>4</v>
      </c>
      <c r="W81" s="82">
        <f t="shared" ca="1" si="85"/>
        <v>100</v>
      </c>
      <c r="X81" s="81">
        <f t="shared" ca="1" si="215"/>
        <v>70</v>
      </c>
      <c r="Y81" s="81">
        <f ca="1">IFERROR(__xludf.DUMMYFUNCTION("IMPORTRANGE(""https://docs.google.com/spreadsheets/d/1vl4QWbWdFruual5o_wdo6ZSqXZ_it806oja4CctTLKs/edit?usp=sharing"",""พังงา!J195"")"),70)</f>
        <v>70</v>
      </c>
      <c r="Z81" s="81">
        <f ca="1">IFERROR(__xludf.DUMMYFUNCTION("IMPORTRANGE(""https://docs.google.com/spreadsheets/d/1vl4QWbWdFruual5o_wdo6ZSqXZ_it806oja4CctTLKs/edit?usp=sharing"",""พังงา!J196"")"),0)</f>
        <v>0</v>
      </c>
      <c r="AA81" s="81">
        <f ca="1">IFERROR(__xludf.DUMMYFUNCTION("IMPORTRANGE(""https://docs.google.com/spreadsheets/d/1vl4QWbWdFruual5o_wdo6ZSqXZ_it806oja4CctTLKs/edit?usp=sharing"",""พังงา!L199"")"),2000)</f>
        <v>2000</v>
      </c>
      <c r="AB81" s="81">
        <f ca="1">IFERROR(__xludf.DUMMYFUNCTION("IMPORTRANGE(""https://docs.google.com/spreadsheets/d/1vl4QWbWdFruual5o_wdo6ZSqXZ_it806oja4CctTLKs/edit?usp=sharing"",""พังงา!N199"")"),2000)</f>
        <v>2000</v>
      </c>
      <c r="AC81" s="82">
        <f t="shared" ca="1" si="86"/>
        <v>100</v>
      </c>
      <c r="AD81" s="81">
        <f ca="1">IFERROR(__xludf.DUMMYFUNCTION("IMPORTRANGE(""https://docs.google.com/spreadsheets/d/1vl4QWbWdFruual5o_wdo6ZSqXZ_it806oja4CctTLKs/edit?usp=sharing"",""พังงา!L200"")"),16000)</f>
        <v>16000</v>
      </c>
      <c r="AE81" s="81">
        <f ca="1">IFERROR(__xludf.DUMMYFUNCTION("IMPORTRANGE(""https://docs.google.com/spreadsheets/d/1vl4QWbWdFruual5o_wdo6ZSqXZ_it806oja4CctTLKs/edit?usp=sharing"",""พังงา!N200"")"),16000)</f>
        <v>16000</v>
      </c>
      <c r="AF81" s="82">
        <f t="shared" ca="1" si="87"/>
        <v>100</v>
      </c>
      <c r="AG81" s="81">
        <f ca="1">IFERROR(__xludf.DUMMYFUNCTION("IMPORTRANGE(""https://docs.google.com/spreadsheets/d/1vl4QWbWdFruual5o_wdo6ZSqXZ_it806oja4CctTLKs/edit?usp=sharing"",""พังงา!L201"")"),8000)</f>
        <v>8000</v>
      </c>
      <c r="AH81" s="81">
        <f ca="1">IFERROR(__xludf.DUMMYFUNCTION("IMPORTRANGE(""https://docs.google.com/spreadsheets/d/1vl4QWbWdFruual5o_wdo6ZSqXZ_it806oja4CctTLKs/edit?usp=sharing"",""พังงา!N201"")"),8000)</f>
        <v>8000</v>
      </c>
      <c r="AI81" s="82">
        <f t="shared" ca="1" si="88"/>
        <v>100</v>
      </c>
      <c r="AJ81" s="81">
        <f ca="1">IFERROR(__xludf.DUMMYFUNCTION("IMPORTRANGE(""https://docs.google.com/spreadsheets/d/1vl4QWbWdFruual5o_wdo6ZSqXZ_it806oja4CctTLKs/edit?usp=sharing"",""พังงา!L202"")"),5000)</f>
        <v>5000</v>
      </c>
      <c r="AK81" s="81">
        <f ca="1">IFERROR(__xludf.DUMMYFUNCTION("IMPORTRANGE(""https://docs.google.com/spreadsheets/d/1vl4QWbWdFruual5o_wdo6ZSqXZ_it806oja4CctTLKs/edit?usp=sharing"",""พังงา!N202"")"),0)</f>
        <v>0</v>
      </c>
      <c r="AL81" s="82">
        <f t="shared" ca="1" si="89"/>
        <v>0</v>
      </c>
      <c r="AM81" s="81">
        <f ca="1">IFERROR(__xludf.DUMMYFUNCTION("IMPORTRANGE(""https://docs.google.com/spreadsheets/d/1vl4QWbWdFruual5o_wdo6ZSqXZ_it806oja4CctTLKs/edit?usp=sharing"",""พังงา!I204"")"),2)</f>
        <v>2</v>
      </c>
      <c r="AN81" s="81">
        <f ca="1">IFERROR(__xludf.DUMMYFUNCTION("IMPORTRANGE(""https://docs.google.com/spreadsheets/d/1vl4QWbWdFruual5o_wdo6ZSqXZ_it806oja4CctTLKs/edit?usp=sharing"",""พังงา!J204"")"),2)</f>
        <v>2</v>
      </c>
      <c r="AO81" s="82">
        <f t="shared" ca="1" si="90"/>
        <v>100</v>
      </c>
      <c r="AP81" s="297">
        <f ca="1">IFERROR(__xludf.DUMMYFUNCTION("IMPORTRANGE(""https://docs.google.com/spreadsheets/d/1vl4QWbWdFruual5o_wdo6ZSqXZ_it806oja4CctTLKs/edit?usp=sharing"",""พังงา!J206"")"),2)</f>
        <v>2</v>
      </c>
      <c r="AQ81" s="297">
        <f ca="1">IFERROR(__xludf.DUMMYFUNCTION("IMPORTRANGE(""https://docs.google.com/spreadsheets/d/1vl4QWbWdFruual5o_wdo6ZSqXZ_it806oja4CctTLKs/edit?usp=sharing"",""พังงา!J207"")"),0)</f>
        <v>0</v>
      </c>
      <c r="AR81" s="81">
        <f ca="1">IFERROR(__xludf.DUMMYFUNCTION("IMPORTRANGE(""https://docs.google.com/spreadsheets/d/1vl4QWbWdFruual5o_wdo6ZSqXZ_it806oja4CctTLKs/edit?usp=sharing"",""พังงา!L210"")"),0)</f>
        <v>0</v>
      </c>
      <c r="AS81" s="81">
        <f ca="1">IFERROR(__xludf.DUMMYFUNCTION("IMPORTRANGE(""https://docs.google.com/spreadsheets/d/1vl4QWbWdFruual5o_wdo6ZSqXZ_it806oja4CctTLKs/edit?usp=sharing"",""พังงา!N210"")"),0)</f>
        <v>0</v>
      </c>
      <c r="AT81" s="82">
        <f t="shared" ca="1" si="91"/>
        <v>0</v>
      </c>
      <c r="AU81" s="81">
        <f ca="1">IFERROR(__xludf.DUMMYFUNCTION("IMPORTRANGE(""https://docs.google.com/spreadsheets/d/1vl4QWbWdFruual5o_wdo6ZSqXZ_it806oja4CctTLKs/edit?usp=sharing"",""พังงา!L211"")"),0)</f>
        <v>0</v>
      </c>
      <c r="AV81" s="81">
        <f ca="1">IFERROR(__xludf.DUMMYFUNCTION("IMPORTRANGE(""https://docs.google.com/spreadsheets/d/1vl4QWbWdFruual5o_wdo6ZSqXZ_it806oja4CctTLKs/edit?usp=sharing"",""พังงา!N211"")"),0)</f>
        <v>0</v>
      </c>
      <c r="AW81" s="82">
        <f t="shared" ca="1" si="92"/>
        <v>0</v>
      </c>
      <c r="AX81" s="81">
        <f ca="1">IFERROR(__xludf.DUMMYFUNCTION("IMPORTRANGE(""https://docs.google.com/spreadsheets/d/1vl4QWbWdFruual5o_wdo6ZSqXZ_it806oja4CctTLKs/edit?usp=sharing"",""พังงา!L212"")"),0)</f>
        <v>0</v>
      </c>
      <c r="AY81" s="81">
        <f ca="1">IFERROR(__xludf.DUMMYFUNCTION("IMPORTRANGE(""https://docs.google.com/spreadsheets/d/1vl4QWbWdFruual5o_wdo6ZSqXZ_it806oja4CctTLKs/edit?usp=sharing"",""พังงา!N212"")"),0)</f>
        <v>0</v>
      </c>
      <c r="AZ81" s="82">
        <f t="shared" ca="1" si="93"/>
        <v>0</v>
      </c>
      <c r="BA81" s="81">
        <f ca="1">IFERROR(__xludf.DUMMYFUNCTION("IMPORTRANGE(""https://docs.google.com/spreadsheets/d/1vl4QWbWdFruual5o_wdo6ZSqXZ_it806oja4CctTLKs/edit?usp=sharing"",""พังงา!I214"")"),0)</f>
        <v>0</v>
      </c>
      <c r="BB81" s="81">
        <f ca="1">IFERROR(__xludf.DUMMYFUNCTION("IMPORTRANGE(""https://docs.google.com/spreadsheets/d/1vl4QWbWdFruual5o_wdo6ZSqXZ_it806oja4CctTLKs/edit?usp=sharing"",""พังงา!J214"")"),0)</f>
        <v>0</v>
      </c>
      <c r="BC81" s="82">
        <f t="shared" ca="1" si="94"/>
        <v>0</v>
      </c>
      <c r="BD81" s="81">
        <f ca="1">IFERROR(__xludf.DUMMYFUNCTION("IMPORTRANGE(""https://docs.google.com/spreadsheets/d/1vl4QWbWdFruual5o_wdo6ZSqXZ_it806oja4CctTLKs/edit?usp=sharing"",""พังงา!I215"")"),0)</f>
        <v>0</v>
      </c>
      <c r="BE81" s="81">
        <f ca="1">IFERROR(__xludf.DUMMYFUNCTION("IMPORTRANGE(""https://docs.google.com/spreadsheets/d/1vl4QWbWdFruual5o_wdo6ZSqXZ_it806oja4CctTLKs/edit?usp=sharing"",""พังงา!J215"")"),0)</f>
        <v>0</v>
      </c>
      <c r="BF81" s="82">
        <f t="shared" ca="1" si="95"/>
        <v>0</v>
      </c>
      <c r="BG81" s="81">
        <f ca="1">IFERROR(__xludf.DUMMYFUNCTION("IMPORTRANGE(""https://docs.google.com/spreadsheets/d/1vl4QWbWdFruual5o_wdo6ZSqXZ_it806oja4CctTLKs/edit?usp=sharing"",""พังงา!L218"")"),3000)</f>
        <v>3000</v>
      </c>
      <c r="BH81" s="81">
        <f ca="1">IFERROR(__xludf.DUMMYFUNCTION("IMPORTRANGE(""https://docs.google.com/spreadsheets/d/1vl4QWbWdFruual5o_wdo6ZSqXZ_it806oja4CctTLKs/edit?usp=sharing"",""พังงา!N218"")"),2250)</f>
        <v>2250</v>
      </c>
      <c r="BI81" s="82">
        <f t="shared" ca="1" si="96"/>
        <v>75</v>
      </c>
      <c r="BJ81" s="81">
        <f ca="1">IFERROR(__xludf.DUMMYFUNCTION("IMPORTRANGE(""https://docs.google.com/spreadsheets/d/1vl4QWbWdFruual5o_wdo6ZSqXZ_it806oja4CctTLKs/edit?usp=sharing"",""พังงา!L219"")"),5000)</f>
        <v>5000</v>
      </c>
      <c r="BK81" s="81">
        <f ca="1">IFERROR(__xludf.DUMMYFUNCTION("IMPORTRANGE(""https://docs.google.com/spreadsheets/d/1vl4QWbWdFruual5o_wdo6ZSqXZ_it806oja4CctTLKs/edit?usp=sharing"",""พังงา!N219"")"),5000)</f>
        <v>5000</v>
      </c>
      <c r="BL81" s="82">
        <f t="shared" ca="1" si="97"/>
        <v>100</v>
      </c>
      <c r="BM81" s="81">
        <f ca="1">IFERROR(__xludf.DUMMYFUNCTION("IMPORTRANGE(""https://docs.google.com/spreadsheets/d/1vl4QWbWdFruual5o_wdo6ZSqXZ_it806oja4CctTLKs/edit?usp=sharing"",""พังงา!L220"")"),0)</f>
        <v>0</v>
      </c>
      <c r="BN81" s="81">
        <f ca="1">IFERROR(__xludf.DUMMYFUNCTION("IMPORTRANGE(""https://docs.google.com/spreadsheets/d/1vl4QWbWdFruual5o_wdo6ZSqXZ_it806oja4CctTLKs/edit?usp=sharing"",""พังงา!N220"")"),0)</f>
        <v>0</v>
      </c>
      <c r="BO81" s="82">
        <f t="shared" ca="1" si="98"/>
        <v>0</v>
      </c>
      <c r="BP81" s="81">
        <f ca="1">IFERROR(__xludf.DUMMYFUNCTION("IMPORTRANGE(""https://docs.google.com/spreadsheets/d/1vl4QWbWdFruual5o_wdo6ZSqXZ_it806oja4CctTLKs/edit?usp=sharing"",""พังงา!I223"")"),20000)</f>
        <v>20000</v>
      </c>
      <c r="BQ81" s="81">
        <f ca="1">IFERROR(__xludf.DUMMYFUNCTION("IMPORTRANGE(""https://docs.google.com/spreadsheets/d/1vl4QWbWdFruual5o_wdo6ZSqXZ_it806oja4CctTLKs/edit?usp=sharing"",""พังงา!J223"")"),20000)</f>
        <v>20000</v>
      </c>
      <c r="BR81" s="82">
        <f t="shared" ca="1" si="99"/>
        <v>100</v>
      </c>
      <c r="BS81" s="81">
        <f ca="1">IFERROR(__xludf.DUMMYFUNCTION("IMPORTRANGE(""https://docs.google.com/spreadsheets/d/1vl4QWbWdFruual5o_wdo6ZSqXZ_it806oja4CctTLKs/edit?usp=sharing"",""พังงา!I224"")"),20000)</f>
        <v>20000</v>
      </c>
      <c r="BT81" s="81">
        <f ca="1">IFERROR(__xludf.DUMMYFUNCTION("IMPORTRANGE(""https://docs.google.com/spreadsheets/d/1vl4QWbWdFruual5o_wdo6ZSqXZ_it806oja4CctTLKs/edit?usp=sharing"",""พังงา!J224"")"),20000)</f>
        <v>20000</v>
      </c>
      <c r="BU81" s="82">
        <f t="shared" ca="1" si="100"/>
        <v>100</v>
      </c>
      <c r="BV81" s="81">
        <f ca="1">IFERROR(__xludf.DUMMYFUNCTION("IMPORTRANGE(""https://docs.google.com/spreadsheets/d/1vl4QWbWdFruual5o_wdo6ZSqXZ_it806oja4CctTLKs/edit?usp=sharing"",""พังงา!I225"")"),0)</f>
        <v>0</v>
      </c>
      <c r="BW81" s="81">
        <f ca="1">IFERROR(__xludf.DUMMYFUNCTION("IMPORTRANGE(""https://docs.google.com/spreadsheets/d/1vl4QWbWdFruual5o_wdo6ZSqXZ_it806oja4CctTLKs/edit?usp=sharing"",""พังงา!J225"")"),0)</f>
        <v>0</v>
      </c>
      <c r="BX81" s="82">
        <f t="shared" ca="1" si="101"/>
        <v>0</v>
      </c>
      <c r="BY81" s="81">
        <f ca="1">IFERROR(__xludf.DUMMYFUNCTION("IMPORTRANGE(""https://docs.google.com/spreadsheets/d/1vl4QWbWdFruual5o_wdo6ZSqXZ_it806oja4CctTLKs/edit?usp=sharing"",""พังงา!L228"")"),0)</f>
        <v>0</v>
      </c>
      <c r="BZ81" s="81">
        <f ca="1">IFERROR(__xludf.DUMMYFUNCTION("IMPORTRANGE(""https://docs.google.com/spreadsheets/d/1vl4QWbWdFruual5o_wdo6ZSqXZ_it806oja4CctTLKs/edit?usp=sharing"",""พังงา!N228"")"),0)</f>
        <v>0</v>
      </c>
      <c r="CA81" s="82">
        <f t="shared" ca="1" si="102"/>
        <v>0</v>
      </c>
      <c r="CB81" s="81">
        <f ca="1">IFERROR(__xludf.DUMMYFUNCTION("IMPORTRANGE(""https://docs.google.com/spreadsheets/d/1vl4QWbWdFruual5o_wdo6ZSqXZ_it806oja4CctTLKs/edit?usp=sharing"",""พังงา!L229"")"),0)</f>
        <v>0</v>
      </c>
      <c r="CC81" s="81">
        <f ca="1">IFERROR(__xludf.DUMMYFUNCTION("IMPORTRANGE(""https://docs.google.com/spreadsheets/d/1vl4QWbWdFruual5o_wdo6ZSqXZ_it806oja4CctTLKs/edit?usp=sharing"",""พังงา!N229"")"),0)</f>
        <v>0</v>
      </c>
      <c r="CD81" s="82">
        <f t="shared" ca="1" si="103"/>
        <v>0</v>
      </c>
      <c r="CE81" s="81">
        <f ca="1">IFERROR(__xludf.DUMMYFUNCTION("IMPORTRANGE(""https://docs.google.com/spreadsheets/d/1vl4QWbWdFruual5o_wdo6ZSqXZ_it806oja4CctTLKs/edit?usp=sharing"",""พังงา!L230"")"),0)</f>
        <v>0</v>
      </c>
      <c r="CF81" s="81">
        <f ca="1">IFERROR(__xludf.DUMMYFUNCTION("IMPORTRANGE(""https://docs.google.com/spreadsheets/d/1vl4QWbWdFruual5o_wdo6ZSqXZ_it806oja4CctTLKs/edit?usp=sharing"",""พังงา!N230"")"),0)</f>
        <v>0</v>
      </c>
      <c r="CG81" s="82">
        <f t="shared" ca="1" si="104"/>
        <v>0</v>
      </c>
      <c r="CH81" s="81">
        <f ca="1">IFERROR(__xludf.DUMMYFUNCTION("IMPORTRANGE(""https://docs.google.com/spreadsheets/d/1vl4QWbWdFruual5o_wdo6ZSqXZ_it806oja4CctTLKs/edit?usp=sharing"",""พังงา!L231"")"),0)</f>
        <v>0</v>
      </c>
      <c r="CI81" s="81">
        <f ca="1">IFERROR(__xludf.DUMMYFUNCTION("IMPORTRANGE(""https://docs.google.com/spreadsheets/d/1vl4QWbWdFruual5o_wdo6ZSqXZ_it806oja4CctTLKs/edit?usp=sharing"",""พังงา!N231"")"),0)</f>
        <v>0</v>
      </c>
      <c r="CJ81" s="82">
        <f t="shared" ca="1" si="105"/>
        <v>0</v>
      </c>
      <c r="CK81" s="81">
        <f ca="1">IFERROR(__xludf.DUMMYFUNCTION("IMPORTRANGE(""https://docs.google.com/spreadsheets/d/1vl4QWbWdFruual5o_wdo6ZSqXZ_it806oja4CctTLKs/edit?usp=sharing"",""พังงา!I233"")"),0)</f>
        <v>0</v>
      </c>
      <c r="CL81" s="81">
        <f ca="1">IFERROR(__xludf.DUMMYFUNCTION("IMPORTRANGE(""https://docs.google.com/spreadsheets/d/1vl4QWbWdFruual5o_wdo6ZSqXZ_it806oja4CctTLKs/edit?usp=sharing"",""พังงา!J233"")"),0)</f>
        <v>0</v>
      </c>
      <c r="CM81" s="82">
        <f t="shared" ca="1" si="106"/>
        <v>0</v>
      </c>
      <c r="CN81" s="81">
        <f ca="1">IFERROR(__xludf.DUMMYFUNCTION("IMPORTRANGE(""https://docs.google.com/spreadsheets/d/1vl4QWbWdFruual5o_wdo6ZSqXZ_it806oja4CctTLKs/edit?usp=sharing"",""พังงา!J235"")"),0)</f>
        <v>0</v>
      </c>
      <c r="CO81" s="81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3">
        <v>8</v>
      </c>
      <c r="B82" s="74" t="s">
        <v>104</v>
      </c>
      <c r="C82" s="75">
        <f t="shared" ca="1" si="0"/>
        <v>38500</v>
      </c>
      <c r="D82" s="76">
        <f t="shared" ca="1" si="214"/>
        <v>38500</v>
      </c>
      <c r="E82" s="77">
        <f ca="1">IFERROR(__xludf.DUMMYFUNCTION("IMPORTRANGE(""https://docs.google.com/spreadsheets/d/1MeEWN-I1oV_STSDYn1IFDPWt_1FKiwhDph83XaGc0o0/edit?usp=sharing"",""งบพรบ!CP82"")"),0)</f>
        <v>0</v>
      </c>
      <c r="F82" s="77">
        <f ca="1">IFERROR(__xludf.DUMMYFUNCTION("IMPORTRANGE(""https://docs.google.com/spreadsheets/d/1MeEWN-I1oV_STSDYn1IFDPWt_1FKiwhDph83XaGc0o0/edit?usp=sharing"",""งบพรบ!CQ82"")"),38500)</f>
        <v>38500</v>
      </c>
      <c r="G82" s="77">
        <f ca="1">IFERROR(__xludf.DUMMYFUNCTION("IMPORTRANGE(""https://docs.google.com/spreadsheets/d/1MeEWN-I1oV_STSDYn1IFDPWt_1FKiwhDph83XaGc0o0/edit?usp=sharing"",""งบพรบ!CR82"")"),0)</f>
        <v>0</v>
      </c>
      <c r="H82" s="77">
        <f ca="1">IFERROR(__xludf.DUMMYFUNCTION("IMPORTRANGE(""https://docs.google.com/spreadsheets/d/1MeEWN-I1oV_STSDYn1IFDPWt_1FKiwhDph83XaGc0o0/edit?usp=sharing"",""งบพรบ!CT82"")"),57440)</f>
        <v>57440</v>
      </c>
      <c r="I82" s="77">
        <f ca="1">IFERROR(__xludf.DUMMYFUNCTION("IMPORTRANGE(""https://docs.google.com/spreadsheets/d/1MeEWN-I1oV_STSDYn1IFDPWt_1FKiwhDph83XaGc0o0/edit?usp=sharing"",""งบพรบ!CU82"")"),0)</f>
        <v>0</v>
      </c>
      <c r="J82" s="77">
        <f t="shared" ca="1" si="3"/>
        <v>55592</v>
      </c>
      <c r="K82" s="78">
        <f t="shared" ca="1" si="4"/>
        <v>144.3948051948052</v>
      </c>
      <c r="L82" s="77">
        <f ca="1">IFERROR(__xludf.DUMMYFUNCTION("IMPORTRANGE(""https://docs.google.com/spreadsheets/d/1MeEWN-I1oV_STSDYn1IFDPWt_1FKiwhDph83XaGc0o0/edit?usp=sharing"",""งบพรบ!CV82"")"),55592)</f>
        <v>55592</v>
      </c>
      <c r="M82" s="79">
        <f t="shared" ca="1" si="5"/>
        <v>144.3948051948052</v>
      </c>
      <c r="N82" s="79">
        <f t="shared" ca="1" si="6"/>
        <v>96.782729805013929</v>
      </c>
      <c r="O82" s="80">
        <f ca="1">IFERROR(__xludf.DUMMYFUNCTION("IMPORTRANGE(""https://docs.google.com/spreadsheets/d/1MeEWN-I1oV_STSDYn1IFDPWt_1FKiwhDph83XaGc0o0/edit?usp=sharing"",""งบพรบ!CW82"")"),0)</f>
        <v>0</v>
      </c>
      <c r="P82" s="80">
        <f t="shared" ca="1" si="10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IFERROR(__xludf.DUMMYFUNCTION("IMPORTRANGE(""https://docs.google.com/spreadsheets/d/1b6QssHQp2FoAPSMKHOy273KNzAomaIKhtdlvuZ_zDNE/edit?usp=sharing"",""พัทลุง!L191"")"),6000)</f>
        <v>6000</v>
      </c>
      <c r="S82" s="81">
        <f ca="1">IFERROR(__xludf.DUMMYFUNCTION("IMPORTRANGE(""https://docs.google.com/spreadsheets/d/1b6QssHQp2FoAPSMKHOy273KNzAomaIKhtdlvuZ_zDNE/edit?usp=sharing"",""พัทลุง!N191"")"),6000)</f>
        <v>6000</v>
      </c>
      <c r="T82" s="82">
        <f t="shared" ca="1" si="84"/>
        <v>100</v>
      </c>
      <c r="U82" s="81">
        <f ca="1">IFERROR(__xludf.DUMMYFUNCTION("IMPORTRANGE(""https://docs.google.com/spreadsheets/d/1b6QssHQp2FoAPSMKHOy273KNzAomaIKhtdlvuZ_zDNE/edit?usp=sharing"",""พัทลุง!I193"")"),4)</f>
        <v>4</v>
      </c>
      <c r="V82" s="81">
        <f ca="1">IFERROR(__xludf.DUMMYFUNCTION("IMPORTRANGE(""https://docs.google.com/spreadsheets/d/1b6QssHQp2FoAPSMKHOy273KNzAomaIKhtdlvuZ_zDNE/edit?usp=sharing"",""พัทลุง!J193"")"),4)</f>
        <v>4</v>
      </c>
      <c r="W82" s="82">
        <f t="shared" ca="1" si="85"/>
        <v>100</v>
      </c>
      <c r="X82" s="81">
        <f t="shared" ca="1" si="215"/>
        <v>80</v>
      </c>
      <c r="Y82" s="81">
        <f ca="1">IFERROR(__xludf.DUMMYFUNCTION("IMPORTRANGE(""https://docs.google.com/spreadsheets/d/1b6QssHQp2FoAPSMKHOy273KNzAomaIKhtdlvuZ_zDNE/edit?usp=sharing"",""พัทลุง!J195"")"),80)</f>
        <v>80</v>
      </c>
      <c r="Z82" s="81">
        <f ca="1">IFERROR(__xludf.DUMMYFUNCTION("IMPORTRANGE(""https://docs.google.com/spreadsheets/d/1b6QssHQp2FoAPSMKHOy273KNzAomaIKhtdlvuZ_zDNE/edit?usp=sharing"",""พัทลุง!J196"")"),0)</f>
        <v>0</v>
      </c>
      <c r="AA82" s="81">
        <f ca="1">IFERROR(__xludf.DUMMYFUNCTION("IMPORTRANGE(""https://docs.google.com/spreadsheets/d/1b6QssHQp2FoAPSMKHOy273KNzAomaIKhtdlvuZ_zDNE/edit?usp=sharing"",""พัทลุง!L199"")"),2000)</f>
        <v>2000</v>
      </c>
      <c r="AB82" s="81">
        <f ca="1">IFERROR(__xludf.DUMMYFUNCTION("IMPORTRANGE(""https://docs.google.com/spreadsheets/d/1b6QssHQp2FoAPSMKHOy273KNzAomaIKhtdlvuZ_zDNE/edit?usp=sharing"",""พัทลุง!N199"")"),856)</f>
        <v>856</v>
      </c>
      <c r="AC82" s="82">
        <f t="shared" ca="1" si="86"/>
        <v>42.8</v>
      </c>
      <c r="AD82" s="81">
        <f ca="1">IFERROR(__xludf.DUMMYFUNCTION("IMPORTRANGE(""https://docs.google.com/spreadsheets/d/1b6QssHQp2FoAPSMKHOy273KNzAomaIKhtdlvuZ_zDNE/edit?usp=sharing"",""พัทลุง!L200"")"),16000)</f>
        <v>16000</v>
      </c>
      <c r="AE82" s="81">
        <f ca="1">IFERROR(__xludf.DUMMYFUNCTION("IMPORTRANGE(""https://docs.google.com/spreadsheets/d/1b6QssHQp2FoAPSMKHOy273KNzAomaIKhtdlvuZ_zDNE/edit?usp=sharing"",""พัทลุง!N200"")"),17144)</f>
        <v>17144</v>
      </c>
      <c r="AF82" s="82">
        <f t="shared" ca="1" si="87"/>
        <v>107.15</v>
      </c>
      <c r="AG82" s="81">
        <f ca="1">IFERROR(__xludf.DUMMYFUNCTION("IMPORTRANGE(""https://docs.google.com/spreadsheets/d/1b6QssHQp2FoAPSMKHOy273KNzAomaIKhtdlvuZ_zDNE/edit?usp=sharing"",""พัทลุง!L201"")"),8000)</f>
        <v>8000</v>
      </c>
      <c r="AH82" s="81">
        <f ca="1">IFERROR(__xludf.DUMMYFUNCTION("IMPORTRANGE(""https://docs.google.com/spreadsheets/d/1b6QssHQp2FoAPSMKHOy273KNzAomaIKhtdlvuZ_zDNE/edit?usp=sharing"",""พัทลุง!N201"")"),8000)</f>
        <v>8000</v>
      </c>
      <c r="AI82" s="82">
        <f t="shared" ca="1" si="88"/>
        <v>100</v>
      </c>
      <c r="AJ82" s="81">
        <f ca="1">IFERROR(__xludf.DUMMYFUNCTION("IMPORTRANGE(""https://docs.google.com/spreadsheets/d/1b6QssHQp2FoAPSMKHOy273KNzAomaIKhtdlvuZ_zDNE/edit?usp=sharing"",""พัทลุง!L202"")"),0)</f>
        <v>0</v>
      </c>
      <c r="AK82" s="81">
        <f ca="1">IFERROR(__xludf.DUMMYFUNCTION("IMPORTRANGE(""https://docs.google.com/spreadsheets/d/1b6QssHQp2FoAPSMKHOy273KNzAomaIKhtdlvuZ_zDNE/edit?usp=sharing"",""พัทลุง!N202"")"),0)</f>
        <v>0</v>
      </c>
      <c r="AL82" s="82">
        <f t="shared" ca="1" si="89"/>
        <v>0</v>
      </c>
      <c r="AM82" s="81">
        <f ca="1">IFERROR(__xludf.DUMMYFUNCTION("IMPORTRANGE(""https://docs.google.com/spreadsheets/d/1b6QssHQp2FoAPSMKHOy273KNzAomaIKhtdlvuZ_zDNE/edit?usp=sharing"",""พัทลุง!I204"")"),2)</f>
        <v>2</v>
      </c>
      <c r="AN82" s="81">
        <f ca="1">IFERROR(__xludf.DUMMYFUNCTION("IMPORTRANGE(""https://docs.google.com/spreadsheets/d/1b6QssHQp2FoAPSMKHOy273KNzAomaIKhtdlvuZ_zDNE/edit?usp=sharing"",""พัทลุง!J204"")"),2)</f>
        <v>2</v>
      </c>
      <c r="AO82" s="82">
        <f t="shared" ca="1" si="90"/>
        <v>100</v>
      </c>
      <c r="AP82" s="297">
        <f ca="1">IFERROR(__xludf.DUMMYFUNCTION("IMPORTRANGE(""https://docs.google.com/spreadsheets/d/1b6QssHQp2FoAPSMKHOy273KNzAomaIKhtdlvuZ_zDNE/edit?usp=sharing"",""พัทลุง!J206"")"),2)</f>
        <v>2</v>
      </c>
      <c r="AQ82" s="297">
        <f ca="1">IFERROR(__xludf.DUMMYFUNCTION("IMPORTRANGE(""https://docs.google.com/spreadsheets/d/1b6QssHQp2FoAPSMKHOy273KNzAomaIKhtdlvuZ_zDNE/edit?usp=sharing"",""พัทลุง!J207"")"),0)</f>
        <v>0</v>
      </c>
      <c r="AR82" s="81">
        <f ca="1">IFERROR(__xludf.DUMMYFUNCTION("IMPORTRANGE(""https://docs.google.com/spreadsheets/d/1b6QssHQp2FoAPSMKHOy273KNzAomaIKhtdlvuZ_zDNE/edit?usp=sharing"",""พัทลุง!L210"")"),0)</f>
        <v>0</v>
      </c>
      <c r="AS82" s="81">
        <f ca="1">IFERROR(__xludf.DUMMYFUNCTION("IMPORTRANGE(""https://docs.google.com/spreadsheets/d/1b6QssHQp2FoAPSMKHOy273KNzAomaIKhtdlvuZ_zDNE/edit?usp=sharing"",""พัทลุง!N210"")"),0)</f>
        <v>0</v>
      </c>
      <c r="AT82" s="82">
        <f t="shared" ca="1" si="91"/>
        <v>0</v>
      </c>
      <c r="AU82" s="81">
        <f ca="1">IFERROR(__xludf.DUMMYFUNCTION("IMPORTRANGE(""https://docs.google.com/spreadsheets/d/1b6QssHQp2FoAPSMKHOy273KNzAomaIKhtdlvuZ_zDNE/edit?usp=sharing"",""พัทลุง!L211"")"),0)</f>
        <v>0</v>
      </c>
      <c r="AV82" s="81">
        <f ca="1">IFERROR(__xludf.DUMMYFUNCTION("IMPORTRANGE(""https://docs.google.com/spreadsheets/d/1b6QssHQp2FoAPSMKHOy273KNzAomaIKhtdlvuZ_zDNE/edit?usp=sharing"",""พัทลุง!N211"")"),0)</f>
        <v>0</v>
      </c>
      <c r="AW82" s="82">
        <f t="shared" ca="1" si="92"/>
        <v>0</v>
      </c>
      <c r="AX82" s="81">
        <f ca="1">IFERROR(__xludf.DUMMYFUNCTION("IMPORTRANGE(""https://docs.google.com/spreadsheets/d/1b6QssHQp2FoAPSMKHOy273KNzAomaIKhtdlvuZ_zDNE/edit?usp=sharing"",""พัทลุง!L212"")"),0)</f>
        <v>0</v>
      </c>
      <c r="AY82" s="81">
        <f ca="1">IFERROR(__xludf.DUMMYFUNCTION("IMPORTRANGE(""https://docs.google.com/spreadsheets/d/1b6QssHQp2FoAPSMKHOy273KNzAomaIKhtdlvuZ_zDNE/edit?usp=sharing"",""พัทลุง!N212"")"),0)</f>
        <v>0</v>
      </c>
      <c r="AZ82" s="82">
        <f t="shared" ca="1" si="93"/>
        <v>0</v>
      </c>
      <c r="BA82" s="81">
        <f ca="1">IFERROR(__xludf.DUMMYFUNCTION("IMPORTRANGE(""https://docs.google.com/spreadsheets/d/1b6QssHQp2FoAPSMKHOy273KNzAomaIKhtdlvuZ_zDNE/edit?usp=sharing"",""พัทลุง!I214"")"),0)</f>
        <v>0</v>
      </c>
      <c r="BB82" s="81">
        <f ca="1">IFERROR(__xludf.DUMMYFUNCTION("IMPORTRANGE(""https://docs.google.com/spreadsheets/d/1b6QssHQp2FoAPSMKHOy273KNzAomaIKhtdlvuZ_zDNE/edit?usp=sharing"",""พัทลุง!J214"")"),0)</f>
        <v>0</v>
      </c>
      <c r="BC82" s="82">
        <f t="shared" ca="1" si="94"/>
        <v>0</v>
      </c>
      <c r="BD82" s="81">
        <f ca="1">IFERROR(__xludf.DUMMYFUNCTION("IMPORTRANGE(""https://docs.google.com/spreadsheets/d/1b6QssHQp2FoAPSMKHOy273KNzAomaIKhtdlvuZ_zDNE/edit?usp=sharing"",""พัทลุง!I215"")"),0)</f>
        <v>0</v>
      </c>
      <c r="BE82" s="81">
        <f ca="1">IFERROR(__xludf.DUMMYFUNCTION("IMPORTRANGE(""https://docs.google.com/spreadsheets/d/1b6QssHQp2FoAPSMKHOy273KNzAomaIKhtdlvuZ_zDNE/edit?usp=sharing"",""พัทลุง!J215"")"),0)</f>
        <v>0</v>
      </c>
      <c r="BF82" s="82">
        <f t="shared" ca="1" si="95"/>
        <v>0</v>
      </c>
      <c r="BG82" s="81">
        <f ca="1">IFERROR(__xludf.DUMMYFUNCTION("IMPORTRANGE(""https://docs.google.com/spreadsheets/d/1b6QssHQp2FoAPSMKHOy273KNzAomaIKhtdlvuZ_zDNE/edit?usp=sharing"",""พัทลุง!L218"")"),3000)</f>
        <v>3000</v>
      </c>
      <c r="BH82" s="81">
        <f ca="1">IFERROR(__xludf.DUMMYFUNCTION("IMPORTRANGE(""https://docs.google.com/spreadsheets/d/1b6QssHQp2FoAPSMKHOy273KNzAomaIKhtdlvuZ_zDNE/edit?usp=sharing"",""พัทลุง!N218"")"),3000)</f>
        <v>3000</v>
      </c>
      <c r="BI82" s="82">
        <f t="shared" ca="1" si="96"/>
        <v>100</v>
      </c>
      <c r="BJ82" s="81">
        <f ca="1">IFERROR(__xludf.DUMMYFUNCTION("IMPORTRANGE(""https://docs.google.com/spreadsheets/d/1b6QssHQp2FoAPSMKHOy273KNzAomaIKhtdlvuZ_zDNE/edit?usp=sharing"",""พัทลุง!L219"")"),3500)</f>
        <v>3500</v>
      </c>
      <c r="BK82" s="81">
        <f ca="1">IFERROR(__xludf.DUMMYFUNCTION("IMPORTRANGE(""https://docs.google.com/spreadsheets/d/1b6QssHQp2FoAPSMKHOy273KNzAomaIKhtdlvuZ_zDNE/edit?usp=sharing"",""พัทลุง!N219"")"),3500)</f>
        <v>3500</v>
      </c>
      <c r="BL82" s="82">
        <f t="shared" ca="1" si="97"/>
        <v>100</v>
      </c>
      <c r="BM82" s="81">
        <f ca="1">IFERROR(__xludf.DUMMYFUNCTION("IMPORTRANGE(""https://docs.google.com/spreadsheets/d/1b6QssHQp2FoAPSMKHOy273KNzAomaIKhtdlvuZ_zDNE/edit?usp=sharing"",""พัทลุง!L220"")"),0)</f>
        <v>0</v>
      </c>
      <c r="BN82" s="81">
        <f ca="1">IFERROR(__xludf.DUMMYFUNCTION("IMPORTRANGE(""https://docs.google.com/spreadsheets/d/1b6QssHQp2FoAPSMKHOy273KNzAomaIKhtdlvuZ_zDNE/edit?usp=sharing"",""พัทลุง!N220"")"),0)</f>
        <v>0</v>
      </c>
      <c r="BO82" s="82">
        <f t="shared" ca="1" si="98"/>
        <v>0</v>
      </c>
      <c r="BP82" s="81">
        <f ca="1">IFERROR(__xludf.DUMMYFUNCTION("IMPORTRANGE(""https://docs.google.com/spreadsheets/d/1b6QssHQp2FoAPSMKHOy273KNzAomaIKhtdlvuZ_zDNE/edit?usp=sharing"",""พัทลุง!I223"")"),10000)</f>
        <v>10000</v>
      </c>
      <c r="BQ82" s="81">
        <f ca="1">IFERROR(__xludf.DUMMYFUNCTION("IMPORTRANGE(""https://docs.google.com/spreadsheets/d/1b6QssHQp2FoAPSMKHOy273KNzAomaIKhtdlvuZ_zDNE/edit?usp=sharing"",""พัทลุง!J223"")"),10000)</f>
        <v>10000</v>
      </c>
      <c r="BR82" s="82">
        <f t="shared" ca="1" si="99"/>
        <v>100</v>
      </c>
      <c r="BS82" s="81">
        <f ca="1">IFERROR(__xludf.DUMMYFUNCTION("IMPORTRANGE(""https://docs.google.com/spreadsheets/d/1b6QssHQp2FoAPSMKHOy273KNzAomaIKhtdlvuZ_zDNE/edit?usp=sharing"",""พัทลุง!I224"")"),10000)</f>
        <v>10000</v>
      </c>
      <c r="BT82" s="81">
        <f ca="1">IFERROR(__xludf.DUMMYFUNCTION("IMPORTRANGE(""https://docs.google.com/spreadsheets/d/1b6QssHQp2FoAPSMKHOy273KNzAomaIKhtdlvuZ_zDNE/edit?usp=sharing"",""พัทลุง!J224"")"),10000)</f>
        <v>10000</v>
      </c>
      <c r="BU82" s="82">
        <f t="shared" ca="1" si="100"/>
        <v>100</v>
      </c>
      <c r="BV82" s="81">
        <f ca="1">IFERROR(__xludf.DUMMYFUNCTION("IMPORTRANGE(""https://docs.google.com/spreadsheets/d/1b6QssHQp2FoAPSMKHOy273KNzAomaIKhtdlvuZ_zDNE/edit?usp=sharing"",""พัทลุง!I225"")"),0)</f>
        <v>0</v>
      </c>
      <c r="BW82" s="81">
        <f ca="1">IFERROR(__xludf.DUMMYFUNCTION("IMPORTRANGE(""https://docs.google.com/spreadsheets/d/1b6QssHQp2FoAPSMKHOy273KNzAomaIKhtdlvuZ_zDNE/edit?usp=sharing"",""พัทลุง!J225"")"),0)</f>
        <v>0</v>
      </c>
      <c r="BX82" s="82">
        <f t="shared" ca="1" si="101"/>
        <v>0</v>
      </c>
      <c r="BY82" s="81">
        <f ca="1">IFERROR(__xludf.DUMMYFUNCTION("IMPORTRANGE(""https://docs.google.com/spreadsheets/d/1b6QssHQp2FoAPSMKHOy273KNzAomaIKhtdlvuZ_zDNE/edit?usp=sharing"",""พัทลุง!L228"")"),0)</f>
        <v>0</v>
      </c>
      <c r="BZ82" s="81">
        <f ca="1">IFERROR(__xludf.DUMMYFUNCTION("IMPORTRANGE(""https://docs.google.com/spreadsheets/d/1b6QssHQp2FoAPSMKHOy273KNzAomaIKhtdlvuZ_zDNE/edit?usp=sharing"",""พัทลุง!N228"")"),0)</f>
        <v>0</v>
      </c>
      <c r="CA82" s="82">
        <f t="shared" ca="1" si="102"/>
        <v>0</v>
      </c>
      <c r="CB82" s="81">
        <f ca="1">IFERROR(__xludf.DUMMYFUNCTION("IMPORTRANGE(""https://docs.google.com/spreadsheets/d/1b6QssHQp2FoAPSMKHOy273KNzAomaIKhtdlvuZ_zDNE/edit?usp=sharing"",""พัทลุง!L229"")"),0)</f>
        <v>0</v>
      </c>
      <c r="CC82" s="81">
        <f ca="1">IFERROR(__xludf.DUMMYFUNCTION("IMPORTRANGE(""https://docs.google.com/spreadsheets/d/1b6QssHQp2FoAPSMKHOy273KNzAomaIKhtdlvuZ_zDNE/edit?usp=sharing"",""พัทลุง!N229"")"),0)</f>
        <v>0</v>
      </c>
      <c r="CD82" s="82">
        <f t="shared" ca="1" si="103"/>
        <v>0</v>
      </c>
      <c r="CE82" s="81">
        <f ca="1">IFERROR(__xludf.DUMMYFUNCTION("IMPORTRANGE(""https://docs.google.com/spreadsheets/d/1b6QssHQp2FoAPSMKHOy273KNzAomaIKhtdlvuZ_zDNE/edit?usp=sharing"",""พัทลุง!L230"")"),0)</f>
        <v>0</v>
      </c>
      <c r="CF82" s="81">
        <f ca="1">IFERROR(__xludf.DUMMYFUNCTION("IMPORTRANGE(""https://docs.google.com/spreadsheets/d/1b6QssHQp2FoAPSMKHOy273KNzAomaIKhtdlvuZ_zDNE/edit?usp=sharing"",""พัทลุง!N230"")"),0)</f>
        <v>0</v>
      </c>
      <c r="CG82" s="82">
        <f t="shared" ca="1" si="104"/>
        <v>0</v>
      </c>
      <c r="CH82" s="81">
        <f ca="1">IFERROR(__xludf.DUMMYFUNCTION("IMPORTRANGE(""https://docs.google.com/spreadsheets/d/1b6QssHQp2FoAPSMKHOy273KNzAomaIKhtdlvuZ_zDNE/edit?usp=sharing"",""พัทลุง!L231"")"),0)</f>
        <v>0</v>
      </c>
      <c r="CI82" s="81">
        <f ca="1">IFERROR(__xludf.DUMMYFUNCTION("IMPORTRANGE(""https://docs.google.com/spreadsheets/d/1b6QssHQp2FoAPSMKHOy273KNzAomaIKhtdlvuZ_zDNE/edit?usp=sharing"",""พัทลุง!N231"")"),0)</f>
        <v>0</v>
      </c>
      <c r="CJ82" s="82">
        <f t="shared" ca="1" si="105"/>
        <v>0</v>
      </c>
      <c r="CK82" s="81">
        <f ca="1">IFERROR(__xludf.DUMMYFUNCTION("IMPORTRANGE(""https://docs.google.com/spreadsheets/d/1b6QssHQp2FoAPSMKHOy273KNzAomaIKhtdlvuZ_zDNE/edit?usp=sharing"",""พัทลุง!I233"")"),0)</f>
        <v>0</v>
      </c>
      <c r="CL82" s="81">
        <f ca="1">IFERROR(__xludf.DUMMYFUNCTION("IMPORTRANGE(""https://docs.google.com/spreadsheets/d/1b6QssHQp2FoAPSMKHOy273KNzAomaIKhtdlvuZ_zDNE/edit?usp=sharing"",""พัทลุง!J233"")"),0)</f>
        <v>0</v>
      </c>
      <c r="CM82" s="82">
        <f t="shared" ca="1" si="106"/>
        <v>0</v>
      </c>
      <c r="CN82" s="81">
        <f ca="1">IFERROR(__xludf.DUMMYFUNCTION("IMPORTRANGE(""https://docs.google.com/spreadsheets/d/1b6QssHQp2FoAPSMKHOy273KNzAomaIKhtdlvuZ_zDNE/edit?usp=sharing"",""พัทลุง!J235"")"),0)</f>
        <v>0</v>
      </c>
      <c r="CO82" s="81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3">
        <v>9</v>
      </c>
      <c r="B83" s="74" t="s">
        <v>105</v>
      </c>
      <c r="C83" s="75">
        <f t="shared" ca="1" si="0"/>
        <v>6000</v>
      </c>
      <c r="D83" s="76">
        <f t="shared" ca="1" si="214"/>
        <v>6000</v>
      </c>
      <c r="E83" s="77">
        <f ca="1">IFERROR(__xludf.DUMMYFUNCTION("IMPORTRANGE(""https://docs.google.com/spreadsheets/d/1MeEWN-I1oV_STSDYn1IFDPWt_1FKiwhDph83XaGc0o0/edit?usp=sharing"",""งบพรบ!CP83"")"),0)</f>
        <v>0</v>
      </c>
      <c r="F83" s="77">
        <f ca="1">IFERROR(__xludf.DUMMYFUNCTION("IMPORTRANGE(""https://docs.google.com/spreadsheets/d/1MeEWN-I1oV_STSDYn1IFDPWt_1FKiwhDph83XaGc0o0/edit?usp=sharing"",""งบพรบ!CQ83"")"),6000)</f>
        <v>6000</v>
      </c>
      <c r="G83" s="77">
        <f ca="1">IFERROR(__xludf.DUMMYFUNCTION("IMPORTRANGE(""https://docs.google.com/spreadsheets/d/1MeEWN-I1oV_STSDYn1IFDPWt_1FKiwhDph83XaGc0o0/edit?usp=sharing"",""งบพรบ!CR83"")"),0)</f>
        <v>0</v>
      </c>
      <c r="H83" s="77">
        <f ca="1">IFERROR(__xludf.DUMMYFUNCTION("IMPORTRANGE(""https://docs.google.com/spreadsheets/d/1MeEWN-I1oV_STSDYn1IFDPWt_1FKiwhDph83XaGc0o0/edit?usp=sharing"",""งบพรบ!CT83"")"),6000)</f>
        <v>6000</v>
      </c>
      <c r="I83" s="77">
        <f ca="1">IFERROR(__xludf.DUMMYFUNCTION("IMPORTRANGE(""https://docs.google.com/spreadsheets/d/1MeEWN-I1oV_STSDYn1IFDPWt_1FKiwhDph83XaGc0o0/edit?usp=sharing"",""งบพรบ!CU83"")"),0)</f>
        <v>0</v>
      </c>
      <c r="J83" s="77">
        <f t="shared" ca="1" si="3"/>
        <v>6000</v>
      </c>
      <c r="K83" s="78">
        <f t="shared" ca="1" si="4"/>
        <v>100</v>
      </c>
      <c r="L83" s="77">
        <f ca="1">IFERROR(__xludf.DUMMYFUNCTION("IMPORTRANGE(""https://docs.google.com/spreadsheets/d/1MeEWN-I1oV_STSDYn1IFDPWt_1FKiwhDph83XaGc0o0/edit?usp=sharing"",""งบพรบ!CV83"")"),6000)</f>
        <v>6000</v>
      </c>
      <c r="M83" s="79">
        <f t="shared" ca="1" si="5"/>
        <v>100</v>
      </c>
      <c r="N83" s="79">
        <f t="shared" ca="1" si="6"/>
        <v>100</v>
      </c>
      <c r="O83" s="80">
        <f ca="1">IFERROR(__xludf.DUMMYFUNCTION("IMPORTRANGE(""https://docs.google.com/spreadsheets/d/1MeEWN-I1oV_STSDYn1IFDPWt_1FKiwhDph83XaGc0o0/edit?usp=sharing"",""งบพรบ!CW83"")"),0)</f>
        <v>0</v>
      </c>
      <c r="P83" s="80">
        <f t="shared" ca="1" si="10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IFERROR(__xludf.DUMMYFUNCTION("IMPORTRANGE(""https://docs.google.com/spreadsheets/d/1o7UZe4_OqlqtLDHrj01Z2YFRSZDf1DMy1n3XViHaxRc/edit?usp=sharing"",""ภูเก็ต!L191"")"),6000)</f>
        <v>6000</v>
      </c>
      <c r="S83" s="81">
        <f ca="1">IFERROR(__xludf.DUMMYFUNCTION("IMPORTRANGE(""https://docs.google.com/spreadsheets/d/1o7UZe4_OqlqtLDHrj01Z2YFRSZDf1DMy1n3XViHaxRc/edit?usp=sharing"",""ภูเก็ต!N191"")"),6000)</f>
        <v>6000</v>
      </c>
      <c r="T83" s="82">
        <f t="shared" ca="1" si="84"/>
        <v>100</v>
      </c>
      <c r="U83" s="81">
        <f ca="1">IFERROR(__xludf.DUMMYFUNCTION("IMPORTRANGE(""https://docs.google.com/spreadsheets/d/1o7UZe4_OqlqtLDHrj01Z2YFRSZDf1DMy1n3XViHaxRc/edit?usp=sharing"",""ภูเก็ต!I193"")"),4)</f>
        <v>4</v>
      </c>
      <c r="V83" s="81">
        <f ca="1">IFERROR(__xludf.DUMMYFUNCTION("IMPORTRANGE(""https://docs.google.com/spreadsheets/d/1o7UZe4_OqlqtLDHrj01Z2YFRSZDf1DMy1n3XViHaxRc/edit?usp=sharing"",""ภูเก็ต!J193"")"),4)</f>
        <v>4</v>
      </c>
      <c r="W83" s="82">
        <f t="shared" ca="1" si="85"/>
        <v>100</v>
      </c>
      <c r="X83" s="81">
        <f t="shared" ca="1" si="215"/>
        <v>129</v>
      </c>
      <c r="Y83" s="81">
        <f ca="1">IFERROR(__xludf.DUMMYFUNCTION("IMPORTRANGE(""https://docs.google.com/spreadsheets/d/1o7UZe4_OqlqtLDHrj01Z2YFRSZDf1DMy1n3XViHaxRc/edit?usp=sharing"",""ภูเก็ต!J195"")"),129)</f>
        <v>129</v>
      </c>
      <c r="Z83" s="81">
        <f ca="1">IFERROR(__xludf.DUMMYFUNCTION("IMPORTRANGE(""https://docs.google.com/spreadsheets/d/1o7UZe4_OqlqtLDHrj01Z2YFRSZDf1DMy1n3XViHaxRc/edit?usp=sharing"",""ภูเก็ต!J196"")"),0)</f>
        <v>0</v>
      </c>
      <c r="AA83" s="81">
        <f ca="1">IFERROR(__xludf.DUMMYFUNCTION("IMPORTRANGE(""https://docs.google.com/spreadsheets/d/1o7UZe4_OqlqtLDHrj01Z2YFRSZDf1DMy1n3XViHaxRc/edit?usp=sharing"",""ภูเก็ต!L199"")"),0)</f>
        <v>0</v>
      </c>
      <c r="AB83" s="81">
        <f ca="1">IFERROR(__xludf.DUMMYFUNCTION("IMPORTRANGE(""https://docs.google.com/spreadsheets/d/1o7UZe4_OqlqtLDHrj01Z2YFRSZDf1DMy1n3XViHaxRc/edit?usp=sharing"",""ภูเก็ต!N199"")"),0)</f>
        <v>0</v>
      </c>
      <c r="AC83" s="82">
        <f t="shared" ca="1" si="86"/>
        <v>0</v>
      </c>
      <c r="AD83" s="81">
        <f ca="1">IFERROR(__xludf.DUMMYFUNCTION("IMPORTRANGE(""https://docs.google.com/spreadsheets/d/1o7UZe4_OqlqtLDHrj01Z2YFRSZDf1DMy1n3XViHaxRc/edit?usp=sharing"",""ภูเก็ต!L200"")"),0)</f>
        <v>0</v>
      </c>
      <c r="AE83" s="81">
        <f ca="1">IFERROR(__xludf.DUMMYFUNCTION("IMPORTRANGE(""https://docs.google.com/spreadsheets/d/1o7UZe4_OqlqtLDHrj01Z2YFRSZDf1DMy1n3XViHaxRc/edit?usp=sharing"",""ภูเก็ต!N200"")"),0)</f>
        <v>0</v>
      </c>
      <c r="AF83" s="82">
        <f t="shared" ca="1" si="87"/>
        <v>0</v>
      </c>
      <c r="AG83" s="81">
        <f ca="1">IFERROR(__xludf.DUMMYFUNCTION("IMPORTRANGE(""https://docs.google.com/spreadsheets/d/1o7UZe4_OqlqtLDHrj01Z2YFRSZDf1DMy1n3XViHaxRc/edit?usp=sharing"",""ภูเก็ต!L201"")"),0)</f>
        <v>0</v>
      </c>
      <c r="AH83" s="81">
        <f ca="1">IFERROR(__xludf.DUMMYFUNCTION("IMPORTRANGE(""https://docs.google.com/spreadsheets/d/1o7UZe4_OqlqtLDHrj01Z2YFRSZDf1DMy1n3XViHaxRc/edit?usp=sharing"",""ภูเก็ต!N201"")"),0)</f>
        <v>0</v>
      </c>
      <c r="AI83" s="82">
        <f t="shared" ca="1" si="88"/>
        <v>0</v>
      </c>
      <c r="AJ83" s="81">
        <f ca="1">IFERROR(__xludf.DUMMYFUNCTION("IMPORTRANGE(""https://docs.google.com/spreadsheets/d/1o7UZe4_OqlqtLDHrj01Z2YFRSZDf1DMy1n3XViHaxRc/edit?usp=sharing"",""ภูเก็ต!L202"")"),0)</f>
        <v>0</v>
      </c>
      <c r="AK83" s="81">
        <f ca="1">IFERROR(__xludf.DUMMYFUNCTION("IMPORTRANGE(""https://docs.google.com/spreadsheets/d/1o7UZe4_OqlqtLDHrj01Z2YFRSZDf1DMy1n3XViHaxRc/edit?usp=sharing"",""ภูเก็ต!N202"")"),0)</f>
        <v>0</v>
      </c>
      <c r="AL83" s="82">
        <f t="shared" ca="1" si="89"/>
        <v>0</v>
      </c>
      <c r="AM83" s="81">
        <f ca="1">IFERROR(__xludf.DUMMYFUNCTION("IMPORTRANGE(""https://docs.google.com/spreadsheets/d/1o7UZe4_OqlqtLDHrj01Z2YFRSZDf1DMy1n3XViHaxRc/edit?usp=sharing"",""ภูเก็ต!I204"")"),0)</f>
        <v>0</v>
      </c>
      <c r="AN83" s="81">
        <f ca="1">IFERROR(__xludf.DUMMYFUNCTION("IMPORTRANGE(""https://docs.google.com/spreadsheets/d/1o7UZe4_OqlqtLDHrj01Z2YFRSZDf1DMy1n3XViHaxRc/edit?usp=sharing"",""ภูเก็ต!J204"")"),0)</f>
        <v>0</v>
      </c>
      <c r="AO83" s="82">
        <f t="shared" ca="1" si="90"/>
        <v>0</v>
      </c>
      <c r="AP83" s="297">
        <f ca="1">IFERROR(__xludf.DUMMYFUNCTION("IMPORTRANGE(""https://docs.google.com/spreadsheets/d/1o7UZe4_OqlqtLDHrj01Z2YFRSZDf1DMy1n3XViHaxRc/edit?usp=sharing"",""ภูเก็ต!J206"")"),0)</f>
        <v>0</v>
      </c>
      <c r="AQ83" s="297">
        <f ca="1">IFERROR(__xludf.DUMMYFUNCTION("IMPORTRANGE(""https://docs.google.com/spreadsheets/d/1o7UZe4_OqlqtLDHrj01Z2YFRSZDf1DMy1n3XViHaxRc/edit?usp=sharing"",""ภูเก็ต!J207"")"),0)</f>
        <v>0</v>
      </c>
      <c r="AR83" s="81">
        <f ca="1">IFERROR(__xludf.DUMMYFUNCTION("IMPORTRANGE(""https://docs.google.com/spreadsheets/d/1o7UZe4_OqlqtLDHrj01Z2YFRSZDf1DMy1n3XViHaxRc/edit?usp=sharing"",""ภูเก็ต!L210"")"),0)</f>
        <v>0</v>
      </c>
      <c r="AS83" s="81">
        <f ca="1">IFERROR(__xludf.DUMMYFUNCTION("IMPORTRANGE(""https://docs.google.com/spreadsheets/d/1o7UZe4_OqlqtLDHrj01Z2YFRSZDf1DMy1n3XViHaxRc/edit?usp=sharing"",""ภูเก็ต!N210"")"),0)</f>
        <v>0</v>
      </c>
      <c r="AT83" s="82">
        <f t="shared" ca="1" si="91"/>
        <v>0</v>
      </c>
      <c r="AU83" s="81">
        <f ca="1">IFERROR(__xludf.DUMMYFUNCTION("IMPORTRANGE(""https://docs.google.com/spreadsheets/d/1o7UZe4_OqlqtLDHrj01Z2YFRSZDf1DMy1n3XViHaxRc/edit?usp=sharing"",""ภูเก็ต!L211"")"),0)</f>
        <v>0</v>
      </c>
      <c r="AV83" s="81">
        <f ca="1">IFERROR(__xludf.DUMMYFUNCTION("IMPORTRANGE(""https://docs.google.com/spreadsheets/d/1o7UZe4_OqlqtLDHrj01Z2YFRSZDf1DMy1n3XViHaxRc/edit?usp=sharing"",""ภูเก็ต!N211"")"),0)</f>
        <v>0</v>
      </c>
      <c r="AW83" s="82">
        <f t="shared" ca="1" si="92"/>
        <v>0</v>
      </c>
      <c r="AX83" s="81">
        <f ca="1">IFERROR(__xludf.DUMMYFUNCTION("IMPORTRANGE(""https://docs.google.com/spreadsheets/d/1o7UZe4_OqlqtLDHrj01Z2YFRSZDf1DMy1n3XViHaxRc/edit?usp=sharing"",""ภูเก็ต!L212"")"),0)</f>
        <v>0</v>
      </c>
      <c r="AY83" s="81">
        <f ca="1">IFERROR(__xludf.DUMMYFUNCTION("IMPORTRANGE(""https://docs.google.com/spreadsheets/d/1o7UZe4_OqlqtLDHrj01Z2YFRSZDf1DMy1n3XViHaxRc/edit?usp=sharing"",""ภูเก็ต!N212"")"),0)</f>
        <v>0</v>
      </c>
      <c r="AZ83" s="82">
        <f t="shared" ca="1" si="93"/>
        <v>0</v>
      </c>
      <c r="BA83" s="81">
        <f ca="1">IFERROR(__xludf.DUMMYFUNCTION("IMPORTRANGE(""https://docs.google.com/spreadsheets/d/1o7UZe4_OqlqtLDHrj01Z2YFRSZDf1DMy1n3XViHaxRc/edit?usp=sharing"",""ภูเก็ต!I214"")"),0)</f>
        <v>0</v>
      </c>
      <c r="BB83" s="81">
        <f ca="1">IFERROR(__xludf.DUMMYFUNCTION("IMPORTRANGE(""https://docs.google.com/spreadsheets/d/1o7UZe4_OqlqtLDHrj01Z2YFRSZDf1DMy1n3XViHaxRc/edit?usp=sharing"",""ภูเก็ต!J214"")"),0)</f>
        <v>0</v>
      </c>
      <c r="BC83" s="82">
        <f t="shared" ca="1" si="94"/>
        <v>0</v>
      </c>
      <c r="BD83" s="81">
        <f ca="1">IFERROR(__xludf.DUMMYFUNCTION("IMPORTRANGE(""https://docs.google.com/spreadsheets/d/1o7UZe4_OqlqtLDHrj01Z2YFRSZDf1DMy1n3XViHaxRc/edit?usp=sharing"",""ภูเก็ต!I215"")"),0)</f>
        <v>0</v>
      </c>
      <c r="BE83" s="81">
        <f ca="1">IFERROR(__xludf.DUMMYFUNCTION("IMPORTRANGE(""https://docs.google.com/spreadsheets/d/1o7UZe4_OqlqtLDHrj01Z2YFRSZDf1DMy1n3XViHaxRc/edit?usp=sharing"",""ภูเก็ต!J215"")"),0)</f>
        <v>0</v>
      </c>
      <c r="BF83" s="82">
        <f t="shared" ca="1" si="95"/>
        <v>0</v>
      </c>
      <c r="BG83" s="81">
        <f ca="1">IFERROR(__xludf.DUMMYFUNCTION("IMPORTRANGE(""https://docs.google.com/spreadsheets/d/1o7UZe4_OqlqtLDHrj01Z2YFRSZDf1DMy1n3XViHaxRc/edit?usp=sharing"",""ภูเก็ต!L218"")"),0)</f>
        <v>0</v>
      </c>
      <c r="BH83" s="81">
        <f ca="1">IFERROR(__xludf.DUMMYFUNCTION("IMPORTRANGE(""https://docs.google.com/spreadsheets/d/1o7UZe4_OqlqtLDHrj01Z2YFRSZDf1DMy1n3XViHaxRc/edit?usp=sharing"",""ภูเก็ต!N218"")"),0)</f>
        <v>0</v>
      </c>
      <c r="BI83" s="82">
        <f t="shared" ca="1" si="96"/>
        <v>0</v>
      </c>
      <c r="BJ83" s="81">
        <f ca="1">IFERROR(__xludf.DUMMYFUNCTION("IMPORTRANGE(""https://docs.google.com/spreadsheets/d/1o7UZe4_OqlqtLDHrj01Z2YFRSZDf1DMy1n3XViHaxRc/edit?usp=sharing"",""ภูเก็ต!L219"")"),0)</f>
        <v>0</v>
      </c>
      <c r="BK83" s="81">
        <f ca="1">IFERROR(__xludf.DUMMYFUNCTION("IMPORTRANGE(""https://docs.google.com/spreadsheets/d/1o7UZe4_OqlqtLDHrj01Z2YFRSZDf1DMy1n3XViHaxRc/edit?usp=sharing"",""ภูเก็ต!N219"")"),0)</f>
        <v>0</v>
      </c>
      <c r="BL83" s="82">
        <f t="shared" ca="1" si="97"/>
        <v>0</v>
      </c>
      <c r="BM83" s="81">
        <f ca="1">IFERROR(__xludf.DUMMYFUNCTION("IMPORTRANGE(""https://docs.google.com/spreadsheets/d/1o7UZe4_OqlqtLDHrj01Z2YFRSZDf1DMy1n3XViHaxRc/edit?usp=sharing"",""ภูเก็ต!L220"")"),0)</f>
        <v>0</v>
      </c>
      <c r="BN83" s="81">
        <f ca="1">IFERROR(__xludf.DUMMYFUNCTION("IMPORTRANGE(""https://docs.google.com/spreadsheets/d/1o7UZe4_OqlqtLDHrj01Z2YFRSZDf1DMy1n3XViHaxRc/edit?usp=sharing"",""ภูเก็ต!N220"")"),0)</f>
        <v>0</v>
      </c>
      <c r="BO83" s="82">
        <f t="shared" ca="1" si="98"/>
        <v>0</v>
      </c>
      <c r="BP83" s="81">
        <f ca="1">IFERROR(__xludf.DUMMYFUNCTION("IMPORTRANGE(""https://docs.google.com/spreadsheets/d/1o7UZe4_OqlqtLDHrj01Z2YFRSZDf1DMy1n3XViHaxRc/edit?usp=sharing"",""ภูเก็ต!I223"")"),0)</f>
        <v>0</v>
      </c>
      <c r="BQ83" s="81">
        <f ca="1">IFERROR(__xludf.DUMMYFUNCTION("IMPORTRANGE(""https://docs.google.com/spreadsheets/d/1o7UZe4_OqlqtLDHrj01Z2YFRSZDf1DMy1n3XViHaxRc/edit?usp=sharing"",""ภูเก็ต!J223"")"),0)</f>
        <v>0</v>
      </c>
      <c r="BR83" s="82">
        <f t="shared" ca="1" si="99"/>
        <v>0</v>
      </c>
      <c r="BS83" s="81">
        <f ca="1">IFERROR(__xludf.DUMMYFUNCTION("IMPORTRANGE(""https://docs.google.com/spreadsheets/d/1o7UZe4_OqlqtLDHrj01Z2YFRSZDf1DMy1n3XViHaxRc/edit?usp=sharing"",""ภูเก็ต!I224"")"),0)</f>
        <v>0</v>
      </c>
      <c r="BT83" s="81">
        <f ca="1">IFERROR(__xludf.DUMMYFUNCTION("IMPORTRANGE(""https://docs.google.com/spreadsheets/d/1o7UZe4_OqlqtLDHrj01Z2YFRSZDf1DMy1n3XViHaxRc/edit?usp=sharing"",""ภูเก็ต!J224"")"),0)</f>
        <v>0</v>
      </c>
      <c r="BU83" s="82">
        <f t="shared" ca="1" si="100"/>
        <v>0</v>
      </c>
      <c r="BV83" s="81">
        <f ca="1">IFERROR(__xludf.DUMMYFUNCTION("IMPORTRANGE(""https://docs.google.com/spreadsheets/d/1o7UZe4_OqlqtLDHrj01Z2YFRSZDf1DMy1n3XViHaxRc/edit?usp=sharing"",""ภูเก็ต!I225"")"),0)</f>
        <v>0</v>
      </c>
      <c r="BW83" s="81">
        <f ca="1">IFERROR(__xludf.DUMMYFUNCTION("IMPORTRANGE(""https://docs.google.com/spreadsheets/d/1o7UZe4_OqlqtLDHrj01Z2YFRSZDf1DMy1n3XViHaxRc/edit?usp=sharing"",""ภูเก็ต!J225"")"),0)</f>
        <v>0</v>
      </c>
      <c r="BX83" s="82">
        <f t="shared" ca="1" si="101"/>
        <v>0</v>
      </c>
      <c r="BY83" s="81">
        <f ca="1">IFERROR(__xludf.DUMMYFUNCTION("IMPORTRANGE(""https://docs.google.com/spreadsheets/d/1o7UZe4_OqlqtLDHrj01Z2YFRSZDf1DMy1n3XViHaxRc/edit?usp=sharing"",""ภูเก็ต!L228"")"),0)</f>
        <v>0</v>
      </c>
      <c r="BZ83" s="81">
        <f ca="1">IFERROR(__xludf.DUMMYFUNCTION("IMPORTRANGE(""https://docs.google.com/spreadsheets/d/1o7UZe4_OqlqtLDHrj01Z2YFRSZDf1DMy1n3XViHaxRc/edit?usp=sharing"",""ภูเก็ต!N228"")"),0)</f>
        <v>0</v>
      </c>
      <c r="CA83" s="82">
        <f t="shared" ca="1" si="102"/>
        <v>0</v>
      </c>
      <c r="CB83" s="81">
        <f ca="1">IFERROR(__xludf.DUMMYFUNCTION("IMPORTRANGE(""https://docs.google.com/spreadsheets/d/1o7UZe4_OqlqtLDHrj01Z2YFRSZDf1DMy1n3XViHaxRc/edit?usp=sharing"",""ภูเก็ต!L229"")"),0)</f>
        <v>0</v>
      </c>
      <c r="CC83" s="81">
        <f ca="1">IFERROR(__xludf.DUMMYFUNCTION("IMPORTRANGE(""https://docs.google.com/spreadsheets/d/1o7UZe4_OqlqtLDHrj01Z2YFRSZDf1DMy1n3XViHaxRc/edit?usp=sharing"",""ภูเก็ต!N229"")"),0)</f>
        <v>0</v>
      </c>
      <c r="CD83" s="82">
        <f t="shared" ca="1" si="103"/>
        <v>0</v>
      </c>
      <c r="CE83" s="81">
        <f ca="1">IFERROR(__xludf.DUMMYFUNCTION("IMPORTRANGE(""https://docs.google.com/spreadsheets/d/1o7UZe4_OqlqtLDHrj01Z2YFRSZDf1DMy1n3XViHaxRc/edit?usp=sharing"",""ภูเก็ต!L230"")"),0)</f>
        <v>0</v>
      </c>
      <c r="CF83" s="81">
        <f ca="1">IFERROR(__xludf.DUMMYFUNCTION("IMPORTRANGE(""https://docs.google.com/spreadsheets/d/1o7UZe4_OqlqtLDHrj01Z2YFRSZDf1DMy1n3XViHaxRc/edit?usp=sharing"",""ภูเก็ต!N230"")"),0)</f>
        <v>0</v>
      </c>
      <c r="CG83" s="82">
        <f t="shared" ca="1" si="104"/>
        <v>0</v>
      </c>
      <c r="CH83" s="81">
        <f ca="1">IFERROR(__xludf.DUMMYFUNCTION("IMPORTRANGE(""https://docs.google.com/spreadsheets/d/1o7UZe4_OqlqtLDHrj01Z2YFRSZDf1DMy1n3XViHaxRc/edit?usp=sharing"",""ภูเก็ต!L231"")"),0)</f>
        <v>0</v>
      </c>
      <c r="CI83" s="81">
        <f ca="1">IFERROR(__xludf.DUMMYFUNCTION("IMPORTRANGE(""https://docs.google.com/spreadsheets/d/1o7UZe4_OqlqtLDHrj01Z2YFRSZDf1DMy1n3XViHaxRc/edit?usp=sharing"",""ภูเก็ต!N231"")"),0)</f>
        <v>0</v>
      </c>
      <c r="CJ83" s="82">
        <f t="shared" ca="1" si="105"/>
        <v>0</v>
      </c>
      <c r="CK83" s="81">
        <f ca="1">IFERROR(__xludf.DUMMYFUNCTION("IMPORTRANGE(""https://docs.google.com/spreadsheets/d/1o7UZe4_OqlqtLDHrj01Z2YFRSZDf1DMy1n3XViHaxRc/edit?usp=sharing"",""ภูเก็ต!I233"")"),0)</f>
        <v>0</v>
      </c>
      <c r="CL83" s="81">
        <f ca="1">IFERROR(__xludf.DUMMYFUNCTION("IMPORTRANGE(""https://docs.google.com/spreadsheets/d/1o7UZe4_OqlqtLDHrj01Z2YFRSZDf1DMy1n3XViHaxRc/edit?usp=sharing"",""ภูเก็ต!J233"")"),0)</f>
        <v>0</v>
      </c>
      <c r="CM83" s="82">
        <f t="shared" ca="1" si="106"/>
        <v>0</v>
      </c>
      <c r="CN83" s="81">
        <f ca="1">IFERROR(__xludf.DUMMYFUNCTION("IMPORTRANGE(""https://docs.google.com/spreadsheets/d/1o7UZe4_OqlqtLDHrj01Z2YFRSZDf1DMy1n3XViHaxRc/edit?usp=sharing"",""ภูเก็ต!J235"")"),0)</f>
        <v>0</v>
      </c>
      <c r="CO83" s="81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3">
        <v>10</v>
      </c>
      <c r="B84" s="74" t="s">
        <v>106</v>
      </c>
      <c r="C84" s="75">
        <f t="shared" ca="1" si="0"/>
        <v>25800</v>
      </c>
      <c r="D84" s="76">
        <f t="shared" ca="1" si="214"/>
        <v>25800</v>
      </c>
      <c r="E84" s="77">
        <f ca="1">IFERROR(__xludf.DUMMYFUNCTION("IMPORTRANGE(""https://docs.google.com/spreadsheets/d/1MeEWN-I1oV_STSDYn1IFDPWt_1FKiwhDph83XaGc0o0/edit?usp=sharing"",""งบพรบ!CP84"")"),0)</f>
        <v>0</v>
      </c>
      <c r="F84" s="77">
        <f ca="1">IFERROR(__xludf.DUMMYFUNCTION("IMPORTRANGE(""https://docs.google.com/spreadsheets/d/1MeEWN-I1oV_STSDYn1IFDPWt_1FKiwhDph83XaGc0o0/edit?usp=sharing"",""งบพรบ!CQ84"")"),25800)</f>
        <v>25800</v>
      </c>
      <c r="G84" s="77">
        <f ca="1">IFERROR(__xludf.DUMMYFUNCTION("IMPORTRANGE(""https://docs.google.com/spreadsheets/d/1MeEWN-I1oV_STSDYn1IFDPWt_1FKiwhDph83XaGc0o0/edit?usp=sharing"",""งบพรบ!CR84"")"),0)</f>
        <v>0</v>
      </c>
      <c r="H84" s="77">
        <f ca="1">IFERROR(__xludf.DUMMYFUNCTION("IMPORTRANGE(""https://docs.google.com/spreadsheets/d/1MeEWN-I1oV_STSDYn1IFDPWt_1FKiwhDph83XaGc0o0/edit?usp=sharing"",""งบพรบ!CT84"")"),25800)</f>
        <v>25800</v>
      </c>
      <c r="I84" s="77">
        <f ca="1">IFERROR(__xludf.DUMMYFUNCTION("IMPORTRANGE(""https://docs.google.com/spreadsheets/d/1MeEWN-I1oV_STSDYn1IFDPWt_1FKiwhDph83XaGc0o0/edit?usp=sharing"",""งบพรบ!CU84"")"),0)</f>
        <v>0</v>
      </c>
      <c r="J84" s="77">
        <f t="shared" ca="1" si="3"/>
        <v>24950</v>
      </c>
      <c r="K84" s="78">
        <f t="shared" ca="1" si="4"/>
        <v>96.705426356589143</v>
      </c>
      <c r="L84" s="77">
        <f ca="1">IFERROR(__xludf.DUMMYFUNCTION("IMPORTRANGE(""https://docs.google.com/spreadsheets/d/1MeEWN-I1oV_STSDYn1IFDPWt_1FKiwhDph83XaGc0o0/edit?usp=sharing"",""งบพรบ!CV84"")"),24950)</f>
        <v>24950</v>
      </c>
      <c r="M84" s="79">
        <f t="shared" ca="1" si="5"/>
        <v>96.705426356589143</v>
      </c>
      <c r="N84" s="79">
        <f t="shared" ca="1" si="6"/>
        <v>96.705426356589143</v>
      </c>
      <c r="O84" s="80">
        <f ca="1">IFERROR(__xludf.DUMMYFUNCTION("IMPORTRANGE(""https://docs.google.com/spreadsheets/d/1MeEWN-I1oV_STSDYn1IFDPWt_1FKiwhDph83XaGc0o0/edit?usp=sharing"",""งบพรบ!CW84"")"),0)</f>
        <v>0</v>
      </c>
      <c r="P84" s="80">
        <f t="shared" ca="1" si="10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IFERROR(__xludf.DUMMYFUNCTION("IMPORTRANGE(""https://docs.google.com/spreadsheets/d/1ctPm1vUzcUCPuOj9-eoHUD85PqINFqUB0TjdSWmR5-c/edit?usp=sharing"",""ยะลา!L191"")"),6000)</f>
        <v>6000</v>
      </c>
      <c r="S84" s="81">
        <f ca="1">IFERROR(__xludf.DUMMYFUNCTION("IMPORTRANGE(""https://docs.google.com/spreadsheets/d/1ctPm1vUzcUCPuOj9-eoHUD85PqINFqUB0TjdSWmR5-c/edit?usp=sharing"",""ยะลา!N191"")"),5870)</f>
        <v>5870</v>
      </c>
      <c r="T84" s="82">
        <f t="shared" ca="1" si="84"/>
        <v>97.833333333333329</v>
      </c>
      <c r="U84" s="81">
        <f ca="1">IFERROR(__xludf.DUMMYFUNCTION("IMPORTRANGE(""https://docs.google.com/spreadsheets/d/1ctPm1vUzcUCPuOj9-eoHUD85PqINFqUB0TjdSWmR5-c/edit?usp=sharing"",""ยะลา!I193"")"),4)</f>
        <v>4</v>
      </c>
      <c r="V84" s="81">
        <f ca="1">IFERROR(__xludf.DUMMYFUNCTION("IMPORTRANGE(""https://docs.google.com/spreadsheets/d/1ctPm1vUzcUCPuOj9-eoHUD85PqINFqUB0TjdSWmR5-c/edit?usp=sharing"",""ยะลา!J193"")"),4)</f>
        <v>4</v>
      </c>
      <c r="W84" s="82">
        <f t="shared" ca="1" si="85"/>
        <v>100</v>
      </c>
      <c r="X84" s="81">
        <f t="shared" ca="1" si="215"/>
        <v>176</v>
      </c>
      <c r="Y84" s="81">
        <f ca="1">IFERROR(__xludf.DUMMYFUNCTION("IMPORTRANGE(""https://docs.google.com/spreadsheets/d/1ctPm1vUzcUCPuOj9-eoHUD85PqINFqUB0TjdSWmR5-c/edit?usp=sharing"",""ยะลา!J195"")"),176)</f>
        <v>176</v>
      </c>
      <c r="Z84" s="81">
        <f ca="1">IFERROR(__xludf.DUMMYFUNCTION("IMPORTRANGE(""https://docs.google.com/spreadsheets/d/1ctPm1vUzcUCPuOj9-eoHUD85PqINFqUB0TjdSWmR5-c/edit?usp=sharing"",""ยะลา!J196"")"),0)</f>
        <v>0</v>
      </c>
      <c r="AA84" s="81">
        <f ca="1">IFERROR(__xludf.DUMMYFUNCTION("IMPORTRANGE(""https://docs.google.com/spreadsheets/d/1ctPm1vUzcUCPuOj9-eoHUD85PqINFqUB0TjdSWmR5-c/edit?usp=sharing"",""ยะลา!L199"")"),1000)</f>
        <v>1000</v>
      </c>
      <c r="AB84" s="81">
        <f ca="1">IFERROR(__xludf.DUMMYFUNCTION("IMPORTRANGE(""https://docs.google.com/spreadsheets/d/1ctPm1vUzcUCPuOj9-eoHUD85PqINFqUB0TjdSWmR5-c/edit?usp=sharing"",""ยะลา!N199"")"),1000)</f>
        <v>1000</v>
      </c>
      <c r="AC84" s="82">
        <f t="shared" ca="1" si="86"/>
        <v>100</v>
      </c>
      <c r="AD84" s="81">
        <f ca="1">IFERROR(__xludf.DUMMYFUNCTION("IMPORTRANGE(""https://docs.google.com/spreadsheets/d/1ctPm1vUzcUCPuOj9-eoHUD85PqINFqUB0TjdSWmR5-c/edit?usp=sharing"",""ยะลา!L200"")"),8000)</f>
        <v>8000</v>
      </c>
      <c r="AE84" s="81">
        <f ca="1">IFERROR(__xludf.DUMMYFUNCTION("IMPORTRANGE(""https://docs.google.com/spreadsheets/d/1ctPm1vUzcUCPuOj9-eoHUD85PqINFqUB0TjdSWmR5-c/edit?usp=sharing"",""ยะลา!N200"")"),8000)</f>
        <v>8000</v>
      </c>
      <c r="AF84" s="82">
        <f t="shared" ca="1" si="87"/>
        <v>100</v>
      </c>
      <c r="AG84" s="81">
        <f ca="1">IFERROR(__xludf.DUMMYFUNCTION("IMPORTRANGE(""https://docs.google.com/spreadsheets/d/1ctPm1vUzcUCPuOj9-eoHUD85PqINFqUB0TjdSWmR5-c/edit?usp=sharing"",""ยะลา!L201"")"),4000)</f>
        <v>4000</v>
      </c>
      <c r="AH84" s="81">
        <f ca="1">IFERROR(__xludf.DUMMYFUNCTION("IMPORTRANGE(""https://docs.google.com/spreadsheets/d/1ctPm1vUzcUCPuOj9-eoHUD85PqINFqUB0TjdSWmR5-c/edit?usp=sharing"",""ยะลา!N201"")"),4000)</f>
        <v>4000</v>
      </c>
      <c r="AI84" s="82">
        <f t="shared" ca="1" si="88"/>
        <v>100</v>
      </c>
      <c r="AJ84" s="81">
        <f ca="1">IFERROR(__xludf.DUMMYFUNCTION("IMPORTRANGE(""https://docs.google.com/spreadsheets/d/1ctPm1vUzcUCPuOj9-eoHUD85PqINFqUB0TjdSWmR5-c/edit?usp=sharing"",""ยะลา!L202"")"),0)</f>
        <v>0</v>
      </c>
      <c r="AK84" s="81">
        <f ca="1">IFERROR(__xludf.DUMMYFUNCTION("IMPORTRANGE(""https://docs.google.com/spreadsheets/d/1ctPm1vUzcUCPuOj9-eoHUD85PqINFqUB0TjdSWmR5-c/edit?usp=sharing"",""ยะลา!N202"")"),0)</f>
        <v>0</v>
      </c>
      <c r="AL84" s="82">
        <f t="shared" ca="1" si="89"/>
        <v>0</v>
      </c>
      <c r="AM84" s="81">
        <f ca="1">IFERROR(__xludf.DUMMYFUNCTION("IMPORTRANGE(""https://docs.google.com/spreadsheets/d/1ctPm1vUzcUCPuOj9-eoHUD85PqINFqUB0TjdSWmR5-c/edit?usp=sharing"",""ยะลา!I204"")"),1)</f>
        <v>1</v>
      </c>
      <c r="AN84" s="81">
        <f ca="1">IFERROR(__xludf.DUMMYFUNCTION("IMPORTRANGE(""https://docs.google.com/spreadsheets/d/1ctPm1vUzcUCPuOj9-eoHUD85PqINFqUB0TjdSWmR5-c/edit?usp=sharing"",""ยะลา!J204"")"),1)</f>
        <v>1</v>
      </c>
      <c r="AO84" s="82">
        <f t="shared" ca="1" si="90"/>
        <v>100</v>
      </c>
      <c r="AP84" s="297">
        <f ca="1">IFERROR(__xludf.DUMMYFUNCTION("IMPORTRANGE(""https://docs.google.com/spreadsheets/d/1ctPm1vUzcUCPuOj9-eoHUD85PqINFqUB0TjdSWmR5-c/edit?usp=sharing"",""ยะลา!J206"")"),1)</f>
        <v>1</v>
      </c>
      <c r="AQ84" s="297">
        <f ca="1">IFERROR(__xludf.DUMMYFUNCTION("IMPORTRANGE(""https://docs.google.com/spreadsheets/d/1ctPm1vUzcUCPuOj9-eoHUD85PqINFqUB0TjdSWmR5-c/edit?usp=sharing"",""ยะลา!J207"")"),0)</f>
        <v>0</v>
      </c>
      <c r="AR84" s="81">
        <f ca="1">IFERROR(__xludf.DUMMYFUNCTION("IMPORTRANGE(""https://docs.google.com/spreadsheets/d/1ctPm1vUzcUCPuOj9-eoHUD85PqINFqUB0TjdSWmR5-c/edit?usp=sharing"",""ยะลา!L210"")"),0)</f>
        <v>0</v>
      </c>
      <c r="AS84" s="81">
        <f ca="1">IFERROR(__xludf.DUMMYFUNCTION("IMPORTRANGE(""https://docs.google.com/spreadsheets/d/1ctPm1vUzcUCPuOj9-eoHUD85PqINFqUB0TjdSWmR5-c/edit?usp=sharing"",""ยะลา!N210"")"),0)</f>
        <v>0</v>
      </c>
      <c r="AT84" s="82">
        <f t="shared" ca="1" si="91"/>
        <v>0</v>
      </c>
      <c r="AU84" s="81">
        <f ca="1">IFERROR(__xludf.DUMMYFUNCTION("IMPORTRANGE(""https://docs.google.com/spreadsheets/d/1ctPm1vUzcUCPuOj9-eoHUD85PqINFqUB0TjdSWmR5-c/edit?usp=sharing"",""ยะลา!L211"")"),0)</f>
        <v>0</v>
      </c>
      <c r="AV84" s="81">
        <f ca="1">IFERROR(__xludf.DUMMYFUNCTION("IMPORTRANGE(""https://docs.google.com/spreadsheets/d/1ctPm1vUzcUCPuOj9-eoHUD85PqINFqUB0TjdSWmR5-c/edit?usp=sharing"",""ยะลา!N211"")"),0)</f>
        <v>0</v>
      </c>
      <c r="AW84" s="82">
        <f t="shared" ca="1" si="92"/>
        <v>0</v>
      </c>
      <c r="AX84" s="81">
        <f ca="1">IFERROR(__xludf.DUMMYFUNCTION("IMPORTRANGE(""https://docs.google.com/spreadsheets/d/1ctPm1vUzcUCPuOj9-eoHUD85PqINFqUB0TjdSWmR5-c/edit?usp=sharing"",""ยะลา!L212"")"),0)</f>
        <v>0</v>
      </c>
      <c r="AY84" s="81">
        <f ca="1">IFERROR(__xludf.DUMMYFUNCTION("IMPORTRANGE(""https://docs.google.com/spreadsheets/d/1ctPm1vUzcUCPuOj9-eoHUD85PqINFqUB0TjdSWmR5-c/edit?usp=sharing"",""ยะลา!N212"")"),0)</f>
        <v>0</v>
      </c>
      <c r="AZ84" s="82">
        <f t="shared" ca="1" si="93"/>
        <v>0</v>
      </c>
      <c r="BA84" s="81">
        <f ca="1">IFERROR(__xludf.DUMMYFUNCTION("IMPORTRANGE(""https://docs.google.com/spreadsheets/d/1ctPm1vUzcUCPuOj9-eoHUD85PqINFqUB0TjdSWmR5-c/edit?usp=sharing"",""ยะลา!I214"")"),0)</f>
        <v>0</v>
      </c>
      <c r="BB84" s="81">
        <f ca="1">IFERROR(__xludf.DUMMYFUNCTION("IMPORTRANGE(""https://docs.google.com/spreadsheets/d/1ctPm1vUzcUCPuOj9-eoHUD85PqINFqUB0TjdSWmR5-c/edit?usp=sharing"",""ยะลา!J214"")"),0)</f>
        <v>0</v>
      </c>
      <c r="BC84" s="82">
        <f t="shared" ca="1" si="94"/>
        <v>0</v>
      </c>
      <c r="BD84" s="81">
        <f ca="1">IFERROR(__xludf.DUMMYFUNCTION("IMPORTRANGE(""https://docs.google.com/spreadsheets/d/1ctPm1vUzcUCPuOj9-eoHUD85PqINFqUB0TjdSWmR5-c/edit?usp=sharing"",""ยะลา!I215"")"),0)</f>
        <v>0</v>
      </c>
      <c r="BE84" s="81">
        <f ca="1">IFERROR(__xludf.DUMMYFUNCTION("IMPORTRANGE(""https://docs.google.com/spreadsheets/d/1ctPm1vUzcUCPuOj9-eoHUD85PqINFqUB0TjdSWmR5-c/edit?usp=sharing"",""ยะลา!J215"")"),0)</f>
        <v>0</v>
      </c>
      <c r="BF84" s="82">
        <f t="shared" ca="1" si="95"/>
        <v>0</v>
      </c>
      <c r="BG84" s="81">
        <f ca="1">IFERROR(__xludf.DUMMYFUNCTION("IMPORTRANGE(""https://docs.google.com/spreadsheets/d/1ctPm1vUzcUCPuOj9-eoHUD85PqINFqUB0TjdSWmR5-c/edit?usp=sharing"",""ยะลา!L218"")"),3000)</f>
        <v>3000</v>
      </c>
      <c r="BH84" s="81">
        <f ca="1">IFERROR(__xludf.DUMMYFUNCTION("IMPORTRANGE(""https://docs.google.com/spreadsheets/d/1ctPm1vUzcUCPuOj9-eoHUD85PqINFqUB0TjdSWmR5-c/edit?usp=sharing"",""ยะลา!N218"")"),2280)</f>
        <v>2280</v>
      </c>
      <c r="BI84" s="82">
        <f t="shared" ca="1" si="96"/>
        <v>76</v>
      </c>
      <c r="BJ84" s="81">
        <f ca="1">IFERROR(__xludf.DUMMYFUNCTION("IMPORTRANGE(""https://docs.google.com/spreadsheets/d/1ctPm1vUzcUCPuOj9-eoHUD85PqINFqUB0TjdSWmR5-c/edit?usp=sharing"",""ยะลา!L219"")"),3800)</f>
        <v>3800</v>
      </c>
      <c r="BK84" s="81">
        <f ca="1">IFERROR(__xludf.DUMMYFUNCTION("IMPORTRANGE(""https://docs.google.com/spreadsheets/d/1ctPm1vUzcUCPuOj9-eoHUD85PqINFqUB0TjdSWmR5-c/edit?usp=sharing"",""ยะลา!N219"")"),3800)</f>
        <v>3800</v>
      </c>
      <c r="BL84" s="82">
        <f t="shared" ca="1" si="97"/>
        <v>100</v>
      </c>
      <c r="BM84" s="81">
        <f ca="1">IFERROR(__xludf.DUMMYFUNCTION("IMPORTRANGE(""https://docs.google.com/spreadsheets/d/1ctPm1vUzcUCPuOj9-eoHUD85PqINFqUB0TjdSWmR5-c/edit?usp=sharing"",""ยะลา!L220"")"),0)</f>
        <v>0</v>
      </c>
      <c r="BN84" s="81">
        <f ca="1">IFERROR(__xludf.DUMMYFUNCTION("IMPORTRANGE(""https://docs.google.com/spreadsheets/d/1ctPm1vUzcUCPuOj9-eoHUD85PqINFqUB0TjdSWmR5-c/edit?usp=sharing"",""ยะลา!N220"")"),0)</f>
        <v>0</v>
      </c>
      <c r="BO84" s="82">
        <f t="shared" ca="1" si="98"/>
        <v>0</v>
      </c>
      <c r="BP84" s="81">
        <f ca="1">IFERROR(__xludf.DUMMYFUNCTION("IMPORTRANGE(""https://docs.google.com/spreadsheets/d/1ctPm1vUzcUCPuOj9-eoHUD85PqINFqUB0TjdSWmR5-c/edit?usp=sharing"",""ยะลา!I223"")"),12000)</f>
        <v>12000</v>
      </c>
      <c r="BQ84" s="81">
        <f ca="1">IFERROR(__xludf.DUMMYFUNCTION("IMPORTRANGE(""https://docs.google.com/spreadsheets/d/1ctPm1vUzcUCPuOj9-eoHUD85PqINFqUB0TjdSWmR5-c/edit?usp=sharing"",""ยะลา!J223"")"),12000)</f>
        <v>12000</v>
      </c>
      <c r="BR84" s="82">
        <f t="shared" ca="1" si="99"/>
        <v>100</v>
      </c>
      <c r="BS84" s="81">
        <f ca="1">IFERROR(__xludf.DUMMYFUNCTION("IMPORTRANGE(""https://docs.google.com/spreadsheets/d/1ctPm1vUzcUCPuOj9-eoHUD85PqINFqUB0TjdSWmR5-c/edit?usp=sharing"",""ยะลา!I224"")"),12000)</f>
        <v>12000</v>
      </c>
      <c r="BT84" s="81">
        <f ca="1">IFERROR(__xludf.DUMMYFUNCTION("IMPORTRANGE(""https://docs.google.com/spreadsheets/d/1ctPm1vUzcUCPuOj9-eoHUD85PqINFqUB0TjdSWmR5-c/edit?usp=sharing"",""ยะลา!J224"")"),12000)</f>
        <v>12000</v>
      </c>
      <c r="BU84" s="82">
        <f t="shared" ca="1" si="100"/>
        <v>100</v>
      </c>
      <c r="BV84" s="81">
        <f ca="1">IFERROR(__xludf.DUMMYFUNCTION("IMPORTRANGE(""https://docs.google.com/spreadsheets/d/1ctPm1vUzcUCPuOj9-eoHUD85PqINFqUB0TjdSWmR5-c/edit?usp=sharing"",""ยะลา!I225"")"),0)</f>
        <v>0</v>
      </c>
      <c r="BW84" s="81">
        <f ca="1">IFERROR(__xludf.DUMMYFUNCTION("IMPORTRANGE(""https://docs.google.com/spreadsheets/d/1ctPm1vUzcUCPuOj9-eoHUD85PqINFqUB0TjdSWmR5-c/edit?usp=sharing"",""ยะลา!J225"")"),0)</f>
        <v>0</v>
      </c>
      <c r="BX84" s="82">
        <f t="shared" ca="1" si="101"/>
        <v>0</v>
      </c>
      <c r="BY84" s="81">
        <f ca="1">IFERROR(__xludf.DUMMYFUNCTION("IMPORTRANGE(""https://docs.google.com/spreadsheets/d/1ctPm1vUzcUCPuOj9-eoHUD85PqINFqUB0TjdSWmR5-c/edit?usp=sharing"",""ยะลา!L228"")"),0)</f>
        <v>0</v>
      </c>
      <c r="BZ84" s="81">
        <f ca="1">IFERROR(__xludf.DUMMYFUNCTION("IMPORTRANGE(""https://docs.google.com/spreadsheets/d/1ctPm1vUzcUCPuOj9-eoHUD85PqINFqUB0TjdSWmR5-c/edit?usp=sharing"",""ยะลา!N228"")"),0)</f>
        <v>0</v>
      </c>
      <c r="CA84" s="82">
        <f t="shared" ca="1" si="102"/>
        <v>0</v>
      </c>
      <c r="CB84" s="81">
        <f ca="1">IFERROR(__xludf.DUMMYFUNCTION("IMPORTRANGE(""https://docs.google.com/spreadsheets/d/1ctPm1vUzcUCPuOj9-eoHUD85PqINFqUB0TjdSWmR5-c/edit?usp=sharing"",""ยะลา!L229"")"),0)</f>
        <v>0</v>
      </c>
      <c r="CC84" s="81">
        <f ca="1">IFERROR(__xludf.DUMMYFUNCTION("IMPORTRANGE(""https://docs.google.com/spreadsheets/d/1ctPm1vUzcUCPuOj9-eoHUD85PqINFqUB0TjdSWmR5-c/edit?usp=sharing"",""ยะลา!N229"")"),0)</f>
        <v>0</v>
      </c>
      <c r="CD84" s="82">
        <f t="shared" ca="1" si="103"/>
        <v>0</v>
      </c>
      <c r="CE84" s="81">
        <f ca="1">IFERROR(__xludf.DUMMYFUNCTION("IMPORTRANGE(""https://docs.google.com/spreadsheets/d/1ctPm1vUzcUCPuOj9-eoHUD85PqINFqUB0TjdSWmR5-c/edit?usp=sharing"",""ยะลา!L230"")"),0)</f>
        <v>0</v>
      </c>
      <c r="CF84" s="81">
        <f ca="1">IFERROR(__xludf.DUMMYFUNCTION("IMPORTRANGE(""https://docs.google.com/spreadsheets/d/1ctPm1vUzcUCPuOj9-eoHUD85PqINFqUB0TjdSWmR5-c/edit?usp=sharing"",""ยะลา!N230"")"),0)</f>
        <v>0</v>
      </c>
      <c r="CG84" s="82">
        <f t="shared" ca="1" si="104"/>
        <v>0</v>
      </c>
      <c r="CH84" s="81">
        <f ca="1">IFERROR(__xludf.DUMMYFUNCTION("IMPORTRANGE(""https://docs.google.com/spreadsheets/d/1ctPm1vUzcUCPuOj9-eoHUD85PqINFqUB0TjdSWmR5-c/edit?usp=sharing"",""ยะลา!L231"")"),0)</f>
        <v>0</v>
      </c>
      <c r="CI84" s="81">
        <f ca="1">IFERROR(__xludf.DUMMYFUNCTION("IMPORTRANGE(""https://docs.google.com/spreadsheets/d/1ctPm1vUzcUCPuOj9-eoHUD85PqINFqUB0TjdSWmR5-c/edit?usp=sharing"",""ยะลา!N231"")"),0)</f>
        <v>0</v>
      </c>
      <c r="CJ84" s="82">
        <f t="shared" ca="1" si="105"/>
        <v>0</v>
      </c>
      <c r="CK84" s="81">
        <f ca="1">IFERROR(__xludf.DUMMYFUNCTION("IMPORTRANGE(""https://docs.google.com/spreadsheets/d/1ctPm1vUzcUCPuOj9-eoHUD85PqINFqUB0TjdSWmR5-c/edit?usp=sharing"",""ยะลา!I233"")"),0)</f>
        <v>0</v>
      </c>
      <c r="CL84" s="81">
        <f ca="1">IFERROR(__xludf.DUMMYFUNCTION("IMPORTRANGE(""https://docs.google.com/spreadsheets/d/1ctPm1vUzcUCPuOj9-eoHUD85PqINFqUB0TjdSWmR5-c/edit?usp=sharing"",""ยะลา!J233"")"),0)</f>
        <v>0</v>
      </c>
      <c r="CM84" s="82">
        <f t="shared" ca="1" si="106"/>
        <v>0</v>
      </c>
      <c r="CN84" s="81">
        <f ca="1">IFERROR(__xludf.DUMMYFUNCTION("IMPORTRANGE(""https://docs.google.com/spreadsheets/d/1ctPm1vUzcUCPuOj9-eoHUD85PqINFqUB0TjdSWmR5-c/edit?usp=sharing"",""ยะลา!J235"")"),0)</f>
        <v>0</v>
      </c>
      <c r="CO84" s="81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3">
        <v>11</v>
      </c>
      <c r="B85" s="74" t="s">
        <v>107</v>
      </c>
      <c r="C85" s="75">
        <f t="shared" ca="1" si="0"/>
        <v>182100</v>
      </c>
      <c r="D85" s="76">
        <f t="shared" ca="1" si="214"/>
        <v>182100</v>
      </c>
      <c r="E85" s="77">
        <f ca="1">IFERROR(__xludf.DUMMYFUNCTION("IMPORTRANGE(""https://docs.google.com/spreadsheets/d/1MeEWN-I1oV_STSDYn1IFDPWt_1FKiwhDph83XaGc0o0/edit?usp=sharing"",""งบพรบ!CP85"")"),143000)</f>
        <v>143000</v>
      </c>
      <c r="F85" s="77">
        <f ca="1">IFERROR(__xludf.DUMMYFUNCTION("IMPORTRANGE(""https://docs.google.com/spreadsheets/d/1MeEWN-I1oV_STSDYn1IFDPWt_1FKiwhDph83XaGc0o0/edit?usp=sharing"",""งบพรบ!CQ85"")"),39100)</f>
        <v>39100</v>
      </c>
      <c r="G85" s="77">
        <f ca="1">IFERROR(__xludf.DUMMYFUNCTION("IMPORTRANGE(""https://docs.google.com/spreadsheets/d/1MeEWN-I1oV_STSDYn1IFDPWt_1FKiwhDph83XaGc0o0/edit?usp=sharing"",""งบพรบ!CR85"")"),0)</f>
        <v>0</v>
      </c>
      <c r="H85" s="77">
        <f ca="1">IFERROR(__xludf.DUMMYFUNCTION("IMPORTRANGE(""https://docs.google.com/spreadsheets/d/1MeEWN-I1oV_STSDYn1IFDPWt_1FKiwhDph83XaGc0o0/edit?usp=sharing"",""งบพรบ!CT85"")"),182100)</f>
        <v>182100</v>
      </c>
      <c r="I85" s="77">
        <f ca="1">IFERROR(__xludf.DUMMYFUNCTION("IMPORTRANGE(""https://docs.google.com/spreadsheets/d/1MeEWN-I1oV_STSDYn1IFDPWt_1FKiwhDph83XaGc0o0/edit?usp=sharing"",""งบพรบ!CU85"")"),0)</f>
        <v>0</v>
      </c>
      <c r="J85" s="77">
        <f t="shared" ca="1" si="3"/>
        <v>182100</v>
      </c>
      <c r="K85" s="78">
        <f t="shared" ca="1" si="4"/>
        <v>100</v>
      </c>
      <c r="L85" s="77">
        <f ca="1">IFERROR(__xludf.DUMMYFUNCTION("IMPORTRANGE(""https://docs.google.com/spreadsheets/d/1MeEWN-I1oV_STSDYn1IFDPWt_1FKiwhDph83XaGc0o0/edit?usp=sharing"",""งบพรบ!CV85"")"),182100)</f>
        <v>182100</v>
      </c>
      <c r="M85" s="79">
        <f t="shared" ca="1" si="5"/>
        <v>100</v>
      </c>
      <c r="N85" s="79">
        <f t="shared" ca="1" si="6"/>
        <v>100</v>
      </c>
      <c r="O85" s="80">
        <f ca="1">IFERROR(__xludf.DUMMYFUNCTION("IMPORTRANGE(""https://docs.google.com/spreadsheets/d/1MeEWN-I1oV_STSDYn1IFDPWt_1FKiwhDph83XaGc0o0/edit?usp=sharing"",""งบพรบ!CW85"")"),0)</f>
        <v>0</v>
      </c>
      <c r="P85" s="80">
        <f t="shared" ca="1" si="10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IFERROR(__xludf.DUMMYFUNCTION("IMPORTRANGE(""https://docs.google.com/spreadsheets/d/1YiDIE7Klmt8osgdapRqYWNr7iPGFSsiJqq46S7PYRE0/edit?usp=sharing"",""ระนอง!L191"")"),6000)</f>
        <v>6000</v>
      </c>
      <c r="S85" s="81">
        <f ca="1">IFERROR(__xludf.DUMMYFUNCTION("IMPORTRANGE(""https://docs.google.com/spreadsheets/d/1YiDIE7Klmt8osgdapRqYWNr7iPGFSsiJqq46S7PYRE0/edit?usp=sharing"",""ระนอง!N191"")"),6000)</f>
        <v>6000</v>
      </c>
      <c r="T85" s="82">
        <f t="shared" ca="1" si="84"/>
        <v>100</v>
      </c>
      <c r="U85" s="81">
        <f ca="1">IFERROR(__xludf.DUMMYFUNCTION("IMPORTRANGE(""https://docs.google.com/spreadsheets/d/1YiDIE7Klmt8osgdapRqYWNr7iPGFSsiJqq46S7PYRE0/edit?usp=sharing"",""ระนอง!I193"")"),4)</f>
        <v>4</v>
      </c>
      <c r="V85" s="81">
        <f ca="1">IFERROR(__xludf.DUMMYFUNCTION("IMPORTRANGE(""https://docs.google.com/spreadsheets/d/1YiDIE7Klmt8osgdapRqYWNr7iPGFSsiJqq46S7PYRE0/edit?usp=sharing"",""ระนอง!J193"")"),4)</f>
        <v>4</v>
      </c>
      <c r="W85" s="82">
        <f t="shared" ca="1" si="85"/>
        <v>100</v>
      </c>
      <c r="X85" s="81">
        <f t="shared" ca="1" si="215"/>
        <v>178</v>
      </c>
      <c r="Y85" s="81">
        <f ca="1">IFERROR(__xludf.DUMMYFUNCTION("IMPORTRANGE(""https://docs.google.com/spreadsheets/d/1YiDIE7Klmt8osgdapRqYWNr7iPGFSsiJqq46S7PYRE0/edit?usp=sharing"",""ระนอง!J195"")"),178)</f>
        <v>178</v>
      </c>
      <c r="Z85" s="81">
        <f ca="1">IFERROR(__xludf.DUMMYFUNCTION("IMPORTRANGE(""https://docs.google.com/spreadsheets/d/1YiDIE7Klmt8osgdapRqYWNr7iPGFSsiJqq46S7PYRE0/edit?usp=sharing"",""ระนอง!J196"")"),0)</f>
        <v>0</v>
      </c>
      <c r="AA85" s="81">
        <f ca="1">IFERROR(__xludf.DUMMYFUNCTION("IMPORTRANGE(""https://docs.google.com/spreadsheets/d/1YiDIE7Klmt8osgdapRqYWNr7iPGFSsiJqq46S7PYRE0/edit?usp=sharing"",""ระนอง!L199"")"),2000)</f>
        <v>2000</v>
      </c>
      <c r="AB85" s="81">
        <f ca="1">IFERROR(__xludf.DUMMYFUNCTION("IMPORTRANGE(""https://docs.google.com/spreadsheets/d/1YiDIE7Klmt8osgdapRqYWNr7iPGFSsiJqq46S7PYRE0/edit?usp=sharing"",""ระนอง!N199"")"),2000)</f>
        <v>2000</v>
      </c>
      <c r="AC85" s="82">
        <f t="shared" ca="1" si="86"/>
        <v>100</v>
      </c>
      <c r="AD85" s="81">
        <f ca="1">IFERROR(__xludf.DUMMYFUNCTION("IMPORTRANGE(""https://docs.google.com/spreadsheets/d/1YiDIE7Klmt8osgdapRqYWNr7iPGFSsiJqq46S7PYRE0/edit?usp=sharing"",""ระนอง!L200"")"),16000)</f>
        <v>16000</v>
      </c>
      <c r="AE85" s="81">
        <f ca="1">IFERROR(__xludf.DUMMYFUNCTION("IMPORTRANGE(""https://docs.google.com/spreadsheets/d/1YiDIE7Klmt8osgdapRqYWNr7iPGFSsiJqq46S7PYRE0/edit?usp=sharing"",""ระนอง!N200"")"),16000)</f>
        <v>16000</v>
      </c>
      <c r="AF85" s="82">
        <f t="shared" ca="1" si="87"/>
        <v>100</v>
      </c>
      <c r="AG85" s="81">
        <f ca="1">IFERROR(__xludf.DUMMYFUNCTION("IMPORTRANGE(""https://docs.google.com/spreadsheets/d/1YiDIE7Klmt8osgdapRqYWNr7iPGFSsiJqq46S7PYRE0/edit?usp=sharing"",""ระนอง!L201"")"),8000)</f>
        <v>8000</v>
      </c>
      <c r="AH85" s="81">
        <f ca="1">IFERROR(__xludf.DUMMYFUNCTION("IMPORTRANGE(""https://docs.google.com/spreadsheets/d/1YiDIE7Klmt8osgdapRqYWNr7iPGFSsiJqq46S7PYRE0/edit?usp=sharing"",""ระนอง!N201"")"),8000)</f>
        <v>8000</v>
      </c>
      <c r="AI85" s="82">
        <f t="shared" ca="1" si="88"/>
        <v>100</v>
      </c>
      <c r="AJ85" s="81">
        <f ca="1">IFERROR(__xludf.DUMMYFUNCTION("IMPORTRANGE(""https://docs.google.com/spreadsheets/d/1YiDIE7Klmt8osgdapRqYWNr7iPGFSsiJqq46S7PYRE0/edit?usp=sharing"",""ระนอง!L202"")"),0)</f>
        <v>0</v>
      </c>
      <c r="AK85" s="81">
        <f ca="1">IFERROR(__xludf.DUMMYFUNCTION("IMPORTRANGE(""https://docs.google.com/spreadsheets/d/1YiDIE7Klmt8osgdapRqYWNr7iPGFSsiJqq46S7PYRE0/edit?usp=sharing"",""ระนอง!N202"")"),0)</f>
        <v>0</v>
      </c>
      <c r="AL85" s="82">
        <f t="shared" ca="1" si="89"/>
        <v>0</v>
      </c>
      <c r="AM85" s="81">
        <f ca="1">IFERROR(__xludf.DUMMYFUNCTION("IMPORTRANGE(""https://docs.google.com/spreadsheets/d/1YiDIE7Klmt8osgdapRqYWNr7iPGFSsiJqq46S7PYRE0/edit?usp=sharing"",""ระนอง!I204"")"),2)</f>
        <v>2</v>
      </c>
      <c r="AN85" s="81">
        <f ca="1">IFERROR(__xludf.DUMMYFUNCTION("IMPORTRANGE(""https://docs.google.com/spreadsheets/d/1YiDIE7Klmt8osgdapRqYWNr7iPGFSsiJqq46S7PYRE0/edit?usp=sharing"",""ระนอง!J204"")"),2)</f>
        <v>2</v>
      </c>
      <c r="AO85" s="82">
        <f t="shared" ca="1" si="90"/>
        <v>100</v>
      </c>
      <c r="AP85" s="297">
        <f ca="1">IFERROR(__xludf.DUMMYFUNCTION("IMPORTRANGE(""https://docs.google.com/spreadsheets/d/1YiDIE7Klmt8osgdapRqYWNr7iPGFSsiJqq46S7PYRE0/edit?usp=sharing"",""ระนอง!J206"")"),2)</f>
        <v>2</v>
      </c>
      <c r="AQ85" s="297">
        <f ca="1">IFERROR(__xludf.DUMMYFUNCTION("IMPORTRANGE(""https://docs.google.com/spreadsheets/d/1YiDIE7Klmt8osgdapRqYWNr7iPGFSsiJqq46S7PYRE0/edit?usp=sharing"",""ระนอง!J207"")"),0)</f>
        <v>0</v>
      </c>
      <c r="AR85" s="81">
        <f ca="1">IFERROR(__xludf.DUMMYFUNCTION("IMPORTRANGE(""https://docs.google.com/spreadsheets/d/1YiDIE7Klmt8osgdapRqYWNr7iPGFSsiJqq46S7PYRE0/edit?usp=sharing"",""ระนอง!L210"")"),0)</f>
        <v>0</v>
      </c>
      <c r="AS85" s="81">
        <f ca="1">IFERROR(__xludf.DUMMYFUNCTION("IMPORTRANGE(""https://docs.google.com/spreadsheets/d/1YiDIE7Klmt8osgdapRqYWNr7iPGFSsiJqq46S7PYRE0/edit?usp=sharing"",""ระนอง!N210"")"),0)</f>
        <v>0</v>
      </c>
      <c r="AT85" s="82">
        <f t="shared" ca="1" si="91"/>
        <v>0</v>
      </c>
      <c r="AU85" s="81">
        <f ca="1">IFERROR(__xludf.DUMMYFUNCTION("IMPORTRANGE(""https://docs.google.com/spreadsheets/d/1YiDIE7Klmt8osgdapRqYWNr7iPGFSsiJqq46S7PYRE0/edit?usp=sharing"",""ระนอง!L211"")"),0)</f>
        <v>0</v>
      </c>
      <c r="AV85" s="81">
        <f ca="1">IFERROR(__xludf.DUMMYFUNCTION("IMPORTRANGE(""https://docs.google.com/spreadsheets/d/1YiDIE7Klmt8osgdapRqYWNr7iPGFSsiJqq46S7PYRE0/edit?usp=sharing"",""ระนอง!N211"")"),0)</f>
        <v>0</v>
      </c>
      <c r="AW85" s="82">
        <f t="shared" ca="1" si="92"/>
        <v>0</v>
      </c>
      <c r="AX85" s="81">
        <f ca="1">IFERROR(__xludf.DUMMYFUNCTION("IMPORTRANGE(""https://docs.google.com/spreadsheets/d/1YiDIE7Klmt8osgdapRqYWNr7iPGFSsiJqq46S7PYRE0/edit?usp=sharing"",""ระนอง!L212"")"),0)</f>
        <v>0</v>
      </c>
      <c r="AY85" s="81">
        <f ca="1">IFERROR(__xludf.DUMMYFUNCTION("IMPORTRANGE(""https://docs.google.com/spreadsheets/d/1YiDIE7Klmt8osgdapRqYWNr7iPGFSsiJqq46S7PYRE0/edit?usp=sharing"",""ระนอง!N212"")"),0)</f>
        <v>0</v>
      </c>
      <c r="AZ85" s="82">
        <f t="shared" ca="1" si="93"/>
        <v>0</v>
      </c>
      <c r="BA85" s="81">
        <f ca="1">IFERROR(__xludf.DUMMYFUNCTION("IMPORTRANGE(""https://docs.google.com/spreadsheets/d/1YiDIE7Klmt8osgdapRqYWNr7iPGFSsiJqq46S7PYRE0/edit?usp=sharing"",""ระนอง!I214"")"),0)</f>
        <v>0</v>
      </c>
      <c r="BB85" s="81">
        <f ca="1">IFERROR(__xludf.DUMMYFUNCTION("IMPORTRANGE(""https://docs.google.com/spreadsheets/d/1YiDIE7Klmt8osgdapRqYWNr7iPGFSsiJqq46S7PYRE0/edit?usp=sharing"",""ระนอง!J214"")"),0)</f>
        <v>0</v>
      </c>
      <c r="BC85" s="82">
        <f t="shared" ca="1" si="94"/>
        <v>0</v>
      </c>
      <c r="BD85" s="81">
        <f ca="1">IFERROR(__xludf.DUMMYFUNCTION("IMPORTRANGE(""https://docs.google.com/spreadsheets/d/1YiDIE7Klmt8osgdapRqYWNr7iPGFSsiJqq46S7PYRE0/edit?usp=sharing"",""ระนอง!I215"")"),0)</f>
        <v>0</v>
      </c>
      <c r="BE85" s="81">
        <f ca="1">IFERROR(__xludf.DUMMYFUNCTION("IMPORTRANGE(""https://docs.google.com/spreadsheets/d/1YiDIE7Klmt8osgdapRqYWNr7iPGFSsiJqq46S7PYRE0/edit?usp=sharing"",""ระนอง!J215"")"),0)</f>
        <v>0</v>
      </c>
      <c r="BF85" s="82">
        <f t="shared" ca="1" si="95"/>
        <v>0</v>
      </c>
      <c r="BG85" s="81">
        <f ca="1">IFERROR(__xludf.DUMMYFUNCTION("IMPORTRANGE(""https://docs.google.com/spreadsheets/d/1YiDIE7Klmt8osgdapRqYWNr7iPGFSsiJqq46S7PYRE0/edit?usp=sharing"",""ระนอง!L218"")"),3000)</f>
        <v>3000</v>
      </c>
      <c r="BH85" s="81">
        <f ca="1">IFERROR(__xludf.DUMMYFUNCTION("IMPORTRANGE(""https://docs.google.com/spreadsheets/d/1YiDIE7Klmt8osgdapRqYWNr7iPGFSsiJqq46S7PYRE0/edit?usp=sharing"",""ระนอง!N218"")"),3000)</f>
        <v>3000</v>
      </c>
      <c r="BI85" s="82">
        <f t="shared" ca="1" si="96"/>
        <v>100</v>
      </c>
      <c r="BJ85" s="81">
        <f ca="1">IFERROR(__xludf.DUMMYFUNCTION("IMPORTRANGE(""https://docs.google.com/spreadsheets/d/1YiDIE7Klmt8osgdapRqYWNr7iPGFSsiJqq46S7PYRE0/edit?usp=sharing"",""ระนอง!L219"")"),4100)</f>
        <v>4100</v>
      </c>
      <c r="BK85" s="81">
        <f ca="1">IFERROR(__xludf.DUMMYFUNCTION("IMPORTRANGE(""https://docs.google.com/spreadsheets/d/1YiDIE7Klmt8osgdapRqYWNr7iPGFSsiJqq46S7PYRE0/edit?usp=sharing"",""ระนอง!N219"")"),4100)</f>
        <v>4100</v>
      </c>
      <c r="BL85" s="82">
        <f t="shared" ca="1" si="97"/>
        <v>100</v>
      </c>
      <c r="BM85" s="81">
        <f ca="1">IFERROR(__xludf.DUMMYFUNCTION("IMPORTRANGE(""https://docs.google.com/spreadsheets/d/1YiDIE7Klmt8osgdapRqYWNr7iPGFSsiJqq46S7PYRE0/edit?usp=sharing"",""ระนอง!L220"")"),0)</f>
        <v>0</v>
      </c>
      <c r="BN85" s="81">
        <f ca="1">IFERROR(__xludf.DUMMYFUNCTION("IMPORTRANGE(""https://docs.google.com/spreadsheets/d/1YiDIE7Klmt8osgdapRqYWNr7iPGFSsiJqq46S7PYRE0/edit?usp=sharing"",""ระนอง!N220"")"),0)</f>
        <v>0</v>
      </c>
      <c r="BO85" s="82">
        <f t="shared" ca="1" si="98"/>
        <v>0</v>
      </c>
      <c r="BP85" s="81">
        <f ca="1">IFERROR(__xludf.DUMMYFUNCTION("IMPORTRANGE(""https://docs.google.com/spreadsheets/d/1YiDIE7Klmt8osgdapRqYWNr7iPGFSsiJqq46S7PYRE0/edit?usp=sharing"",""ระนอง!I223"")"),12800)</f>
        <v>12800</v>
      </c>
      <c r="BQ85" s="81">
        <f ca="1">IFERROR(__xludf.DUMMYFUNCTION("IMPORTRANGE(""https://docs.google.com/spreadsheets/d/1YiDIE7Klmt8osgdapRqYWNr7iPGFSsiJqq46S7PYRE0/edit?usp=sharing"",""ระนอง!J223"")"),12800)</f>
        <v>12800</v>
      </c>
      <c r="BR85" s="82">
        <f t="shared" ca="1" si="99"/>
        <v>100</v>
      </c>
      <c r="BS85" s="81">
        <f ca="1">IFERROR(__xludf.DUMMYFUNCTION("IMPORTRANGE(""https://docs.google.com/spreadsheets/d/1YiDIE7Klmt8osgdapRqYWNr7iPGFSsiJqq46S7PYRE0/edit?usp=sharing"",""ระนอง!I224"")"),12800)</f>
        <v>12800</v>
      </c>
      <c r="BT85" s="81">
        <f ca="1">IFERROR(__xludf.DUMMYFUNCTION("IMPORTRANGE(""https://docs.google.com/spreadsheets/d/1YiDIE7Klmt8osgdapRqYWNr7iPGFSsiJqq46S7PYRE0/edit?usp=sharing"",""ระนอง!J224"")"),12800)</f>
        <v>12800</v>
      </c>
      <c r="BU85" s="82">
        <f t="shared" ca="1" si="100"/>
        <v>100</v>
      </c>
      <c r="BV85" s="81">
        <f ca="1">IFERROR(__xludf.DUMMYFUNCTION("IMPORTRANGE(""https://docs.google.com/spreadsheets/d/1YiDIE7Klmt8osgdapRqYWNr7iPGFSsiJqq46S7PYRE0/edit?usp=sharing"",""ระนอง!I225"")"),0)</f>
        <v>0</v>
      </c>
      <c r="BW85" s="81">
        <f ca="1">IFERROR(__xludf.DUMMYFUNCTION("IMPORTRANGE(""https://docs.google.com/spreadsheets/d/1YiDIE7Klmt8osgdapRqYWNr7iPGFSsiJqq46S7PYRE0/edit?usp=sharing"",""ระนอง!J225"")"),0)</f>
        <v>0</v>
      </c>
      <c r="BX85" s="82">
        <f t="shared" ca="1" si="101"/>
        <v>0</v>
      </c>
      <c r="BY85" s="81">
        <f ca="1">IFERROR(__xludf.DUMMYFUNCTION("IMPORTRANGE(""https://docs.google.com/spreadsheets/d/1YiDIE7Klmt8osgdapRqYWNr7iPGFSsiJqq46S7PYRE0/edit?usp=sharing"",""ระนอง!L228"")"),0)</f>
        <v>0</v>
      </c>
      <c r="BZ85" s="81">
        <f ca="1">IFERROR(__xludf.DUMMYFUNCTION("IMPORTRANGE(""https://docs.google.com/spreadsheets/d/1YiDIE7Klmt8osgdapRqYWNr7iPGFSsiJqq46S7PYRE0/edit?usp=sharing"",""ระนอง!N228"")"),0)</f>
        <v>0</v>
      </c>
      <c r="CA85" s="82">
        <f t="shared" ca="1" si="102"/>
        <v>0</v>
      </c>
      <c r="CB85" s="81">
        <f ca="1">IFERROR(__xludf.DUMMYFUNCTION("IMPORTRANGE(""https://docs.google.com/spreadsheets/d/1YiDIE7Klmt8osgdapRqYWNr7iPGFSsiJqq46S7PYRE0/edit?usp=sharing"",""ระนอง!L229"")"),0)</f>
        <v>0</v>
      </c>
      <c r="CC85" s="81">
        <f ca="1">IFERROR(__xludf.DUMMYFUNCTION("IMPORTRANGE(""https://docs.google.com/spreadsheets/d/1YiDIE7Klmt8osgdapRqYWNr7iPGFSsiJqq46S7PYRE0/edit?usp=sharing"",""ระนอง!N229"")"),0)</f>
        <v>0</v>
      </c>
      <c r="CD85" s="82">
        <f t="shared" ca="1" si="103"/>
        <v>0</v>
      </c>
      <c r="CE85" s="81">
        <f ca="1">IFERROR(__xludf.DUMMYFUNCTION("IMPORTRANGE(""https://docs.google.com/spreadsheets/d/1YiDIE7Klmt8osgdapRqYWNr7iPGFSsiJqq46S7PYRE0/edit?usp=sharing"",""ระนอง!L230"")"),0)</f>
        <v>0</v>
      </c>
      <c r="CF85" s="81">
        <f ca="1">IFERROR(__xludf.DUMMYFUNCTION("IMPORTRANGE(""https://docs.google.com/spreadsheets/d/1YiDIE7Klmt8osgdapRqYWNr7iPGFSsiJqq46S7PYRE0/edit?usp=sharing"",""ระนอง!N230"")"),0)</f>
        <v>0</v>
      </c>
      <c r="CG85" s="82">
        <f t="shared" ca="1" si="104"/>
        <v>0</v>
      </c>
      <c r="CH85" s="81">
        <f ca="1">IFERROR(__xludf.DUMMYFUNCTION("IMPORTRANGE(""https://docs.google.com/spreadsheets/d/1YiDIE7Klmt8osgdapRqYWNr7iPGFSsiJqq46S7PYRE0/edit?usp=sharing"",""ระนอง!L231"")"),0)</f>
        <v>0</v>
      </c>
      <c r="CI85" s="81">
        <f ca="1">IFERROR(__xludf.DUMMYFUNCTION("IMPORTRANGE(""https://docs.google.com/spreadsheets/d/1YiDIE7Klmt8osgdapRqYWNr7iPGFSsiJqq46S7PYRE0/edit?usp=sharing"",""ระนอง!N231"")"),0)</f>
        <v>0</v>
      </c>
      <c r="CJ85" s="82">
        <f t="shared" ca="1" si="105"/>
        <v>0</v>
      </c>
      <c r="CK85" s="81">
        <f ca="1">IFERROR(__xludf.DUMMYFUNCTION("IMPORTRANGE(""https://docs.google.com/spreadsheets/d/1YiDIE7Klmt8osgdapRqYWNr7iPGFSsiJqq46S7PYRE0/edit?usp=sharing"",""ระนอง!I233"")"),0)</f>
        <v>0</v>
      </c>
      <c r="CL85" s="81">
        <f ca="1">IFERROR(__xludf.DUMMYFUNCTION("IMPORTRANGE(""https://docs.google.com/spreadsheets/d/1YiDIE7Klmt8osgdapRqYWNr7iPGFSsiJqq46S7PYRE0/edit?usp=sharing"",""ระนอง!J233"")"),0)</f>
        <v>0</v>
      </c>
      <c r="CM85" s="82">
        <f t="shared" ca="1" si="106"/>
        <v>0</v>
      </c>
      <c r="CN85" s="81">
        <f ca="1">IFERROR(__xludf.DUMMYFUNCTION("IMPORTRANGE(""https://docs.google.com/spreadsheets/d/1YiDIE7Klmt8osgdapRqYWNr7iPGFSsiJqq46S7PYRE0/edit?usp=sharing"",""ระนอง!J235"")"),0)</f>
        <v>0</v>
      </c>
      <c r="CO85" s="81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3">
        <v>12</v>
      </c>
      <c r="B86" s="74" t="s">
        <v>108</v>
      </c>
      <c r="C86" s="75">
        <f t="shared" ca="1" si="0"/>
        <v>176400</v>
      </c>
      <c r="D86" s="76">
        <f t="shared" ca="1" si="214"/>
        <v>176400</v>
      </c>
      <c r="E86" s="77">
        <f ca="1">IFERROR(__xludf.DUMMYFUNCTION("IMPORTRANGE(""https://docs.google.com/spreadsheets/d/1MeEWN-I1oV_STSDYn1IFDPWt_1FKiwhDph83XaGc0o0/edit?usp=sharing"",""งบพรบ!CP86"")"),0)</f>
        <v>0</v>
      </c>
      <c r="F86" s="77">
        <f ca="1">IFERROR(__xludf.DUMMYFUNCTION("IMPORTRANGE(""https://docs.google.com/spreadsheets/d/1MeEWN-I1oV_STSDYn1IFDPWt_1FKiwhDph83XaGc0o0/edit?usp=sharing"",""งบพรบ!CQ86"")"),176400)</f>
        <v>176400</v>
      </c>
      <c r="G86" s="77">
        <f ca="1">IFERROR(__xludf.DUMMYFUNCTION("IMPORTRANGE(""https://docs.google.com/spreadsheets/d/1MeEWN-I1oV_STSDYn1IFDPWt_1FKiwhDph83XaGc0o0/edit?usp=sharing"",""งบพรบ!CR86"")"),0)</f>
        <v>0</v>
      </c>
      <c r="H86" s="77">
        <f ca="1">IFERROR(__xludf.DUMMYFUNCTION("IMPORTRANGE(""https://docs.google.com/spreadsheets/d/1MeEWN-I1oV_STSDYn1IFDPWt_1FKiwhDph83XaGc0o0/edit?usp=sharing"",""งบพรบ!CT86"")"),195840)</f>
        <v>195840</v>
      </c>
      <c r="I86" s="77">
        <f ca="1">IFERROR(__xludf.DUMMYFUNCTION("IMPORTRANGE(""https://docs.google.com/spreadsheets/d/1MeEWN-I1oV_STSDYn1IFDPWt_1FKiwhDph83XaGc0o0/edit?usp=sharing"",""งบพรบ!CU86"")"),0)</f>
        <v>0</v>
      </c>
      <c r="J86" s="77">
        <f t="shared" ca="1" si="3"/>
        <v>195840</v>
      </c>
      <c r="K86" s="78">
        <f t="shared" ca="1" si="4"/>
        <v>111.0204081632653</v>
      </c>
      <c r="L86" s="77">
        <f ca="1">IFERROR(__xludf.DUMMYFUNCTION("IMPORTRANGE(""https://docs.google.com/spreadsheets/d/1MeEWN-I1oV_STSDYn1IFDPWt_1FKiwhDph83XaGc0o0/edit?usp=sharing"",""งบพรบ!CV86"")"),195840)</f>
        <v>195840</v>
      </c>
      <c r="M86" s="79">
        <f t="shared" ca="1" si="5"/>
        <v>111.0204081632653</v>
      </c>
      <c r="N86" s="79">
        <f t="shared" ca="1" si="6"/>
        <v>100</v>
      </c>
      <c r="O86" s="80">
        <f ca="1">IFERROR(__xludf.DUMMYFUNCTION("IMPORTRANGE(""https://docs.google.com/spreadsheets/d/1MeEWN-I1oV_STSDYn1IFDPWt_1FKiwhDph83XaGc0o0/edit?usp=sharing"",""งบพรบ!CW86"")"),0)</f>
        <v>0</v>
      </c>
      <c r="P86" s="80">
        <f t="shared" ca="1" si="10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IFERROR(__xludf.DUMMYFUNCTION("IMPORTRANGE(""https://docs.google.com/spreadsheets/d/16o_4B-V7AWw_6E93bSpXj_XxVv1oVQctk-B6z1dNEWU/edit?usp=sharing"",""สงขลา!L191"")"),6000)</f>
        <v>6000</v>
      </c>
      <c r="S86" s="81">
        <f ca="1">IFERROR(__xludf.DUMMYFUNCTION("IMPORTRANGE(""https://docs.google.com/spreadsheets/d/16o_4B-V7AWw_6E93bSpXj_XxVv1oVQctk-B6z1dNEWU/edit?usp=sharing"",""สงขลา!N191"")"),6000)</f>
        <v>6000</v>
      </c>
      <c r="T86" s="82">
        <f t="shared" ca="1" si="84"/>
        <v>100</v>
      </c>
      <c r="U86" s="81">
        <f ca="1">IFERROR(__xludf.DUMMYFUNCTION("IMPORTRANGE(""https://docs.google.com/spreadsheets/d/16o_4B-V7AWw_6E93bSpXj_XxVv1oVQctk-B6z1dNEWU/edit?usp=sharing"",""สงขลา!I193"")"),4)</f>
        <v>4</v>
      </c>
      <c r="V86" s="81">
        <f ca="1">IFERROR(__xludf.DUMMYFUNCTION("IMPORTRANGE(""https://docs.google.com/spreadsheets/d/16o_4B-V7AWw_6E93bSpXj_XxVv1oVQctk-B6z1dNEWU/edit?usp=sharing"",""สงขลา!J193"")"),4)</f>
        <v>4</v>
      </c>
      <c r="W86" s="82">
        <f t="shared" ca="1" si="85"/>
        <v>100</v>
      </c>
      <c r="X86" s="81">
        <f t="shared" ca="1" si="215"/>
        <v>375</v>
      </c>
      <c r="Y86" s="81">
        <f ca="1">IFERROR(__xludf.DUMMYFUNCTION("IMPORTRANGE(""https://docs.google.com/spreadsheets/d/16o_4B-V7AWw_6E93bSpXj_XxVv1oVQctk-B6z1dNEWU/edit?usp=sharing"",""สงขลา!J195"")"),375)</f>
        <v>375</v>
      </c>
      <c r="Z86" s="81">
        <f ca="1">IFERROR(__xludf.DUMMYFUNCTION("IMPORTRANGE(""https://docs.google.com/spreadsheets/d/16o_4B-V7AWw_6E93bSpXj_XxVv1oVQctk-B6z1dNEWU/edit?usp=sharing"",""สงขลา!J196"")"),0)</f>
        <v>0</v>
      </c>
      <c r="AA86" s="81">
        <f ca="1">IFERROR(__xludf.DUMMYFUNCTION("IMPORTRANGE(""https://docs.google.com/spreadsheets/d/16o_4B-V7AWw_6E93bSpXj_XxVv1oVQctk-B6z1dNEWU/edit?usp=sharing"",""สงขลา!L199"")"),5000)</f>
        <v>5000</v>
      </c>
      <c r="AB86" s="81">
        <f ca="1">IFERROR(__xludf.DUMMYFUNCTION("IMPORTRANGE(""https://docs.google.com/spreadsheets/d/16o_4B-V7AWw_6E93bSpXj_XxVv1oVQctk-B6z1dNEWU/edit?usp=sharing"",""สงขลา!N199"")"),5000)</f>
        <v>5000</v>
      </c>
      <c r="AC86" s="82">
        <f t="shared" ca="1" si="86"/>
        <v>100</v>
      </c>
      <c r="AD86" s="81">
        <f ca="1">IFERROR(__xludf.DUMMYFUNCTION("IMPORTRANGE(""https://docs.google.com/spreadsheets/d/16o_4B-V7AWw_6E93bSpXj_XxVv1oVQctk-B6z1dNEWU/edit?usp=sharing"",""สงขลา!L200"")"),40000)</f>
        <v>40000</v>
      </c>
      <c r="AE86" s="81">
        <f ca="1">IFERROR(__xludf.DUMMYFUNCTION("IMPORTRANGE(""https://docs.google.com/spreadsheets/d/16o_4B-V7AWw_6E93bSpXj_XxVv1oVQctk-B6z1dNEWU/edit?usp=sharing"",""สงขลา!N200"")"),40000)</f>
        <v>40000</v>
      </c>
      <c r="AF86" s="82">
        <f t="shared" ca="1" si="87"/>
        <v>100</v>
      </c>
      <c r="AG86" s="81">
        <f ca="1">IFERROR(__xludf.DUMMYFUNCTION("IMPORTRANGE(""https://docs.google.com/spreadsheets/d/16o_4B-V7AWw_6E93bSpXj_XxVv1oVQctk-B6z1dNEWU/edit?usp=sharing"",""สงขลา!L201"")"),20000)</f>
        <v>20000</v>
      </c>
      <c r="AH86" s="81">
        <f ca="1">IFERROR(__xludf.DUMMYFUNCTION("IMPORTRANGE(""https://docs.google.com/spreadsheets/d/16o_4B-V7AWw_6E93bSpXj_XxVv1oVQctk-B6z1dNEWU/edit?usp=sharing"",""สงขลา!N201"")"),20000)</f>
        <v>20000</v>
      </c>
      <c r="AI86" s="82">
        <f t="shared" ca="1" si="88"/>
        <v>100</v>
      </c>
      <c r="AJ86" s="81">
        <f ca="1">IFERROR(__xludf.DUMMYFUNCTION("IMPORTRANGE(""https://docs.google.com/spreadsheets/d/16o_4B-V7AWw_6E93bSpXj_XxVv1oVQctk-B6z1dNEWU/edit?usp=sharing"",""สงขลา!L202"")"),0)</f>
        <v>0</v>
      </c>
      <c r="AK86" s="81">
        <f ca="1">IFERROR(__xludf.DUMMYFUNCTION("IMPORTRANGE(""https://docs.google.com/spreadsheets/d/16o_4B-V7AWw_6E93bSpXj_XxVv1oVQctk-B6z1dNEWU/edit?usp=sharing"",""สงขลา!N202"")"),0)</f>
        <v>0</v>
      </c>
      <c r="AL86" s="82">
        <f t="shared" ca="1" si="89"/>
        <v>0</v>
      </c>
      <c r="AM86" s="81">
        <f ca="1">IFERROR(__xludf.DUMMYFUNCTION("IMPORTRANGE(""https://docs.google.com/spreadsheets/d/16o_4B-V7AWw_6E93bSpXj_XxVv1oVQctk-B6z1dNEWU/edit?usp=sharing"",""สงขลา!I204"")"),5)</f>
        <v>5</v>
      </c>
      <c r="AN86" s="81">
        <f ca="1">IFERROR(__xludf.DUMMYFUNCTION("IMPORTRANGE(""https://docs.google.com/spreadsheets/d/16o_4B-V7AWw_6E93bSpXj_XxVv1oVQctk-B6z1dNEWU/edit?usp=sharing"",""สงขลา!J204"")"),5)</f>
        <v>5</v>
      </c>
      <c r="AO86" s="82">
        <f t="shared" ca="1" si="90"/>
        <v>100</v>
      </c>
      <c r="AP86" s="297">
        <f ca="1">IFERROR(__xludf.DUMMYFUNCTION("IMPORTRANGE(""https://docs.google.com/spreadsheets/d/16o_4B-V7AWw_6E93bSpXj_XxVv1oVQctk-B6z1dNEWU/edit?usp=sharing"",""สงขลา!J206"")"),5)</f>
        <v>5</v>
      </c>
      <c r="AQ86" s="297">
        <f ca="1">IFERROR(__xludf.DUMMYFUNCTION("IMPORTRANGE(""https://docs.google.com/spreadsheets/d/16o_4B-V7AWw_6E93bSpXj_XxVv1oVQctk-B6z1dNEWU/edit?usp=sharing"",""สงขลา!J207"")"),0)</f>
        <v>0</v>
      </c>
      <c r="AR86" s="81">
        <f ca="1">IFERROR(__xludf.DUMMYFUNCTION("IMPORTRANGE(""https://docs.google.com/spreadsheets/d/16o_4B-V7AWw_6E93bSpXj_XxVv1oVQctk-B6z1dNEWU/edit?usp=sharing"",""สงขลา!L210"")"),7000)</f>
        <v>7000</v>
      </c>
      <c r="AS86" s="81">
        <f ca="1">IFERROR(__xludf.DUMMYFUNCTION("IMPORTRANGE(""https://docs.google.com/spreadsheets/d/16o_4B-V7AWw_6E93bSpXj_XxVv1oVQctk-B6z1dNEWU/edit?usp=sharing"",""สงขลา!N210"")"),7000)</f>
        <v>7000</v>
      </c>
      <c r="AT86" s="82">
        <f t="shared" ca="1" si="91"/>
        <v>100</v>
      </c>
      <c r="AU86" s="81">
        <f ca="1">IFERROR(__xludf.DUMMYFUNCTION("IMPORTRANGE(""https://docs.google.com/spreadsheets/d/16o_4B-V7AWw_6E93bSpXj_XxVv1oVQctk-B6z1dNEWU/edit?usp=sharing"",""สงขลา!L211"")"),35000)</f>
        <v>35000</v>
      </c>
      <c r="AV86" s="81">
        <f ca="1">IFERROR(__xludf.DUMMYFUNCTION("IMPORTRANGE(""https://docs.google.com/spreadsheets/d/16o_4B-V7AWw_6E93bSpXj_XxVv1oVQctk-B6z1dNEWU/edit?usp=sharing"",""สงขลา!N211"")"),35000)</f>
        <v>35000</v>
      </c>
      <c r="AW86" s="82">
        <f t="shared" ca="1" si="92"/>
        <v>100</v>
      </c>
      <c r="AX86" s="81">
        <f ca="1">IFERROR(__xludf.DUMMYFUNCTION("IMPORTRANGE(""https://docs.google.com/spreadsheets/d/16o_4B-V7AWw_6E93bSpXj_XxVv1oVQctk-B6z1dNEWU/edit?usp=sharing"",""สงขลา!L212"")"),56000)</f>
        <v>56000</v>
      </c>
      <c r="AY86" s="81">
        <f ca="1">IFERROR(__xludf.DUMMYFUNCTION("IMPORTRANGE(""https://docs.google.com/spreadsheets/d/16o_4B-V7AWw_6E93bSpXj_XxVv1oVQctk-B6z1dNEWU/edit?usp=sharing"",""สงขลา!N212"")"),56000)</f>
        <v>56000</v>
      </c>
      <c r="AZ86" s="82">
        <f t="shared" ca="1" si="93"/>
        <v>100</v>
      </c>
      <c r="BA86" s="81">
        <f ca="1">IFERROR(__xludf.DUMMYFUNCTION("IMPORTRANGE(""https://docs.google.com/spreadsheets/d/16o_4B-V7AWw_6E93bSpXj_XxVv1oVQctk-B6z1dNEWU/edit?usp=sharing"",""สงขลา!I214"")"),7)</f>
        <v>7</v>
      </c>
      <c r="BB86" s="81">
        <f ca="1">IFERROR(__xludf.DUMMYFUNCTION("IMPORTRANGE(""https://docs.google.com/spreadsheets/d/16o_4B-V7AWw_6E93bSpXj_XxVv1oVQctk-B6z1dNEWU/edit?usp=sharing"",""สงขลา!J214"")"),7)</f>
        <v>7</v>
      </c>
      <c r="BC86" s="82">
        <f t="shared" ca="1" si="94"/>
        <v>100</v>
      </c>
      <c r="BD86" s="81">
        <f ca="1">IFERROR(__xludf.DUMMYFUNCTION("IMPORTRANGE(""https://docs.google.com/spreadsheets/d/16o_4B-V7AWw_6E93bSpXj_XxVv1oVQctk-B6z1dNEWU/edit?usp=sharing"",""สงขลา!I215"")"),7)</f>
        <v>7</v>
      </c>
      <c r="BE86" s="81">
        <f ca="1">IFERROR(__xludf.DUMMYFUNCTION("IMPORTRANGE(""https://docs.google.com/spreadsheets/d/16o_4B-V7AWw_6E93bSpXj_XxVv1oVQctk-B6z1dNEWU/edit?usp=sharing"",""สงขลา!J215"")"),7)</f>
        <v>7</v>
      </c>
      <c r="BF86" s="82">
        <f t="shared" ca="1" si="95"/>
        <v>100</v>
      </c>
      <c r="BG86" s="81">
        <f ca="1">IFERROR(__xludf.DUMMYFUNCTION("IMPORTRANGE(""https://docs.google.com/spreadsheets/d/16o_4B-V7AWw_6E93bSpXj_XxVv1oVQctk-B6z1dNEWU/edit?usp=sharing"",""สงขลา!L218"")"),3000)</f>
        <v>3000</v>
      </c>
      <c r="BH86" s="81">
        <f ca="1">IFERROR(__xludf.DUMMYFUNCTION("IMPORTRANGE(""https://docs.google.com/spreadsheets/d/16o_4B-V7AWw_6E93bSpXj_XxVv1oVQctk-B6z1dNEWU/edit?usp=sharing"",""สงขลา!N218"")"),3000)</f>
        <v>3000</v>
      </c>
      <c r="BI86" s="82">
        <f t="shared" ca="1" si="96"/>
        <v>100</v>
      </c>
      <c r="BJ86" s="81">
        <f ca="1">IFERROR(__xludf.DUMMYFUNCTION("IMPORTRANGE(""https://docs.google.com/spreadsheets/d/16o_4B-V7AWw_6E93bSpXj_XxVv1oVQctk-B6z1dNEWU/edit?usp=sharing"",""สงขลา!L219"")"),4400)</f>
        <v>4400</v>
      </c>
      <c r="BK86" s="81">
        <f ca="1">IFERROR(__xludf.DUMMYFUNCTION("IMPORTRANGE(""https://docs.google.com/spreadsheets/d/16o_4B-V7AWw_6E93bSpXj_XxVv1oVQctk-B6z1dNEWU/edit?usp=sharing"",""สงขลา!N219"")"),4400)</f>
        <v>4400</v>
      </c>
      <c r="BL86" s="82">
        <f t="shared" ca="1" si="97"/>
        <v>100</v>
      </c>
      <c r="BM86" s="81">
        <f ca="1">IFERROR(__xludf.DUMMYFUNCTION("IMPORTRANGE(""https://docs.google.com/spreadsheets/d/16o_4B-V7AWw_6E93bSpXj_XxVv1oVQctk-B6z1dNEWU/edit?usp=sharing"",""สงขลา!L220"")"),0)</f>
        <v>0</v>
      </c>
      <c r="BN86" s="81">
        <f ca="1">IFERROR(__xludf.DUMMYFUNCTION("IMPORTRANGE(""https://docs.google.com/spreadsheets/d/16o_4B-V7AWw_6E93bSpXj_XxVv1oVQctk-B6z1dNEWU/edit?usp=sharing"",""สงขลา!N220"")"),0)</f>
        <v>0</v>
      </c>
      <c r="BO86" s="82">
        <f t="shared" ca="1" si="98"/>
        <v>0</v>
      </c>
      <c r="BP86" s="81">
        <f ca="1">IFERROR(__xludf.DUMMYFUNCTION("IMPORTRANGE(""https://docs.google.com/spreadsheets/d/16o_4B-V7AWw_6E93bSpXj_XxVv1oVQctk-B6z1dNEWU/edit?usp=sharing"",""สงขลา!I223"")"),15000)</f>
        <v>15000</v>
      </c>
      <c r="BQ86" s="81">
        <f ca="1">IFERROR(__xludf.DUMMYFUNCTION("IMPORTRANGE(""https://docs.google.com/spreadsheets/d/16o_4B-V7AWw_6E93bSpXj_XxVv1oVQctk-B6z1dNEWU/edit?usp=sharing"",""สงขลา!J223"")"),15000)</f>
        <v>15000</v>
      </c>
      <c r="BR86" s="82">
        <f t="shared" ca="1" si="99"/>
        <v>100</v>
      </c>
      <c r="BS86" s="81">
        <f ca="1">IFERROR(__xludf.DUMMYFUNCTION("IMPORTRANGE(""https://docs.google.com/spreadsheets/d/16o_4B-V7AWw_6E93bSpXj_XxVv1oVQctk-B6z1dNEWU/edit?usp=sharing"",""สงขลา!I224"")"),15000)</f>
        <v>15000</v>
      </c>
      <c r="BT86" s="81">
        <f ca="1">IFERROR(__xludf.DUMMYFUNCTION("IMPORTRANGE(""https://docs.google.com/spreadsheets/d/16o_4B-V7AWw_6E93bSpXj_XxVv1oVQctk-B6z1dNEWU/edit?usp=sharing"",""สงขลา!J224"")"),15000)</f>
        <v>15000</v>
      </c>
      <c r="BU86" s="82">
        <f t="shared" ca="1" si="100"/>
        <v>100</v>
      </c>
      <c r="BV86" s="81">
        <f ca="1">IFERROR(__xludf.DUMMYFUNCTION("IMPORTRANGE(""https://docs.google.com/spreadsheets/d/16o_4B-V7AWw_6E93bSpXj_XxVv1oVQctk-B6z1dNEWU/edit?usp=sharing"",""สงขลา!I225"")"),0)</f>
        <v>0</v>
      </c>
      <c r="BW86" s="81">
        <f ca="1">IFERROR(__xludf.DUMMYFUNCTION("IMPORTRANGE(""https://docs.google.com/spreadsheets/d/16o_4B-V7AWw_6E93bSpXj_XxVv1oVQctk-B6z1dNEWU/edit?usp=sharing"",""สงขลา!J225"")"),0)</f>
        <v>0</v>
      </c>
      <c r="BX86" s="82">
        <f t="shared" ca="1" si="101"/>
        <v>0</v>
      </c>
      <c r="BY86" s="81">
        <f ca="1">IFERROR(__xludf.DUMMYFUNCTION("IMPORTRANGE(""https://docs.google.com/spreadsheets/d/16o_4B-V7AWw_6E93bSpXj_XxVv1oVQctk-B6z1dNEWU/edit?usp=sharing"",""สงขลา!L228"")"),0)</f>
        <v>0</v>
      </c>
      <c r="BZ86" s="81">
        <f ca="1">IFERROR(__xludf.DUMMYFUNCTION("IMPORTRANGE(""https://docs.google.com/spreadsheets/d/16o_4B-V7AWw_6E93bSpXj_XxVv1oVQctk-B6z1dNEWU/edit?usp=sharing"",""สงขลา!N228"")"),0)</f>
        <v>0</v>
      </c>
      <c r="CA86" s="82">
        <f t="shared" ca="1" si="102"/>
        <v>0</v>
      </c>
      <c r="CB86" s="81">
        <f ca="1">IFERROR(__xludf.DUMMYFUNCTION("IMPORTRANGE(""https://docs.google.com/spreadsheets/d/16o_4B-V7AWw_6E93bSpXj_XxVv1oVQctk-B6z1dNEWU/edit?usp=sharing"",""สงขลา!L229"")"),0)</f>
        <v>0</v>
      </c>
      <c r="CC86" s="81">
        <f ca="1">IFERROR(__xludf.DUMMYFUNCTION("IMPORTRANGE(""https://docs.google.com/spreadsheets/d/16o_4B-V7AWw_6E93bSpXj_XxVv1oVQctk-B6z1dNEWU/edit?usp=sharing"",""สงขลา!N229"")"),0)</f>
        <v>0</v>
      </c>
      <c r="CD86" s="82">
        <f t="shared" ca="1" si="103"/>
        <v>0</v>
      </c>
      <c r="CE86" s="81">
        <f ca="1">IFERROR(__xludf.DUMMYFUNCTION("IMPORTRANGE(""https://docs.google.com/spreadsheets/d/16o_4B-V7AWw_6E93bSpXj_XxVv1oVQctk-B6z1dNEWU/edit?usp=sharing"",""สงขลา!L230"")"),0)</f>
        <v>0</v>
      </c>
      <c r="CF86" s="81">
        <f ca="1">IFERROR(__xludf.DUMMYFUNCTION("IMPORTRANGE(""https://docs.google.com/spreadsheets/d/16o_4B-V7AWw_6E93bSpXj_XxVv1oVQctk-B6z1dNEWU/edit?usp=sharing"",""สงขลา!N230"")"),0)</f>
        <v>0</v>
      </c>
      <c r="CG86" s="82">
        <f t="shared" ca="1" si="104"/>
        <v>0</v>
      </c>
      <c r="CH86" s="81">
        <f ca="1">IFERROR(__xludf.DUMMYFUNCTION("IMPORTRANGE(""https://docs.google.com/spreadsheets/d/16o_4B-V7AWw_6E93bSpXj_XxVv1oVQctk-B6z1dNEWU/edit?usp=sharing"",""สงขลา!L231"")"),0)</f>
        <v>0</v>
      </c>
      <c r="CI86" s="81">
        <f ca="1">IFERROR(__xludf.DUMMYFUNCTION("IMPORTRANGE(""https://docs.google.com/spreadsheets/d/16o_4B-V7AWw_6E93bSpXj_XxVv1oVQctk-B6z1dNEWU/edit?usp=sharing"",""สงขลา!N231"")"),0)</f>
        <v>0</v>
      </c>
      <c r="CJ86" s="82">
        <f t="shared" ca="1" si="105"/>
        <v>0</v>
      </c>
      <c r="CK86" s="81">
        <f ca="1">IFERROR(__xludf.DUMMYFUNCTION("IMPORTRANGE(""https://docs.google.com/spreadsheets/d/16o_4B-V7AWw_6E93bSpXj_XxVv1oVQctk-B6z1dNEWU/edit?usp=sharing"",""สงขลา!I233"")"),0)</f>
        <v>0</v>
      </c>
      <c r="CL86" s="81">
        <f ca="1">IFERROR(__xludf.DUMMYFUNCTION("IMPORTRANGE(""https://docs.google.com/spreadsheets/d/16o_4B-V7AWw_6E93bSpXj_XxVv1oVQctk-B6z1dNEWU/edit?usp=sharing"",""สงขลา!J233"")"),0)</f>
        <v>0</v>
      </c>
      <c r="CM86" s="82">
        <f t="shared" ca="1" si="106"/>
        <v>0</v>
      </c>
      <c r="CN86" s="81">
        <f ca="1">IFERROR(__xludf.DUMMYFUNCTION("IMPORTRANGE(""https://docs.google.com/spreadsheets/d/16o_4B-V7AWw_6E93bSpXj_XxVv1oVQctk-B6z1dNEWU/edit?usp=sharing"",""สงขลา!J235"")"),0)</f>
        <v>0</v>
      </c>
      <c r="CO86" s="81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3">
        <v>13</v>
      </c>
      <c r="B87" s="74" t="s">
        <v>109</v>
      </c>
      <c r="C87" s="75">
        <f t="shared" ca="1" si="0"/>
        <v>38200</v>
      </c>
      <c r="D87" s="76">
        <f t="shared" ca="1" si="214"/>
        <v>38200</v>
      </c>
      <c r="E87" s="77">
        <f ca="1">IFERROR(__xludf.DUMMYFUNCTION("IMPORTRANGE(""https://docs.google.com/spreadsheets/d/1MeEWN-I1oV_STSDYn1IFDPWt_1FKiwhDph83XaGc0o0/edit?usp=sharing"",""งบพรบ!CP87"")"),0)</f>
        <v>0</v>
      </c>
      <c r="F87" s="77">
        <f ca="1">IFERROR(__xludf.DUMMYFUNCTION("IMPORTRANGE(""https://docs.google.com/spreadsheets/d/1MeEWN-I1oV_STSDYn1IFDPWt_1FKiwhDph83XaGc0o0/edit?usp=sharing"",""งบพรบ!CQ87"")"),38200)</f>
        <v>38200</v>
      </c>
      <c r="G87" s="77">
        <f ca="1">IFERROR(__xludf.DUMMYFUNCTION("IMPORTRANGE(""https://docs.google.com/spreadsheets/d/1MeEWN-I1oV_STSDYn1IFDPWt_1FKiwhDph83XaGc0o0/edit?usp=sharing"",""งบพรบ!CR87"")"),0)</f>
        <v>0</v>
      </c>
      <c r="H87" s="77">
        <f ca="1">IFERROR(__xludf.DUMMYFUNCTION("IMPORTRANGE(""https://docs.google.com/spreadsheets/d/1MeEWN-I1oV_STSDYn1IFDPWt_1FKiwhDph83XaGc0o0/edit?usp=sharing"",""งบพรบ!CT87"")"),38200)</f>
        <v>38200</v>
      </c>
      <c r="I87" s="77">
        <f ca="1">IFERROR(__xludf.DUMMYFUNCTION("IMPORTRANGE(""https://docs.google.com/spreadsheets/d/1MeEWN-I1oV_STSDYn1IFDPWt_1FKiwhDph83XaGc0o0/edit?usp=sharing"",""งบพรบ!CU87"")"),0)</f>
        <v>0</v>
      </c>
      <c r="J87" s="77">
        <f t="shared" ca="1" si="3"/>
        <v>35585</v>
      </c>
      <c r="K87" s="78">
        <f t="shared" ca="1" si="4"/>
        <v>93.154450261780099</v>
      </c>
      <c r="L87" s="77">
        <f ca="1">IFERROR(__xludf.DUMMYFUNCTION("IMPORTRANGE(""https://docs.google.com/spreadsheets/d/1MeEWN-I1oV_STSDYn1IFDPWt_1FKiwhDph83XaGc0o0/edit?usp=sharing"",""งบพรบ!CV87"")"),35585)</f>
        <v>35585</v>
      </c>
      <c r="M87" s="79">
        <f t="shared" ca="1" si="5"/>
        <v>93.154450261780099</v>
      </c>
      <c r="N87" s="79">
        <f t="shared" ca="1" si="6"/>
        <v>93.154450261780099</v>
      </c>
      <c r="O87" s="80">
        <f ca="1">IFERROR(__xludf.DUMMYFUNCTION("IMPORTRANGE(""https://docs.google.com/spreadsheets/d/1MeEWN-I1oV_STSDYn1IFDPWt_1FKiwhDph83XaGc0o0/edit?usp=sharing"",""งบพรบ!CW87"")"),0)</f>
        <v>0</v>
      </c>
      <c r="P87" s="80">
        <f t="shared" ca="1" si="10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IFERROR(__xludf.DUMMYFUNCTION("IMPORTRANGE(""https://docs.google.com/spreadsheets/d/16cywr71Fj4fA5OGRHsZh30ZG2gwJhMAQv69oVBzYHv0/edit?usp=sharing"",""สตูล!L191"")"),6000)</f>
        <v>6000</v>
      </c>
      <c r="S87" s="81">
        <f ca="1">IFERROR(__xludf.DUMMYFUNCTION("IMPORTRANGE(""https://docs.google.com/spreadsheets/d/16cywr71Fj4fA5OGRHsZh30ZG2gwJhMAQv69oVBzYHv0/edit?usp=sharing"",""สตูล!N191"")"),5400)</f>
        <v>5400</v>
      </c>
      <c r="T87" s="82">
        <f t="shared" ca="1" si="84"/>
        <v>90</v>
      </c>
      <c r="U87" s="81">
        <f ca="1">IFERROR(__xludf.DUMMYFUNCTION("IMPORTRANGE(""https://docs.google.com/spreadsheets/d/16cywr71Fj4fA5OGRHsZh30ZG2gwJhMAQv69oVBzYHv0/edit?usp=sharing"",""สตูล!I193"")"),4)</f>
        <v>4</v>
      </c>
      <c r="V87" s="81">
        <f ca="1">IFERROR(__xludf.DUMMYFUNCTION("IMPORTRANGE(""https://docs.google.com/spreadsheets/d/16cywr71Fj4fA5OGRHsZh30ZG2gwJhMAQv69oVBzYHv0/edit?usp=sharing"",""สตูล!J193"")"),4)</f>
        <v>4</v>
      </c>
      <c r="W87" s="82">
        <f t="shared" ca="1" si="85"/>
        <v>100</v>
      </c>
      <c r="X87" s="81">
        <f t="shared" ca="1" si="215"/>
        <v>135</v>
      </c>
      <c r="Y87" s="81">
        <f ca="1">IFERROR(__xludf.DUMMYFUNCTION("IMPORTRANGE(""https://docs.google.com/spreadsheets/d/16cywr71Fj4fA5OGRHsZh30ZG2gwJhMAQv69oVBzYHv0/edit?usp=sharing"",""สตูล!J195"")"),135)</f>
        <v>135</v>
      </c>
      <c r="Z87" s="81">
        <f ca="1">IFERROR(__xludf.DUMMYFUNCTION("IMPORTRANGE(""https://docs.google.com/spreadsheets/d/16cywr71Fj4fA5OGRHsZh30ZG2gwJhMAQv69oVBzYHv0/edit?usp=sharing"",""สตูล!J196"")"),0)</f>
        <v>0</v>
      </c>
      <c r="AA87" s="81">
        <f ca="1">IFERROR(__xludf.DUMMYFUNCTION("IMPORTRANGE(""https://docs.google.com/spreadsheets/d/16cywr71Fj4fA5OGRHsZh30ZG2gwJhMAQv69oVBzYHv0/edit?usp=sharing"",""สตูล!L199"")"),2000)</f>
        <v>2000</v>
      </c>
      <c r="AB87" s="81">
        <f ca="1">IFERROR(__xludf.DUMMYFUNCTION("IMPORTRANGE(""https://docs.google.com/spreadsheets/d/16cywr71Fj4fA5OGRHsZh30ZG2gwJhMAQv69oVBzYHv0/edit?usp=sharing"",""สตูล!N199"")"),2000)</f>
        <v>2000</v>
      </c>
      <c r="AC87" s="82">
        <f t="shared" ca="1" si="86"/>
        <v>100</v>
      </c>
      <c r="AD87" s="81">
        <f ca="1">IFERROR(__xludf.DUMMYFUNCTION("IMPORTRANGE(""https://docs.google.com/spreadsheets/d/16cywr71Fj4fA5OGRHsZh30ZG2gwJhMAQv69oVBzYHv0/edit?usp=sharing"",""สตูล!L200"")"),16000)</f>
        <v>16000</v>
      </c>
      <c r="AE87" s="81">
        <f ca="1">IFERROR(__xludf.DUMMYFUNCTION("IMPORTRANGE(""https://docs.google.com/spreadsheets/d/16cywr71Fj4fA5OGRHsZh30ZG2gwJhMAQv69oVBzYHv0/edit?usp=sharing"",""สตูล!N200"")"),16000)</f>
        <v>16000</v>
      </c>
      <c r="AF87" s="82">
        <f t="shared" ca="1" si="87"/>
        <v>100</v>
      </c>
      <c r="AG87" s="81">
        <f ca="1">IFERROR(__xludf.DUMMYFUNCTION("IMPORTRANGE(""https://docs.google.com/spreadsheets/d/16cywr71Fj4fA5OGRHsZh30ZG2gwJhMAQv69oVBzYHv0/edit?usp=sharing"",""สตูล!L201"")"),8000)</f>
        <v>8000</v>
      </c>
      <c r="AH87" s="81">
        <f ca="1">IFERROR(__xludf.DUMMYFUNCTION("IMPORTRANGE(""https://docs.google.com/spreadsheets/d/16cywr71Fj4fA5OGRHsZh30ZG2gwJhMAQv69oVBzYHv0/edit?usp=sharing"",""สตูล!N201"")"),8000)</f>
        <v>8000</v>
      </c>
      <c r="AI87" s="82">
        <f t="shared" ca="1" si="88"/>
        <v>100</v>
      </c>
      <c r="AJ87" s="81">
        <f ca="1">IFERROR(__xludf.DUMMYFUNCTION("IMPORTRANGE(""https://docs.google.com/spreadsheets/d/16cywr71Fj4fA5OGRHsZh30ZG2gwJhMAQv69oVBzYHv0/edit?usp=sharing"",""สตูล!L202"")"),0)</f>
        <v>0</v>
      </c>
      <c r="AK87" s="81">
        <f ca="1">IFERROR(__xludf.DUMMYFUNCTION("IMPORTRANGE(""https://docs.google.com/spreadsheets/d/16cywr71Fj4fA5OGRHsZh30ZG2gwJhMAQv69oVBzYHv0/edit?usp=sharing"",""สตูล!N202"")"),0)</f>
        <v>0</v>
      </c>
      <c r="AL87" s="82">
        <f t="shared" ca="1" si="89"/>
        <v>0</v>
      </c>
      <c r="AM87" s="81">
        <f ca="1">IFERROR(__xludf.DUMMYFUNCTION("IMPORTRANGE(""https://docs.google.com/spreadsheets/d/16cywr71Fj4fA5OGRHsZh30ZG2gwJhMAQv69oVBzYHv0/edit?usp=sharing"",""สตูล!I204"")"),2)</f>
        <v>2</v>
      </c>
      <c r="AN87" s="81">
        <f ca="1">IFERROR(__xludf.DUMMYFUNCTION("IMPORTRANGE(""https://docs.google.com/spreadsheets/d/16cywr71Fj4fA5OGRHsZh30ZG2gwJhMAQv69oVBzYHv0/edit?usp=sharing"",""สตูล!J204"")"),2)</f>
        <v>2</v>
      </c>
      <c r="AO87" s="82">
        <f t="shared" ca="1" si="90"/>
        <v>100</v>
      </c>
      <c r="AP87" s="297">
        <f ca="1">IFERROR(__xludf.DUMMYFUNCTION("IMPORTRANGE(""https://docs.google.com/spreadsheets/d/16cywr71Fj4fA5OGRHsZh30ZG2gwJhMAQv69oVBzYHv0/edit?usp=sharing"",""สตูล!J206"")"),2)</f>
        <v>2</v>
      </c>
      <c r="AQ87" s="297">
        <f ca="1">IFERROR(__xludf.DUMMYFUNCTION("IMPORTRANGE(""https://docs.google.com/spreadsheets/d/16cywr71Fj4fA5OGRHsZh30ZG2gwJhMAQv69oVBzYHv0/edit?usp=sharing"",""สตูล!J207"")"),0)</f>
        <v>0</v>
      </c>
      <c r="AR87" s="81">
        <f ca="1">IFERROR(__xludf.DUMMYFUNCTION("IMPORTRANGE(""https://docs.google.com/spreadsheets/d/16cywr71Fj4fA5OGRHsZh30ZG2gwJhMAQv69oVBzYHv0/edit?usp=sharing"",""สตูล!L210"")"),0)</f>
        <v>0</v>
      </c>
      <c r="AS87" s="81">
        <f ca="1">IFERROR(__xludf.DUMMYFUNCTION("IMPORTRANGE(""https://docs.google.com/spreadsheets/d/16cywr71Fj4fA5OGRHsZh30ZG2gwJhMAQv69oVBzYHv0/edit?usp=sharing"",""สตูล!N210"")"),0)</f>
        <v>0</v>
      </c>
      <c r="AT87" s="82">
        <f t="shared" ca="1" si="91"/>
        <v>0</v>
      </c>
      <c r="AU87" s="81">
        <f ca="1">IFERROR(__xludf.DUMMYFUNCTION("IMPORTRANGE(""https://docs.google.com/spreadsheets/d/16cywr71Fj4fA5OGRHsZh30ZG2gwJhMAQv69oVBzYHv0/edit?usp=sharing"",""สตูล!L211"")"),0)</f>
        <v>0</v>
      </c>
      <c r="AV87" s="81">
        <f ca="1">IFERROR(__xludf.DUMMYFUNCTION("IMPORTRANGE(""https://docs.google.com/spreadsheets/d/16cywr71Fj4fA5OGRHsZh30ZG2gwJhMAQv69oVBzYHv0/edit?usp=sharing"",""สตูล!N211"")"),0)</f>
        <v>0</v>
      </c>
      <c r="AW87" s="82">
        <f t="shared" ca="1" si="92"/>
        <v>0</v>
      </c>
      <c r="AX87" s="81">
        <f ca="1">IFERROR(__xludf.DUMMYFUNCTION("IMPORTRANGE(""https://docs.google.com/spreadsheets/d/16cywr71Fj4fA5OGRHsZh30ZG2gwJhMAQv69oVBzYHv0/edit?usp=sharing"",""สตูล!L212"")"),0)</f>
        <v>0</v>
      </c>
      <c r="AY87" s="81">
        <f ca="1">IFERROR(__xludf.DUMMYFUNCTION("IMPORTRANGE(""https://docs.google.com/spreadsheets/d/16cywr71Fj4fA5OGRHsZh30ZG2gwJhMAQv69oVBzYHv0/edit?usp=sharing"",""สตูล!N212"")"),0)</f>
        <v>0</v>
      </c>
      <c r="AZ87" s="82">
        <f t="shared" ca="1" si="93"/>
        <v>0</v>
      </c>
      <c r="BA87" s="81">
        <f ca="1">IFERROR(__xludf.DUMMYFUNCTION("IMPORTRANGE(""https://docs.google.com/spreadsheets/d/16cywr71Fj4fA5OGRHsZh30ZG2gwJhMAQv69oVBzYHv0/edit?usp=sharing"",""สตูล!I214"")"),0)</f>
        <v>0</v>
      </c>
      <c r="BB87" s="81">
        <f ca="1">IFERROR(__xludf.DUMMYFUNCTION("IMPORTRANGE(""https://docs.google.com/spreadsheets/d/16cywr71Fj4fA5OGRHsZh30ZG2gwJhMAQv69oVBzYHv0/edit?usp=sharing"",""สตูล!J214"")"),0)</f>
        <v>0</v>
      </c>
      <c r="BC87" s="82">
        <f t="shared" ca="1" si="94"/>
        <v>0</v>
      </c>
      <c r="BD87" s="81">
        <f ca="1">IFERROR(__xludf.DUMMYFUNCTION("IMPORTRANGE(""https://docs.google.com/spreadsheets/d/16cywr71Fj4fA5OGRHsZh30ZG2gwJhMAQv69oVBzYHv0/edit?usp=sharing"",""สตูล!I215"")"),0)</f>
        <v>0</v>
      </c>
      <c r="BE87" s="81">
        <f ca="1">IFERROR(__xludf.DUMMYFUNCTION("IMPORTRANGE(""https://docs.google.com/spreadsheets/d/16cywr71Fj4fA5OGRHsZh30ZG2gwJhMAQv69oVBzYHv0/edit?usp=sharing"",""สตูล!J215"")"),0)</f>
        <v>0</v>
      </c>
      <c r="BF87" s="82">
        <f t="shared" ca="1" si="95"/>
        <v>0</v>
      </c>
      <c r="BG87" s="81">
        <f ca="1">IFERROR(__xludf.DUMMYFUNCTION("IMPORTRANGE(""https://docs.google.com/spreadsheets/d/16cywr71Fj4fA5OGRHsZh30ZG2gwJhMAQv69oVBzYHv0/edit?usp=sharing"",""สตูล!L218"")"),3000)</f>
        <v>3000</v>
      </c>
      <c r="BH87" s="81">
        <f ca="1">IFERROR(__xludf.DUMMYFUNCTION("IMPORTRANGE(""https://docs.google.com/spreadsheets/d/16cywr71Fj4fA5OGRHsZh30ZG2gwJhMAQv69oVBzYHv0/edit?usp=sharing"",""สตูล!N218"")"),3000)</f>
        <v>3000</v>
      </c>
      <c r="BI87" s="82">
        <f t="shared" ca="1" si="96"/>
        <v>100</v>
      </c>
      <c r="BJ87" s="81">
        <f ca="1">IFERROR(__xludf.DUMMYFUNCTION("IMPORTRANGE(""https://docs.google.com/spreadsheets/d/16cywr71Fj4fA5OGRHsZh30ZG2gwJhMAQv69oVBzYHv0/edit?usp=sharing"",""สตูล!L219"")"),3200)</f>
        <v>3200</v>
      </c>
      <c r="BK87" s="81">
        <f ca="1">IFERROR(__xludf.DUMMYFUNCTION("IMPORTRANGE(""https://docs.google.com/spreadsheets/d/16cywr71Fj4fA5OGRHsZh30ZG2gwJhMAQv69oVBzYHv0/edit?usp=sharing"",""สตูล!N219"")"),1185)</f>
        <v>1185</v>
      </c>
      <c r="BL87" s="82">
        <f t="shared" ca="1" si="97"/>
        <v>37.03125</v>
      </c>
      <c r="BM87" s="81">
        <f ca="1">IFERROR(__xludf.DUMMYFUNCTION("IMPORTRANGE(""https://docs.google.com/spreadsheets/d/16cywr71Fj4fA5OGRHsZh30ZG2gwJhMAQv69oVBzYHv0/edit?usp=sharing"",""สตูล!L220"")"),0)</f>
        <v>0</v>
      </c>
      <c r="BN87" s="81">
        <f ca="1">IFERROR(__xludf.DUMMYFUNCTION("IMPORTRANGE(""https://docs.google.com/spreadsheets/d/16cywr71Fj4fA5OGRHsZh30ZG2gwJhMAQv69oVBzYHv0/edit?usp=sharing"",""สตูล!N220"")"),0)</f>
        <v>0</v>
      </c>
      <c r="BO87" s="82">
        <f t="shared" ca="1" si="98"/>
        <v>0</v>
      </c>
      <c r="BP87" s="81">
        <f ca="1">IFERROR(__xludf.DUMMYFUNCTION("IMPORTRANGE(""https://docs.google.com/spreadsheets/d/16cywr71Fj4fA5OGRHsZh30ZG2gwJhMAQv69oVBzYHv0/edit?usp=sharing"",""สตูล!I223"")"),6400)</f>
        <v>6400</v>
      </c>
      <c r="BQ87" s="81">
        <f ca="1">IFERROR(__xludf.DUMMYFUNCTION("IMPORTRANGE(""https://docs.google.com/spreadsheets/d/16cywr71Fj4fA5OGRHsZh30ZG2gwJhMAQv69oVBzYHv0/edit?usp=sharing"",""สตูล!J223"")"),6400)</f>
        <v>6400</v>
      </c>
      <c r="BR87" s="82">
        <f t="shared" ca="1" si="99"/>
        <v>100</v>
      </c>
      <c r="BS87" s="81">
        <f ca="1">IFERROR(__xludf.DUMMYFUNCTION("IMPORTRANGE(""https://docs.google.com/spreadsheets/d/16cywr71Fj4fA5OGRHsZh30ZG2gwJhMAQv69oVBzYHv0/edit?usp=sharing"",""สตูล!I224"")"),6400)</f>
        <v>6400</v>
      </c>
      <c r="BT87" s="81">
        <f ca="1">IFERROR(__xludf.DUMMYFUNCTION("IMPORTRANGE(""https://docs.google.com/spreadsheets/d/16cywr71Fj4fA5OGRHsZh30ZG2gwJhMAQv69oVBzYHv0/edit?usp=sharing"",""สตูล!J224"")"),6400)</f>
        <v>6400</v>
      </c>
      <c r="BU87" s="82">
        <f t="shared" ca="1" si="100"/>
        <v>100</v>
      </c>
      <c r="BV87" s="81">
        <f ca="1">IFERROR(__xludf.DUMMYFUNCTION("IMPORTRANGE(""https://docs.google.com/spreadsheets/d/16cywr71Fj4fA5OGRHsZh30ZG2gwJhMAQv69oVBzYHv0/edit?usp=sharing"",""สตูล!I225"")"),0)</f>
        <v>0</v>
      </c>
      <c r="BW87" s="81">
        <f ca="1">IFERROR(__xludf.DUMMYFUNCTION("IMPORTRANGE(""https://docs.google.com/spreadsheets/d/16cywr71Fj4fA5OGRHsZh30ZG2gwJhMAQv69oVBzYHv0/edit?usp=sharing"",""สตูล!J225"")"),0)</f>
        <v>0</v>
      </c>
      <c r="BX87" s="82">
        <f t="shared" ca="1" si="101"/>
        <v>0</v>
      </c>
      <c r="BY87" s="81">
        <f ca="1">IFERROR(__xludf.DUMMYFUNCTION("IMPORTRANGE(""https://docs.google.com/spreadsheets/d/16cywr71Fj4fA5OGRHsZh30ZG2gwJhMAQv69oVBzYHv0/edit?usp=sharing"",""สตูล!L228"")"),0)</f>
        <v>0</v>
      </c>
      <c r="BZ87" s="81">
        <f ca="1">IFERROR(__xludf.DUMMYFUNCTION("IMPORTRANGE(""https://docs.google.com/spreadsheets/d/16cywr71Fj4fA5OGRHsZh30ZG2gwJhMAQv69oVBzYHv0/edit?usp=sharing"",""สตูล!N228"")"),0)</f>
        <v>0</v>
      </c>
      <c r="CA87" s="82">
        <f t="shared" ca="1" si="102"/>
        <v>0</v>
      </c>
      <c r="CB87" s="81">
        <f ca="1">IFERROR(__xludf.DUMMYFUNCTION("IMPORTRANGE(""https://docs.google.com/spreadsheets/d/16cywr71Fj4fA5OGRHsZh30ZG2gwJhMAQv69oVBzYHv0/edit?usp=sharing"",""สตูล!L229"")"),0)</f>
        <v>0</v>
      </c>
      <c r="CC87" s="81">
        <f ca="1">IFERROR(__xludf.DUMMYFUNCTION("IMPORTRANGE(""https://docs.google.com/spreadsheets/d/16cywr71Fj4fA5OGRHsZh30ZG2gwJhMAQv69oVBzYHv0/edit?usp=sharing"",""สตูล!N229"")"),0)</f>
        <v>0</v>
      </c>
      <c r="CD87" s="82">
        <f t="shared" ca="1" si="103"/>
        <v>0</v>
      </c>
      <c r="CE87" s="81">
        <f ca="1">IFERROR(__xludf.DUMMYFUNCTION("IMPORTRANGE(""https://docs.google.com/spreadsheets/d/16cywr71Fj4fA5OGRHsZh30ZG2gwJhMAQv69oVBzYHv0/edit?usp=sharing"",""สตูล!L230"")"),0)</f>
        <v>0</v>
      </c>
      <c r="CF87" s="81">
        <f ca="1">IFERROR(__xludf.DUMMYFUNCTION("IMPORTRANGE(""https://docs.google.com/spreadsheets/d/16cywr71Fj4fA5OGRHsZh30ZG2gwJhMAQv69oVBzYHv0/edit?usp=sharing"",""สตูล!N230"")"),0)</f>
        <v>0</v>
      </c>
      <c r="CG87" s="82">
        <f t="shared" ca="1" si="104"/>
        <v>0</v>
      </c>
      <c r="CH87" s="81">
        <f ca="1">IFERROR(__xludf.DUMMYFUNCTION("IMPORTRANGE(""https://docs.google.com/spreadsheets/d/16cywr71Fj4fA5OGRHsZh30ZG2gwJhMAQv69oVBzYHv0/edit?usp=sharing"",""สตูล!L231"")"),0)</f>
        <v>0</v>
      </c>
      <c r="CI87" s="81">
        <f ca="1">IFERROR(__xludf.DUMMYFUNCTION("IMPORTRANGE(""https://docs.google.com/spreadsheets/d/16cywr71Fj4fA5OGRHsZh30ZG2gwJhMAQv69oVBzYHv0/edit?usp=sharing"",""สตูล!N231"")"),0)</f>
        <v>0</v>
      </c>
      <c r="CJ87" s="82">
        <f t="shared" ca="1" si="105"/>
        <v>0</v>
      </c>
      <c r="CK87" s="81">
        <f ca="1">IFERROR(__xludf.DUMMYFUNCTION("IMPORTRANGE(""https://docs.google.com/spreadsheets/d/16cywr71Fj4fA5OGRHsZh30ZG2gwJhMAQv69oVBzYHv0/edit?usp=sharing"",""สตูล!I233"")"),0)</f>
        <v>0</v>
      </c>
      <c r="CL87" s="81">
        <f ca="1">IFERROR(__xludf.DUMMYFUNCTION("IMPORTRANGE(""https://docs.google.com/spreadsheets/d/16cywr71Fj4fA5OGRHsZh30ZG2gwJhMAQv69oVBzYHv0/edit?usp=sharing"",""สตูล!J233"")"),0)</f>
        <v>0</v>
      </c>
      <c r="CM87" s="82">
        <f t="shared" ca="1" si="106"/>
        <v>0</v>
      </c>
      <c r="CN87" s="81">
        <f ca="1">IFERROR(__xludf.DUMMYFUNCTION("IMPORTRANGE(""https://docs.google.com/spreadsheets/d/16cywr71Fj4fA5OGRHsZh30ZG2gwJhMAQv69oVBzYHv0/edit?usp=sharing"",""สตูล!J235"")"),0)</f>
        <v>0</v>
      </c>
      <c r="CO87" s="81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4">
        <v>14</v>
      </c>
      <c r="B88" s="85" t="s">
        <v>110</v>
      </c>
      <c r="C88" s="86">
        <f t="shared" ca="1" si="0"/>
        <v>64500</v>
      </c>
      <c r="D88" s="87">
        <f t="shared" ca="1" si="214"/>
        <v>64500</v>
      </c>
      <c r="E88" s="88">
        <f ca="1">IFERROR(__xludf.DUMMYFUNCTION("IMPORTRANGE(""https://docs.google.com/spreadsheets/d/1MeEWN-I1oV_STSDYn1IFDPWt_1FKiwhDph83XaGc0o0/edit?usp=sharing"",""งบพรบ!CP88"")"),0)</f>
        <v>0</v>
      </c>
      <c r="F88" s="88">
        <f ca="1">IFERROR(__xludf.DUMMYFUNCTION("IMPORTRANGE(""https://docs.google.com/spreadsheets/d/1MeEWN-I1oV_STSDYn1IFDPWt_1FKiwhDph83XaGc0o0/edit?usp=sharing"",""งบพรบ!CQ88"")"),64500)</f>
        <v>64500</v>
      </c>
      <c r="G88" s="88">
        <f ca="1">IFERROR(__xludf.DUMMYFUNCTION("IMPORTRANGE(""https://docs.google.com/spreadsheets/d/1MeEWN-I1oV_STSDYn1IFDPWt_1FKiwhDph83XaGc0o0/edit?usp=sharing"",""งบพรบ!CR88"")"),0)</f>
        <v>0</v>
      </c>
      <c r="H88" s="88">
        <f ca="1">IFERROR(__xludf.DUMMYFUNCTION("IMPORTRANGE(""https://docs.google.com/spreadsheets/d/1MeEWN-I1oV_STSDYn1IFDPWt_1FKiwhDph83XaGc0o0/edit?usp=sharing"",""งบพรบ!CT88"")"),64500)</f>
        <v>64500</v>
      </c>
      <c r="I88" s="88">
        <f ca="1">IFERROR(__xludf.DUMMYFUNCTION("IMPORTRANGE(""https://docs.google.com/spreadsheets/d/1MeEWN-I1oV_STSDYn1IFDPWt_1FKiwhDph83XaGc0o0/edit?usp=sharing"",""งบพรบ!CU88"")"),0)</f>
        <v>0</v>
      </c>
      <c r="J88" s="88">
        <f t="shared" ca="1" si="3"/>
        <v>60560</v>
      </c>
      <c r="K88" s="89">
        <f t="shared" ca="1" si="4"/>
        <v>93.891472868217051</v>
      </c>
      <c r="L88" s="88">
        <f ca="1">IFERROR(__xludf.DUMMYFUNCTION("IMPORTRANGE(""https://docs.google.com/spreadsheets/d/1MeEWN-I1oV_STSDYn1IFDPWt_1FKiwhDph83XaGc0o0/edit?usp=sharing"",""งบพรบ!CV88"")"),60560)</f>
        <v>60560</v>
      </c>
      <c r="M88" s="90">
        <f t="shared" ca="1" si="5"/>
        <v>93.891472868217051</v>
      </c>
      <c r="N88" s="90">
        <f t="shared" ca="1" si="6"/>
        <v>93.891472868217051</v>
      </c>
      <c r="O88" s="91">
        <f ca="1">IFERROR(__xludf.DUMMYFUNCTION("IMPORTRANGE(""https://docs.google.com/spreadsheets/d/1MeEWN-I1oV_STSDYn1IFDPWt_1FKiwhDph83XaGc0o0/edit?usp=sharing"",""งบพรบ!CW88"")"),0)</f>
        <v>0</v>
      </c>
      <c r="P88" s="91">
        <f t="shared" ca="1" si="10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IFERROR(__xludf.DUMMYFUNCTION("IMPORTRANGE(""https://docs.google.com/spreadsheets/d/1vO9Sws6kMtrVtyvrAJptINXjK8TFBoX9xLYOVK_C8bQ/edit?usp=sharing"",""สุราษฎร์ธานี!L191"")"),6000)</f>
        <v>6000</v>
      </c>
      <c r="S88" s="92">
        <f ca="1">IFERROR(__xludf.DUMMYFUNCTION("IMPORTRANGE(""https://docs.google.com/spreadsheets/d/1vO9Sws6kMtrVtyvrAJptINXjK8TFBoX9xLYOVK_C8bQ/edit?usp=sharing"",""สุราษฎร์ธานี!N191"")"),3760)</f>
        <v>3760</v>
      </c>
      <c r="T88" s="93">
        <f t="shared" ca="1" si="84"/>
        <v>62.666666666666664</v>
      </c>
      <c r="U88" s="92">
        <f ca="1">IFERROR(__xludf.DUMMYFUNCTION("IMPORTRANGE(""https://docs.google.com/spreadsheets/d/1vO9Sws6kMtrVtyvrAJptINXjK8TFBoX9xLYOVK_C8bQ/edit?usp=sharing"",""สุราษฎร์ธานี!I193"")"),4)</f>
        <v>4</v>
      </c>
      <c r="V88" s="92">
        <f ca="1">IFERROR(__xludf.DUMMYFUNCTION("IMPORTRANGE(""https://docs.google.com/spreadsheets/d/1vO9Sws6kMtrVtyvrAJptINXjK8TFBoX9xLYOVK_C8bQ/edit?usp=sharing"",""สุราษฎร์ธานี!J193"")"),4)</f>
        <v>4</v>
      </c>
      <c r="W88" s="93">
        <f t="shared" ca="1" si="85"/>
        <v>100</v>
      </c>
      <c r="X88" s="92">
        <f t="shared" ca="1" si="215"/>
        <v>100</v>
      </c>
      <c r="Y88" s="92">
        <f ca="1">IFERROR(__xludf.DUMMYFUNCTION("IMPORTRANGE(""https://docs.google.com/spreadsheets/d/1vO9Sws6kMtrVtyvrAJptINXjK8TFBoX9xLYOVK_C8bQ/edit?usp=sharing"",""สุราษฎร์ธานี!J195"")"),100)</f>
        <v>100</v>
      </c>
      <c r="Z88" s="92">
        <f ca="1">IFERROR(__xludf.DUMMYFUNCTION("IMPORTRANGE(""https://docs.google.com/spreadsheets/d/1vO9Sws6kMtrVtyvrAJptINXjK8TFBoX9xLYOVK_C8bQ/edit?usp=sharing"",""สุราษฎร์ธานี!J196"")"),0)</f>
        <v>0</v>
      </c>
      <c r="AA88" s="92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92">
        <f ca="1">IFERROR(__xludf.DUMMYFUNCTION("IMPORTRANGE(""https://docs.google.com/spreadsheets/d/1vO9Sws6kMtrVtyvrAJptINXjK8TFBoX9xLYOVK_C8bQ/edit?usp=sharing"",""สุราษฎร์ธานี!N199"")"),4000)</f>
        <v>4000</v>
      </c>
      <c r="AC88" s="93">
        <f t="shared" ca="1" si="86"/>
        <v>100</v>
      </c>
      <c r="AD88" s="92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92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3">
        <f t="shared" ca="1" si="87"/>
        <v>100</v>
      </c>
      <c r="AG88" s="92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92">
        <f ca="1">IFERROR(__xludf.DUMMYFUNCTION("IMPORTRANGE(""https://docs.google.com/spreadsheets/d/1vO9Sws6kMtrVtyvrAJptINXjK8TFBoX9xLYOVK_C8bQ/edit?usp=sharing"",""สุราษฎร์ธานี!N201"")"),16000)</f>
        <v>16000</v>
      </c>
      <c r="AI88" s="93">
        <f t="shared" ca="1" si="88"/>
        <v>100</v>
      </c>
      <c r="AJ88" s="92">
        <f ca="1">IFERROR(__xludf.DUMMYFUNCTION("IMPORTRANGE(""https://docs.google.com/spreadsheets/d/1vO9Sws6kMtrVtyvrAJptINXjK8TFBoX9xLYOVK_C8bQ/edit?usp=sharing"",""สุราษฎร์ธานี!L202"")"),0)</f>
        <v>0</v>
      </c>
      <c r="AK88" s="92">
        <f ca="1">IFERROR(__xludf.DUMMYFUNCTION("IMPORTRANGE(""https://docs.google.com/spreadsheets/d/1vO9Sws6kMtrVtyvrAJptINXjK8TFBoX9xLYOVK_C8bQ/edit?usp=sharing"",""สุราษฎร์ธานี!N202"")"),0)</f>
        <v>0</v>
      </c>
      <c r="AL88" s="93">
        <f t="shared" ca="1" si="89"/>
        <v>0</v>
      </c>
      <c r="AM88" s="92">
        <f ca="1">IFERROR(__xludf.DUMMYFUNCTION("IMPORTRANGE(""https://docs.google.com/spreadsheets/d/1vO9Sws6kMtrVtyvrAJptINXjK8TFBoX9xLYOVK_C8bQ/edit?usp=sharing"",""สุราษฎร์ธานี!I204"")"),4)</f>
        <v>4</v>
      </c>
      <c r="AN88" s="92">
        <f ca="1">IFERROR(__xludf.DUMMYFUNCTION("IMPORTRANGE(""https://docs.google.com/spreadsheets/d/1vO9Sws6kMtrVtyvrAJptINXjK8TFBoX9xLYOVK_C8bQ/edit?usp=sharing"",""สุราษฎร์ธานี!J204"")"),4)</f>
        <v>4</v>
      </c>
      <c r="AO88" s="93">
        <f t="shared" ca="1" si="90"/>
        <v>100</v>
      </c>
      <c r="AP88" s="298">
        <f ca="1">IFERROR(__xludf.DUMMYFUNCTION("IMPORTRANGE(""https://docs.google.com/spreadsheets/d/1vO9Sws6kMtrVtyvrAJptINXjK8TFBoX9xLYOVK_C8bQ/edit?usp=sharing"",""สุราษฎร์ธานี!J206"")"),4)</f>
        <v>4</v>
      </c>
      <c r="AQ88" s="298">
        <f ca="1">IFERROR(__xludf.DUMMYFUNCTION("IMPORTRANGE(""https://docs.google.com/spreadsheets/d/1vO9Sws6kMtrVtyvrAJptINXjK8TFBoX9xLYOVK_C8bQ/edit?usp=sharing"",""สุราษฎร์ธานี!J207"")"),0)</f>
        <v>0</v>
      </c>
      <c r="AR88" s="92">
        <f ca="1">IFERROR(__xludf.DUMMYFUNCTION("IMPORTRANGE(""https://docs.google.com/spreadsheets/d/1vO9Sws6kMtrVtyvrAJptINXjK8TFBoX9xLYOVK_C8bQ/edit?usp=sharing"",""สุราษฎร์ธานี!L210"")"),0)</f>
        <v>0</v>
      </c>
      <c r="AS88" s="92">
        <f ca="1">IFERROR(__xludf.DUMMYFUNCTION("IMPORTRANGE(""https://docs.google.com/spreadsheets/d/1vO9Sws6kMtrVtyvrAJptINXjK8TFBoX9xLYOVK_C8bQ/edit?usp=sharing"",""สุราษฎร์ธานี!N210"")"),0)</f>
        <v>0</v>
      </c>
      <c r="AT88" s="93">
        <f t="shared" ca="1" si="91"/>
        <v>0</v>
      </c>
      <c r="AU88" s="92">
        <f ca="1">IFERROR(__xludf.DUMMYFUNCTION("IMPORTRANGE(""https://docs.google.com/spreadsheets/d/1vO9Sws6kMtrVtyvrAJptINXjK8TFBoX9xLYOVK_C8bQ/edit?usp=sharing"",""สุราษฎร์ธานี!L211"")"),0)</f>
        <v>0</v>
      </c>
      <c r="AV88" s="92">
        <f ca="1">IFERROR(__xludf.DUMMYFUNCTION("IMPORTRANGE(""https://docs.google.com/spreadsheets/d/1vO9Sws6kMtrVtyvrAJptINXjK8TFBoX9xLYOVK_C8bQ/edit?usp=sharing"",""สุราษฎร์ธานี!N211"")"),0)</f>
        <v>0</v>
      </c>
      <c r="AW88" s="93">
        <f t="shared" ca="1" si="92"/>
        <v>0</v>
      </c>
      <c r="AX88" s="92">
        <f ca="1">IFERROR(__xludf.DUMMYFUNCTION("IMPORTRANGE(""https://docs.google.com/spreadsheets/d/1vO9Sws6kMtrVtyvrAJptINXjK8TFBoX9xLYOVK_C8bQ/edit?usp=sharing"",""สุราษฎร์ธานี!L212"")"),0)</f>
        <v>0</v>
      </c>
      <c r="AY88" s="92">
        <f ca="1">IFERROR(__xludf.DUMMYFUNCTION("IMPORTRANGE(""https://docs.google.com/spreadsheets/d/1vO9Sws6kMtrVtyvrAJptINXjK8TFBoX9xLYOVK_C8bQ/edit?usp=sharing"",""สุราษฎร์ธานี!N212"")"),0)</f>
        <v>0</v>
      </c>
      <c r="AZ88" s="93">
        <f t="shared" ca="1" si="93"/>
        <v>0</v>
      </c>
      <c r="BA88" s="92">
        <f ca="1">IFERROR(__xludf.DUMMYFUNCTION("IMPORTRANGE(""https://docs.google.com/spreadsheets/d/1vO9Sws6kMtrVtyvrAJptINXjK8TFBoX9xLYOVK_C8bQ/edit?usp=sharing"",""สุราษฎร์ธานี!I214"")"),0)</f>
        <v>0</v>
      </c>
      <c r="BB88" s="92">
        <f ca="1">IFERROR(__xludf.DUMMYFUNCTION("IMPORTRANGE(""https://docs.google.com/spreadsheets/d/1vO9Sws6kMtrVtyvrAJptINXjK8TFBoX9xLYOVK_C8bQ/edit?usp=sharing"",""สุราษฎร์ธานี!J214"")"),0)</f>
        <v>0</v>
      </c>
      <c r="BC88" s="93">
        <f t="shared" ca="1" si="94"/>
        <v>0</v>
      </c>
      <c r="BD88" s="92">
        <f ca="1">IFERROR(__xludf.DUMMYFUNCTION("IMPORTRANGE(""https://docs.google.com/spreadsheets/d/1vO9Sws6kMtrVtyvrAJptINXjK8TFBoX9xLYOVK_C8bQ/edit?usp=sharing"",""สุราษฎร์ธานี!I215"")"),0)</f>
        <v>0</v>
      </c>
      <c r="BE88" s="92">
        <f ca="1">IFERROR(__xludf.DUMMYFUNCTION("IMPORTRANGE(""https://docs.google.com/spreadsheets/d/1vO9Sws6kMtrVtyvrAJptINXjK8TFBoX9xLYOVK_C8bQ/edit?usp=sharing"",""สุราษฎร์ธานี!J215"")"),0)</f>
        <v>0</v>
      </c>
      <c r="BF88" s="93">
        <f t="shared" ca="1" si="95"/>
        <v>0</v>
      </c>
      <c r="BG88" s="92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92">
        <f ca="1">IFERROR(__xludf.DUMMYFUNCTION("IMPORTRANGE(""https://docs.google.com/spreadsheets/d/1vO9Sws6kMtrVtyvrAJptINXjK8TFBoX9xLYOVK_C8bQ/edit?usp=sharing"",""สุราษฎร์ธานี!N218"")"),540)</f>
        <v>540</v>
      </c>
      <c r="BI88" s="93">
        <f t="shared" ca="1" si="96"/>
        <v>18</v>
      </c>
      <c r="BJ88" s="92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92">
        <f ca="1">IFERROR(__xludf.DUMMYFUNCTION("IMPORTRANGE(""https://docs.google.com/spreadsheets/d/1vO9Sws6kMtrVtyvrAJptINXjK8TFBoX9xLYOVK_C8bQ/edit?usp=sharing"",""สุราษฎร์ธานี!N219"")"),3500)</f>
        <v>3500</v>
      </c>
      <c r="BL88" s="93">
        <f t="shared" ca="1" si="97"/>
        <v>100</v>
      </c>
      <c r="BM88" s="92">
        <f ca="1">IFERROR(__xludf.DUMMYFUNCTION("IMPORTRANGE(""https://docs.google.com/spreadsheets/d/1vO9Sws6kMtrVtyvrAJptINXjK8TFBoX9xLYOVK_C8bQ/edit?usp=sharing"",""สุราษฎร์ธานี!L220"")"),0)</f>
        <v>0</v>
      </c>
      <c r="BN88" s="92">
        <f ca="1">IFERROR(__xludf.DUMMYFUNCTION("IMPORTRANGE(""https://docs.google.com/spreadsheets/d/1vO9Sws6kMtrVtyvrAJptINXjK8TFBoX9xLYOVK_C8bQ/edit?usp=sharing"",""สุราษฎร์ธานี!N220"")"),0)</f>
        <v>0</v>
      </c>
      <c r="BO88" s="93">
        <f t="shared" ca="1" si="98"/>
        <v>0</v>
      </c>
      <c r="BP88" s="92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92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3">
        <f t="shared" ca="1" si="99"/>
        <v>100</v>
      </c>
      <c r="BS88" s="92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92">
        <f ca="1">IFERROR(__xludf.DUMMYFUNCTION("IMPORTRANGE(""https://docs.google.com/spreadsheets/d/1vO9Sws6kMtrVtyvrAJptINXjK8TFBoX9xLYOVK_C8bQ/edit?usp=sharing"",""สุราษฎร์ธานี!J224"")"),10000)</f>
        <v>10000</v>
      </c>
      <c r="BU88" s="93">
        <f t="shared" ca="1" si="100"/>
        <v>100</v>
      </c>
      <c r="BV88" s="92">
        <f ca="1">IFERROR(__xludf.DUMMYFUNCTION("IMPORTRANGE(""https://docs.google.com/spreadsheets/d/1vO9Sws6kMtrVtyvrAJptINXjK8TFBoX9xLYOVK_C8bQ/edit?usp=sharing"",""สุราษฎร์ธานี!I225"")"),0)</f>
        <v>0</v>
      </c>
      <c r="BW88" s="92">
        <f ca="1">IFERROR(__xludf.DUMMYFUNCTION("IMPORTRANGE(""https://docs.google.com/spreadsheets/d/1vO9Sws6kMtrVtyvrAJptINXjK8TFBoX9xLYOVK_C8bQ/edit?usp=sharing"",""สุราษฎร์ธานี!J225"")"),0)</f>
        <v>0</v>
      </c>
      <c r="BX88" s="93">
        <f t="shared" ca="1" si="101"/>
        <v>0</v>
      </c>
      <c r="BY88" s="92">
        <f ca="1">IFERROR(__xludf.DUMMYFUNCTION("IMPORTRANGE(""https://docs.google.com/spreadsheets/d/1vO9Sws6kMtrVtyvrAJptINXjK8TFBoX9xLYOVK_C8bQ/edit?usp=sharing"",""สุราษฎร์ธานี!L228"")"),0)</f>
        <v>0</v>
      </c>
      <c r="BZ88" s="92">
        <f ca="1">IFERROR(__xludf.DUMMYFUNCTION("IMPORTRANGE(""https://docs.google.com/spreadsheets/d/1vO9Sws6kMtrVtyvrAJptINXjK8TFBoX9xLYOVK_C8bQ/edit?usp=sharing"",""สุราษฎร์ธานี!N228"")"),0)</f>
        <v>0</v>
      </c>
      <c r="CA88" s="93">
        <f t="shared" ca="1" si="102"/>
        <v>0</v>
      </c>
      <c r="CB88" s="92">
        <f ca="1">IFERROR(__xludf.DUMMYFUNCTION("IMPORTRANGE(""https://docs.google.com/spreadsheets/d/1vO9Sws6kMtrVtyvrAJptINXjK8TFBoX9xLYOVK_C8bQ/edit?usp=sharing"",""สุราษฎร์ธานี!L229"")"),0)</f>
        <v>0</v>
      </c>
      <c r="CC88" s="92">
        <f ca="1">IFERROR(__xludf.DUMMYFUNCTION("IMPORTRANGE(""https://docs.google.com/spreadsheets/d/1vO9Sws6kMtrVtyvrAJptINXjK8TFBoX9xLYOVK_C8bQ/edit?usp=sharing"",""สุราษฎร์ธานี!N229"")"),0)</f>
        <v>0</v>
      </c>
      <c r="CD88" s="93">
        <f t="shared" ca="1" si="103"/>
        <v>0</v>
      </c>
      <c r="CE88" s="92">
        <f ca="1">IFERROR(__xludf.DUMMYFUNCTION("IMPORTRANGE(""https://docs.google.com/spreadsheets/d/1vO9Sws6kMtrVtyvrAJptINXjK8TFBoX9xLYOVK_C8bQ/edit?usp=sharing"",""สุราษฎร์ธานี!L230"")"),0)</f>
        <v>0</v>
      </c>
      <c r="CF88" s="92">
        <f ca="1">IFERROR(__xludf.DUMMYFUNCTION("IMPORTRANGE(""https://docs.google.com/spreadsheets/d/1vO9Sws6kMtrVtyvrAJptINXjK8TFBoX9xLYOVK_C8bQ/edit?usp=sharing"",""สุราษฎร์ธานี!N230"")"),0)</f>
        <v>0</v>
      </c>
      <c r="CG88" s="93">
        <f t="shared" ca="1" si="104"/>
        <v>0</v>
      </c>
      <c r="CH88" s="92">
        <f ca="1">IFERROR(__xludf.DUMMYFUNCTION("IMPORTRANGE(""https://docs.google.com/spreadsheets/d/1vO9Sws6kMtrVtyvrAJptINXjK8TFBoX9xLYOVK_C8bQ/edit?usp=sharing"",""สุราษฎร์ธานี!L231"")"),0)</f>
        <v>0</v>
      </c>
      <c r="CI88" s="92">
        <f ca="1">IFERROR(__xludf.DUMMYFUNCTION("IMPORTRANGE(""https://docs.google.com/spreadsheets/d/1vO9Sws6kMtrVtyvrAJptINXjK8TFBoX9xLYOVK_C8bQ/edit?usp=sharing"",""สุราษฎร์ธานี!N231"")"),0)</f>
        <v>0</v>
      </c>
      <c r="CJ88" s="93">
        <f t="shared" ca="1" si="105"/>
        <v>0</v>
      </c>
      <c r="CK88" s="92">
        <f ca="1">IFERROR(__xludf.DUMMYFUNCTION("IMPORTRANGE(""https://docs.google.com/spreadsheets/d/1vO9Sws6kMtrVtyvrAJptINXjK8TFBoX9xLYOVK_C8bQ/edit?usp=sharing"",""สุราษฎร์ธานี!I233"")"),0)</f>
        <v>0</v>
      </c>
      <c r="CL88" s="92">
        <f ca="1">IFERROR(__xludf.DUMMYFUNCTION("IMPORTRANGE(""https://docs.google.com/spreadsheets/d/1vO9Sws6kMtrVtyvrAJptINXjK8TFBoX9xLYOVK_C8bQ/edit?usp=sharing"",""สุราษฎร์ธานี!J233"")"),0)</f>
        <v>0</v>
      </c>
      <c r="CM88" s="93">
        <f t="shared" ca="1" si="106"/>
        <v>0</v>
      </c>
      <c r="CN88" s="92">
        <f ca="1">IFERROR(__xludf.DUMMYFUNCTION("IMPORTRANGE(""https://docs.google.com/spreadsheets/d/1vO9Sws6kMtrVtyvrAJptINXjK8TFBoX9xLYOVK_C8bQ/edit?usp=sharing"",""สุราษฎร์ธานี!J235"")"),0)</f>
        <v>0</v>
      </c>
      <c r="CO88" s="92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369" t="s">
        <v>111</v>
      </c>
      <c r="B89" s="370"/>
      <c r="C89" s="102">
        <f t="shared" ca="1" si="0"/>
        <v>3310370</v>
      </c>
      <c r="D89" s="41">
        <f t="shared" ref="D89:I89" ca="1" si="216">+D90+D91+D92+D93+D94+D95+D96+D97+D98+D99+D100+D101+D102+D103</f>
        <v>3310370</v>
      </c>
      <c r="E89" s="41">
        <f t="shared" ca="1" si="216"/>
        <v>619800</v>
      </c>
      <c r="F89" s="41">
        <f t="shared" ca="1" si="216"/>
        <v>2690570</v>
      </c>
      <c r="G89" s="41">
        <f t="shared" ca="1" si="216"/>
        <v>0</v>
      </c>
      <c r="H89" s="41">
        <f t="shared" ca="1" si="216"/>
        <v>2425380</v>
      </c>
      <c r="I89" s="41">
        <f t="shared" ca="1" si="216"/>
        <v>0</v>
      </c>
      <c r="J89" s="41">
        <f t="shared" ca="1" si="3"/>
        <v>1818439.98</v>
      </c>
      <c r="K89" s="43">
        <f t="shared" ca="1" si="4"/>
        <v>54.931623353280749</v>
      </c>
      <c r="L89" s="41">
        <f ca="1">+L90+L91+L92+L93+L94+L95+L96+L97+L98+L99+L100+L101+L102+L103</f>
        <v>1818439.98</v>
      </c>
      <c r="M89" s="44">
        <f t="shared" ca="1" si="5"/>
        <v>54.931623353280749</v>
      </c>
      <c r="N89" s="44">
        <f t="shared" ca="1" si="6"/>
        <v>74.975466937139743</v>
      </c>
      <c r="O89" s="45">
        <f ca="1">+O90+O91+O92+O93+O94+O95+O96+O97+O98+O99+O100+O101+O102+O103</f>
        <v>0</v>
      </c>
      <c r="P89" s="45">
        <f t="shared" ca="1" si="108"/>
        <v>0</v>
      </c>
      <c r="Q89" s="44">
        <f t="shared" ca="1" si="8"/>
        <v>0</v>
      </c>
      <c r="R89" s="41"/>
      <c r="S89" s="41"/>
      <c r="T89" s="44"/>
      <c r="U89" s="41"/>
      <c r="V89" s="41"/>
      <c r="W89" s="44"/>
      <c r="X89" s="41"/>
      <c r="Y89" s="41"/>
      <c r="Z89" s="41"/>
      <c r="AA89" s="41"/>
      <c r="AB89" s="41"/>
      <c r="AC89" s="44"/>
      <c r="AD89" s="41"/>
      <c r="AE89" s="41"/>
      <c r="AF89" s="44"/>
      <c r="AG89" s="41"/>
      <c r="AH89" s="41"/>
      <c r="AI89" s="44"/>
      <c r="AJ89" s="41"/>
      <c r="AK89" s="41"/>
      <c r="AL89" s="44"/>
      <c r="AM89" s="41"/>
      <c r="AN89" s="41"/>
      <c r="AO89" s="44"/>
      <c r="AP89" s="295"/>
      <c r="AQ89" s="295"/>
      <c r="AR89" s="41"/>
      <c r="AS89" s="41"/>
      <c r="AT89" s="44"/>
      <c r="AU89" s="41"/>
      <c r="AV89" s="41"/>
      <c r="AW89" s="44"/>
      <c r="AX89" s="41"/>
      <c r="AY89" s="41"/>
      <c r="AZ89" s="44"/>
      <c r="BA89" s="41"/>
      <c r="BB89" s="41"/>
      <c r="BC89" s="44"/>
      <c r="BD89" s="41"/>
      <c r="BE89" s="41"/>
      <c r="BF89" s="44"/>
      <c r="BG89" s="41"/>
      <c r="BH89" s="41"/>
      <c r="BI89" s="44"/>
      <c r="BJ89" s="41"/>
      <c r="BK89" s="41"/>
      <c r="BL89" s="44"/>
      <c r="BM89" s="41"/>
      <c r="BN89" s="41"/>
      <c r="BO89" s="44"/>
      <c r="BP89" s="41"/>
      <c r="BQ89" s="41"/>
      <c r="BR89" s="44"/>
      <c r="BS89" s="41"/>
      <c r="BT89" s="41"/>
      <c r="BU89" s="44"/>
      <c r="BV89" s="41"/>
      <c r="BW89" s="41"/>
      <c r="BX89" s="44"/>
      <c r="BY89" s="41"/>
      <c r="BZ89" s="41"/>
      <c r="CA89" s="44"/>
      <c r="CB89" s="41"/>
      <c r="CC89" s="41"/>
      <c r="CD89" s="44"/>
      <c r="CE89" s="41"/>
      <c r="CF89" s="41"/>
      <c r="CG89" s="44"/>
      <c r="CH89" s="41"/>
      <c r="CI89" s="41"/>
      <c r="CJ89" s="44"/>
      <c r="CK89" s="41"/>
      <c r="CL89" s="41"/>
      <c r="CM89" s="44"/>
      <c r="CN89" s="41"/>
      <c r="CO89" s="41"/>
    </row>
    <row r="90" spans="1:93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217">+E90+F90</f>
        <v>0</v>
      </c>
      <c r="E90" s="67">
        <f ca="1">IFERROR(__xludf.DUMMYFUNCTION("IMPORTRANGE(""https://docs.google.com/spreadsheets/d/1MeEWN-I1oV_STSDYn1IFDPWt_1FKiwhDph83XaGc0o0/edit?usp=sharing"",""งบพรบ!CP90"")"),0)</f>
        <v>0</v>
      </c>
      <c r="F90" s="67">
        <f ca="1">IFERROR(__xludf.DUMMYFUNCTION("IMPORTRANGE(""https://docs.google.com/spreadsheets/d/1MeEWN-I1oV_STSDYn1IFDPWt_1FKiwhDph83XaGc0o0/edit?usp=sharing"",""งบพรบ!CQ90"")"),0)</f>
        <v>0</v>
      </c>
      <c r="G90" s="67">
        <f ca="1">IFERROR(__xludf.DUMMYFUNCTION("IMPORTRANGE(""https://docs.google.com/spreadsheets/d/1MeEWN-I1oV_STSDYn1IFDPWt_1FKiwhDph83XaGc0o0/edit?usp=sharing"",""งบพรบ!CR90"")"),0)</f>
        <v>0</v>
      </c>
      <c r="H90" s="67">
        <f ca="1">IFERROR(__xludf.DUMMYFUNCTION("IMPORTRANGE(""https://docs.google.com/spreadsheets/d/1MeEWN-I1oV_STSDYn1IFDPWt_1FKiwhDph83XaGc0o0/edit?usp=sharing"",""งบพรบ!CT90"")"),0)</f>
        <v>0</v>
      </c>
      <c r="I90" s="67">
        <f ca="1">IFERROR(__xludf.DUMMYFUNCTION("IMPORTRANGE(""https://docs.google.com/spreadsheets/d/1MeEWN-I1oV_STSDYn1IFDPWt_1FKiwhDph83XaGc0o0/edit?usp=sharing"",""งบพรบ!CU90"")"),0)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IFERROR(__xludf.DUMMYFUNCTION("IMPORTRANGE(""https://docs.google.com/spreadsheets/d/1MeEWN-I1oV_STSDYn1IFDPWt_1FKiwhDph83XaGc0o0/edit?usp=sharing"",""งบพรบ!CV90"")"),0)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IFERROR(__xludf.DUMMYFUNCTION("IMPORTRANGE(""https://docs.google.com/spreadsheets/d/1MeEWN-I1oV_STSDYn1IFDPWt_1FKiwhDph83XaGc0o0/edit?usp=sharing"",""งบพรบ!CW90"")"),0)</f>
        <v>0</v>
      </c>
      <c r="P90" s="71">
        <f t="shared" ca="1" si="108"/>
        <v>0</v>
      </c>
      <c r="Q90" s="70">
        <f t="shared" ca="1" si="8"/>
        <v>0</v>
      </c>
      <c r="R90" s="67"/>
      <c r="S90" s="67"/>
      <c r="T90" s="70"/>
      <c r="U90" s="67"/>
      <c r="V90" s="67"/>
      <c r="W90" s="70"/>
      <c r="X90" s="67"/>
      <c r="Y90" s="67"/>
      <c r="Z90" s="67"/>
      <c r="AA90" s="67"/>
      <c r="AB90" s="67"/>
      <c r="AC90" s="70"/>
      <c r="AD90" s="67"/>
      <c r="AE90" s="67"/>
      <c r="AF90" s="70"/>
      <c r="AG90" s="67"/>
      <c r="AH90" s="67"/>
      <c r="AI90" s="70"/>
      <c r="AJ90" s="67"/>
      <c r="AK90" s="67"/>
      <c r="AL90" s="70"/>
      <c r="AM90" s="67"/>
      <c r="AN90" s="67"/>
      <c r="AO90" s="70"/>
      <c r="AP90" s="299"/>
      <c r="AQ90" s="299"/>
      <c r="AR90" s="67"/>
      <c r="AS90" s="67"/>
      <c r="AT90" s="70"/>
      <c r="AU90" s="67"/>
      <c r="AV90" s="67"/>
      <c r="AW90" s="70"/>
      <c r="AX90" s="67"/>
      <c r="AY90" s="67"/>
      <c r="AZ90" s="70"/>
      <c r="BA90" s="67"/>
      <c r="BB90" s="67"/>
      <c r="BC90" s="70"/>
      <c r="BD90" s="67"/>
      <c r="BE90" s="67"/>
      <c r="BF90" s="70"/>
      <c r="BG90" s="67"/>
      <c r="BH90" s="67"/>
      <c r="BI90" s="70"/>
      <c r="BJ90" s="67"/>
      <c r="BK90" s="67"/>
      <c r="BL90" s="70"/>
      <c r="BM90" s="67"/>
      <c r="BN90" s="67"/>
      <c r="BO90" s="70"/>
      <c r="BP90" s="67"/>
      <c r="BQ90" s="67"/>
      <c r="BR90" s="70"/>
      <c r="BS90" s="67"/>
      <c r="BT90" s="67"/>
      <c r="BU90" s="70"/>
      <c r="BV90" s="67"/>
      <c r="BW90" s="67"/>
      <c r="BX90" s="70"/>
      <c r="BY90" s="67"/>
      <c r="BZ90" s="67"/>
      <c r="CA90" s="70"/>
      <c r="CB90" s="67"/>
      <c r="CC90" s="67"/>
      <c r="CD90" s="70"/>
      <c r="CE90" s="67"/>
      <c r="CF90" s="67"/>
      <c r="CG90" s="70"/>
      <c r="CH90" s="67"/>
      <c r="CI90" s="67"/>
      <c r="CJ90" s="70"/>
      <c r="CK90" s="67"/>
      <c r="CL90" s="67"/>
      <c r="CM90" s="70"/>
      <c r="CN90" s="67"/>
      <c r="CO90" s="67"/>
    </row>
    <row r="91" spans="1:93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217"/>
        <v>0</v>
      </c>
      <c r="E91" s="77">
        <f ca="1">IFERROR(__xludf.DUMMYFUNCTION("IMPORTRANGE(""https://docs.google.com/spreadsheets/d/1MeEWN-I1oV_STSDYn1IFDPWt_1FKiwhDph83XaGc0o0/edit?usp=sharing"",""งบพรบ!CP91"")"),0)</f>
        <v>0</v>
      </c>
      <c r="F91" s="77">
        <f ca="1">IFERROR(__xludf.DUMMYFUNCTION("IMPORTRANGE(""https://docs.google.com/spreadsheets/d/1MeEWN-I1oV_STSDYn1IFDPWt_1FKiwhDph83XaGc0o0/edit?usp=sharing"",""งบพรบ!CQ91"")"),0)</f>
        <v>0</v>
      </c>
      <c r="G91" s="77">
        <f ca="1">IFERROR(__xludf.DUMMYFUNCTION("IMPORTRANGE(""https://docs.google.com/spreadsheets/d/1MeEWN-I1oV_STSDYn1IFDPWt_1FKiwhDph83XaGc0o0/edit?usp=sharing"",""งบพรบ!CR91"")"),0)</f>
        <v>0</v>
      </c>
      <c r="H91" s="77">
        <f ca="1">IFERROR(__xludf.DUMMYFUNCTION("IMPORTRANGE(""https://docs.google.com/spreadsheets/d/1MeEWN-I1oV_STSDYn1IFDPWt_1FKiwhDph83XaGc0o0/edit?usp=sharing"",""งบพรบ!CT91"")"),0)</f>
        <v>0</v>
      </c>
      <c r="I91" s="77">
        <f ca="1">IFERROR(__xludf.DUMMYFUNCTION("IMPORTRANGE(""https://docs.google.com/spreadsheets/d/1MeEWN-I1oV_STSDYn1IFDPWt_1FKiwhDph83XaGc0o0/edit?usp=sharing"",""งบพรบ!CU91"")"),0)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IFERROR(__xludf.DUMMYFUNCTION("IMPORTRANGE(""https://docs.google.com/spreadsheets/d/1MeEWN-I1oV_STSDYn1IFDPWt_1FKiwhDph83XaGc0o0/edit?usp=sharing"",""งบพรบ!CV91"")"),0)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IFERROR(__xludf.DUMMYFUNCTION("IMPORTRANGE(""https://docs.google.com/spreadsheets/d/1MeEWN-I1oV_STSDYn1IFDPWt_1FKiwhDph83XaGc0o0/edit?usp=sharing"",""งบพรบ!CW91"")"),0)</f>
        <v>0</v>
      </c>
      <c r="P91" s="80">
        <f t="shared" ca="1" si="108"/>
        <v>0</v>
      </c>
      <c r="Q91" s="79">
        <f t="shared" ca="1" si="8"/>
        <v>0</v>
      </c>
      <c r="R91" s="77"/>
      <c r="S91" s="77"/>
      <c r="T91" s="79"/>
      <c r="U91" s="77"/>
      <c r="V91" s="77"/>
      <c r="W91" s="79"/>
      <c r="X91" s="77"/>
      <c r="Y91" s="77"/>
      <c r="Z91" s="77"/>
      <c r="AA91" s="77"/>
      <c r="AB91" s="77"/>
      <c r="AC91" s="79"/>
      <c r="AD91" s="77"/>
      <c r="AE91" s="77"/>
      <c r="AF91" s="79"/>
      <c r="AG91" s="77"/>
      <c r="AH91" s="77"/>
      <c r="AI91" s="79"/>
      <c r="AJ91" s="77"/>
      <c r="AK91" s="77"/>
      <c r="AL91" s="79"/>
      <c r="AM91" s="77"/>
      <c r="AN91" s="77"/>
      <c r="AO91" s="79"/>
      <c r="AP91" s="299"/>
      <c r="AQ91" s="299"/>
      <c r="AR91" s="77"/>
      <c r="AS91" s="77"/>
      <c r="AT91" s="79"/>
      <c r="AU91" s="77"/>
      <c r="AV91" s="77"/>
      <c r="AW91" s="79"/>
      <c r="AX91" s="77"/>
      <c r="AY91" s="77"/>
      <c r="AZ91" s="79"/>
      <c r="BA91" s="77"/>
      <c r="BB91" s="77"/>
      <c r="BC91" s="79"/>
      <c r="BD91" s="77"/>
      <c r="BE91" s="77"/>
      <c r="BF91" s="79"/>
      <c r="BG91" s="77"/>
      <c r="BH91" s="77"/>
      <c r="BI91" s="79"/>
      <c r="BJ91" s="77"/>
      <c r="BK91" s="77"/>
      <c r="BL91" s="79"/>
      <c r="BM91" s="77"/>
      <c r="BN91" s="77"/>
      <c r="BO91" s="79"/>
      <c r="BP91" s="77"/>
      <c r="BQ91" s="77"/>
      <c r="BR91" s="79"/>
      <c r="BS91" s="77"/>
      <c r="BT91" s="77"/>
      <c r="BU91" s="79"/>
      <c r="BV91" s="77"/>
      <c r="BW91" s="77"/>
      <c r="BX91" s="79"/>
      <c r="BY91" s="77"/>
      <c r="BZ91" s="77"/>
      <c r="CA91" s="79"/>
      <c r="CB91" s="77"/>
      <c r="CC91" s="77"/>
      <c r="CD91" s="79"/>
      <c r="CE91" s="77"/>
      <c r="CF91" s="77"/>
      <c r="CG91" s="79"/>
      <c r="CH91" s="77"/>
      <c r="CI91" s="77"/>
      <c r="CJ91" s="79"/>
      <c r="CK91" s="77"/>
      <c r="CL91" s="77"/>
      <c r="CM91" s="79"/>
      <c r="CN91" s="77"/>
      <c r="CO91" s="77"/>
    </row>
    <row r="92" spans="1:93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217"/>
        <v>0</v>
      </c>
      <c r="E92" s="77">
        <f ca="1">IFERROR(__xludf.DUMMYFUNCTION("IMPORTRANGE(""https://docs.google.com/spreadsheets/d/1MeEWN-I1oV_STSDYn1IFDPWt_1FKiwhDph83XaGc0o0/edit?usp=sharing"",""งบพรบ!CP92"")"),0)</f>
        <v>0</v>
      </c>
      <c r="F92" s="77">
        <f ca="1">IFERROR(__xludf.DUMMYFUNCTION("IMPORTRANGE(""https://docs.google.com/spreadsheets/d/1MeEWN-I1oV_STSDYn1IFDPWt_1FKiwhDph83XaGc0o0/edit?usp=sharing"",""งบพรบ!CQ92"")"),0)</f>
        <v>0</v>
      </c>
      <c r="G92" s="77">
        <f ca="1">IFERROR(__xludf.DUMMYFUNCTION("IMPORTRANGE(""https://docs.google.com/spreadsheets/d/1MeEWN-I1oV_STSDYn1IFDPWt_1FKiwhDph83XaGc0o0/edit?usp=sharing"",""งบพรบ!CR92"")"),0)</f>
        <v>0</v>
      </c>
      <c r="H92" s="77">
        <f ca="1">IFERROR(__xludf.DUMMYFUNCTION("IMPORTRANGE(""https://docs.google.com/spreadsheets/d/1MeEWN-I1oV_STSDYn1IFDPWt_1FKiwhDph83XaGc0o0/edit?usp=sharing"",""งบพรบ!CT92"")"),23650)</f>
        <v>23650</v>
      </c>
      <c r="I92" s="77">
        <f ca="1">IFERROR(__xludf.DUMMYFUNCTION("IMPORTRANGE(""https://docs.google.com/spreadsheets/d/1MeEWN-I1oV_STSDYn1IFDPWt_1FKiwhDph83XaGc0o0/edit?usp=sharing"",""งบพรบ!CU92"")"),0)</f>
        <v>0</v>
      </c>
      <c r="J92" s="77">
        <f t="shared" ca="1" si="3"/>
        <v>94000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IFERROR(__xludf.DUMMYFUNCTION("IMPORTRANGE(""https://docs.google.com/spreadsheets/d/1MeEWN-I1oV_STSDYn1IFDPWt_1FKiwhDph83XaGc0o0/edit?usp=sharing"",""งบพรบ!CV92"")"),94000)</f>
        <v>94000</v>
      </c>
      <c r="M92" s="79">
        <f t="shared" ca="1" si="5"/>
        <v>0</v>
      </c>
      <c r="N92" s="79">
        <f t="shared" ca="1" si="6"/>
        <v>397.46300211416491</v>
      </c>
      <c r="O92" s="80">
        <f ca="1">IFERROR(__xludf.DUMMYFUNCTION("IMPORTRANGE(""https://docs.google.com/spreadsheets/d/1MeEWN-I1oV_STSDYn1IFDPWt_1FKiwhDph83XaGc0o0/edit?usp=sharing"",""งบพรบ!CW92"")"),0)</f>
        <v>0</v>
      </c>
      <c r="P92" s="80">
        <f t="shared" ca="1" si="108"/>
        <v>0</v>
      </c>
      <c r="Q92" s="79">
        <f t="shared" ca="1" si="8"/>
        <v>0</v>
      </c>
      <c r="R92" s="77"/>
      <c r="S92" s="77"/>
      <c r="T92" s="79"/>
      <c r="U92" s="77"/>
      <c r="V92" s="77"/>
      <c r="W92" s="79"/>
      <c r="X92" s="77"/>
      <c r="Y92" s="77"/>
      <c r="Z92" s="77"/>
      <c r="AA92" s="77"/>
      <c r="AB92" s="77"/>
      <c r="AC92" s="79"/>
      <c r="AD92" s="77"/>
      <c r="AE92" s="77"/>
      <c r="AF92" s="79"/>
      <c r="AG92" s="77"/>
      <c r="AH92" s="77"/>
      <c r="AI92" s="79"/>
      <c r="AJ92" s="77"/>
      <c r="AK92" s="77"/>
      <c r="AL92" s="79"/>
      <c r="AM92" s="77"/>
      <c r="AN92" s="77"/>
      <c r="AO92" s="79"/>
      <c r="AP92" s="299"/>
      <c r="AQ92" s="299"/>
      <c r="AR92" s="77"/>
      <c r="AS92" s="77"/>
      <c r="AT92" s="79"/>
      <c r="AU92" s="77"/>
      <c r="AV92" s="77"/>
      <c r="AW92" s="79"/>
      <c r="AX92" s="77"/>
      <c r="AY92" s="77"/>
      <c r="AZ92" s="79"/>
      <c r="BA92" s="77"/>
      <c r="BB92" s="77"/>
      <c r="BC92" s="79"/>
      <c r="BD92" s="77"/>
      <c r="BE92" s="77"/>
      <c r="BF92" s="79"/>
      <c r="BG92" s="77"/>
      <c r="BH92" s="77"/>
      <c r="BI92" s="79"/>
      <c r="BJ92" s="77"/>
      <c r="BK92" s="77"/>
      <c r="BL92" s="79"/>
      <c r="BM92" s="77"/>
      <c r="BN92" s="77"/>
      <c r="BO92" s="79"/>
      <c r="BP92" s="77"/>
      <c r="BQ92" s="77"/>
      <c r="BR92" s="79"/>
      <c r="BS92" s="77"/>
      <c r="BT92" s="77"/>
      <c r="BU92" s="79"/>
      <c r="BV92" s="77"/>
      <c r="BW92" s="77"/>
      <c r="BX92" s="79"/>
      <c r="BY92" s="77"/>
      <c r="BZ92" s="77"/>
      <c r="CA92" s="79"/>
      <c r="CB92" s="77"/>
      <c r="CC92" s="77"/>
      <c r="CD92" s="79"/>
      <c r="CE92" s="77"/>
      <c r="CF92" s="77"/>
      <c r="CG92" s="79"/>
      <c r="CH92" s="77"/>
      <c r="CI92" s="77"/>
      <c r="CJ92" s="79"/>
      <c r="CK92" s="77"/>
      <c r="CL92" s="77"/>
      <c r="CM92" s="79"/>
      <c r="CN92" s="77"/>
      <c r="CO92" s="77"/>
    </row>
    <row r="93" spans="1:93" ht="24" hidden="1" customHeight="1" x14ac:dyDescent="0.2">
      <c r="A93" s="106">
        <f t="shared" ref="A93:A103" si="218">+A92+1</f>
        <v>4</v>
      </c>
      <c r="B93" s="107" t="s">
        <v>115</v>
      </c>
      <c r="C93" s="75">
        <f t="shared" ca="1" si="0"/>
        <v>0</v>
      </c>
      <c r="D93" s="76">
        <f t="shared" ca="1" si="217"/>
        <v>0</v>
      </c>
      <c r="E93" s="77">
        <f ca="1">IFERROR(__xludf.DUMMYFUNCTION("IMPORTRANGE(""https://docs.google.com/spreadsheets/d/1MeEWN-I1oV_STSDYn1IFDPWt_1FKiwhDph83XaGc0o0/edit?usp=sharing"",""งบพรบ!CP93"")"),0)</f>
        <v>0</v>
      </c>
      <c r="F93" s="77">
        <f ca="1">IFERROR(__xludf.DUMMYFUNCTION("IMPORTRANGE(""https://docs.google.com/spreadsheets/d/1MeEWN-I1oV_STSDYn1IFDPWt_1FKiwhDph83XaGc0o0/edit?usp=sharing"",""งบพรบ!CQ93"")"),0)</f>
        <v>0</v>
      </c>
      <c r="G93" s="77">
        <f ca="1">IFERROR(__xludf.DUMMYFUNCTION("IMPORTRANGE(""https://docs.google.com/spreadsheets/d/1MeEWN-I1oV_STSDYn1IFDPWt_1FKiwhDph83XaGc0o0/edit?usp=sharing"",""งบพรบ!CR93"")"),0)</f>
        <v>0</v>
      </c>
      <c r="H93" s="77">
        <f ca="1">IFERROR(__xludf.DUMMYFUNCTION("IMPORTRANGE(""https://docs.google.com/spreadsheets/d/1MeEWN-I1oV_STSDYn1IFDPWt_1FKiwhDph83XaGc0o0/edit?usp=sharing"",""งบพรบ!CT93"")"),0)</f>
        <v>0</v>
      </c>
      <c r="I93" s="77">
        <f ca="1">IFERROR(__xludf.DUMMYFUNCTION("IMPORTRANGE(""https://docs.google.com/spreadsheets/d/1MeEWN-I1oV_STSDYn1IFDPWt_1FKiwhDph83XaGc0o0/edit?usp=sharing"",""งบพรบ!CU93"")"),0)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IFERROR(__xludf.DUMMYFUNCTION("IMPORTRANGE(""https://docs.google.com/spreadsheets/d/1MeEWN-I1oV_STSDYn1IFDPWt_1FKiwhDph83XaGc0o0/edit?usp=sharing"",""งบพรบ!CV93"")"),0)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IFERROR(__xludf.DUMMYFUNCTION("IMPORTRANGE(""https://docs.google.com/spreadsheets/d/1MeEWN-I1oV_STSDYn1IFDPWt_1FKiwhDph83XaGc0o0/edit?usp=sharing"",""งบพรบ!CW93"")"),0)</f>
        <v>0</v>
      </c>
      <c r="P93" s="80">
        <f t="shared" ca="1" si="108"/>
        <v>0</v>
      </c>
      <c r="Q93" s="79">
        <f t="shared" ca="1" si="8"/>
        <v>0</v>
      </c>
      <c r="R93" s="77"/>
      <c r="S93" s="77"/>
      <c r="T93" s="79"/>
      <c r="U93" s="77"/>
      <c r="V93" s="77"/>
      <c r="W93" s="79"/>
      <c r="X93" s="77"/>
      <c r="Y93" s="77"/>
      <c r="Z93" s="77"/>
      <c r="AA93" s="77"/>
      <c r="AB93" s="77"/>
      <c r="AC93" s="79"/>
      <c r="AD93" s="77"/>
      <c r="AE93" s="77"/>
      <c r="AF93" s="79"/>
      <c r="AG93" s="77"/>
      <c r="AH93" s="77"/>
      <c r="AI93" s="79"/>
      <c r="AJ93" s="77"/>
      <c r="AK93" s="77"/>
      <c r="AL93" s="79"/>
      <c r="AM93" s="77"/>
      <c r="AN93" s="77"/>
      <c r="AO93" s="79"/>
      <c r="AP93" s="299"/>
      <c r="AQ93" s="299"/>
      <c r="AR93" s="77"/>
      <c r="AS93" s="77"/>
      <c r="AT93" s="79"/>
      <c r="AU93" s="77"/>
      <c r="AV93" s="77"/>
      <c r="AW93" s="79"/>
      <c r="AX93" s="77"/>
      <c r="AY93" s="77"/>
      <c r="AZ93" s="79"/>
      <c r="BA93" s="77"/>
      <c r="BB93" s="77"/>
      <c r="BC93" s="79"/>
      <c r="BD93" s="77"/>
      <c r="BE93" s="77"/>
      <c r="BF93" s="79"/>
      <c r="BG93" s="77"/>
      <c r="BH93" s="77"/>
      <c r="BI93" s="79"/>
      <c r="BJ93" s="77"/>
      <c r="BK93" s="77"/>
      <c r="BL93" s="79"/>
      <c r="BM93" s="77"/>
      <c r="BN93" s="77"/>
      <c r="BO93" s="79"/>
      <c r="BP93" s="77"/>
      <c r="BQ93" s="77"/>
      <c r="BR93" s="79"/>
      <c r="BS93" s="77"/>
      <c r="BT93" s="77"/>
      <c r="BU93" s="79"/>
      <c r="BV93" s="77"/>
      <c r="BW93" s="77"/>
      <c r="BX93" s="79"/>
      <c r="BY93" s="77"/>
      <c r="BZ93" s="77"/>
      <c r="CA93" s="79"/>
      <c r="CB93" s="77"/>
      <c r="CC93" s="77"/>
      <c r="CD93" s="79"/>
      <c r="CE93" s="77"/>
      <c r="CF93" s="77"/>
      <c r="CG93" s="79"/>
      <c r="CH93" s="77"/>
      <c r="CI93" s="77"/>
      <c r="CJ93" s="79"/>
      <c r="CK93" s="77"/>
      <c r="CL93" s="77"/>
      <c r="CM93" s="79"/>
      <c r="CN93" s="77"/>
      <c r="CO93" s="77"/>
    </row>
    <row r="94" spans="1:93" ht="24" hidden="1" customHeight="1" x14ac:dyDescent="0.2">
      <c r="A94" s="106">
        <f t="shared" si="218"/>
        <v>5</v>
      </c>
      <c r="B94" s="107" t="s">
        <v>116</v>
      </c>
      <c r="C94" s="75">
        <f t="shared" ca="1" si="0"/>
        <v>0</v>
      </c>
      <c r="D94" s="76">
        <f t="shared" ca="1" si="217"/>
        <v>0</v>
      </c>
      <c r="E94" s="77">
        <f ca="1">IFERROR(__xludf.DUMMYFUNCTION("IMPORTRANGE(""https://docs.google.com/spreadsheets/d/1MeEWN-I1oV_STSDYn1IFDPWt_1FKiwhDph83XaGc0o0/edit?usp=sharing"",""งบพรบ!CP94"")"),0)</f>
        <v>0</v>
      </c>
      <c r="F94" s="77">
        <f ca="1">IFERROR(__xludf.DUMMYFUNCTION("IMPORTRANGE(""https://docs.google.com/spreadsheets/d/1MeEWN-I1oV_STSDYn1IFDPWt_1FKiwhDph83XaGc0o0/edit?usp=sharing"",""งบพรบ!CQ94"")"),0)</f>
        <v>0</v>
      </c>
      <c r="G94" s="77">
        <f ca="1">IFERROR(__xludf.DUMMYFUNCTION("IMPORTRANGE(""https://docs.google.com/spreadsheets/d/1MeEWN-I1oV_STSDYn1IFDPWt_1FKiwhDph83XaGc0o0/edit?usp=sharing"",""งบพรบ!CR94"")"),0)</f>
        <v>0</v>
      </c>
      <c r="H94" s="77">
        <f ca="1">IFERROR(__xludf.DUMMYFUNCTION("IMPORTRANGE(""https://docs.google.com/spreadsheets/d/1MeEWN-I1oV_STSDYn1IFDPWt_1FKiwhDph83XaGc0o0/edit?usp=sharing"",""งบพรบ!CT94"")"),0)</f>
        <v>0</v>
      </c>
      <c r="I94" s="77">
        <f ca="1">IFERROR(__xludf.DUMMYFUNCTION("IMPORTRANGE(""https://docs.google.com/spreadsheets/d/1MeEWN-I1oV_STSDYn1IFDPWt_1FKiwhDph83XaGc0o0/edit?usp=sharing"",""งบพรบ!CU94"")"),0)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IFERROR(__xludf.DUMMYFUNCTION("IMPORTRANGE(""https://docs.google.com/spreadsheets/d/1MeEWN-I1oV_STSDYn1IFDPWt_1FKiwhDph83XaGc0o0/edit?usp=sharing"",""งบพรบ!CV94"")"),0)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IFERROR(__xludf.DUMMYFUNCTION("IMPORTRANGE(""https://docs.google.com/spreadsheets/d/1MeEWN-I1oV_STSDYn1IFDPWt_1FKiwhDph83XaGc0o0/edit?usp=sharing"",""งบพรบ!CW94"")"),0)</f>
        <v>0</v>
      </c>
      <c r="P94" s="80">
        <f t="shared" ca="1" si="108"/>
        <v>0</v>
      </c>
      <c r="Q94" s="79">
        <f t="shared" ca="1" si="8"/>
        <v>0</v>
      </c>
      <c r="R94" s="77"/>
      <c r="S94" s="77"/>
      <c r="T94" s="79"/>
      <c r="U94" s="77"/>
      <c r="V94" s="77"/>
      <c r="W94" s="79"/>
      <c r="X94" s="77"/>
      <c r="Y94" s="77"/>
      <c r="Z94" s="77"/>
      <c r="AA94" s="77"/>
      <c r="AB94" s="77"/>
      <c r="AC94" s="79"/>
      <c r="AD94" s="77"/>
      <c r="AE94" s="77"/>
      <c r="AF94" s="79"/>
      <c r="AG94" s="77"/>
      <c r="AH94" s="77"/>
      <c r="AI94" s="79"/>
      <c r="AJ94" s="77"/>
      <c r="AK94" s="77"/>
      <c r="AL94" s="79"/>
      <c r="AM94" s="77"/>
      <c r="AN94" s="77"/>
      <c r="AO94" s="79"/>
      <c r="AP94" s="299"/>
      <c r="AQ94" s="299"/>
      <c r="AR94" s="77"/>
      <c r="AS94" s="77"/>
      <c r="AT94" s="79"/>
      <c r="AU94" s="77"/>
      <c r="AV94" s="77"/>
      <c r="AW94" s="79"/>
      <c r="AX94" s="77"/>
      <c r="AY94" s="77"/>
      <c r="AZ94" s="79"/>
      <c r="BA94" s="77"/>
      <c r="BB94" s="77"/>
      <c r="BC94" s="79"/>
      <c r="BD94" s="77"/>
      <c r="BE94" s="77"/>
      <c r="BF94" s="79"/>
      <c r="BG94" s="77"/>
      <c r="BH94" s="77"/>
      <c r="BI94" s="79"/>
      <c r="BJ94" s="77"/>
      <c r="BK94" s="77"/>
      <c r="BL94" s="79"/>
      <c r="BM94" s="77"/>
      <c r="BN94" s="77"/>
      <c r="BO94" s="79"/>
      <c r="BP94" s="77"/>
      <c r="BQ94" s="77"/>
      <c r="BR94" s="79"/>
      <c r="BS94" s="77"/>
      <c r="BT94" s="77"/>
      <c r="BU94" s="79"/>
      <c r="BV94" s="77"/>
      <c r="BW94" s="77"/>
      <c r="BX94" s="79"/>
      <c r="BY94" s="77"/>
      <c r="BZ94" s="77"/>
      <c r="CA94" s="79"/>
      <c r="CB94" s="77"/>
      <c r="CC94" s="77"/>
      <c r="CD94" s="79"/>
      <c r="CE94" s="77"/>
      <c r="CF94" s="77"/>
      <c r="CG94" s="79"/>
      <c r="CH94" s="77"/>
      <c r="CI94" s="77"/>
      <c r="CJ94" s="79"/>
      <c r="CK94" s="77"/>
      <c r="CL94" s="77"/>
      <c r="CM94" s="79"/>
      <c r="CN94" s="77"/>
      <c r="CO94" s="77"/>
    </row>
    <row r="95" spans="1:93" ht="24" hidden="1" customHeight="1" x14ac:dyDescent="0.2">
      <c r="A95" s="106">
        <f t="shared" si="218"/>
        <v>6</v>
      </c>
      <c r="B95" s="107" t="s">
        <v>117</v>
      </c>
      <c r="C95" s="75">
        <f t="shared" ca="1" si="0"/>
        <v>0</v>
      </c>
      <c r="D95" s="76">
        <f t="shared" ca="1" si="217"/>
        <v>0</v>
      </c>
      <c r="E95" s="77">
        <f ca="1">IFERROR(__xludf.DUMMYFUNCTION("IMPORTRANGE(""https://docs.google.com/spreadsheets/d/1MeEWN-I1oV_STSDYn1IFDPWt_1FKiwhDph83XaGc0o0/edit?usp=sharing"",""งบพรบ!CP95"")"),0)</f>
        <v>0</v>
      </c>
      <c r="F95" s="77">
        <f ca="1">IFERROR(__xludf.DUMMYFUNCTION("IMPORTRANGE(""https://docs.google.com/spreadsheets/d/1MeEWN-I1oV_STSDYn1IFDPWt_1FKiwhDph83XaGc0o0/edit?usp=sharing"",""งบพรบ!CQ95"")"),0)</f>
        <v>0</v>
      </c>
      <c r="G95" s="77">
        <f ca="1">IFERROR(__xludf.DUMMYFUNCTION("IMPORTRANGE(""https://docs.google.com/spreadsheets/d/1MeEWN-I1oV_STSDYn1IFDPWt_1FKiwhDph83XaGc0o0/edit?usp=sharing"",""งบพรบ!CR95"")"),0)</f>
        <v>0</v>
      </c>
      <c r="H95" s="77">
        <f ca="1">IFERROR(__xludf.DUMMYFUNCTION("IMPORTRANGE(""https://docs.google.com/spreadsheets/d/1MeEWN-I1oV_STSDYn1IFDPWt_1FKiwhDph83XaGc0o0/edit?usp=sharing"",""งบพรบ!CT95"")"),0)</f>
        <v>0</v>
      </c>
      <c r="I95" s="77">
        <f ca="1">IFERROR(__xludf.DUMMYFUNCTION("IMPORTRANGE(""https://docs.google.com/spreadsheets/d/1MeEWN-I1oV_STSDYn1IFDPWt_1FKiwhDph83XaGc0o0/edit?usp=sharing"",""งบพรบ!CU95"")"),0)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IFERROR(__xludf.DUMMYFUNCTION("IMPORTRANGE(""https://docs.google.com/spreadsheets/d/1MeEWN-I1oV_STSDYn1IFDPWt_1FKiwhDph83XaGc0o0/edit?usp=sharing"",""งบพรบ!CV95"")"),0)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IFERROR(__xludf.DUMMYFUNCTION("IMPORTRANGE(""https://docs.google.com/spreadsheets/d/1MeEWN-I1oV_STSDYn1IFDPWt_1FKiwhDph83XaGc0o0/edit?usp=sharing"",""งบพรบ!CW95"")"),0)</f>
        <v>0</v>
      </c>
      <c r="P95" s="80">
        <f t="shared" ca="1" si="108"/>
        <v>0</v>
      </c>
      <c r="Q95" s="79">
        <f t="shared" ca="1" si="8"/>
        <v>0</v>
      </c>
      <c r="R95" s="77"/>
      <c r="S95" s="77"/>
      <c r="T95" s="79"/>
      <c r="U95" s="77"/>
      <c r="V95" s="77"/>
      <c r="W95" s="79"/>
      <c r="X95" s="77"/>
      <c r="Y95" s="77"/>
      <c r="Z95" s="77"/>
      <c r="AA95" s="77"/>
      <c r="AB95" s="77"/>
      <c r="AC95" s="79"/>
      <c r="AD95" s="77"/>
      <c r="AE95" s="77"/>
      <c r="AF95" s="79"/>
      <c r="AG95" s="77"/>
      <c r="AH95" s="77"/>
      <c r="AI95" s="79"/>
      <c r="AJ95" s="77"/>
      <c r="AK95" s="77"/>
      <c r="AL95" s="79"/>
      <c r="AM95" s="77"/>
      <c r="AN95" s="77"/>
      <c r="AO95" s="79"/>
      <c r="AP95" s="299"/>
      <c r="AQ95" s="299"/>
      <c r="AR95" s="77"/>
      <c r="AS95" s="77"/>
      <c r="AT95" s="79"/>
      <c r="AU95" s="77"/>
      <c r="AV95" s="77"/>
      <c r="AW95" s="79"/>
      <c r="AX95" s="77"/>
      <c r="AY95" s="77"/>
      <c r="AZ95" s="79"/>
      <c r="BA95" s="77"/>
      <c r="BB95" s="77"/>
      <c r="BC95" s="79"/>
      <c r="BD95" s="77"/>
      <c r="BE95" s="77"/>
      <c r="BF95" s="79"/>
      <c r="BG95" s="77"/>
      <c r="BH95" s="77"/>
      <c r="BI95" s="79"/>
      <c r="BJ95" s="77"/>
      <c r="BK95" s="77"/>
      <c r="BL95" s="79"/>
      <c r="BM95" s="77"/>
      <c r="BN95" s="77"/>
      <c r="BO95" s="79"/>
      <c r="BP95" s="77"/>
      <c r="BQ95" s="77"/>
      <c r="BR95" s="79"/>
      <c r="BS95" s="77"/>
      <c r="BT95" s="77"/>
      <c r="BU95" s="79"/>
      <c r="BV95" s="77"/>
      <c r="BW95" s="77"/>
      <c r="BX95" s="79"/>
      <c r="BY95" s="77"/>
      <c r="BZ95" s="77"/>
      <c r="CA95" s="79"/>
      <c r="CB95" s="77"/>
      <c r="CC95" s="77"/>
      <c r="CD95" s="79"/>
      <c r="CE95" s="77"/>
      <c r="CF95" s="77"/>
      <c r="CG95" s="79"/>
      <c r="CH95" s="77"/>
      <c r="CI95" s="77"/>
      <c r="CJ95" s="79"/>
      <c r="CK95" s="77"/>
      <c r="CL95" s="77"/>
      <c r="CM95" s="79"/>
      <c r="CN95" s="77"/>
      <c r="CO95" s="77"/>
    </row>
    <row r="96" spans="1:93" ht="24" hidden="1" customHeight="1" x14ac:dyDescent="0.2">
      <c r="A96" s="106">
        <f t="shared" si="218"/>
        <v>7</v>
      </c>
      <c r="B96" s="107" t="s">
        <v>118</v>
      </c>
      <c r="C96" s="75">
        <f t="shared" ca="1" si="0"/>
        <v>0</v>
      </c>
      <c r="D96" s="76">
        <f t="shared" ca="1" si="217"/>
        <v>0</v>
      </c>
      <c r="E96" s="77">
        <f ca="1">IFERROR(__xludf.DUMMYFUNCTION("IMPORTRANGE(""https://docs.google.com/spreadsheets/d/1MeEWN-I1oV_STSDYn1IFDPWt_1FKiwhDph83XaGc0o0/edit?usp=sharing"",""งบพรบ!CP96"")"),0)</f>
        <v>0</v>
      </c>
      <c r="F96" s="77">
        <f ca="1">IFERROR(__xludf.DUMMYFUNCTION("IMPORTRANGE(""https://docs.google.com/spreadsheets/d/1MeEWN-I1oV_STSDYn1IFDPWt_1FKiwhDph83XaGc0o0/edit?usp=sharing"",""งบพรบ!CQ96"")"),0)</f>
        <v>0</v>
      </c>
      <c r="G96" s="77">
        <f ca="1">IFERROR(__xludf.DUMMYFUNCTION("IMPORTRANGE(""https://docs.google.com/spreadsheets/d/1MeEWN-I1oV_STSDYn1IFDPWt_1FKiwhDph83XaGc0o0/edit?usp=sharing"",""งบพรบ!CR96"")"),0)</f>
        <v>0</v>
      </c>
      <c r="H96" s="77">
        <f ca="1">IFERROR(__xludf.DUMMYFUNCTION("IMPORTRANGE(""https://docs.google.com/spreadsheets/d/1MeEWN-I1oV_STSDYn1IFDPWt_1FKiwhDph83XaGc0o0/edit?usp=sharing"",""งบพรบ!CT96"")"),0)</f>
        <v>0</v>
      </c>
      <c r="I96" s="77">
        <f ca="1">IFERROR(__xludf.DUMMYFUNCTION("IMPORTRANGE(""https://docs.google.com/spreadsheets/d/1MeEWN-I1oV_STSDYn1IFDPWt_1FKiwhDph83XaGc0o0/edit?usp=sharing"",""งบพรบ!CU96"")"),0)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IFERROR(__xludf.DUMMYFUNCTION("IMPORTRANGE(""https://docs.google.com/spreadsheets/d/1MeEWN-I1oV_STSDYn1IFDPWt_1FKiwhDph83XaGc0o0/edit?usp=sharing"",""งบพรบ!CV96"")"),0)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IFERROR(__xludf.DUMMYFUNCTION("IMPORTRANGE(""https://docs.google.com/spreadsheets/d/1MeEWN-I1oV_STSDYn1IFDPWt_1FKiwhDph83XaGc0o0/edit?usp=sharing"",""งบพรบ!CW96"")"),0)</f>
        <v>0</v>
      </c>
      <c r="P96" s="80">
        <f t="shared" ca="1" si="108"/>
        <v>0</v>
      </c>
      <c r="Q96" s="79">
        <f t="shared" ca="1" si="8"/>
        <v>0</v>
      </c>
      <c r="R96" s="77"/>
      <c r="S96" s="77"/>
      <c r="T96" s="79"/>
      <c r="U96" s="77"/>
      <c r="V96" s="77"/>
      <c r="W96" s="79"/>
      <c r="X96" s="77"/>
      <c r="Y96" s="77"/>
      <c r="Z96" s="77"/>
      <c r="AA96" s="77"/>
      <c r="AB96" s="77"/>
      <c r="AC96" s="79"/>
      <c r="AD96" s="77"/>
      <c r="AE96" s="77"/>
      <c r="AF96" s="79"/>
      <c r="AG96" s="77"/>
      <c r="AH96" s="77"/>
      <c r="AI96" s="79"/>
      <c r="AJ96" s="77"/>
      <c r="AK96" s="77"/>
      <c r="AL96" s="79"/>
      <c r="AM96" s="77"/>
      <c r="AN96" s="77"/>
      <c r="AO96" s="79"/>
      <c r="AP96" s="299"/>
      <c r="AQ96" s="299"/>
      <c r="AR96" s="77"/>
      <c r="AS96" s="77"/>
      <c r="AT96" s="79"/>
      <c r="AU96" s="77"/>
      <c r="AV96" s="77"/>
      <c r="AW96" s="79"/>
      <c r="AX96" s="77"/>
      <c r="AY96" s="77"/>
      <c r="AZ96" s="79"/>
      <c r="BA96" s="77"/>
      <c r="BB96" s="77"/>
      <c r="BC96" s="79"/>
      <c r="BD96" s="77"/>
      <c r="BE96" s="77"/>
      <c r="BF96" s="79"/>
      <c r="BG96" s="77"/>
      <c r="BH96" s="77"/>
      <c r="BI96" s="79"/>
      <c r="BJ96" s="77"/>
      <c r="BK96" s="77"/>
      <c r="BL96" s="79"/>
      <c r="BM96" s="77"/>
      <c r="BN96" s="77"/>
      <c r="BO96" s="79"/>
      <c r="BP96" s="77"/>
      <c r="BQ96" s="77"/>
      <c r="BR96" s="79"/>
      <c r="BS96" s="77"/>
      <c r="BT96" s="77"/>
      <c r="BU96" s="79"/>
      <c r="BV96" s="77"/>
      <c r="BW96" s="77"/>
      <c r="BX96" s="79"/>
      <c r="BY96" s="77"/>
      <c r="BZ96" s="77"/>
      <c r="CA96" s="79"/>
      <c r="CB96" s="77"/>
      <c r="CC96" s="77"/>
      <c r="CD96" s="79"/>
      <c r="CE96" s="77"/>
      <c r="CF96" s="77"/>
      <c r="CG96" s="79"/>
      <c r="CH96" s="77"/>
      <c r="CI96" s="77"/>
      <c r="CJ96" s="79"/>
      <c r="CK96" s="77"/>
      <c r="CL96" s="77"/>
      <c r="CM96" s="79"/>
      <c r="CN96" s="77"/>
      <c r="CO96" s="77"/>
    </row>
    <row r="97" spans="1:93" ht="24" hidden="1" customHeight="1" x14ac:dyDescent="0.2">
      <c r="A97" s="106">
        <f t="shared" si="218"/>
        <v>8</v>
      </c>
      <c r="B97" s="107" t="s">
        <v>119</v>
      </c>
      <c r="C97" s="75">
        <f t="shared" ca="1" si="0"/>
        <v>0</v>
      </c>
      <c r="D97" s="76">
        <f t="shared" ca="1" si="217"/>
        <v>0</v>
      </c>
      <c r="E97" s="77">
        <f ca="1">IFERROR(__xludf.DUMMYFUNCTION("IMPORTRANGE(""https://docs.google.com/spreadsheets/d/1MeEWN-I1oV_STSDYn1IFDPWt_1FKiwhDph83XaGc0o0/edit?usp=sharing"",""งบพรบ!CP97"")"),0)</f>
        <v>0</v>
      </c>
      <c r="F97" s="77">
        <f ca="1">IFERROR(__xludf.DUMMYFUNCTION("IMPORTRANGE(""https://docs.google.com/spreadsheets/d/1MeEWN-I1oV_STSDYn1IFDPWt_1FKiwhDph83XaGc0o0/edit?usp=sharing"",""งบพรบ!CQ97"")"),0)</f>
        <v>0</v>
      </c>
      <c r="G97" s="77">
        <f ca="1">IFERROR(__xludf.DUMMYFUNCTION("IMPORTRANGE(""https://docs.google.com/spreadsheets/d/1MeEWN-I1oV_STSDYn1IFDPWt_1FKiwhDph83XaGc0o0/edit?usp=sharing"",""งบพรบ!CR97"")"),0)</f>
        <v>0</v>
      </c>
      <c r="H97" s="77">
        <f ca="1">IFERROR(__xludf.DUMMYFUNCTION("IMPORTRANGE(""https://docs.google.com/spreadsheets/d/1MeEWN-I1oV_STSDYn1IFDPWt_1FKiwhDph83XaGc0o0/edit?usp=sharing"",""งบพรบ!CT97"")"),0)</f>
        <v>0</v>
      </c>
      <c r="I97" s="77">
        <f ca="1">IFERROR(__xludf.DUMMYFUNCTION("IMPORTRANGE(""https://docs.google.com/spreadsheets/d/1MeEWN-I1oV_STSDYn1IFDPWt_1FKiwhDph83XaGc0o0/edit?usp=sharing"",""งบพรบ!CU97"")"),0)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IFERROR(__xludf.DUMMYFUNCTION("IMPORTRANGE(""https://docs.google.com/spreadsheets/d/1MeEWN-I1oV_STSDYn1IFDPWt_1FKiwhDph83XaGc0o0/edit?usp=sharing"",""งบพรบ!CV97"")"),0)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IFERROR(__xludf.DUMMYFUNCTION("IMPORTRANGE(""https://docs.google.com/spreadsheets/d/1MeEWN-I1oV_STSDYn1IFDPWt_1FKiwhDph83XaGc0o0/edit?usp=sharing"",""งบพรบ!CW97"")"),0)</f>
        <v>0</v>
      </c>
      <c r="P97" s="80">
        <f t="shared" ca="1" si="108"/>
        <v>0</v>
      </c>
      <c r="Q97" s="79">
        <f t="shared" ca="1" si="8"/>
        <v>0</v>
      </c>
      <c r="R97" s="77"/>
      <c r="S97" s="77"/>
      <c r="T97" s="79"/>
      <c r="U97" s="77"/>
      <c r="V97" s="77"/>
      <c r="W97" s="79"/>
      <c r="X97" s="77"/>
      <c r="Y97" s="77"/>
      <c r="Z97" s="77"/>
      <c r="AA97" s="77"/>
      <c r="AB97" s="77"/>
      <c r="AC97" s="79"/>
      <c r="AD97" s="77"/>
      <c r="AE97" s="77"/>
      <c r="AF97" s="79"/>
      <c r="AG97" s="77"/>
      <c r="AH97" s="77"/>
      <c r="AI97" s="79"/>
      <c r="AJ97" s="77"/>
      <c r="AK97" s="77"/>
      <c r="AL97" s="79"/>
      <c r="AM97" s="77"/>
      <c r="AN97" s="77"/>
      <c r="AO97" s="79"/>
      <c r="AP97" s="299"/>
      <c r="AQ97" s="299"/>
      <c r="AR97" s="77"/>
      <c r="AS97" s="77"/>
      <c r="AT97" s="79"/>
      <c r="AU97" s="77"/>
      <c r="AV97" s="77"/>
      <c r="AW97" s="79"/>
      <c r="AX97" s="77"/>
      <c r="AY97" s="77"/>
      <c r="AZ97" s="79"/>
      <c r="BA97" s="77"/>
      <c r="BB97" s="77"/>
      <c r="BC97" s="79"/>
      <c r="BD97" s="77"/>
      <c r="BE97" s="77"/>
      <c r="BF97" s="79"/>
      <c r="BG97" s="77"/>
      <c r="BH97" s="77"/>
      <c r="BI97" s="79"/>
      <c r="BJ97" s="77"/>
      <c r="BK97" s="77"/>
      <c r="BL97" s="79"/>
      <c r="BM97" s="77"/>
      <c r="BN97" s="77"/>
      <c r="BO97" s="79"/>
      <c r="BP97" s="77"/>
      <c r="BQ97" s="77"/>
      <c r="BR97" s="79"/>
      <c r="BS97" s="77"/>
      <c r="BT97" s="77"/>
      <c r="BU97" s="79"/>
      <c r="BV97" s="77"/>
      <c r="BW97" s="77"/>
      <c r="BX97" s="79"/>
      <c r="BY97" s="77"/>
      <c r="BZ97" s="77"/>
      <c r="CA97" s="79"/>
      <c r="CB97" s="77"/>
      <c r="CC97" s="77"/>
      <c r="CD97" s="79"/>
      <c r="CE97" s="77"/>
      <c r="CF97" s="77"/>
      <c r="CG97" s="79"/>
      <c r="CH97" s="77"/>
      <c r="CI97" s="77"/>
      <c r="CJ97" s="79"/>
      <c r="CK97" s="77"/>
      <c r="CL97" s="77"/>
      <c r="CM97" s="79"/>
      <c r="CN97" s="77"/>
      <c r="CO97" s="77"/>
    </row>
    <row r="98" spans="1:93" ht="24" hidden="1" customHeight="1" x14ac:dyDescent="0.2">
      <c r="A98" s="106">
        <f t="shared" si="218"/>
        <v>9</v>
      </c>
      <c r="B98" s="107" t="s">
        <v>120</v>
      </c>
      <c r="C98" s="75">
        <f t="shared" ca="1" si="0"/>
        <v>0</v>
      </c>
      <c r="D98" s="76">
        <f t="shared" ca="1" si="217"/>
        <v>0</v>
      </c>
      <c r="E98" s="77">
        <f ca="1">IFERROR(__xludf.DUMMYFUNCTION("IMPORTRANGE(""https://docs.google.com/spreadsheets/d/1MeEWN-I1oV_STSDYn1IFDPWt_1FKiwhDph83XaGc0o0/edit?usp=sharing"",""งบพรบ!CP98"")"),0)</f>
        <v>0</v>
      </c>
      <c r="F98" s="77">
        <f ca="1">IFERROR(__xludf.DUMMYFUNCTION("IMPORTRANGE(""https://docs.google.com/spreadsheets/d/1MeEWN-I1oV_STSDYn1IFDPWt_1FKiwhDph83XaGc0o0/edit?usp=sharing"",""งบพรบ!CQ98"")"),0)</f>
        <v>0</v>
      </c>
      <c r="G98" s="77">
        <f ca="1">IFERROR(__xludf.DUMMYFUNCTION("IMPORTRANGE(""https://docs.google.com/spreadsheets/d/1MeEWN-I1oV_STSDYn1IFDPWt_1FKiwhDph83XaGc0o0/edit?usp=sharing"",""งบพรบ!CR98"")"),0)</f>
        <v>0</v>
      </c>
      <c r="H98" s="77">
        <f ca="1">IFERROR(__xludf.DUMMYFUNCTION("IMPORTRANGE(""https://docs.google.com/spreadsheets/d/1MeEWN-I1oV_STSDYn1IFDPWt_1FKiwhDph83XaGc0o0/edit?usp=sharing"",""งบพรบ!CT98"")"),0)</f>
        <v>0</v>
      </c>
      <c r="I98" s="77">
        <f ca="1">IFERROR(__xludf.DUMMYFUNCTION("IMPORTRANGE(""https://docs.google.com/spreadsheets/d/1MeEWN-I1oV_STSDYn1IFDPWt_1FKiwhDph83XaGc0o0/edit?usp=sharing"",""งบพรบ!CU98"")"),0)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IFERROR(__xludf.DUMMYFUNCTION("IMPORTRANGE(""https://docs.google.com/spreadsheets/d/1MeEWN-I1oV_STSDYn1IFDPWt_1FKiwhDph83XaGc0o0/edit?usp=sharing"",""งบพรบ!CV98"")"),0)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IFERROR(__xludf.DUMMYFUNCTION("IMPORTRANGE(""https://docs.google.com/spreadsheets/d/1MeEWN-I1oV_STSDYn1IFDPWt_1FKiwhDph83XaGc0o0/edit?usp=sharing"",""งบพรบ!CW98"")"),0)</f>
        <v>0</v>
      </c>
      <c r="P98" s="80">
        <f t="shared" ca="1" si="108"/>
        <v>0</v>
      </c>
      <c r="Q98" s="79">
        <f t="shared" ca="1" si="8"/>
        <v>0</v>
      </c>
      <c r="R98" s="77"/>
      <c r="S98" s="77"/>
      <c r="T98" s="79"/>
      <c r="U98" s="77"/>
      <c r="V98" s="77"/>
      <c r="W98" s="79"/>
      <c r="X98" s="77"/>
      <c r="Y98" s="77"/>
      <c r="Z98" s="77"/>
      <c r="AA98" s="77"/>
      <c r="AB98" s="77"/>
      <c r="AC98" s="79"/>
      <c r="AD98" s="77"/>
      <c r="AE98" s="77"/>
      <c r="AF98" s="79"/>
      <c r="AG98" s="77"/>
      <c r="AH98" s="77"/>
      <c r="AI98" s="79"/>
      <c r="AJ98" s="77"/>
      <c r="AK98" s="77"/>
      <c r="AL98" s="79"/>
      <c r="AM98" s="77"/>
      <c r="AN98" s="77"/>
      <c r="AO98" s="79"/>
      <c r="AP98" s="299"/>
      <c r="AQ98" s="299"/>
      <c r="AR98" s="77"/>
      <c r="AS98" s="77"/>
      <c r="AT98" s="79"/>
      <c r="AU98" s="77"/>
      <c r="AV98" s="77"/>
      <c r="AW98" s="79"/>
      <c r="AX98" s="77"/>
      <c r="AY98" s="77"/>
      <c r="AZ98" s="79"/>
      <c r="BA98" s="77"/>
      <c r="BB98" s="77"/>
      <c r="BC98" s="79"/>
      <c r="BD98" s="77"/>
      <c r="BE98" s="77"/>
      <c r="BF98" s="79"/>
      <c r="BG98" s="77"/>
      <c r="BH98" s="77"/>
      <c r="BI98" s="79"/>
      <c r="BJ98" s="77"/>
      <c r="BK98" s="77"/>
      <c r="BL98" s="79"/>
      <c r="BM98" s="77"/>
      <c r="BN98" s="77"/>
      <c r="BO98" s="79"/>
      <c r="BP98" s="77"/>
      <c r="BQ98" s="77"/>
      <c r="BR98" s="79"/>
      <c r="BS98" s="77"/>
      <c r="BT98" s="77"/>
      <c r="BU98" s="79"/>
      <c r="BV98" s="77"/>
      <c r="BW98" s="77"/>
      <c r="BX98" s="79"/>
      <c r="BY98" s="77"/>
      <c r="BZ98" s="77"/>
      <c r="CA98" s="79"/>
      <c r="CB98" s="77"/>
      <c r="CC98" s="77"/>
      <c r="CD98" s="79"/>
      <c r="CE98" s="77"/>
      <c r="CF98" s="77"/>
      <c r="CG98" s="79"/>
      <c r="CH98" s="77"/>
      <c r="CI98" s="77"/>
      <c r="CJ98" s="79"/>
      <c r="CK98" s="77"/>
      <c r="CL98" s="77"/>
      <c r="CM98" s="79"/>
      <c r="CN98" s="77"/>
      <c r="CO98" s="77"/>
    </row>
    <row r="99" spans="1:93" ht="24" hidden="1" customHeight="1" x14ac:dyDescent="0.2">
      <c r="A99" s="106">
        <f t="shared" si="218"/>
        <v>10</v>
      </c>
      <c r="B99" s="107" t="s">
        <v>121</v>
      </c>
      <c r="C99" s="75">
        <f t="shared" ca="1" si="0"/>
        <v>0</v>
      </c>
      <c r="D99" s="76">
        <f t="shared" ca="1" si="217"/>
        <v>0</v>
      </c>
      <c r="E99" s="77">
        <f ca="1">IFERROR(__xludf.DUMMYFUNCTION("IMPORTRANGE(""https://docs.google.com/spreadsheets/d/1MeEWN-I1oV_STSDYn1IFDPWt_1FKiwhDph83XaGc0o0/edit?usp=sharing"",""งบพรบ!CP99"")"),0)</f>
        <v>0</v>
      </c>
      <c r="F99" s="77">
        <f ca="1">IFERROR(__xludf.DUMMYFUNCTION("IMPORTRANGE(""https://docs.google.com/spreadsheets/d/1MeEWN-I1oV_STSDYn1IFDPWt_1FKiwhDph83XaGc0o0/edit?usp=sharing"",""งบพรบ!CQ99"")"),0)</f>
        <v>0</v>
      </c>
      <c r="G99" s="77">
        <f ca="1">IFERROR(__xludf.DUMMYFUNCTION("IMPORTRANGE(""https://docs.google.com/spreadsheets/d/1MeEWN-I1oV_STSDYn1IFDPWt_1FKiwhDph83XaGc0o0/edit?usp=sharing"",""งบพรบ!CR99"")"),0)</f>
        <v>0</v>
      </c>
      <c r="H99" s="77">
        <f ca="1">IFERROR(__xludf.DUMMYFUNCTION("IMPORTRANGE(""https://docs.google.com/spreadsheets/d/1MeEWN-I1oV_STSDYn1IFDPWt_1FKiwhDph83XaGc0o0/edit?usp=sharing"",""งบพรบ!CT99"")"),0)</f>
        <v>0</v>
      </c>
      <c r="I99" s="77">
        <f ca="1">IFERROR(__xludf.DUMMYFUNCTION("IMPORTRANGE(""https://docs.google.com/spreadsheets/d/1MeEWN-I1oV_STSDYn1IFDPWt_1FKiwhDph83XaGc0o0/edit?usp=sharing"",""งบพรบ!CU99"")"),0)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IFERROR(__xludf.DUMMYFUNCTION("IMPORTRANGE(""https://docs.google.com/spreadsheets/d/1MeEWN-I1oV_STSDYn1IFDPWt_1FKiwhDph83XaGc0o0/edit?usp=sharing"",""งบพรบ!CV99"")"),0)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IFERROR(__xludf.DUMMYFUNCTION("IMPORTRANGE(""https://docs.google.com/spreadsheets/d/1MeEWN-I1oV_STSDYn1IFDPWt_1FKiwhDph83XaGc0o0/edit?usp=sharing"",""งบพรบ!CW99"")"),0)</f>
        <v>0</v>
      </c>
      <c r="P99" s="80">
        <f t="shared" ca="1" si="108"/>
        <v>0</v>
      </c>
      <c r="Q99" s="79">
        <f t="shared" ca="1" si="8"/>
        <v>0</v>
      </c>
      <c r="R99" s="77"/>
      <c r="S99" s="77"/>
      <c r="T99" s="79"/>
      <c r="U99" s="77"/>
      <c r="V99" s="77"/>
      <c r="W99" s="79"/>
      <c r="X99" s="77"/>
      <c r="Y99" s="77"/>
      <c r="Z99" s="77"/>
      <c r="AA99" s="77"/>
      <c r="AB99" s="77"/>
      <c r="AC99" s="79"/>
      <c r="AD99" s="77"/>
      <c r="AE99" s="77"/>
      <c r="AF99" s="79"/>
      <c r="AG99" s="77"/>
      <c r="AH99" s="77"/>
      <c r="AI99" s="79"/>
      <c r="AJ99" s="77"/>
      <c r="AK99" s="77"/>
      <c r="AL99" s="79"/>
      <c r="AM99" s="77"/>
      <c r="AN99" s="77"/>
      <c r="AO99" s="79"/>
      <c r="AP99" s="299"/>
      <c r="AQ99" s="299"/>
      <c r="AR99" s="77"/>
      <c r="AS99" s="77"/>
      <c r="AT99" s="79"/>
      <c r="AU99" s="77"/>
      <c r="AV99" s="77"/>
      <c r="AW99" s="79"/>
      <c r="AX99" s="77"/>
      <c r="AY99" s="77"/>
      <c r="AZ99" s="79"/>
      <c r="BA99" s="77"/>
      <c r="BB99" s="77"/>
      <c r="BC99" s="79"/>
      <c r="BD99" s="77"/>
      <c r="BE99" s="77"/>
      <c r="BF99" s="79"/>
      <c r="BG99" s="77"/>
      <c r="BH99" s="77"/>
      <c r="BI99" s="79"/>
      <c r="BJ99" s="77"/>
      <c r="BK99" s="77"/>
      <c r="BL99" s="79"/>
      <c r="BM99" s="77"/>
      <c r="BN99" s="77"/>
      <c r="BO99" s="79"/>
      <c r="BP99" s="77"/>
      <c r="BQ99" s="77"/>
      <c r="BR99" s="79"/>
      <c r="BS99" s="77"/>
      <c r="BT99" s="77"/>
      <c r="BU99" s="79"/>
      <c r="BV99" s="77"/>
      <c r="BW99" s="77"/>
      <c r="BX99" s="79"/>
      <c r="BY99" s="77"/>
      <c r="BZ99" s="77"/>
      <c r="CA99" s="79"/>
      <c r="CB99" s="77"/>
      <c r="CC99" s="77"/>
      <c r="CD99" s="79"/>
      <c r="CE99" s="77"/>
      <c r="CF99" s="77"/>
      <c r="CG99" s="79"/>
      <c r="CH99" s="77"/>
      <c r="CI99" s="77"/>
      <c r="CJ99" s="79"/>
      <c r="CK99" s="77"/>
      <c r="CL99" s="77"/>
      <c r="CM99" s="79"/>
      <c r="CN99" s="77"/>
      <c r="CO99" s="77"/>
    </row>
    <row r="100" spans="1:93" ht="24" hidden="1" customHeight="1" x14ac:dyDescent="0.2">
      <c r="A100" s="106">
        <f t="shared" si="218"/>
        <v>11</v>
      </c>
      <c r="B100" s="107" t="s">
        <v>122</v>
      </c>
      <c r="C100" s="75">
        <f t="shared" ca="1" si="0"/>
        <v>0</v>
      </c>
      <c r="D100" s="76">
        <f t="shared" ca="1" si="217"/>
        <v>0</v>
      </c>
      <c r="E100" s="77">
        <f ca="1">IFERROR(__xludf.DUMMYFUNCTION("IMPORTRANGE(""https://docs.google.com/spreadsheets/d/1MeEWN-I1oV_STSDYn1IFDPWt_1FKiwhDph83XaGc0o0/edit?usp=sharing"",""งบพรบ!CP100"")"),0)</f>
        <v>0</v>
      </c>
      <c r="F100" s="77">
        <f ca="1">IFERROR(__xludf.DUMMYFUNCTION("IMPORTRANGE(""https://docs.google.com/spreadsheets/d/1MeEWN-I1oV_STSDYn1IFDPWt_1FKiwhDph83XaGc0o0/edit?usp=sharing"",""งบพรบ!CQ100"")"),0)</f>
        <v>0</v>
      </c>
      <c r="G100" s="77">
        <f ca="1">IFERROR(__xludf.DUMMYFUNCTION("IMPORTRANGE(""https://docs.google.com/spreadsheets/d/1MeEWN-I1oV_STSDYn1IFDPWt_1FKiwhDph83XaGc0o0/edit?usp=sharing"",""งบพรบ!CR100"")"),0)</f>
        <v>0</v>
      </c>
      <c r="H100" s="77">
        <f ca="1">IFERROR(__xludf.DUMMYFUNCTION("IMPORTRANGE(""https://docs.google.com/spreadsheets/d/1MeEWN-I1oV_STSDYn1IFDPWt_1FKiwhDph83XaGc0o0/edit?usp=sharing"",""งบพรบ!CT100"")"),0)</f>
        <v>0</v>
      </c>
      <c r="I100" s="77">
        <f ca="1">IFERROR(__xludf.DUMMYFUNCTION("IMPORTRANGE(""https://docs.google.com/spreadsheets/d/1MeEWN-I1oV_STSDYn1IFDPWt_1FKiwhDph83XaGc0o0/edit?usp=sharing"",""งบพรบ!CU100"")"),0)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IFERROR(__xludf.DUMMYFUNCTION("IMPORTRANGE(""https://docs.google.com/spreadsheets/d/1MeEWN-I1oV_STSDYn1IFDPWt_1FKiwhDph83XaGc0o0/edit?usp=sharing"",""งบพรบ!CV100"")"),0)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IFERROR(__xludf.DUMMYFUNCTION("IMPORTRANGE(""https://docs.google.com/spreadsheets/d/1MeEWN-I1oV_STSDYn1IFDPWt_1FKiwhDph83XaGc0o0/edit?usp=sharing"",""งบพรบ!CW100"")"),0)</f>
        <v>0</v>
      </c>
      <c r="P100" s="80">
        <f t="shared" ca="1" si="108"/>
        <v>0</v>
      </c>
      <c r="Q100" s="79">
        <f t="shared" ca="1" si="8"/>
        <v>0</v>
      </c>
      <c r="R100" s="77"/>
      <c r="S100" s="77"/>
      <c r="T100" s="79"/>
      <c r="U100" s="77"/>
      <c r="V100" s="77"/>
      <c r="W100" s="79"/>
      <c r="X100" s="77"/>
      <c r="Y100" s="77"/>
      <c r="Z100" s="77"/>
      <c r="AA100" s="77"/>
      <c r="AB100" s="77"/>
      <c r="AC100" s="79"/>
      <c r="AD100" s="77"/>
      <c r="AE100" s="77"/>
      <c r="AF100" s="79"/>
      <c r="AG100" s="77"/>
      <c r="AH100" s="77"/>
      <c r="AI100" s="79"/>
      <c r="AJ100" s="77"/>
      <c r="AK100" s="77"/>
      <c r="AL100" s="79"/>
      <c r="AM100" s="77"/>
      <c r="AN100" s="77"/>
      <c r="AO100" s="79"/>
      <c r="AP100" s="299"/>
      <c r="AQ100" s="299"/>
      <c r="AR100" s="77"/>
      <c r="AS100" s="77"/>
      <c r="AT100" s="79"/>
      <c r="AU100" s="77"/>
      <c r="AV100" s="77"/>
      <c r="AW100" s="79"/>
      <c r="AX100" s="77"/>
      <c r="AY100" s="77"/>
      <c r="AZ100" s="79"/>
      <c r="BA100" s="77"/>
      <c r="BB100" s="77"/>
      <c r="BC100" s="79"/>
      <c r="BD100" s="77"/>
      <c r="BE100" s="77"/>
      <c r="BF100" s="79"/>
      <c r="BG100" s="77"/>
      <c r="BH100" s="77"/>
      <c r="BI100" s="79"/>
      <c r="BJ100" s="77"/>
      <c r="BK100" s="77"/>
      <c r="BL100" s="79"/>
      <c r="BM100" s="77"/>
      <c r="BN100" s="77"/>
      <c r="BO100" s="79"/>
      <c r="BP100" s="77"/>
      <c r="BQ100" s="77"/>
      <c r="BR100" s="79"/>
      <c r="BS100" s="77"/>
      <c r="BT100" s="77"/>
      <c r="BU100" s="79"/>
      <c r="BV100" s="77"/>
      <c r="BW100" s="77"/>
      <c r="BX100" s="79"/>
      <c r="BY100" s="77"/>
      <c r="BZ100" s="77"/>
      <c r="CA100" s="79"/>
      <c r="CB100" s="77"/>
      <c r="CC100" s="77"/>
      <c r="CD100" s="79"/>
      <c r="CE100" s="77"/>
      <c r="CF100" s="77"/>
      <c r="CG100" s="79"/>
      <c r="CH100" s="77"/>
      <c r="CI100" s="77"/>
      <c r="CJ100" s="79"/>
      <c r="CK100" s="77"/>
      <c r="CL100" s="77"/>
      <c r="CM100" s="79"/>
      <c r="CN100" s="77"/>
      <c r="CO100" s="77"/>
    </row>
    <row r="101" spans="1:93" ht="24" hidden="1" customHeight="1" x14ac:dyDescent="0.2">
      <c r="A101" s="106">
        <f t="shared" si="218"/>
        <v>12</v>
      </c>
      <c r="B101" s="107" t="s">
        <v>123</v>
      </c>
      <c r="C101" s="75">
        <f t="shared" ca="1" si="0"/>
        <v>0</v>
      </c>
      <c r="D101" s="76">
        <f t="shared" ca="1" si="217"/>
        <v>0</v>
      </c>
      <c r="E101" s="77">
        <f ca="1">IFERROR(__xludf.DUMMYFUNCTION("IMPORTRANGE(""https://docs.google.com/spreadsheets/d/1MeEWN-I1oV_STSDYn1IFDPWt_1FKiwhDph83XaGc0o0/edit?usp=sharing"",""งบพรบ!CP101"")"),0)</f>
        <v>0</v>
      </c>
      <c r="F101" s="77">
        <f ca="1">IFERROR(__xludf.DUMMYFUNCTION("IMPORTRANGE(""https://docs.google.com/spreadsheets/d/1MeEWN-I1oV_STSDYn1IFDPWt_1FKiwhDph83XaGc0o0/edit?usp=sharing"",""งบพรบ!CQ101"")"),0)</f>
        <v>0</v>
      </c>
      <c r="G101" s="77">
        <f ca="1">IFERROR(__xludf.DUMMYFUNCTION("IMPORTRANGE(""https://docs.google.com/spreadsheets/d/1MeEWN-I1oV_STSDYn1IFDPWt_1FKiwhDph83XaGc0o0/edit?usp=sharing"",""งบพรบ!CR101"")"),0)</f>
        <v>0</v>
      </c>
      <c r="H101" s="77">
        <f ca="1">IFERROR(__xludf.DUMMYFUNCTION("IMPORTRANGE(""https://docs.google.com/spreadsheets/d/1MeEWN-I1oV_STSDYn1IFDPWt_1FKiwhDph83XaGc0o0/edit?usp=sharing"",""งบพรบ!CT101"")"),0)</f>
        <v>0</v>
      </c>
      <c r="I101" s="77">
        <f ca="1">IFERROR(__xludf.DUMMYFUNCTION("IMPORTRANGE(""https://docs.google.com/spreadsheets/d/1MeEWN-I1oV_STSDYn1IFDPWt_1FKiwhDph83XaGc0o0/edit?usp=sharing"",""งบพรบ!CU101"")"),0)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IFERROR(__xludf.DUMMYFUNCTION("IMPORTRANGE(""https://docs.google.com/spreadsheets/d/1MeEWN-I1oV_STSDYn1IFDPWt_1FKiwhDph83XaGc0o0/edit?usp=sharing"",""งบพรบ!CV101"")"),0)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IFERROR(__xludf.DUMMYFUNCTION("IMPORTRANGE(""https://docs.google.com/spreadsheets/d/1MeEWN-I1oV_STSDYn1IFDPWt_1FKiwhDph83XaGc0o0/edit?usp=sharing"",""งบพรบ!CW101"")"),0)</f>
        <v>0</v>
      </c>
      <c r="P101" s="80">
        <f t="shared" ca="1" si="108"/>
        <v>0</v>
      </c>
      <c r="Q101" s="79">
        <f t="shared" ca="1" si="8"/>
        <v>0</v>
      </c>
      <c r="R101" s="77"/>
      <c r="S101" s="77"/>
      <c r="T101" s="79"/>
      <c r="U101" s="77"/>
      <c r="V101" s="77"/>
      <c r="W101" s="79"/>
      <c r="X101" s="77"/>
      <c r="Y101" s="77"/>
      <c r="Z101" s="77"/>
      <c r="AA101" s="77"/>
      <c r="AB101" s="77"/>
      <c r="AC101" s="79"/>
      <c r="AD101" s="77"/>
      <c r="AE101" s="77"/>
      <c r="AF101" s="79"/>
      <c r="AG101" s="77"/>
      <c r="AH101" s="77"/>
      <c r="AI101" s="79"/>
      <c r="AJ101" s="77"/>
      <c r="AK101" s="77"/>
      <c r="AL101" s="79"/>
      <c r="AM101" s="77"/>
      <c r="AN101" s="77"/>
      <c r="AO101" s="79"/>
      <c r="AP101" s="299"/>
      <c r="AQ101" s="299"/>
      <c r="AR101" s="77"/>
      <c r="AS101" s="77"/>
      <c r="AT101" s="79"/>
      <c r="AU101" s="77"/>
      <c r="AV101" s="77"/>
      <c r="AW101" s="79"/>
      <c r="AX101" s="77"/>
      <c r="AY101" s="77"/>
      <c r="AZ101" s="79"/>
      <c r="BA101" s="77"/>
      <c r="BB101" s="77"/>
      <c r="BC101" s="79"/>
      <c r="BD101" s="77"/>
      <c r="BE101" s="77"/>
      <c r="BF101" s="79"/>
      <c r="BG101" s="77"/>
      <c r="BH101" s="77"/>
      <c r="BI101" s="79"/>
      <c r="BJ101" s="77"/>
      <c r="BK101" s="77"/>
      <c r="BL101" s="79"/>
      <c r="BM101" s="77"/>
      <c r="BN101" s="77"/>
      <c r="BO101" s="79"/>
      <c r="BP101" s="77"/>
      <c r="BQ101" s="77"/>
      <c r="BR101" s="79"/>
      <c r="BS101" s="77"/>
      <c r="BT101" s="77"/>
      <c r="BU101" s="79"/>
      <c r="BV101" s="77"/>
      <c r="BW101" s="77"/>
      <c r="BX101" s="79"/>
      <c r="BY101" s="77"/>
      <c r="BZ101" s="77"/>
      <c r="CA101" s="79"/>
      <c r="CB101" s="77"/>
      <c r="CC101" s="77"/>
      <c r="CD101" s="79"/>
      <c r="CE101" s="77"/>
      <c r="CF101" s="77"/>
      <c r="CG101" s="79"/>
      <c r="CH101" s="77"/>
      <c r="CI101" s="77"/>
      <c r="CJ101" s="79"/>
      <c r="CK101" s="77"/>
      <c r="CL101" s="77"/>
      <c r="CM101" s="79"/>
      <c r="CN101" s="77"/>
      <c r="CO101" s="77"/>
    </row>
    <row r="102" spans="1:93" ht="24" hidden="1" customHeight="1" x14ac:dyDescent="0.2">
      <c r="A102" s="106">
        <f t="shared" si="218"/>
        <v>13</v>
      </c>
      <c r="B102" s="107" t="s">
        <v>124</v>
      </c>
      <c r="C102" s="75">
        <f t="shared" ca="1" si="0"/>
        <v>3310370</v>
      </c>
      <c r="D102" s="76">
        <f t="shared" ca="1" si="217"/>
        <v>3310370</v>
      </c>
      <c r="E102" s="77">
        <f ca="1">IFERROR(__xludf.DUMMYFUNCTION("IMPORTRANGE(""https://docs.google.com/spreadsheets/d/1MeEWN-I1oV_STSDYn1IFDPWt_1FKiwhDph83XaGc0o0/edit?usp=sharing"",""งบพรบ!CP102"")"),619800)</f>
        <v>619800</v>
      </c>
      <c r="F102" s="77">
        <f ca="1">IFERROR(__xludf.DUMMYFUNCTION("IMPORTRANGE(""https://docs.google.com/spreadsheets/d/1MeEWN-I1oV_STSDYn1IFDPWt_1FKiwhDph83XaGc0o0/edit?usp=sharing"",""งบพรบ!CQ102"")"),2690570)</f>
        <v>2690570</v>
      </c>
      <c r="G102" s="77">
        <f ca="1">IFERROR(__xludf.DUMMYFUNCTION("IMPORTRANGE(""https://docs.google.com/spreadsheets/d/1MeEWN-I1oV_STSDYn1IFDPWt_1FKiwhDph83XaGc0o0/edit?usp=sharing"",""งบพรบ!CR102"")"),0)</f>
        <v>0</v>
      </c>
      <c r="H102" s="77">
        <f ca="1">IFERROR(__xludf.DUMMYFUNCTION("IMPORTRANGE(""https://docs.google.com/spreadsheets/d/1MeEWN-I1oV_STSDYn1IFDPWt_1FKiwhDph83XaGc0o0/edit?usp=sharing"",""งบพรบ!CT102"")"),2401730)</f>
        <v>2401730</v>
      </c>
      <c r="I102" s="77">
        <f ca="1">IFERROR(__xludf.DUMMYFUNCTION("IMPORTRANGE(""https://docs.google.com/spreadsheets/d/1MeEWN-I1oV_STSDYn1IFDPWt_1FKiwhDph83XaGc0o0/edit?usp=sharing"",""งบพรบ!CU102"")"),0)</f>
        <v>0</v>
      </c>
      <c r="J102" s="77">
        <f t="shared" ca="1" si="3"/>
        <v>1724439.98</v>
      </c>
      <c r="K102" s="78">
        <f t="shared" ca="1" si="4"/>
        <v>52.092061612448155</v>
      </c>
      <c r="L102" s="77">
        <f ca="1">IFERROR(__xludf.DUMMYFUNCTION("IMPORTRANGE(""https://docs.google.com/spreadsheets/d/1MeEWN-I1oV_STSDYn1IFDPWt_1FKiwhDph83XaGc0o0/edit?usp=sharing"",""งบพรบ!CV102"")"),1724439.98)</f>
        <v>1724439.98</v>
      </c>
      <c r="M102" s="79">
        <f t="shared" ca="1" si="5"/>
        <v>52.092061612448155</v>
      </c>
      <c r="N102" s="79">
        <f t="shared" ca="1" si="6"/>
        <v>71.799910064828268</v>
      </c>
      <c r="O102" s="80">
        <f ca="1">IFERROR(__xludf.DUMMYFUNCTION("IMPORTRANGE(""https://docs.google.com/spreadsheets/d/1MeEWN-I1oV_STSDYn1IFDPWt_1FKiwhDph83XaGc0o0/edit?usp=sharing"",""งบพรบ!CW102"")"),0)</f>
        <v>0</v>
      </c>
      <c r="P102" s="80">
        <f t="shared" ca="1" si="108"/>
        <v>0</v>
      </c>
      <c r="Q102" s="79">
        <f t="shared" ca="1" si="8"/>
        <v>0</v>
      </c>
      <c r="R102" s="77"/>
      <c r="S102" s="77"/>
      <c r="T102" s="79"/>
      <c r="U102" s="77"/>
      <c r="V102" s="77"/>
      <c r="W102" s="79"/>
      <c r="X102" s="77"/>
      <c r="Y102" s="77"/>
      <c r="Z102" s="77"/>
      <c r="AA102" s="77"/>
      <c r="AB102" s="77"/>
      <c r="AC102" s="79"/>
      <c r="AD102" s="77"/>
      <c r="AE102" s="77"/>
      <c r="AF102" s="79"/>
      <c r="AG102" s="77"/>
      <c r="AH102" s="77"/>
      <c r="AI102" s="79"/>
      <c r="AJ102" s="77"/>
      <c r="AK102" s="77"/>
      <c r="AL102" s="79"/>
      <c r="AM102" s="77"/>
      <c r="AN102" s="77"/>
      <c r="AO102" s="79"/>
      <c r="AP102" s="299"/>
      <c r="AQ102" s="299"/>
      <c r="AR102" s="77"/>
      <c r="AS102" s="77"/>
      <c r="AT102" s="79"/>
      <c r="AU102" s="77"/>
      <c r="AV102" s="77"/>
      <c r="AW102" s="79"/>
      <c r="AX102" s="77"/>
      <c r="AY102" s="77"/>
      <c r="AZ102" s="79"/>
      <c r="BA102" s="77"/>
      <c r="BB102" s="77"/>
      <c r="BC102" s="79"/>
      <c r="BD102" s="77"/>
      <c r="BE102" s="77"/>
      <c r="BF102" s="79"/>
      <c r="BG102" s="77"/>
      <c r="BH102" s="77"/>
      <c r="BI102" s="79"/>
      <c r="BJ102" s="77"/>
      <c r="BK102" s="77"/>
      <c r="BL102" s="79"/>
      <c r="BM102" s="77"/>
      <c r="BN102" s="77"/>
      <c r="BO102" s="79"/>
      <c r="BP102" s="77"/>
      <c r="BQ102" s="77"/>
      <c r="BR102" s="79"/>
      <c r="BS102" s="77"/>
      <c r="BT102" s="77"/>
      <c r="BU102" s="79"/>
      <c r="BV102" s="77"/>
      <c r="BW102" s="77"/>
      <c r="BX102" s="79"/>
      <c r="BY102" s="77"/>
      <c r="BZ102" s="77"/>
      <c r="CA102" s="79"/>
      <c r="CB102" s="77"/>
      <c r="CC102" s="77"/>
      <c r="CD102" s="79"/>
      <c r="CE102" s="77"/>
      <c r="CF102" s="77"/>
      <c r="CG102" s="79"/>
      <c r="CH102" s="77"/>
      <c r="CI102" s="77"/>
      <c r="CJ102" s="79"/>
      <c r="CK102" s="77"/>
      <c r="CL102" s="77"/>
      <c r="CM102" s="79"/>
      <c r="CN102" s="77"/>
      <c r="CO102" s="77"/>
    </row>
    <row r="103" spans="1:93" ht="24" hidden="1" customHeight="1" x14ac:dyDescent="0.2">
      <c r="A103" s="108">
        <f t="shared" si="218"/>
        <v>14</v>
      </c>
      <c r="B103" s="109" t="s">
        <v>125</v>
      </c>
      <c r="C103" s="86">
        <f t="shared" ca="1" si="0"/>
        <v>0</v>
      </c>
      <c r="D103" s="87">
        <f t="shared" ca="1" si="217"/>
        <v>0</v>
      </c>
      <c r="E103" s="88">
        <f ca="1">IFERROR(__xludf.DUMMYFUNCTION("IMPORTRANGE(""https://docs.google.com/spreadsheets/d/1MeEWN-I1oV_STSDYn1IFDPWt_1FKiwhDph83XaGc0o0/edit?usp=sharing"",""งบพรบ!CP103"")"),0)</f>
        <v>0</v>
      </c>
      <c r="F103" s="88">
        <f ca="1">IFERROR(__xludf.DUMMYFUNCTION("IMPORTRANGE(""https://docs.google.com/spreadsheets/d/1MeEWN-I1oV_STSDYn1IFDPWt_1FKiwhDph83XaGc0o0/edit?usp=sharing"",""งบพรบ!CQ103"")"),0)</f>
        <v>0</v>
      </c>
      <c r="G103" s="88">
        <f ca="1">IFERROR(__xludf.DUMMYFUNCTION("IMPORTRANGE(""https://docs.google.com/spreadsheets/d/1MeEWN-I1oV_STSDYn1IFDPWt_1FKiwhDph83XaGc0o0/edit?usp=sharing"",""งบพรบ!CR103"")"),0)</f>
        <v>0</v>
      </c>
      <c r="H103" s="88">
        <f ca="1">IFERROR(__xludf.DUMMYFUNCTION("IMPORTRANGE(""https://docs.google.com/spreadsheets/d/1MeEWN-I1oV_STSDYn1IFDPWt_1FKiwhDph83XaGc0o0/edit?usp=sharing"",""งบพรบ!CT103"")"),0)</f>
        <v>0</v>
      </c>
      <c r="I103" s="88">
        <f ca="1">IFERROR(__xludf.DUMMYFUNCTION("IMPORTRANGE(""https://docs.google.com/spreadsheets/d/1MeEWN-I1oV_STSDYn1IFDPWt_1FKiwhDph83XaGc0o0/edit?usp=sharing"",""งบพรบ!CU103"")"),0)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IFERROR(__xludf.DUMMYFUNCTION("IMPORTRANGE(""https://docs.google.com/spreadsheets/d/1MeEWN-I1oV_STSDYn1IFDPWt_1FKiwhDph83XaGc0o0/edit?usp=sharing"",""งบพรบ!CV103"")"),0)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IFERROR(__xludf.DUMMYFUNCTION("IMPORTRANGE(""https://docs.google.com/spreadsheets/d/1MeEWN-I1oV_STSDYn1IFDPWt_1FKiwhDph83XaGc0o0/edit?usp=sharing"",""งบพรบ!CW103"")"),0)</f>
        <v>0</v>
      </c>
      <c r="P103" s="91">
        <f t="shared" ca="1" si="108"/>
        <v>0</v>
      </c>
      <c r="Q103" s="90">
        <f t="shared" ca="1" si="8"/>
        <v>0</v>
      </c>
      <c r="R103" s="88"/>
      <c r="S103" s="88"/>
      <c r="T103" s="90"/>
      <c r="U103" s="88"/>
      <c r="V103" s="88"/>
      <c r="W103" s="90"/>
      <c r="X103" s="88"/>
      <c r="Y103" s="88"/>
      <c r="Z103" s="88"/>
      <c r="AA103" s="88"/>
      <c r="AB103" s="88"/>
      <c r="AC103" s="90"/>
      <c r="AD103" s="88"/>
      <c r="AE103" s="88"/>
      <c r="AF103" s="90"/>
      <c r="AG103" s="88"/>
      <c r="AH103" s="88"/>
      <c r="AI103" s="90"/>
      <c r="AJ103" s="88"/>
      <c r="AK103" s="88"/>
      <c r="AL103" s="90"/>
      <c r="AM103" s="88"/>
      <c r="AN103" s="88"/>
      <c r="AO103" s="90"/>
      <c r="AP103" s="300"/>
      <c r="AQ103" s="300"/>
      <c r="AR103" s="88"/>
      <c r="AS103" s="88"/>
      <c r="AT103" s="90"/>
      <c r="AU103" s="88"/>
      <c r="AV103" s="88"/>
      <c r="AW103" s="90"/>
      <c r="AX103" s="88"/>
      <c r="AY103" s="88"/>
      <c r="AZ103" s="90"/>
      <c r="BA103" s="88"/>
      <c r="BB103" s="88"/>
      <c r="BC103" s="90"/>
      <c r="BD103" s="88"/>
      <c r="BE103" s="88"/>
      <c r="BF103" s="90"/>
      <c r="BG103" s="88"/>
      <c r="BH103" s="88"/>
      <c r="BI103" s="90"/>
      <c r="BJ103" s="88"/>
      <c r="BK103" s="88"/>
      <c r="BL103" s="90"/>
      <c r="BM103" s="88"/>
      <c r="BN103" s="88"/>
      <c r="BO103" s="90"/>
      <c r="BP103" s="88"/>
      <c r="BQ103" s="88"/>
      <c r="BR103" s="90"/>
      <c r="BS103" s="88"/>
      <c r="BT103" s="88"/>
      <c r="BU103" s="90"/>
      <c r="BV103" s="88"/>
      <c r="BW103" s="88"/>
      <c r="BX103" s="90"/>
      <c r="BY103" s="88"/>
      <c r="BZ103" s="88"/>
      <c r="CA103" s="90"/>
      <c r="CB103" s="88"/>
      <c r="CC103" s="88"/>
      <c r="CD103" s="90"/>
      <c r="CE103" s="88"/>
      <c r="CF103" s="88"/>
      <c r="CG103" s="90"/>
      <c r="CH103" s="88"/>
      <c r="CI103" s="88"/>
      <c r="CJ103" s="90"/>
      <c r="CK103" s="88"/>
      <c r="CL103" s="88"/>
      <c r="CM103" s="90"/>
      <c r="CN103" s="88"/>
      <c r="CO103" s="88"/>
    </row>
    <row r="104" spans="1:93" ht="21" hidden="1" customHeight="1" x14ac:dyDescent="0.2">
      <c r="A104" s="369" t="s">
        <v>126</v>
      </c>
      <c r="B104" s="370"/>
      <c r="C104" s="102">
        <f t="shared" ca="1" si="0"/>
        <v>2701500</v>
      </c>
      <c r="D104" s="41">
        <f ca="1">SUM(D105:D116)</f>
        <v>2701500</v>
      </c>
      <c r="E104" s="41">
        <f ca="1">IFERROR(__xludf.DUMMYFUNCTION("IMPORTRANGE(""https://docs.google.com/spreadsheets/d/1MeEWN-I1oV_STSDYn1IFDPWt_1FKiwhDph83XaGc0o0/edit?usp=sharing"",""งบพรบ!CP104"")"),2701500)</f>
        <v>2701500</v>
      </c>
      <c r="F104" s="41">
        <f ca="1">IFERROR(__xludf.DUMMYFUNCTION("IMPORTRANGE(""https://docs.google.com/spreadsheets/d/1MeEWN-I1oV_STSDYn1IFDPWt_1FKiwhDph83XaGc0o0/edit?usp=sharing"",""งบพรบ!CQ104"")"),0)</f>
        <v>0</v>
      </c>
      <c r="G104" s="41">
        <f ca="1">IFERROR(__xludf.DUMMYFUNCTION("IMPORTRANGE(""https://docs.google.com/spreadsheets/d/1MeEWN-I1oV_STSDYn1IFDPWt_1FKiwhDph83XaGc0o0/edit?usp=sharing"",""งบพรบ!CR104"")"),0)</f>
        <v>0</v>
      </c>
      <c r="H104" s="41">
        <f ca="1">IFERROR(__xludf.DUMMYFUNCTION("IMPORTRANGE(""https://docs.google.com/spreadsheets/d/1MeEWN-I1oV_STSDYn1IFDPWt_1FKiwhDph83XaGc0o0/edit?usp=sharing"",""งบพรบ!CT104"")"),2633080)</f>
        <v>2633080</v>
      </c>
      <c r="I104" s="41">
        <f ca="1">IFERROR(__xludf.DUMMYFUNCTION("IMPORTRANGE(""https://docs.google.com/spreadsheets/d/1MeEWN-I1oV_STSDYn1IFDPWt_1FKiwhDph83XaGc0o0/edit?usp=sharing"",""งบพรบ!CU104"")"),0)</f>
        <v>0</v>
      </c>
      <c r="J104" s="41">
        <f t="shared" ca="1" si="3"/>
        <v>1644806.63</v>
      </c>
      <c r="K104" s="43">
        <f t="shared" ca="1" si="4"/>
        <v>60.884939107903016</v>
      </c>
      <c r="L104" s="41">
        <f ca="1">IFERROR(__xludf.DUMMYFUNCTION("IMPORTRANGE(""https://docs.google.com/spreadsheets/d/1MeEWN-I1oV_STSDYn1IFDPWt_1FKiwhDph83XaGc0o0/edit?usp=sharing"",""งบพรบ!CV104"")"),1644806.63)</f>
        <v>1644806.63</v>
      </c>
      <c r="M104" s="43">
        <f t="shared" ca="1" si="5"/>
        <v>60.884939107903016</v>
      </c>
      <c r="N104" s="43">
        <f t="shared" ca="1" si="6"/>
        <v>62.467020751363421</v>
      </c>
      <c r="O104" s="41">
        <f ca="1">IFERROR(__xludf.DUMMYFUNCTION("IMPORTRANGE(""https://docs.google.com/spreadsheets/d/1MeEWN-I1oV_STSDYn1IFDPWt_1FKiwhDph83XaGc0o0/edit?usp=sharing"",""งบพรบ!CW104"")"),0)</f>
        <v>0</v>
      </c>
      <c r="P104" s="41">
        <f t="shared" ca="1" si="108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295"/>
      <c r="AQ104" s="295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</row>
    <row r="105" spans="1:93" ht="24" hidden="1" customHeight="1" x14ac:dyDescent="0.2">
      <c r="A105" s="103">
        <v>1</v>
      </c>
      <c r="B105" s="110" t="s">
        <v>127</v>
      </c>
      <c r="C105" s="111">
        <f t="shared" ca="1" si="0"/>
        <v>251500</v>
      </c>
      <c r="D105" s="66">
        <f t="shared" ref="D105:D116" ca="1" si="219">+E105+F105</f>
        <v>251500</v>
      </c>
      <c r="E105" s="67">
        <f ca="1">IFERROR(__xludf.DUMMYFUNCTION("IMPORTRANGE(""https://docs.google.com/spreadsheets/d/1MeEWN-I1oV_STSDYn1IFDPWt_1FKiwhDph83XaGc0o0/edit?usp=sharing"",""งบพรบ!CP105"")"),251500)</f>
        <v>251500</v>
      </c>
      <c r="F105" s="67">
        <f ca="1">IFERROR(__xludf.DUMMYFUNCTION("IMPORTRANGE(""https://docs.google.com/spreadsheets/d/1MeEWN-I1oV_STSDYn1IFDPWt_1FKiwhDph83XaGc0o0/edit?usp=sharing"",""งบพรบ!CQ105"")"),0)</f>
        <v>0</v>
      </c>
      <c r="G105" s="67">
        <f ca="1">IFERROR(__xludf.DUMMYFUNCTION("IMPORTRANGE(""https://docs.google.com/spreadsheets/d/1MeEWN-I1oV_STSDYn1IFDPWt_1FKiwhDph83XaGc0o0/edit?usp=sharing"",""งบพรบ!CR105"")"),0)</f>
        <v>0</v>
      </c>
      <c r="H105" s="67">
        <f ca="1">IFERROR(__xludf.DUMMYFUNCTION("IMPORTRANGE(""https://docs.google.com/spreadsheets/d/1MeEWN-I1oV_STSDYn1IFDPWt_1FKiwhDph83XaGc0o0/edit?usp=sharing"",""งบพรบ!CT105"")"),233500)</f>
        <v>233500</v>
      </c>
      <c r="I105" s="67">
        <f ca="1">IFERROR(__xludf.DUMMYFUNCTION("IMPORTRANGE(""https://docs.google.com/spreadsheets/d/1MeEWN-I1oV_STSDYn1IFDPWt_1FKiwhDph83XaGc0o0/edit?usp=sharing"",""งบพรบ!CU105"")"),0)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IFERROR(__xludf.DUMMYFUNCTION("IMPORTRANGE(""https://docs.google.com/spreadsheets/d/1MeEWN-I1oV_STSDYn1IFDPWt_1FKiwhDph83XaGc0o0/edit?usp=sharing"",""งบพรบ!CV105"")"),0)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IFERROR(__xludf.DUMMYFUNCTION("IMPORTRANGE(""https://docs.google.com/spreadsheets/d/1MeEWN-I1oV_STSDYn1IFDPWt_1FKiwhDph83XaGc0o0/edit?usp=sharing"",""งบพรบ!CW105"")"),0)</f>
        <v>0</v>
      </c>
      <c r="P105" s="71">
        <f t="shared" ca="1" si="108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299"/>
      <c r="AQ105" s="299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</row>
    <row r="106" spans="1:93" ht="24" hidden="1" customHeight="1" x14ac:dyDescent="0.2">
      <c r="A106" s="106">
        <v>2</v>
      </c>
      <c r="B106" s="112" t="s">
        <v>128</v>
      </c>
      <c r="C106" s="113">
        <f t="shared" ca="1" si="0"/>
        <v>300000</v>
      </c>
      <c r="D106" s="76">
        <f t="shared" ca="1" si="219"/>
        <v>300000</v>
      </c>
      <c r="E106" s="77">
        <f ca="1">IFERROR(__xludf.DUMMYFUNCTION("IMPORTRANGE(""https://docs.google.com/spreadsheets/d/1MeEWN-I1oV_STSDYn1IFDPWt_1FKiwhDph83XaGc0o0/edit?usp=sharing"",""งบพรบ!CP106"")"),300000)</f>
        <v>300000</v>
      </c>
      <c r="F106" s="77">
        <f ca="1">IFERROR(__xludf.DUMMYFUNCTION("IMPORTRANGE(""https://docs.google.com/spreadsheets/d/1MeEWN-I1oV_STSDYn1IFDPWt_1FKiwhDph83XaGc0o0/edit?usp=sharing"",""งบพรบ!CQ106"")"),0)</f>
        <v>0</v>
      </c>
      <c r="G106" s="77">
        <f ca="1">IFERROR(__xludf.DUMMYFUNCTION("IMPORTRANGE(""https://docs.google.com/spreadsheets/d/1MeEWN-I1oV_STSDYn1IFDPWt_1FKiwhDph83XaGc0o0/edit?usp=sharing"",""งบพรบ!CR106"")"),0)</f>
        <v>0</v>
      </c>
      <c r="H106" s="77">
        <f ca="1">IFERROR(__xludf.DUMMYFUNCTION("IMPORTRANGE(""https://docs.google.com/spreadsheets/d/1MeEWN-I1oV_STSDYn1IFDPWt_1FKiwhDph83XaGc0o0/edit?usp=sharing"",""งบพรบ!CT106"")"),61550)</f>
        <v>61550</v>
      </c>
      <c r="I106" s="77">
        <f ca="1">IFERROR(__xludf.DUMMYFUNCTION("IMPORTRANGE(""https://docs.google.com/spreadsheets/d/1MeEWN-I1oV_STSDYn1IFDPWt_1FKiwhDph83XaGc0o0/edit?usp=sharing"",""งบพรบ!CU106"")"),0)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IFERROR(__xludf.DUMMYFUNCTION("IMPORTRANGE(""https://docs.google.com/spreadsheets/d/1MeEWN-I1oV_STSDYn1IFDPWt_1FKiwhDph83XaGc0o0/edit?usp=sharing"",""งบพรบ!CV106"")"),0)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IFERROR(__xludf.DUMMYFUNCTION("IMPORTRANGE(""https://docs.google.com/spreadsheets/d/1MeEWN-I1oV_STSDYn1IFDPWt_1FKiwhDph83XaGc0o0/edit?usp=sharing"",""งบพรบ!CW106"")"),0)</f>
        <v>0</v>
      </c>
      <c r="P106" s="80">
        <f t="shared" ca="1" si="108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299"/>
      <c r="AQ106" s="299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</row>
    <row r="107" spans="1:93" ht="24" hidden="1" customHeight="1" x14ac:dyDescent="0.2">
      <c r="A107" s="106">
        <v>3</v>
      </c>
      <c r="B107" s="112" t="s">
        <v>129</v>
      </c>
      <c r="C107" s="113">
        <f t="shared" ca="1" si="0"/>
        <v>1000000</v>
      </c>
      <c r="D107" s="76">
        <f t="shared" ca="1" si="219"/>
        <v>1000000</v>
      </c>
      <c r="E107" s="77">
        <f ca="1">IFERROR(__xludf.DUMMYFUNCTION("IMPORTRANGE(""https://docs.google.com/spreadsheets/d/1MeEWN-I1oV_STSDYn1IFDPWt_1FKiwhDph83XaGc0o0/edit?usp=sharing"",""งบพรบ!CP107"")"),1000000)</f>
        <v>1000000</v>
      </c>
      <c r="F107" s="77">
        <f ca="1">IFERROR(__xludf.DUMMYFUNCTION("IMPORTRANGE(""https://docs.google.com/spreadsheets/d/1MeEWN-I1oV_STSDYn1IFDPWt_1FKiwhDph83XaGc0o0/edit?usp=sharing"",""งบพรบ!CQ107"")"),0)</f>
        <v>0</v>
      </c>
      <c r="G107" s="77">
        <f ca="1">IFERROR(__xludf.DUMMYFUNCTION("IMPORTRANGE(""https://docs.google.com/spreadsheets/d/1MeEWN-I1oV_STSDYn1IFDPWt_1FKiwhDph83XaGc0o0/edit?usp=sharing"",""งบพรบ!CR107"")"),0)</f>
        <v>0</v>
      </c>
      <c r="H107" s="77">
        <f ca="1">IFERROR(__xludf.DUMMYFUNCTION("IMPORTRANGE(""https://docs.google.com/spreadsheets/d/1MeEWN-I1oV_STSDYn1IFDPWt_1FKiwhDph83XaGc0o0/edit?usp=sharing"",""งบพรบ!CT107"")"),1000000)</f>
        <v>1000000</v>
      </c>
      <c r="I107" s="77">
        <f ca="1">IFERROR(__xludf.DUMMYFUNCTION("IMPORTRANGE(""https://docs.google.com/spreadsheets/d/1MeEWN-I1oV_STSDYn1IFDPWt_1FKiwhDph83XaGc0o0/edit?usp=sharing"",""งบพรบ!CU107"")"),0)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IFERROR(__xludf.DUMMYFUNCTION("IMPORTRANGE(""https://docs.google.com/spreadsheets/d/1MeEWN-I1oV_STSDYn1IFDPWt_1FKiwhDph83XaGc0o0/edit?usp=sharing"",""งบพรบ!CV107"")"),0)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IFERROR(__xludf.DUMMYFUNCTION("IMPORTRANGE(""https://docs.google.com/spreadsheets/d/1MeEWN-I1oV_STSDYn1IFDPWt_1FKiwhDph83XaGc0o0/edit?usp=sharing"",""งบพรบ!CW107"")"),0)</f>
        <v>0</v>
      </c>
      <c r="P107" s="80">
        <f t="shared" ca="1" si="108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299"/>
      <c r="AQ107" s="299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93" ht="24" hidden="1" customHeight="1" x14ac:dyDescent="0.2">
      <c r="A108" s="114">
        <v>4</v>
      </c>
      <c r="B108" s="112" t="s">
        <v>130</v>
      </c>
      <c r="C108" s="113">
        <f t="shared" ca="1" si="0"/>
        <v>500000</v>
      </c>
      <c r="D108" s="76">
        <f t="shared" ca="1" si="219"/>
        <v>500000</v>
      </c>
      <c r="E108" s="77">
        <f ca="1">IFERROR(__xludf.DUMMYFUNCTION("IMPORTRANGE(""https://docs.google.com/spreadsheets/d/1MeEWN-I1oV_STSDYn1IFDPWt_1FKiwhDph83XaGc0o0/edit?usp=sharing"",""งบพรบ!CP108"")"),500000)</f>
        <v>500000</v>
      </c>
      <c r="F108" s="77">
        <f ca="1">IFERROR(__xludf.DUMMYFUNCTION("IMPORTRANGE(""https://docs.google.com/spreadsheets/d/1MeEWN-I1oV_STSDYn1IFDPWt_1FKiwhDph83XaGc0o0/edit?usp=sharing"",""งบพรบ!CQ108"")"),0)</f>
        <v>0</v>
      </c>
      <c r="G108" s="77">
        <f ca="1">IFERROR(__xludf.DUMMYFUNCTION("IMPORTRANGE(""https://docs.google.com/spreadsheets/d/1MeEWN-I1oV_STSDYn1IFDPWt_1FKiwhDph83XaGc0o0/edit?usp=sharing"",""งบพรบ!CR108"")"),0)</f>
        <v>0</v>
      </c>
      <c r="H108" s="77">
        <f ca="1">IFERROR(__xludf.DUMMYFUNCTION("IMPORTRANGE(""https://docs.google.com/spreadsheets/d/1MeEWN-I1oV_STSDYn1IFDPWt_1FKiwhDph83XaGc0o0/edit?usp=sharing"",""งบพรบ!CT108"")"),500000)</f>
        <v>500000</v>
      </c>
      <c r="I108" s="77">
        <f ca="1">IFERROR(__xludf.DUMMYFUNCTION("IMPORTRANGE(""https://docs.google.com/spreadsheets/d/1MeEWN-I1oV_STSDYn1IFDPWt_1FKiwhDph83XaGc0o0/edit?usp=sharing"",""งบพรบ!CU108"")"),0)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IFERROR(__xludf.DUMMYFUNCTION("IMPORTRANGE(""https://docs.google.com/spreadsheets/d/1MeEWN-I1oV_STSDYn1IFDPWt_1FKiwhDph83XaGc0o0/edit?usp=sharing"",""งบพรบ!CV108"")"),0)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IFERROR(__xludf.DUMMYFUNCTION("IMPORTRANGE(""https://docs.google.com/spreadsheets/d/1MeEWN-I1oV_STSDYn1IFDPWt_1FKiwhDph83XaGc0o0/edit?usp=sharing"",""งบพรบ!CW108"")"),0)</f>
        <v>0</v>
      </c>
      <c r="P108" s="80">
        <f t="shared" ca="1" si="108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299"/>
      <c r="AQ108" s="299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93" ht="24" hidden="1" customHeight="1" x14ac:dyDescent="0.2">
      <c r="A109" s="114">
        <v>5</v>
      </c>
      <c r="B109" s="112" t="s">
        <v>131</v>
      </c>
      <c r="C109" s="113">
        <f t="shared" ca="1" si="0"/>
        <v>650000</v>
      </c>
      <c r="D109" s="76">
        <f t="shared" ca="1" si="219"/>
        <v>650000</v>
      </c>
      <c r="E109" s="77">
        <f ca="1">IFERROR(__xludf.DUMMYFUNCTION("IMPORTRANGE(""https://docs.google.com/spreadsheets/d/1MeEWN-I1oV_STSDYn1IFDPWt_1FKiwhDph83XaGc0o0/edit?usp=sharing"",""งบพรบ!CP109"")"),650000)</f>
        <v>650000</v>
      </c>
      <c r="F109" s="77">
        <f ca="1">IFERROR(__xludf.DUMMYFUNCTION("IMPORTRANGE(""https://docs.google.com/spreadsheets/d/1MeEWN-I1oV_STSDYn1IFDPWt_1FKiwhDph83XaGc0o0/edit?usp=sharing"",""งบพรบ!CQ109"")"),0)</f>
        <v>0</v>
      </c>
      <c r="G109" s="77">
        <f ca="1">IFERROR(__xludf.DUMMYFUNCTION("IMPORTRANGE(""https://docs.google.com/spreadsheets/d/1MeEWN-I1oV_STSDYn1IFDPWt_1FKiwhDph83XaGc0o0/edit?usp=sharing"",""งบพรบ!CR109"")"),0)</f>
        <v>0</v>
      </c>
      <c r="H109" s="77">
        <f ca="1">IFERROR(__xludf.DUMMYFUNCTION("IMPORTRANGE(""https://docs.google.com/spreadsheets/d/1MeEWN-I1oV_STSDYn1IFDPWt_1FKiwhDph83XaGc0o0/edit?usp=sharing"",""งบพรบ!CT109"")"),538030)</f>
        <v>538030</v>
      </c>
      <c r="I109" s="77">
        <f ca="1">IFERROR(__xludf.DUMMYFUNCTION("IMPORTRANGE(""https://docs.google.com/spreadsheets/d/1MeEWN-I1oV_STSDYn1IFDPWt_1FKiwhDph83XaGc0o0/edit?usp=sharing"",""งบพรบ!CU109"")"),0)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IFERROR(__xludf.DUMMYFUNCTION("IMPORTRANGE(""https://docs.google.com/spreadsheets/d/1MeEWN-I1oV_STSDYn1IFDPWt_1FKiwhDph83XaGc0o0/edit?usp=sharing"",""งบพรบ!CV109"")"),0)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IFERROR(__xludf.DUMMYFUNCTION("IMPORTRANGE(""https://docs.google.com/spreadsheets/d/1MeEWN-I1oV_STSDYn1IFDPWt_1FKiwhDph83XaGc0o0/edit?usp=sharing"",""งบพรบ!CW109"")"),0)</f>
        <v>0</v>
      </c>
      <c r="P109" s="80">
        <f t="shared" ca="1" si="108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299"/>
      <c r="AQ109" s="299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93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219"/>
        <v>0</v>
      </c>
      <c r="E110" s="77">
        <f ca="1">IFERROR(__xludf.DUMMYFUNCTION("IMPORTRANGE(""https://docs.google.com/spreadsheets/d/1MeEWN-I1oV_STSDYn1IFDPWt_1FKiwhDph83XaGc0o0/edit?usp=sharing"",""งบพรบ!CP110"")"),0)</f>
        <v>0</v>
      </c>
      <c r="F110" s="77">
        <f ca="1">IFERROR(__xludf.DUMMYFUNCTION("IMPORTRANGE(""https://docs.google.com/spreadsheets/d/1MeEWN-I1oV_STSDYn1IFDPWt_1FKiwhDph83XaGc0o0/edit?usp=sharing"",""งบพรบ!CQ110"")"),0)</f>
        <v>0</v>
      </c>
      <c r="G110" s="77">
        <f ca="1">IFERROR(__xludf.DUMMYFUNCTION("IMPORTRANGE(""https://docs.google.com/spreadsheets/d/1MeEWN-I1oV_STSDYn1IFDPWt_1FKiwhDph83XaGc0o0/edit?usp=sharing"",""งบพรบ!CR110"")"),0)</f>
        <v>0</v>
      </c>
      <c r="H110" s="77">
        <f ca="1">IFERROR(__xludf.DUMMYFUNCTION("IMPORTRANGE(""https://docs.google.com/spreadsheets/d/1MeEWN-I1oV_STSDYn1IFDPWt_1FKiwhDph83XaGc0o0/edit?usp=sharing"",""งบพรบ!CT110"")"),0)</f>
        <v>0</v>
      </c>
      <c r="I110" s="77">
        <f ca="1">IFERROR(__xludf.DUMMYFUNCTION("IMPORTRANGE(""https://docs.google.com/spreadsheets/d/1MeEWN-I1oV_STSDYn1IFDPWt_1FKiwhDph83XaGc0o0/edit?usp=sharing"",""งบพรบ!CU110"")"),0)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IFERROR(__xludf.DUMMYFUNCTION("IMPORTRANGE(""https://docs.google.com/spreadsheets/d/1MeEWN-I1oV_STSDYn1IFDPWt_1FKiwhDph83XaGc0o0/edit?usp=sharing"",""งบพรบ!CV110"")"),0)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IFERROR(__xludf.DUMMYFUNCTION("IMPORTRANGE(""https://docs.google.com/spreadsheets/d/1MeEWN-I1oV_STSDYn1IFDPWt_1FKiwhDph83XaGc0o0/edit?usp=sharing"",""งบพรบ!CW110"")"),0)</f>
        <v>0</v>
      </c>
      <c r="P110" s="80">
        <f t="shared" ca="1" si="108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299"/>
      <c r="AQ110" s="299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93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219"/>
        <v>0</v>
      </c>
      <c r="E111" s="77">
        <f ca="1">IFERROR(__xludf.DUMMYFUNCTION("IMPORTRANGE(""https://docs.google.com/spreadsheets/d/1MeEWN-I1oV_STSDYn1IFDPWt_1FKiwhDph83XaGc0o0/edit?usp=sharing"",""งบพรบ!CP111"")"),0)</f>
        <v>0</v>
      </c>
      <c r="F111" s="77">
        <f ca="1">IFERROR(__xludf.DUMMYFUNCTION("IMPORTRANGE(""https://docs.google.com/spreadsheets/d/1MeEWN-I1oV_STSDYn1IFDPWt_1FKiwhDph83XaGc0o0/edit?usp=sharing"",""งบพรบ!CQ111"")"),0)</f>
        <v>0</v>
      </c>
      <c r="G111" s="77">
        <f ca="1">IFERROR(__xludf.DUMMYFUNCTION("IMPORTRANGE(""https://docs.google.com/spreadsheets/d/1MeEWN-I1oV_STSDYn1IFDPWt_1FKiwhDph83XaGc0o0/edit?usp=sharing"",""งบพรบ!CR111"")"),0)</f>
        <v>0</v>
      </c>
      <c r="H111" s="77">
        <f ca="1">IFERROR(__xludf.DUMMYFUNCTION("IMPORTRANGE(""https://docs.google.com/spreadsheets/d/1MeEWN-I1oV_STSDYn1IFDPWt_1FKiwhDph83XaGc0o0/edit?usp=sharing"",""งบพรบ!CT111"")"),0)</f>
        <v>0</v>
      </c>
      <c r="I111" s="77">
        <f ca="1">IFERROR(__xludf.DUMMYFUNCTION("IMPORTRANGE(""https://docs.google.com/spreadsheets/d/1MeEWN-I1oV_STSDYn1IFDPWt_1FKiwhDph83XaGc0o0/edit?usp=sharing"",""งบพรบ!CU111"")"),0)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IFERROR(__xludf.DUMMYFUNCTION("IMPORTRANGE(""https://docs.google.com/spreadsheets/d/1MeEWN-I1oV_STSDYn1IFDPWt_1FKiwhDph83XaGc0o0/edit?usp=sharing"",""งบพรบ!CV111"")"),0)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IFERROR(__xludf.DUMMYFUNCTION("IMPORTRANGE(""https://docs.google.com/spreadsheets/d/1MeEWN-I1oV_STSDYn1IFDPWt_1FKiwhDph83XaGc0o0/edit?usp=sharing"",""งบพรบ!CW111"")"),0)</f>
        <v>0</v>
      </c>
      <c r="P111" s="80">
        <f t="shared" ca="1" si="108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299"/>
      <c r="AQ111" s="299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93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219"/>
        <v>0</v>
      </c>
      <c r="E112" s="77">
        <f ca="1">IFERROR(__xludf.DUMMYFUNCTION("IMPORTRANGE(""https://docs.google.com/spreadsheets/d/1MeEWN-I1oV_STSDYn1IFDPWt_1FKiwhDph83XaGc0o0/edit?usp=sharing"",""งบพรบ!CP112"")"),0)</f>
        <v>0</v>
      </c>
      <c r="F112" s="77">
        <f ca="1">IFERROR(__xludf.DUMMYFUNCTION("IMPORTRANGE(""https://docs.google.com/spreadsheets/d/1MeEWN-I1oV_STSDYn1IFDPWt_1FKiwhDph83XaGc0o0/edit?usp=sharing"",""งบพรบ!CQ112"")"),0)</f>
        <v>0</v>
      </c>
      <c r="G112" s="77">
        <f ca="1">IFERROR(__xludf.DUMMYFUNCTION("IMPORTRANGE(""https://docs.google.com/spreadsheets/d/1MeEWN-I1oV_STSDYn1IFDPWt_1FKiwhDph83XaGc0o0/edit?usp=sharing"",""งบพรบ!CR112"")"),0)</f>
        <v>0</v>
      </c>
      <c r="H112" s="77">
        <f ca="1">IFERROR(__xludf.DUMMYFUNCTION("IMPORTRANGE(""https://docs.google.com/spreadsheets/d/1MeEWN-I1oV_STSDYn1IFDPWt_1FKiwhDph83XaGc0o0/edit?usp=sharing"",""งบพรบ!CT112"")"),0)</f>
        <v>0</v>
      </c>
      <c r="I112" s="77">
        <f ca="1">IFERROR(__xludf.DUMMYFUNCTION("IMPORTRANGE(""https://docs.google.com/spreadsheets/d/1MeEWN-I1oV_STSDYn1IFDPWt_1FKiwhDph83XaGc0o0/edit?usp=sharing"",""งบพรบ!CU112"")"),0)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IFERROR(__xludf.DUMMYFUNCTION("IMPORTRANGE(""https://docs.google.com/spreadsheets/d/1MeEWN-I1oV_STSDYn1IFDPWt_1FKiwhDph83XaGc0o0/edit?usp=sharing"",""งบพรบ!CV112"")"),0)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IFERROR(__xludf.DUMMYFUNCTION("IMPORTRANGE(""https://docs.google.com/spreadsheets/d/1MeEWN-I1oV_STSDYn1IFDPWt_1FKiwhDph83XaGc0o0/edit?usp=sharing"",""งบพรบ!CW112"")"),0)</f>
        <v>0</v>
      </c>
      <c r="P112" s="80">
        <f t="shared" ca="1" si="108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299"/>
      <c r="AQ112" s="299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219"/>
        <v>0</v>
      </c>
      <c r="E113" s="77">
        <f ca="1">IFERROR(__xludf.DUMMYFUNCTION("IMPORTRANGE(""https://docs.google.com/spreadsheets/d/1MeEWN-I1oV_STSDYn1IFDPWt_1FKiwhDph83XaGc0o0/edit?usp=sharing"",""งบพรบ!CP113"")"),0)</f>
        <v>0</v>
      </c>
      <c r="F113" s="77">
        <f ca="1">IFERROR(__xludf.DUMMYFUNCTION("IMPORTRANGE(""https://docs.google.com/spreadsheets/d/1MeEWN-I1oV_STSDYn1IFDPWt_1FKiwhDph83XaGc0o0/edit?usp=sharing"",""งบพรบ!CQ113"")"),0)</f>
        <v>0</v>
      </c>
      <c r="G113" s="77">
        <f ca="1">IFERROR(__xludf.DUMMYFUNCTION("IMPORTRANGE(""https://docs.google.com/spreadsheets/d/1MeEWN-I1oV_STSDYn1IFDPWt_1FKiwhDph83XaGc0o0/edit?usp=sharing"",""งบพรบ!CR113"")"),0)</f>
        <v>0</v>
      </c>
      <c r="H113" s="77">
        <f ca="1">IFERROR(__xludf.DUMMYFUNCTION("IMPORTRANGE(""https://docs.google.com/spreadsheets/d/1MeEWN-I1oV_STSDYn1IFDPWt_1FKiwhDph83XaGc0o0/edit?usp=sharing"",""งบพรบ!CT113"")"),300000)</f>
        <v>300000</v>
      </c>
      <c r="I113" s="77">
        <f ca="1">IFERROR(__xludf.DUMMYFUNCTION("IMPORTRANGE(""https://docs.google.com/spreadsheets/d/1MeEWN-I1oV_STSDYn1IFDPWt_1FKiwhDph83XaGc0o0/edit?usp=sharing"",""งบพรบ!CU113"")"),0)</f>
        <v>0</v>
      </c>
      <c r="J113" s="77">
        <f t="shared" ca="1" si="3"/>
        <v>300000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IFERROR(__xludf.DUMMYFUNCTION("IMPORTRANGE(""https://docs.google.com/spreadsheets/d/1MeEWN-I1oV_STSDYn1IFDPWt_1FKiwhDph83XaGc0o0/edit?usp=sharing"",""งบพรบ!CV113"")"),300000)</f>
        <v>300000</v>
      </c>
      <c r="M113" s="79">
        <f t="shared" ca="1" si="5"/>
        <v>0</v>
      </c>
      <c r="N113" s="79">
        <f t="shared" ca="1" si="6"/>
        <v>100</v>
      </c>
      <c r="O113" s="80">
        <f ca="1">IFERROR(__xludf.DUMMYFUNCTION("IMPORTRANGE(""https://docs.google.com/spreadsheets/d/1MeEWN-I1oV_STSDYn1IFDPWt_1FKiwhDph83XaGc0o0/edit?usp=sharing"",""งบพรบ!CW113"")"),0)</f>
        <v>0</v>
      </c>
      <c r="P113" s="80">
        <f t="shared" ca="1" si="108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299"/>
      <c r="AQ113" s="299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</row>
    <row r="114" spans="1:93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219"/>
        <v>0</v>
      </c>
      <c r="E114" s="77">
        <f ca="1">IFERROR(__xludf.DUMMYFUNCTION("IMPORTRANGE(""https://docs.google.com/spreadsheets/d/1MeEWN-I1oV_STSDYn1IFDPWt_1FKiwhDph83XaGc0o0/edit?usp=sharing"",""งบพรบ!CP114"")"),0)</f>
        <v>0</v>
      </c>
      <c r="F114" s="77">
        <f ca="1">IFERROR(__xludf.DUMMYFUNCTION("IMPORTRANGE(""https://docs.google.com/spreadsheets/d/1MeEWN-I1oV_STSDYn1IFDPWt_1FKiwhDph83XaGc0o0/edit?usp=sharing"",""งบพรบ!CQ114"")"),0)</f>
        <v>0</v>
      </c>
      <c r="G114" s="77">
        <f ca="1">IFERROR(__xludf.DUMMYFUNCTION("IMPORTRANGE(""https://docs.google.com/spreadsheets/d/1MeEWN-I1oV_STSDYn1IFDPWt_1FKiwhDph83XaGc0o0/edit?usp=sharing"",""งบพรบ!CR114"")"),0)</f>
        <v>0</v>
      </c>
      <c r="H114" s="77">
        <f ca="1">IFERROR(__xludf.DUMMYFUNCTION("IMPORTRANGE(""https://docs.google.com/spreadsheets/d/1MeEWN-I1oV_STSDYn1IFDPWt_1FKiwhDph83XaGc0o0/edit?usp=sharing"",""งบพรบ!CT114"")"),0)</f>
        <v>0</v>
      </c>
      <c r="I114" s="77">
        <f ca="1">IFERROR(__xludf.DUMMYFUNCTION("IMPORTRANGE(""https://docs.google.com/spreadsheets/d/1MeEWN-I1oV_STSDYn1IFDPWt_1FKiwhDph83XaGc0o0/edit?usp=sharing"",""งบพรบ!CU114"")"),0)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IFERROR(__xludf.DUMMYFUNCTION("IMPORTRANGE(""https://docs.google.com/spreadsheets/d/1MeEWN-I1oV_STSDYn1IFDPWt_1FKiwhDph83XaGc0o0/edit?usp=sharing"",""งบพรบ!CV114"")"),0)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IFERROR(__xludf.DUMMYFUNCTION("IMPORTRANGE(""https://docs.google.com/spreadsheets/d/1MeEWN-I1oV_STSDYn1IFDPWt_1FKiwhDph83XaGc0o0/edit?usp=sharing"",""งบพรบ!CW114"")"),0)</f>
        <v>0</v>
      </c>
      <c r="P114" s="80">
        <f t="shared" ca="1" si="108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299"/>
      <c r="AQ114" s="299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</row>
    <row r="115" spans="1:93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219"/>
        <v>0</v>
      </c>
      <c r="E115" s="77">
        <f ca="1">IFERROR(__xludf.DUMMYFUNCTION("IMPORTRANGE(""https://docs.google.com/spreadsheets/d/1MeEWN-I1oV_STSDYn1IFDPWt_1FKiwhDph83XaGc0o0/edit?usp=sharing"",""งบพรบ!CP115"")"),0)</f>
        <v>0</v>
      </c>
      <c r="F115" s="77">
        <f ca="1">IFERROR(__xludf.DUMMYFUNCTION("IMPORTRANGE(""https://docs.google.com/spreadsheets/d/1MeEWN-I1oV_STSDYn1IFDPWt_1FKiwhDph83XaGc0o0/edit?usp=sharing"",""งบพรบ!CQ115"")"),0)</f>
        <v>0</v>
      </c>
      <c r="G115" s="77">
        <f ca="1">IFERROR(__xludf.DUMMYFUNCTION("IMPORTRANGE(""https://docs.google.com/spreadsheets/d/1MeEWN-I1oV_STSDYn1IFDPWt_1FKiwhDph83XaGc0o0/edit?usp=sharing"",""งบพรบ!CR115"")"),0)</f>
        <v>0</v>
      </c>
      <c r="H115" s="77">
        <f ca="1">IFERROR(__xludf.DUMMYFUNCTION("IMPORTRANGE(""https://docs.google.com/spreadsheets/d/1MeEWN-I1oV_STSDYn1IFDPWt_1FKiwhDph83XaGc0o0/edit?usp=sharing"",""งบพรบ!CT115"")"),0)</f>
        <v>0</v>
      </c>
      <c r="I115" s="77">
        <f ca="1">IFERROR(__xludf.DUMMYFUNCTION("IMPORTRANGE(""https://docs.google.com/spreadsheets/d/1MeEWN-I1oV_STSDYn1IFDPWt_1FKiwhDph83XaGc0o0/edit?usp=sharing"",""งบพรบ!CU115"")"),0)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IFERROR(__xludf.DUMMYFUNCTION("IMPORTRANGE(""https://docs.google.com/spreadsheets/d/1MeEWN-I1oV_STSDYn1IFDPWt_1FKiwhDph83XaGc0o0/edit?usp=sharing"",""งบพรบ!CV115"")"),0)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IFERROR(__xludf.DUMMYFUNCTION("IMPORTRANGE(""https://docs.google.com/spreadsheets/d/1MeEWN-I1oV_STSDYn1IFDPWt_1FKiwhDph83XaGc0o0/edit?usp=sharing"",""งบพรบ!CW115"")"),0)</f>
        <v>0</v>
      </c>
      <c r="P115" s="80">
        <f t="shared" ca="1" si="108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299"/>
      <c r="AQ115" s="299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219"/>
        <v>0</v>
      </c>
      <c r="E116" s="77">
        <f ca="1">IFERROR(__xludf.DUMMYFUNCTION("IMPORTRANGE(""https://docs.google.com/spreadsheets/d/1MeEWN-I1oV_STSDYn1IFDPWt_1FKiwhDph83XaGc0o0/edit?usp=sharing"",""งบพรบ!CP116"")"),0)</f>
        <v>0</v>
      </c>
      <c r="F116" s="77">
        <f ca="1">IFERROR(__xludf.DUMMYFUNCTION("IMPORTRANGE(""https://docs.google.com/spreadsheets/d/1MeEWN-I1oV_STSDYn1IFDPWt_1FKiwhDph83XaGc0o0/edit?usp=sharing"",""งบพรบ!CQ116"")"),0)</f>
        <v>0</v>
      </c>
      <c r="G116" s="77">
        <f ca="1">IFERROR(__xludf.DUMMYFUNCTION("IMPORTRANGE(""https://docs.google.com/spreadsheets/d/1MeEWN-I1oV_STSDYn1IFDPWt_1FKiwhDph83XaGc0o0/edit?usp=sharing"",""งบพรบ!CR116"")"),0)</f>
        <v>0</v>
      </c>
      <c r="H116" s="77">
        <f ca="1">IFERROR(__xludf.DUMMYFUNCTION("IMPORTRANGE(""https://docs.google.com/spreadsheets/d/1MeEWN-I1oV_STSDYn1IFDPWt_1FKiwhDph83XaGc0o0/edit?usp=sharing"",""งบพรบ!CT116"")"),0)</f>
        <v>0</v>
      </c>
      <c r="I116" s="77">
        <f ca="1">IFERROR(__xludf.DUMMYFUNCTION("IMPORTRANGE(""https://docs.google.com/spreadsheets/d/1MeEWN-I1oV_STSDYn1IFDPWt_1FKiwhDph83XaGc0o0/edit?usp=sharing"",""งบพรบ!CU116"")"),0)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IFERROR(__xludf.DUMMYFUNCTION("IMPORTRANGE(""https://docs.google.com/spreadsheets/d/1MeEWN-I1oV_STSDYn1IFDPWt_1FKiwhDph83XaGc0o0/edit?usp=sharing"",""งบพรบ!CV116"")"),0)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IFERROR(__xludf.DUMMYFUNCTION("IMPORTRANGE(""https://docs.google.com/spreadsheets/d/1MeEWN-I1oV_STSDYn1IFDPWt_1FKiwhDph83XaGc0o0/edit?usp=sharing"",""งบพรบ!CW116"")"),0)</f>
        <v>0</v>
      </c>
      <c r="P116" s="80">
        <f t="shared" ca="1" si="108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299"/>
      <c r="AQ116" s="299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  <c r="U314" s="115"/>
      <c r="V314" s="115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</row>
    <row r="315" spans="1:93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  <c r="U315" s="115"/>
      <c r="V315" s="115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</row>
    <row r="316" spans="1:93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  <c r="U316" s="115"/>
      <c r="V316" s="115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</row>
    <row r="317" spans="1:93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  <c r="U317" s="115"/>
      <c r="V317" s="115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</row>
    <row r="318" spans="1:93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  <c r="U318" s="115"/>
      <c r="V318" s="115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  <c r="CJ318" s="115"/>
      <c r="CK318" s="115"/>
      <c r="CL318" s="115"/>
      <c r="CM318" s="115"/>
      <c r="CN318" s="115"/>
      <c r="CO318" s="115"/>
    </row>
    <row r="319" spans="1:93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  <c r="U319" s="115"/>
      <c r="V319" s="115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</row>
    <row r="320" spans="1:93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  <c r="U320" s="115"/>
      <c r="V320" s="115"/>
      <c r="W320" s="116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</row>
    <row r="321" spans="1:93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  <c r="U321" s="115"/>
      <c r="V321" s="115"/>
      <c r="W321" s="116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</row>
    <row r="322" spans="1:93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  <c r="U322" s="115"/>
      <c r="V322" s="115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</row>
    <row r="323" spans="1:93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  <c r="U323" s="115"/>
      <c r="V323" s="115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</row>
    <row r="324" spans="1:93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  <c r="U324" s="115"/>
      <c r="V324" s="115"/>
      <c r="W324" s="116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</row>
    <row r="325" spans="1:93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  <c r="U325" s="115"/>
      <c r="V325" s="115"/>
      <c r="W325" s="116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</row>
    <row r="326" spans="1:93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  <c r="U326" s="115"/>
      <c r="V326" s="115"/>
      <c r="W326" s="116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</row>
    <row r="327" spans="1:93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  <c r="U327" s="115"/>
      <c r="V327" s="115"/>
      <c r="W327" s="116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</row>
    <row r="328" spans="1:93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  <c r="U328" s="115"/>
      <c r="V328" s="115"/>
      <c r="W328" s="116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</row>
    <row r="329" spans="1:93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  <c r="U329" s="115"/>
      <c r="V329" s="115"/>
      <c r="W329" s="116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</row>
    <row r="330" spans="1:93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  <c r="U330" s="115"/>
      <c r="V330" s="115"/>
      <c r="W330" s="116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</row>
    <row r="331" spans="1:93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  <c r="U331" s="115"/>
      <c r="V331" s="115"/>
      <c r="W331" s="116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</row>
    <row r="332" spans="1:93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  <c r="U332" s="115"/>
      <c r="V332" s="115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</row>
    <row r="333" spans="1:93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  <c r="U333" s="115"/>
      <c r="V333" s="115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</row>
    <row r="334" spans="1:93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  <c r="U334" s="115"/>
      <c r="V334" s="115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</row>
    <row r="335" spans="1:93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  <c r="U335" s="115"/>
      <c r="V335" s="115"/>
      <c r="W335" s="116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</row>
    <row r="336" spans="1:93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  <c r="U336" s="115"/>
      <c r="V336" s="115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</row>
    <row r="337" spans="1:93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  <c r="U337" s="115"/>
      <c r="V337" s="115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</row>
    <row r="338" spans="1:93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  <c r="U338" s="115"/>
      <c r="V338" s="115"/>
      <c r="W338" s="116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</row>
    <row r="339" spans="1:93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  <c r="U339" s="115"/>
      <c r="V339" s="115"/>
      <c r="W339" s="116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</row>
    <row r="340" spans="1:93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  <c r="U340" s="115"/>
      <c r="V340" s="115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</row>
    <row r="341" spans="1:93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  <c r="U341" s="115"/>
      <c r="V341" s="115"/>
      <c r="W341" s="116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</row>
    <row r="342" spans="1:93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  <c r="U342" s="115"/>
      <c r="V342" s="115"/>
      <c r="W342" s="116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</row>
    <row r="343" spans="1:93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  <c r="U343" s="115"/>
      <c r="V343" s="115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</row>
    <row r="344" spans="1:93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  <c r="U344" s="115"/>
      <c r="V344" s="115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</row>
    <row r="345" spans="1:93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  <c r="U345" s="115"/>
      <c r="V345" s="115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</row>
    <row r="346" spans="1:93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  <c r="U346" s="115"/>
      <c r="V346" s="115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</row>
    <row r="347" spans="1:93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  <c r="U347" s="115"/>
      <c r="V347" s="115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</row>
    <row r="348" spans="1:93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  <c r="U348" s="115"/>
      <c r="V348" s="115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</row>
    <row r="349" spans="1:93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  <c r="U349" s="115"/>
      <c r="V349" s="115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</row>
    <row r="350" spans="1:93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  <c r="U350" s="115"/>
      <c r="V350" s="115"/>
      <c r="W350" s="116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</row>
    <row r="351" spans="1:93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  <c r="U351" s="115"/>
      <c r="V351" s="115"/>
      <c r="W351" s="116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</row>
    <row r="352" spans="1:93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  <c r="U352" s="115"/>
      <c r="V352" s="115"/>
      <c r="W352" s="116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</row>
    <row r="353" spans="1:93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  <c r="U353" s="115"/>
      <c r="V353" s="115"/>
      <c r="W353" s="116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</row>
    <row r="354" spans="1:93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  <c r="U354" s="115"/>
      <c r="V354" s="115"/>
      <c r="W354" s="116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</row>
    <row r="355" spans="1:93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  <c r="U355" s="115"/>
      <c r="V355" s="115"/>
      <c r="W355" s="116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</row>
    <row r="356" spans="1:93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  <c r="U356" s="115"/>
      <c r="V356" s="115"/>
      <c r="W356" s="116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</row>
    <row r="357" spans="1:93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  <c r="U357" s="115"/>
      <c r="V357" s="115"/>
      <c r="W357" s="116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</row>
    <row r="358" spans="1:93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  <c r="U358" s="115"/>
      <c r="V358" s="115"/>
      <c r="W358" s="116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</row>
    <row r="359" spans="1:93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  <c r="U359" s="115"/>
      <c r="V359" s="115"/>
      <c r="W359" s="116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</row>
    <row r="360" spans="1:93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  <c r="U360" s="115"/>
      <c r="V360" s="115"/>
      <c r="W360" s="116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</row>
    <row r="361" spans="1:93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  <c r="U361" s="115"/>
      <c r="V361" s="115"/>
      <c r="W361" s="116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</row>
    <row r="362" spans="1:93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  <c r="U362" s="115"/>
      <c r="V362" s="115"/>
      <c r="W362" s="116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</row>
    <row r="363" spans="1:93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  <c r="U363" s="115"/>
      <c r="V363" s="115"/>
      <c r="W363" s="116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</row>
    <row r="364" spans="1:93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  <c r="U364" s="115"/>
      <c r="V364" s="115"/>
      <c r="W364" s="116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</row>
    <row r="365" spans="1:93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  <c r="U365" s="115"/>
      <c r="V365" s="115"/>
      <c r="W365" s="116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</row>
    <row r="366" spans="1:93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  <c r="U366" s="115"/>
      <c r="V366" s="115"/>
      <c r="W366" s="116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</row>
    <row r="367" spans="1:93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  <c r="U367" s="115"/>
      <c r="V367" s="115"/>
      <c r="W367" s="116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</row>
    <row r="368" spans="1:93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  <c r="U368" s="115"/>
      <c r="V368" s="115"/>
      <c r="W368" s="116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</row>
    <row r="369" spans="1:93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  <c r="U369" s="115"/>
      <c r="V369" s="115"/>
      <c r="W369" s="116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</row>
    <row r="370" spans="1:93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  <c r="U370" s="115"/>
      <c r="V370" s="115"/>
      <c r="W370" s="116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</row>
    <row r="371" spans="1:93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  <c r="U371" s="115"/>
      <c r="V371" s="115"/>
      <c r="W371" s="116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</row>
    <row r="372" spans="1:93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  <c r="U372" s="115"/>
      <c r="V372" s="115"/>
      <c r="W372" s="116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</row>
    <row r="373" spans="1:93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  <c r="U373" s="115"/>
      <c r="V373" s="115"/>
      <c r="W373" s="116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</row>
    <row r="374" spans="1:93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  <c r="U374" s="115"/>
      <c r="V374" s="115"/>
      <c r="W374" s="116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</row>
    <row r="375" spans="1:93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  <c r="U375" s="115"/>
      <c r="V375" s="115"/>
      <c r="W375" s="116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</row>
    <row r="376" spans="1:93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  <c r="U376" s="115"/>
      <c r="V376" s="115"/>
      <c r="W376" s="116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</row>
    <row r="377" spans="1:93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  <c r="U377" s="115"/>
      <c r="V377" s="115"/>
      <c r="W377" s="116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</row>
    <row r="378" spans="1:93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  <c r="U378" s="115"/>
      <c r="V378" s="115"/>
      <c r="W378" s="116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</row>
    <row r="379" spans="1:93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  <c r="U379" s="115"/>
      <c r="V379" s="115"/>
      <c r="W379" s="116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</row>
    <row r="380" spans="1:93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  <c r="U380" s="115"/>
      <c r="V380" s="115"/>
      <c r="W380" s="116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</row>
    <row r="381" spans="1:93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  <c r="U381" s="115"/>
      <c r="V381" s="115"/>
      <c r="W381" s="116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</row>
    <row r="382" spans="1:93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  <c r="U382" s="115"/>
      <c r="V382" s="115"/>
      <c r="W382" s="116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</row>
    <row r="383" spans="1:93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  <c r="U383" s="115"/>
      <c r="V383" s="115"/>
      <c r="W383" s="116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</row>
    <row r="384" spans="1:93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  <c r="U384" s="115"/>
      <c r="V384" s="115"/>
      <c r="W384" s="116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</row>
    <row r="385" spans="1:93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  <c r="U385" s="115"/>
      <c r="V385" s="115"/>
      <c r="W385" s="116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</row>
    <row r="386" spans="1:93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  <c r="U386" s="115"/>
      <c r="V386" s="115"/>
      <c r="W386" s="116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</row>
    <row r="387" spans="1:93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  <c r="U387" s="115"/>
      <c r="V387" s="115"/>
      <c r="W387" s="116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</row>
    <row r="388" spans="1:93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  <c r="U388" s="115"/>
      <c r="V388" s="115"/>
      <c r="W388" s="116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</row>
    <row r="389" spans="1:93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  <c r="U389" s="115"/>
      <c r="V389" s="115"/>
      <c r="W389" s="116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</row>
    <row r="390" spans="1:93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  <c r="U390" s="115"/>
      <c r="V390" s="115"/>
      <c r="W390" s="116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</row>
    <row r="391" spans="1:93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  <c r="U391" s="115"/>
      <c r="V391" s="115"/>
      <c r="W391" s="116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</row>
    <row r="392" spans="1:93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  <c r="U392" s="115"/>
      <c r="V392" s="115"/>
      <c r="W392" s="116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</row>
    <row r="393" spans="1:93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  <c r="U393" s="115"/>
      <c r="V393" s="115"/>
      <c r="W393" s="116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</row>
    <row r="394" spans="1:93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  <c r="U394" s="115"/>
      <c r="V394" s="115"/>
      <c r="W394" s="116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</row>
    <row r="395" spans="1:93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  <c r="U395" s="115"/>
      <c r="V395" s="115"/>
      <c r="W395" s="116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</row>
    <row r="396" spans="1:93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  <c r="U396" s="115"/>
      <c r="V396" s="115"/>
      <c r="W396" s="116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</row>
    <row r="397" spans="1:93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  <c r="U397" s="115"/>
      <c r="V397" s="115"/>
      <c r="W397" s="116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</row>
    <row r="398" spans="1:93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  <c r="U398" s="115"/>
      <c r="V398" s="115"/>
      <c r="W398" s="116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</row>
    <row r="399" spans="1:93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  <c r="U399" s="115"/>
      <c r="V399" s="115"/>
      <c r="W399" s="116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</row>
    <row r="400" spans="1:93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  <c r="U400" s="115"/>
      <c r="V400" s="115"/>
      <c r="W400" s="116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</row>
    <row r="401" spans="1:93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  <c r="U401" s="115"/>
      <c r="V401" s="115"/>
      <c r="W401" s="116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</row>
    <row r="402" spans="1:93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  <c r="U402" s="115"/>
      <c r="V402" s="115"/>
      <c r="W402" s="116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</row>
    <row r="403" spans="1:93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  <c r="U403" s="115"/>
      <c r="V403" s="115"/>
      <c r="W403" s="116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  <c r="BN403" s="115"/>
      <c r="BO403" s="115"/>
      <c r="BP403" s="115"/>
      <c r="BQ403" s="115"/>
      <c r="BR403" s="115"/>
      <c r="BS403" s="115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  <c r="CJ403" s="115"/>
      <c r="CK403" s="115"/>
      <c r="CL403" s="115"/>
      <c r="CM403" s="115"/>
      <c r="CN403" s="115"/>
      <c r="CO403" s="115"/>
    </row>
    <row r="404" spans="1:93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  <c r="U404" s="115"/>
      <c r="V404" s="115"/>
      <c r="W404" s="116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  <c r="BN404" s="115"/>
      <c r="BO404" s="115"/>
      <c r="BP404" s="115"/>
      <c r="BQ404" s="115"/>
      <c r="BR404" s="115"/>
      <c r="BS404" s="115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  <c r="CJ404" s="115"/>
      <c r="CK404" s="115"/>
      <c r="CL404" s="115"/>
      <c r="CM404" s="115"/>
      <c r="CN404" s="115"/>
      <c r="CO404" s="115"/>
    </row>
    <row r="405" spans="1:93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  <c r="U405" s="115"/>
      <c r="V405" s="115"/>
      <c r="W405" s="116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  <c r="BN405" s="115"/>
      <c r="BO405" s="115"/>
      <c r="BP405" s="115"/>
      <c r="BQ405" s="115"/>
      <c r="BR405" s="115"/>
      <c r="BS405" s="115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  <c r="CJ405" s="115"/>
      <c r="CK405" s="115"/>
      <c r="CL405" s="115"/>
      <c r="CM405" s="115"/>
      <c r="CN405" s="115"/>
      <c r="CO405" s="115"/>
    </row>
    <row r="406" spans="1:93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  <c r="U406" s="115"/>
      <c r="V406" s="115"/>
      <c r="W406" s="116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  <c r="BN406" s="115"/>
      <c r="BO406" s="115"/>
      <c r="BP406" s="115"/>
      <c r="BQ406" s="115"/>
      <c r="BR406" s="115"/>
      <c r="BS406" s="115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  <c r="CJ406" s="115"/>
      <c r="CK406" s="115"/>
      <c r="CL406" s="115"/>
      <c r="CM406" s="115"/>
      <c r="CN406" s="115"/>
      <c r="CO406" s="115"/>
    </row>
    <row r="407" spans="1:93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  <c r="U407" s="115"/>
      <c r="V407" s="115"/>
      <c r="W407" s="116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  <c r="BN407" s="115"/>
      <c r="BO407" s="115"/>
      <c r="BP407" s="115"/>
      <c r="BQ407" s="115"/>
      <c r="BR407" s="115"/>
      <c r="BS407" s="115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  <c r="CJ407" s="115"/>
      <c r="CK407" s="115"/>
      <c r="CL407" s="115"/>
      <c r="CM407" s="115"/>
      <c r="CN407" s="115"/>
      <c r="CO407" s="115"/>
    </row>
    <row r="408" spans="1:93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  <c r="U408" s="115"/>
      <c r="V408" s="115"/>
      <c r="W408" s="116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  <c r="BN408" s="115"/>
      <c r="BO408" s="115"/>
      <c r="BP408" s="115"/>
      <c r="BQ408" s="115"/>
      <c r="BR408" s="115"/>
      <c r="BS408" s="115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  <c r="CJ408" s="115"/>
      <c r="CK408" s="115"/>
      <c r="CL408" s="115"/>
      <c r="CM408" s="115"/>
      <c r="CN408" s="115"/>
      <c r="CO408" s="115"/>
    </row>
    <row r="409" spans="1:93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  <c r="U409" s="115"/>
      <c r="V409" s="115"/>
      <c r="W409" s="116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  <c r="BN409" s="115"/>
      <c r="BO409" s="115"/>
      <c r="BP409" s="115"/>
      <c r="BQ409" s="115"/>
      <c r="BR409" s="115"/>
      <c r="BS409" s="115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  <c r="CJ409" s="115"/>
      <c r="CK409" s="115"/>
      <c r="CL409" s="115"/>
      <c r="CM409" s="115"/>
      <c r="CN409" s="115"/>
      <c r="CO409" s="115"/>
    </row>
    <row r="410" spans="1:93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  <c r="U410" s="115"/>
      <c r="V410" s="115"/>
      <c r="W410" s="116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  <c r="CJ410" s="115"/>
      <c r="CK410" s="115"/>
      <c r="CL410" s="115"/>
      <c r="CM410" s="115"/>
      <c r="CN410" s="115"/>
      <c r="CO410" s="115"/>
    </row>
    <row r="411" spans="1:93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  <c r="U411" s="115"/>
      <c r="V411" s="115"/>
      <c r="W411" s="116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  <c r="BN411" s="115"/>
      <c r="BO411" s="115"/>
      <c r="BP411" s="115"/>
      <c r="BQ411" s="115"/>
      <c r="BR411" s="115"/>
      <c r="BS411" s="115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  <c r="CJ411" s="115"/>
      <c r="CK411" s="115"/>
      <c r="CL411" s="115"/>
      <c r="CM411" s="115"/>
      <c r="CN411" s="115"/>
      <c r="CO411" s="115"/>
    </row>
    <row r="412" spans="1:93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  <c r="U412" s="115"/>
      <c r="V412" s="115"/>
      <c r="W412" s="116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  <c r="BN412" s="115"/>
      <c r="BO412" s="115"/>
      <c r="BP412" s="115"/>
      <c r="BQ412" s="115"/>
      <c r="BR412" s="115"/>
      <c r="BS412" s="115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  <c r="CJ412" s="115"/>
      <c r="CK412" s="115"/>
      <c r="CL412" s="115"/>
      <c r="CM412" s="115"/>
      <c r="CN412" s="115"/>
      <c r="CO412" s="115"/>
    </row>
    <row r="413" spans="1:93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  <c r="U413" s="115"/>
      <c r="V413" s="115"/>
      <c r="W413" s="116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  <c r="BN413" s="115"/>
      <c r="BO413" s="115"/>
      <c r="BP413" s="115"/>
      <c r="BQ413" s="115"/>
      <c r="BR413" s="115"/>
      <c r="BS413" s="115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  <c r="CJ413" s="115"/>
      <c r="CK413" s="115"/>
      <c r="CL413" s="115"/>
      <c r="CM413" s="115"/>
      <c r="CN413" s="115"/>
      <c r="CO413" s="115"/>
    </row>
    <row r="414" spans="1:93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  <c r="U414" s="115"/>
      <c r="V414" s="115"/>
      <c r="W414" s="116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  <c r="BN414" s="115"/>
      <c r="BO414" s="115"/>
      <c r="BP414" s="115"/>
      <c r="BQ414" s="115"/>
      <c r="BR414" s="115"/>
      <c r="BS414" s="115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  <c r="CJ414" s="115"/>
      <c r="CK414" s="115"/>
      <c r="CL414" s="115"/>
      <c r="CM414" s="115"/>
      <c r="CN414" s="115"/>
      <c r="CO414" s="115"/>
    </row>
    <row r="415" spans="1:93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  <c r="U415" s="115"/>
      <c r="V415" s="115"/>
      <c r="W415" s="116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  <c r="BN415" s="115"/>
      <c r="BO415" s="115"/>
      <c r="BP415" s="115"/>
      <c r="BQ415" s="115"/>
      <c r="BR415" s="115"/>
      <c r="BS415" s="115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  <c r="CJ415" s="115"/>
      <c r="CK415" s="115"/>
      <c r="CL415" s="115"/>
      <c r="CM415" s="115"/>
      <c r="CN415" s="115"/>
      <c r="CO415" s="115"/>
    </row>
    <row r="416" spans="1:93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  <c r="U416" s="115"/>
      <c r="V416" s="115"/>
      <c r="W416" s="116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  <c r="BN416" s="115"/>
      <c r="BO416" s="115"/>
      <c r="BP416" s="115"/>
      <c r="BQ416" s="115"/>
      <c r="BR416" s="115"/>
      <c r="BS416" s="115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  <c r="CJ416" s="115"/>
      <c r="CK416" s="115"/>
      <c r="CL416" s="115"/>
      <c r="CM416" s="115"/>
      <c r="CN416" s="115"/>
      <c r="CO416" s="115"/>
    </row>
    <row r="417" spans="1:93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  <c r="U417" s="115"/>
      <c r="V417" s="115"/>
      <c r="W417" s="116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  <c r="BN417" s="115"/>
      <c r="BO417" s="115"/>
      <c r="BP417" s="115"/>
      <c r="BQ417" s="115"/>
      <c r="BR417" s="115"/>
      <c r="BS417" s="115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</row>
    <row r="418" spans="1:93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  <c r="U418" s="115"/>
      <c r="V418" s="115"/>
      <c r="W418" s="116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  <c r="BN418" s="115"/>
      <c r="BO418" s="115"/>
      <c r="BP418" s="115"/>
      <c r="BQ418" s="115"/>
      <c r="BR418" s="115"/>
      <c r="BS418" s="115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  <c r="CJ418" s="115"/>
      <c r="CK418" s="115"/>
      <c r="CL418" s="115"/>
      <c r="CM418" s="115"/>
      <c r="CN418" s="115"/>
      <c r="CO418" s="115"/>
    </row>
    <row r="419" spans="1:93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  <c r="U419" s="115"/>
      <c r="V419" s="115"/>
      <c r="W419" s="116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  <c r="BN419" s="115"/>
      <c r="BO419" s="115"/>
      <c r="BP419" s="115"/>
      <c r="BQ419" s="115"/>
      <c r="BR419" s="115"/>
      <c r="BS419" s="115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  <c r="CJ419" s="115"/>
      <c r="CK419" s="115"/>
      <c r="CL419" s="115"/>
      <c r="CM419" s="115"/>
      <c r="CN419" s="115"/>
      <c r="CO419" s="115"/>
    </row>
    <row r="420" spans="1:93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  <c r="U420" s="115"/>
      <c r="V420" s="115"/>
      <c r="W420" s="116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  <c r="BN420" s="115"/>
      <c r="BO420" s="115"/>
      <c r="BP420" s="115"/>
      <c r="BQ420" s="115"/>
      <c r="BR420" s="115"/>
      <c r="BS420" s="115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  <c r="CJ420" s="115"/>
      <c r="CK420" s="115"/>
      <c r="CL420" s="115"/>
      <c r="CM420" s="115"/>
      <c r="CN420" s="115"/>
      <c r="CO420" s="115"/>
    </row>
    <row r="421" spans="1:93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  <c r="U421" s="115"/>
      <c r="V421" s="115"/>
      <c r="W421" s="116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  <c r="BN421" s="115"/>
      <c r="BO421" s="115"/>
      <c r="BP421" s="115"/>
      <c r="BQ421" s="115"/>
      <c r="BR421" s="115"/>
      <c r="BS421" s="115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  <c r="CJ421" s="115"/>
      <c r="CK421" s="115"/>
      <c r="CL421" s="115"/>
      <c r="CM421" s="115"/>
      <c r="CN421" s="115"/>
      <c r="CO421" s="115"/>
    </row>
    <row r="422" spans="1:93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  <c r="U422" s="115"/>
      <c r="V422" s="115"/>
      <c r="W422" s="116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  <c r="BN422" s="115"/>
      <c r="BO422" s="115"/>
      <c r="BP422" s="115"/>
      <c r="BQ422" s="115"/>
      <c r="BR422" s="115"/>
      <c r="BS422" s="115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  <c r="CJ422" s="115"/>
      <c r="CK422" s="115"/>
      <c r="CL422" s="115"/>
      <c r="CM422" s="115"/>
      <c r="CN422" s="115"/>
      <c r="CO422" s="115"/>
    </row>
    <row r="423" spans="1:93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  <c r="U423" s="115"/>
      <c r="V423" s="115"/>
      <c r="W423" s="116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5"/>
      <c r="BS423" s="115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  <c r="CJ423" s="115"/>
      <c r="CK423" s="115"/>
      <c r="CL423" s="115"/>
      <c r="CM423" s="115"/>
      <c r="CN423" s="115"/>
      <c r="CO423" s="115"/>
    </row>
    <row r="424" spans="1:93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  <c r="U424" s="115"/>
      <c r="V424" s="115"/>
      <c r="W424" s="116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5"/>
      <c r="BS424" s="115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  <c r="CJ424" s="115"/>
      <c r="CK424" s="115"/>
      <c r="CL424" s="115"/>
      <c r="CM424" s="115"/>
      <c r="CN424" s="115"/>
      <c r="CO424" s="115"/>
    </row>
    <row r="425" spans="1:93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  <c r="U425" s="115"/>
      <c r="V425" s="115"/>
      <c r="W425" s="116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5"/>
      <c r="BS425" s="115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  <c r="CJ425" s="115"/>
      <c r="CK425" s="115"/>
      <c r="CL425" s="115"/>
      <c r="CM425" s="115"/>
      <c r="CN425" s="115"/>
      <c r="CO425" s="115"/>
    </row>
    <row r="426" spans="1:93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  <c r="U426" s="115"/>
      <c r="V426" s="115"/>
      <c r="W426" s="116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5"/>
      <c r="BS426" s="115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  <c r="CJ426" s="115"/>
      <c r="CK426" s="115"/>
      <c r="CL426" s="115"/>
      <c r="CM426" s="115"/>
      <c r="CN426" s="115"/>
      <c r="CO426" s="115"/>
    </row>
    <row r="427" spans="1:93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  <c r="U427" s="115"/>
      <c r="V427" s="115"/>
      <c r="W427" s="116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5"/>
      <c r="BS427" s="115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  <c r="CJ427" s="115"/>
      <c r="CK427" s="115"/>
      <c r="CL427" s="115"/>
      <c r="CM427" s="115"/>
      <c r="CN427" s="115"/>
      <c r="CO427" s="115"/>
    </row>
    <row r="428" spans="1:93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  <c r="U428" s="115"/>
      <c r="V428" s="115"/>
      <c r="W428" s="116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5"/>
      <c r="BS428" s="115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  <c r="CJ428" s="115"/>
      <c r="CK428" s="115"/>
      <c r="CL428" s="115"/>
      <c r="CM428" s="115"/>
      <c r="CN428" s="115"/>
      <c r="CO428" s="115"/>
    </row>
    <row r="429" spans="1:93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  <c r="U429" s="115"/>
      <c r="V429" s="115"/>
      <c r="W429" s="116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5"/>
      <c r="BS429" s="115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  <c r="CJ429" s="115"/>
      <c r="CK429" s="115"/>
      <c r="CL429" s="115"/>
      <c r="CM429" s="115"/>
      <c r="CN429" s="115"/>
      <c r="CO429" s="115"/>
    </row>
    <row r="430" spans="1:93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  <c r="U430" s="115"/>
      <c r="V430" s="115"/>
      <c r="W430" s="116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5"/>
      <c r="BS430" s="115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  <c r="CJ430" s="115"/>
      <c r="CK430" s="115"/>
      <c r="CL430" s="115"/>
      <c r="CM430" s="115"/>
      <c r="CN430" s="115"/>
      <c r="CO430" s="115"/>
    </row>
    <row r="431" spans="1:93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  <c r="U431" s="115"/>
      <c r="V431" s="115"/>
      <c r="W431" s="116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5"/>
      <c r="BS431" s="115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  <c r="CJ431" s="115"/>
      <c r="CK431" s="115"/>
      <c r="CL431" s="115"/>
      <c r="CM431" s="115"/>
      <c r="CN431" s="115"/>
      <c r="CO431" s="115"/>
    </row>
    <row r="432" spans="1:93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  <c r="U432" s="115"/>
      <c r="V432" s="115"/>
      <c r="W432" s="116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5"/>
      <c r="BS432" s="115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  <c r="CJ432" s="115"/>
      <c r="CK432" s="115"/>
      <c r="CL432" s="115"/>
      <c r="CM432" s="115"/>
      <c r="CN432" s="115"/>
      <c r="CO432" s="115"/>
    </row>
    <row r="433" spans="1:93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  <c r="U433" s="115"/>
      <c r="V433" s="115"/>
      <c r="W433" s="116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5"/>
      <c r="BS433" s="115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  <c r="CJ433" s="115"/>
      <c r="CK433" s="115"/>
      <c r="CL433" s="115"/>
      <c r="CM433" s="115"/>
      <c r="CN433" s="115"/>
      <c r="CO433" s="115"/>
    </row>
    <row r="434" spans="1:93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  <c r="U434" s="115"/>
      <c r="V434" s="115"/>
      <c r="W434" s="116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5"/>
      <c r="BS434" s="115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5"/>
      <c r="CL434" s="115"/>
      <c r="CM434" s="115"/>
      <c r="CN434" s="115"/>
      <c r="CO434" s="115"/>
    </row>
    <row r="435" spans="1:93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  <c r="U435" s="115"/>
      <c r="V435" s="115"/>
      <c r="W435" s="116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5"/>
      <c r="BS435" s="115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  <c r="CJ435" s="115"/>
      <c r="CK435" s="115"/>
      <c r="CL435" s="115"/>
      <c r="CM435" s="115"/>
      <c r="CN435" s="115"/>
      <c r="CO435" s="115"/>
    </row>
    <row r="436" spans="1:93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  <c r="U436" s="115"/>
      <c r="V436" s="115"/>
      <c r="W436" s="116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5"/>
      <c r="BS436" s="115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  <c r="CJ436" s="115"/>
      <c r="CK436" s="115"/>
      <c r="CL436" s="115"/>
      <c r="CM436" s="115"/>
      <c r="CN436" s="115"/>
      <c r="CO436" s="115"/>
    </row>
    <row r="437" spans="1:93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  <c r="U437" s="115"/>
      <c r="V437" s="115"/>
      <c r="W437" s="116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</row>
    <row r="438" spans="1:93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  <c r="U438" s="115"/>
      <c r="V438" s="115"/>
      <c r="W438" s="116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</row>
    <row r="439" spans="1:93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  <c r="U439" s="115"/>
      <c r="V439" s="115"/>
      <c r="W439" s="116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</row>
    <row r="440" spans="1:93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  <c r="U440" s="115"/>
      <c r="V440" s="115"/>
      <c r="W440" s="116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5"/>
      <c r="BS440" s="115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  <c r="CJ440" s="115"/>
      <c r="CK440" s="115"/>
      <c r="CL440" s="115"/>
      <c r="CM440" s="115"/>
      <c r="CN440" s="115"/>
      <c r="CO440" s="115"/>
    </row>
    <row r="441" spans="1:93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  <c r="U441" s="115"/>
      <c r="V441" s="115"/>
      <c r="W441" s="116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5"/>
      <c r="BS441" s="115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  <c r="CJ441" s="115"/>
      <c r="CK441" s="115"/>
      <c r="CL441" s="115"/>
      <c r="CM441" s="115"/>
      <c r="CN441" s="115"/>
      <c r="CO441" s="115"/>
    </row>
    <row r="442" spans="1:93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  <c r="U442" s="115"/>
      <c r="V442" s="115"/>
      <c r="W442" s="116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5"/>
      <c r="BS442" s="115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  <c r="CJ442" s="115"/>
      <c r="CK442" s="115"/>
      <c r="CL442" s="115"/>
      <c r="CM442" s="115"/>
      <c r="CN442" s="115"/>
      <c r="CO442" s="115"/>
    </row>
    <row r="443" spans="1:93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  <c r="U443" s="115"/>
      <c r="V443" s="115"/>
      <c r="W443" s="116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5"/>
      <c r="BS443" s="115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  <c r="CJ443" s="115"/>
      <c r="CK443" s="115"/>
      <c r="CL443" s="115"/>
      <c r="CM443" s="115"/>
      <c r="CN443" s="115"/>
      <c r="CO443" s="115"/>
    </row>
    <row r="444" spans="1:93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  <c r="U444" s="115"/>
      <c r="V444" s="115"/>
      <c r="W444" s="116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  <c r="CJ444" s="115"/>
      <c r="CK444" s="115"/>
      <c r="CL444" s="115"/>
      <c r="CM444" s="115"/>
      <c r="CN444" s="115"/>
      <c r="CO444" s="115"/>
    </row>
    <row r="445" spans="1:93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  <c r="U445" s="115"/>
      <c r="V445" s="115"/>
      <c r="W445" s="116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5"/>
      <c r="BS445" s="115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  <c r="CJ445" s="115"/>
      <c r="CK445" s="115"/>
      <c r="CL445" s="115"/>
      <c r="CM445" s="115"/>
      <c r="CN445" s="115"/>
      <c r="CO445" s="115"/>
    </row>
    <row r="446" spans="1:93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  <c r="U446" s="115"/>
      <c r="V446" s="115"/>
      <c r="W446" s="116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5"/>
      <c r="BS446" s="115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</row>
    <row r="447" spans="1:93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  <c r="U447" s="115"/>
      <c r="V447" s="115"/>
      <c r="W447" s="116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5"/>
      <c r="BS447" s="115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  <c r="CJ447" s="115"/>
      <c r="CK447" s="115"/>
      <c r="CL447" s="115"/>
      <c r="CM447" s="115"/>
      <c r="CN447" s="115"/>
      <c r="CO447" s="115"/>
    </row>
    <row r="448" spans="1:93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  <c r="U448" s="115"/>
      <c r="V448" s="115"/>
      <c r="W448" s="116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5"/>
      <c r="BS448" s="115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  <c r="CJ448" s="115"/>
      <c r="CK448" s="115"/>
      <c r="CL448" s="115"/>
      <c r="CM448" s="115"/>
      <c r="CN448" s="115"/>
      <c r="CO448" s="115"/>
    </row>
    <row r="449" spans="1:93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  <c r="U449" s="115"/>
      <c r="V449" s="115"/>
      <c r="W449" s="116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5"/>
      <c r="BS449" s="115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  <c r="CJ449" s="115"/>
      <c r="CK449" s="115"/>
      <c r="CL449" s="115"/>
      <c r="CM449" s="115"/>
      <c r="CN449" s="115"/>
      <c r="CO449" s="115"/>
    </row>
    <row r="450" spans="1:93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  <c r="U450" s="115"/>
      <c r="V450" s="115"/>
      <c r="W450" s="116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5"/>
      <c r="BS450" s="115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  <c r="CJ450" s="115"/>
      <c r="CK450" s="115"/>
      <c r="CL450" s="115"/>
      <c r="CM450" s="115"/>
      <c r="CN450" s="115"/>
      <c r="CO450" s="115"/>
    </row>
    <row r="451" spans="1:93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  <c r="U451" s="115"/>
      <c r="V451" s="115"/>
      <c r="W451" s="116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5"/>
      <c r="BS451" s="115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  <c r="CJ451" s="115"/>
      <c r="CK451" s="115"/>
      <c r="CL451" s="115"/>
      <c r="CM451" s="115"/>
      <c r="CN451" s="115"/>
      <c r="CO451" s="115"/>
    </row>
    <row r="452" spans="1:93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  <c r="U452" s="115"/>
      <c r="V452" s="115"/>
      <c r="W452" s="116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5"/>
      <c r="BS452" s="115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  <c r="CJ452" s="115"/>
      <c r="CK452" s="115"/>
      <c r="CL452" s="115"/>
      <c r="CM452" s="115"/>
      <c r="CN452" s="115"/>
      <c r="CO452" s="115"/>
    </row>
    <row r="453" spans="1:93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  <c r="U453" s="115"/>
      <c r="V453" s="115"/>
      <c r="W453" s="116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5"/>
      <c r="BS453" s="115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  <c r="CJ453" s="115"/>
      <c r="CK453" s="115"/>
      <c r="CL453" s="115"/>
      <c r="CM453" s="115"/>
      <c r="CN453" s="115"/>
      <c r="CO453" s="115"/>
    </row>
    <row r="454" spans="1:93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  <c r="U454" s="115"/>
      <c r="V454" s="115"/>
      <c r="W454" s="116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5"/>
      <c r="BS454" s="115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  <c r="CJ454" s="115"/>
      <c r="CK454" s="115"/>
      <c r="CL454" s="115"/>
      <c r="CM454" s="115"/>
      <c r="CN454" s="115"/>
      <c r="CO454" s="115"/>
    </row>
    <row r="455" spans="1:93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  <c r="U455" s="115"/>
      <c r="V455" s="115"/>
      <c r="W455" s="116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5"/>
      <c r="BS455" s="115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  <c r="CJ455" s="115"/>
      <c r="CK455" s="115"/>
      <c r="CL455" s="115"/>
      <c r="CM455" s="115"/>
      <c r="CN455" s="115"/>
      <c r="CO455" s="115"/>
    </row>
    <row r="456" spans="1:93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  <c r="U456" s="115"/>
      <c r="V456" s="115"/>
      <c r="W456" s="116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5"/>
      <c r="BS456" s="115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</row>
    <row r="457" spans="1:93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  <c r="U457" s="115"/>
      <c r="V457" s="115"/>
      <c r="W457" s="116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5"/>
      <c r="BS457" s="115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  <c r="CJ457" s="115"/>
      <c r="CK457" s="115"/>
      <c r="CL457" s="115"/>
      <c r="CM457" s="115"/>
      <c r="CN457" s="115"/>
      <c r="CO457" s="115"/>
    </row>
    <row r="458" spans="1:93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  <c r="U458" s="115"/>
      <c r="V458" s="115"/>
      <c r="W458" s="116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5"/>
      <c r="BS458" s="115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  <c r="CJ458" s="115"/>
      <c r="CK458" s="115"/>
      <c r="CL458" s="115"/>
      <c r="CM458" s="115"/>
      <c r="CN458" s="115"/>
      <c r="CO458" s="115"/>
    </row>
    <row r="459" spans="1:93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  <c r="U459" s="115"/>
      <c r="V459" s="115"/>
      <c r="W459" s="116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5"/>
      <c r="BS459" s="115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  <c r="CJ459" s="115"/>
      <c r="CK459" s="115"/>
      <c r="CL459" s="115"/>
      <c r="CM459" s="115"/>
      <c r="CN459" s="115"/>
      <c r="CO459" s="115"/>
    </row>
    <row r="460" spans="1:93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  <c r="U460" s="115"/>
      <c r="V460" s="115"/>
      <c r="W460" s="116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</row>
    <row r="461" spans="1:93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  <c r="U461" s="115"/>
      <c r="V461" s="115"/>
      <c r="W461" s="116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5"/>
      <c r="BS461" s="115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  <c r="CJ461" s="115"/>
      <c r="CK461" s="115"/>
      <c r="CL461" s="115"/>
      <c r="CM461" s="115"/>
      <c r="CN461" s="115"/>
      <c r="CO461" s="115"/>
    </row>
    <row r="462" spans="1:93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  <c r="U462" s="115"/>
      <c r="V462" s="115"/>
      <c r="W462" s="116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5"/>
      <c r="BS462" s="115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  <c r="CJ462" s="115"/>
      <c r="CK462" s="115"/>
      <c r="CL462" s="115"/>
      <c r="CM462" s="115"/>
      <c r="CN462" s="115"/>
      <c r="CO462" s="115"/>
    </row>
    <row r="463" spans="1:93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  <c r="U463" s="115"/>
      <c r="V463" s="115"/>
      <c r="W463" s="116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</row>
    <row r="464" spans="1:93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  <c r="U464" s="115"/>
      <c r="V464" s="115"/>
      <c r="W464" s="116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</row>
    <row r="465" spans="1:93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  <c r="U465" s="115"/>
      <c r="V465" s="115"/>
      <c r="W465" s="116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</row>
    <row r="466" spans="1:93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  <c r="U466" s="115"/>
      <c r="V466" s="115"/>
      <c r="W466" s="116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</row>
    <row r="467" spans="1:93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  <c r="U467" s="115"/>
      <c r="V467" s="115"/>
      <c r="W467" s="116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</row>
    <row r="468" spans="1:93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  <c r="U468" s="115"/>
      <c r="V468" s="115"/>
      <c r="W468" s="116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</row>
    <row r="469" spans="1:93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  <c r="U469" s="115"/>
      <c r="V469" s="115"/>
      <c r="W469" s="116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  <c r="BN469" s="115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</row>
    <row r="470" spans="1:93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  <c r="U470" s="115"/>
      <c r="V470" s="115"/>
      <c r="W470" s="116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</row>
    <row r="471" spans="1:93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  <c r="U471" s="115"/>
      <c r="V471" s="115"/>
      <c r="W471" s="116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</row>
    <row r="472" spans="1:93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  <c r="U472" s="115"/>
      <c r="V472" s="115"/>
      <c r="W472" s="116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  <c r="BN472" s="115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</row>
    <row r="473" spans="1:93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  <c r="U473" s="115"/>
      <c r="V473" s="115"/>
      <c r="W473" s="116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  <c r="BN473" s="115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</row>
    <row r="474" spans="1:93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  <c r="U474" s="115"/>
      <c r="V474" s="115"/>
      <c r="W474" s="116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  <c r="BN474" s="115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</row>
    <row r="475" spans="1:93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  <c r="U475" s="115"/>
      <c r="V475" s="115"/>
      <c r="W475" s="116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  <c r="BN475" s="115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</row>
    <row r="476" spans="1:93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  <c r="U476" s="115"/>
      <c r="V476" s="115"/>
      <c r="W476" s="116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  <c r="BN476" s="115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</row>
    <row r="477" spans="1:93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  <c r="U477" s="115"/>
      <c r="V477" s="115"/>
      <c r="W477" s="116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  <c r="BN477" s="115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</row>
    <row r="478" spans="1:93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  <c r="U478" s="115"/>
      <c r="V478" s="115"/>
      <c r="W478" s="116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</row>
    <row r="479" spans="1:93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  <c r="U479" s="115"/>
      <c r="V479" s="115"/>
      <c r="W479" s="116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  <c r="BN479" s="115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</row>
    <row r="480" spans="1:93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  <c r="U480" s="115"/>
      <c r="V480" s="115"/>
      <c r="W480" s="116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  <c r="BN480" s="115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</row>
    <row r="481" spans="1:93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  <c r="U481" s="115"/>
      <c r="V481" s="115"/>
      <c r="W481" s="116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  <c r="BN481" s="115"/>
      <c r="BO481" s="115"/>
      <c r="BP481" s="115"/>
      <c r="BQ481" s="115"/>
      <c r="BR481" s="115"/>
      <c r="BS481" s="115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  <c r="CJ481" s="115"/>
      <c r="CK481" s="115"/>
      <c r="CL481" s="115"/>
      <c r="CM481" s="115"/>
      <c r="CN481" s="115"/>
      <c r="CO481" s="115"/>
    </row>
    <row r="482" spans="1:93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  <c r="U482" s="115"/>
      <c r="V482" s="115"/>
      <c r="W482" s="116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  <c r="BN482" s="115"/>
      <c r="BO482" s="115"/>
      <c r="BP482" s="115"/>
      <c r="BQ482" s="115"/>
      <c r="BR482" s="115"/>
      <c r="BS482" s="115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  <c r="CJ482" s="115"/>
      <c r="CK482" s="115"/>
      <c r="CL482" s="115"/>
      <c r="CM482" s="115"/>
      <c r="CN482" s="115"/>
      <c r="CO482" s="115"/>
    </row>
    <row r="483" spans="1:93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  <c r="U483" s="115"/>
      <c r="V483" s="115"/>
      <c r="W483" s="116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  <c r="BN483" s="115"/>
      <c r="BO483" s="115"/>
      <c r="BP483" s="115"/>
      <c r="BQ483" s="115"/>
      <c r="BR483" s="115"/>
      <c r="BS483" s="115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  <c r="CJ483" s="115"/>
      <c r="CK483" s="115"/>
      <c r="CL483" s="115"/>
      <c r="CM483" s="115"/>
      <c r="CN483" s="115"/>
      <c r="CO483" s="115"/>
    </row>
    <row r="484" spans="1:93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  <c r="U484" s="115"/>
      <c r="V484" s="115"/>
      <c r="W484" s="116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  <c r="BN484" s="115"/>
      <c r="BO484" s="115"/>
      <c r="BP484" s="115"/>
      <c r="BQ484" s="115"/>
      <c r="BR484" s="115"/>
      <c r="BS484" s="115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  <c r="CJ484" s="115"/>
      <c r="CK484" s="115"/>
      <c r="CL484" s="115"/>
      <c r="CM484" s="115"/>
      <c r="CN484" s="115"/>
      <c r="CO484" s="115"/>
    </row>
    <row r="485" spans="1:93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  <c r="U485" s="115"/>
      <c r="V485" s="115"/>
      <c r="W485" s="116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  <c r="BN485" s="115"/>
      <c r="BO485" s="115"/>
      <c r="BP485" s="115"/>
      <c r="BQ485" s="115"/>
      <c r="BR485" s="115"/>
      <c r="BS485" s="115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  <c r="CJ485" s="115"/>
      <c r="CK485" s="115"/>
      <c r="CL485" s="115"/>
      <c r="CM485" s="115"/>
      <c r="CN485" s="115"/>
      <c r="CO485" s="115"/>
    </row>
    <row r="486" spans="1:93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  <c r="U486" s="115"/>
      <c r="V486" s="115"/>
      <c r="W486" s="116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  <c r="BN486" s="115"/>
      <c r="BO486" s="115"/>
      <c r="BP486" s="115"/>
      <c r="BQ486" s="115"/>
      <c r="BR486" s="115"/>
      <c r="BS486" s="115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  <c r="CJ486" s="115"/>
      <c r="CK486" s="115"/>
      <c r="CL486" s="115"/>
      <c r="CM486" s="115"/>
      <c r="CN486" s="115"/>
      <c r="CO486" s="115"/>
    </row>
    <row r="487" spans="1:93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  <c r="U487" s="115"/>
      <c r="V487" s="115"/>
      <c r="W487" s="116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  <c r="BN487" s="115"/>
      <c r="BO487" s="115"/>
      <c r="BP487" s="115"/>
      <c r="BQ487" s="115"/>
      <c r="BR487" s="115"/>
      <c r="BS487" s="115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  <c r="CJ487" s="115"/>
      <c r="CK487" s="115"/>
      <c r="CL487" s="115"/>
      <c r="CM487" s="115"/>
      <c r="CN487" s="115"/>
      <c r="CO487" s="115"/>
    </row>
    <row r="488" spans="1:93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  <c r="U488" s="115"/>
      <c r="V488" s="115"/>
      <c r="W488" s="116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</row>
    <row r="489" spans="1:93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  <c r="U489" s="115"/>
      <c r="V489" s="115"/>
      <c r="W489" s="116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</row>
    <row r="490" spans="1:93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  <c r="U490" s="115"/>
      <c r="V490" s="115"/>
      <c r="W490" s="116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</row>
    <row r="491" spans="1:93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  <c r="U491" s="115"/>
      <c r="V491" s="115"/>
      <c r="W491" s="116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  <c r="BN491" s="115"/>
      <c r="BO491" s="115"/>
      <c r="BP491" s="115"/>
      <c r="BQ491" s="115"/>
      <c r="BR491" s="115"/>
      <c r="BS491" s="115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  <c r="CJ491" s="115"/>
      <c r="CK491" s="115"/>
      <c r="CL491" s="115"/>
      <c r="CM491" s="115"/>
      <c r="CN491" s="115"/>
      <c r="CO491" s="115"/>
    </row>
    <row r="492" spans="1:93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  <c r="U492" s="115"/>
      <c r="V492" s="115"/>
      <c r="W492" s="116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  <c r="BN492" s="115"/>
      <c r="BO492" s="115"/>
      <c r="BP492" s="115"/>
      <c r="BQ492" s="115"/>
      <c r="BR492" s="115"/>
      <c r="BS492" s="115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  <c r="CJ492" s="115"/>
      <c r="CK492" s="115"/>
      <c r="CL492" s="115"/>
      <c r="CM492" s="115"/>
      <c r="CN492" s="115"/>
      <c r="CO492" s="115"/>
    </row>
    <row r="493" spans="1:93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  <c r="U493" s="115"/>
      <c r="V493" s="115"/>
      <c r="W493" s="116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  <c r="BN493" s="115"/>
      <c r="BO493" s="115"/>
      <c r="BP493" s="115"/>
      <c r="BQ493" s="115"/>
      <c r="BR493" s="115"/>
      <c r="BS493" s="115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  <c r="CJ493" s="115"/>
      <c r="CK493" s="115"/>
      <c r="CL493" s="115"/>
      <c r="CM493" s="115"/>
      <c r="CN493" s="115"/>
      <c r="CO493" s="115"/>
    </row>
    <row r="494" spans="1:93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  <c r="U494" s="115"/>
      <c r="V494" s="115"/>
      <c r="W494" s="116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  <c r="BN494" s="115"/>
      <c r="BO494" s="115"/>
      <c r="BP494" s="115"/>
      <c r="BQ494" s="115"/>
      <c r="BR494" s="115"/>
      <c r="BS494" s="115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  <c r="CJ494" s="115"/>
      <c r="CK494" s="115"/>
      <c r="CL494" s="115"/>
      <c r="CM494" s="115"/>
      <c r="CN494" s="115"/>
      <c r="CO494" s="115"/>
    </row>
    <row r="495" spans="1:93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  <c r="U495" s="115"/>
      <c r="V495" s="115"/>
      <c r="W495" s="116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  <c r="BN495" s="115"/>
      <c r="BO495" s="115"/>
      <c r="BP495" s="115"/>
      <c r="BQ495" s="115"/>
      <c r="BR495" s="115"/>
      <c r="BS495" s="115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  <c r="CJ495" s="115"/>
      <c r="CK495" s="115"/>
      <c r="CL495" s="115"/>
      <c r="CM495" s="115"/>
      <c r="CN495" s="115"/>
      <c r="CO495" s="115"/>
    </row>
    <row r="496" spans="1:93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  <c r="U496" s="115"/>
      <c r="V496" s="115"/>
      <c r="W496" s="116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</row>
    <row r="497" spans="1:93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  <c r="U497" s="115"/>
      <c r="V497" s="115"/>
      <c r="W497" s="116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</row>
    <row r="498" spans="1:93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  <c r="U498" s="115"/>
      <c r="V498" s="115"/>
      <c r="W498" s="116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  <c r="BN498" s="115"/>
      <c r="BO498" s="115"/>
      <c r="BP498" s="115"/>
      <c r="BQ498" s="115"/>
      <c r="BR498" s="115"/>
      <c r="BS498" s="115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  <c r="CJ498" s="115"/>
      <c r="CK498" s="115"/>
      <c r="CL498" s="115"/>
      <c r="CM498" s="115"/>
      <c r="CN498" s="115"/>
      <c r="CO498" s="115"/>
    </row>
    <row r="499" spans="1:93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  <c r="U499" s="115"/>
      <c r="V499" s="115"/>
      <c r="W499" s="116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  <c r="BN499" s="115"/>
      <c r="BO499" s="115"/>
      <c r="BP499" s="115"/>
      <c r="BQ499" s="115"/>
      <c r="BR499" s="115"/>
      <c r="BS499" s="115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  <c r="CJ499" s="115"/>
      <c r="CK499" s="115"/>
      <c r="CL499" s="115"/>
      <c r="CM499" s="115"/>
      <c r="CN499" s="115"/>
      <c r="CO499" s="115"/>
    </row>
    <row r="500" spans="1:93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  <c r="U500" s="115"/>
      <c r="V500" s="115"/>
      <c r="W500" s="116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  <c r="BN500" s="115"/>
      <c r="BO500" s="115"/>
      <c r="BP500" s="115"/>
      <c r="BQ500" s="115"/>
      <c r="BR500" s="115"/>
      <c r="BS500" s="115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  <c r="CJ500" s="115"/>
      <c r="CK500" s="115"/>
      <c r="CL500" s="115"/>
      <c r="CM500" s="115"/>
      <c r="CN500" s="115"/>
      <c r="CO500" s="115"/>
    </row>
    <row r="501" spans="1:93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  <c r="U501" s="115"/>
      <c r="V501" s="115"/>
      <c r="W501" s="116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</row>
    <row r="502" spans="1:93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  <c r="U502" s="115"/>
      <c r="V502" s="115"/>
      <c r="W502" s="116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</row>
    <row r="503" spans="1:93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  <c r="U503" s="115"/>
      <c r="V503" s="115"/>
      <c r="W503" s="116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</row>
    <row r="504" spans="1:93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  <c r="U504" s="115"/>
      <c r="V504" s="115"/>
      <c r="W504" s="116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</row>
    <row r="505" spans="1:93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  <c r="U505" s="115"/>
      <c r="V505" s="115"/>
      <c r="W505" s="116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</row>
    <row r="506" spans="1:93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  <c r="U506" s="115"/>
      <c r="V506" s="115"/>
      <c r="W506" s="116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  <c r="CJ506" s="115"/>
      <c r="CK506" s="115"/>
      <c r="CL506" s="115"/>
      <c r="CM506" s="115"/>
      <c r="CN506" s="115"/>
      <c r="CO506" s="115"/>
    </row>
    <row r="507" spans="1:93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  <c r="U507" s="115"/>
      <c r="V507" s="115"/>
      <c r="W507" s="116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</row>
    <row r="508" spans="1:93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  <c r="U508" s="115"/>
      <c r="V508" s="115"/>
      <c r="W508" s="116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</row>
    <row r="509" spans="1:93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  <c r="U509" s="115"/>
      <c r="V509" s="115"/>
      <c r="W509" s="116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</row>
    <row r="510" spans="1:93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  <c r="U510" s="115"/>
      <c r="V510" s="115"/>
      <c r="W510" s="116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  <c r="BN510" s="115"/>
      <c r="BO510" s="115"/>
      <c r="BP510" s="115"/>
      <c r="BQ510" s="115"/>
      <c r="BR510" s="115"/>
      <c r="BS510" s="115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  <c r="CJ510" s="115"/>
      <c r="CK510" s="115"/>
      <c r="CL510" s="115"/>
      <c r="CM510" s="115"/>
      <c r="CN510" s="115"/>
      <c r="CO510" s="115"/>
    </row>
    <row r="511" spans="1:93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  <c r="U511" s="115"/>
      <c r="V511" s="115"/>
      <c r="W511" s="116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  <c r="BN511" s="115"/>
      <c r="BO511" s="115"/>
      <c r="BP511" s="115"/>
      <c r="BQ511" s="115"/>
      <c r="BR511" s="115"/>
      <c r="BS511" s="115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  <c r="CJ511" s="115"/>
      <c r="CK511" s="115"/>
      <c r="CL511" s="115"/>
      <c r="CM511" s="115"/>
      <c r="CN511" s="115"/>
      <c r="CO511" s="115"/>
    </row>
    <row r="512" spans="1:93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  <c r="U512" s="115"/>
      <c r="V512" s="115"/>
      <c r="W512" s="116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  <c r="BN512" s="115"/>
      <c r="BO512" s="115"/>
      <c r="BP512" s="115"/>
      <c r="BQ512" s="115"/>
      <c r="BR512" s="115"/>
      <c r="BS512" s="115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  <c r="CJ512" s="115"/>
      <c r="CK512" s="115"/>
      <c r="CL512" s="115"/>
      <c r="CM512" s="115"/>
      <c r="CN512" s="115"/>
      <c r="CO512" s="115"/>
    </row>
    <row r="513" spans="1:93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  <c r="U513" s="115"/>
      <c r="V513" s="115"/>
      <c r="W513" s="116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  <c r="BN513" s="115"/>
      <c r="BO513" s="115"/>
      <c r="BP513" s="115"/>
      <c r="BQ513" s="115"/>
      <c r="BR513" s="115"/>
      <c r="BS513" s="115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  <c r="CJ513" s="115"/>
      <c r="CK513" s="115"/>
      <c r="CL513" s="115"/>
      <c r="CM513" s="115"/>
      <c r="CN513" s="115"/>
      <c r="CO513" s="115"/>
    </row>
    <row r="514" spans="1:93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  <c r="U514" s="115"/>
      <c r="V514" s="115"/>
      <c r="W514" s="116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  <c r="BN514" s="115"/>
      <c r="BO514" s="115"/>
      <c r="BP514" s="115"/>
      <c r="BQ514" s="115"/>
      <c r="BR514" s="115"/>
      <c r="BS514" s="115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  <c r="CJ514" s="115"/>
      <c r="CK514" s="115"/>
      <c r="CL514" s="115"/>
      <c r="CM514" s="115"/>
      <c r="CN514" s="115"/>
      <c r="CO514" s="115"/>
    </row>
    <row r="515" spans="1:93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  <c r="U515" s="115"/>
      <c r="V515" s="115"/>
      <c r="W515" s="116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  <c r="BN515" s="115"/>
      <c r="BO515" s="115"/>
      <c r="BP515" s="115"/>
      <c r="BQ515" s="115"/>
      <c r="BR515" s="115"/>
      <c r="BS515" s="115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  <c r="CJ515" s="115"/>
      <c r="CK515" s="115"/>
      <c r="CL515" s="115"/>
      <c r="CM515" s="115"/>
      <c r="CN515" s="115"/>
      <c r="CO515" s="115"/>
    </row>
    <row r="516" spans="1:93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  <c r="U516" s="115"/>
      <c r="V516" s="115"/>
      <c r="W516" s="116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</row>
    <row r="517" spans="1:93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  <c r="U517" s="115"/>
      <c r="V517" s="115"/>
      <c r="W517" s="116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15"/>
      <c r="BR517" s="115"/>
      <c r="BS517" s="115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  <c r="CJ517" s="115"/>
      <c r="CK517" s="115"/>
      <c r="CL517" s="115"/>
      <c r="CM517" s="115"/>
      <c r="CN517" s="115"/>
      <c r="CO517" s="115"/>
    </row>
    <row r="518" spans="1:93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  <c r="U518" s="115"/>
      <c r="V518" s="115"/>
      <c r="W518" s="116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</row>
    <row r="519" spans="1:93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  <c r="U519" s="115"/>
      <c r="V519" s="115"/>
      <c r="W519" s="116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</row>
    <row r="520" spans="1:93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  <c r="U520" s="115"/>
      <c r="V520" s="115"/>
      <c r="W520" s="116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</row>
    <row r="521" spans="1:93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  <c r="U521" s="115"/>
      <c r="V521" s="115"/>
      <c r="W521" s="116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</row>
    <row r="522" spans="1:93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  <c r="U522" s="115"/>
      <c r="V522" s="115"/>
      <c r="W522" s="116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  <c r="BN522" s="115"/>
      <c r="BO522" s="115"/>
      <c r="BP522" s="115"/>
      <c r="BQ522" s="115"/>
      <c r="BR522" s="115"/>
      <c r="BS522" s="115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  <c r="CJ522" s="115"/>
      <c r="CK522" s="115"/>
      <c r="CL522" s="115"/>
      <c r="CM522" s="115"/>
      <c r="CN522" s="115"/>
      <c r="CO522" s="115"/>
    </row>
    <row r="523" spans="1:93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  <c r="U523" s="115"/>
      <c r="V523" s="115"/>
      <c r="W523" s="116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  <c r="BN523" s="115"/>
      <c r="BO523" s="115"/>
      <c r="BP523" s="115"/>
      <c r="BQ523" s="115"/>
      <c r="BR523" s="115"/>
      <c r="BS523" s="115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  <c r="CJ523" s="115"/>
      <c r="CK523" s="115"/>
      <c r="CL523" s="115"/>
      <c r="CM523" s="115"/>
      <c r="CN523" s="115"/>
      <c r="CO523" s="115"/>
    </row>
    <row r="524" spans="1:93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  <c r="U524" s="115"/>
      <c r="V524" s="115"/>
      <c r="W524" s="116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  <c r="BN524" s="115"/>
      <c r="BO524" s="115"/>
      <c r="BP524" s="115"/>
      <c r="BQ524" s="115"/>
      <c r="BR524" s="115"/>
      <c r="BS524" s="115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  <c r="CJ524" s="115"/>
      <c r="CK524" s="115"/>
      <c r="CL524" s="115"/>
      <c r="CM524" s="115"/>
      <c r="CN524" s="115"/>
      <c r="CO524" s="115"/>
    </row>
    <row r="525" spans="1:93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  <c r="U525" s="115"/>
      <c r="V525" s="115"/>
      <c r="W525" s="116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  <c r="BN525" s="115"/>
      <c r="BO525" s="115"/>
      <c r="BP525" s="115"/>
      <c r="BQ525" s="115"/>
      <c r="BR525" s="115"/>
      <c r="BS525" s="115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  <c r="CJ525" s="115"/>
      <c r="CK525" s="115"/>
      <c r="CL525" s="115"/>
      <c r="CM525" s="115"/>
      <c r="CN525" s="115"/>
      <c r="CO525" s="115"/>
    </row>
    <row r="526" spans="1:93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  <c r="U526" s="115"/>
      <c r="V526" s="115"/>
      <c r="W526" s="116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  <c r="BN526" s="115"/>
      <c r="BO526" s="115"/>
      <c r="BP526" s="115"/>
      <c r="BQ526" s="115"/>
      <c r="BR526" s="115"/>
      <c r="BS526" s="115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  <c r="CJ526" s="115"/>
      <c r="CK526" s="115"/>
      <c r="CL526" s="115"/>
      <c r="CM526" s="115"/>
      <c r="CN526" s="115"/>
      <c r="CO526" s="115"/>
    </row>
    <row r="527" spans="1:93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  <c r="U527" s="115"/>
      <c r="V527" s="115"/>
      <c r="W527" s="116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  <c r="BN527" s="115"/>
      <c r="BO527" s="115"/>
      <c r="BP527" s="115"/>
      <c r="BQ527" s="115"/>
      <c r="BR527" s="115"/>
      <c r="BS527" s="115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  <c r="CJ527" s="115"/>
      <c r="CK527" s="115"/>
      <c r="CL527" s="115"/>
      <c r="CM527" s="115"/>
      <c r="CN527" s="115"/>
      <c r="CO527" s="115"/>
    </row>
    <row r="528" spans="1:93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  <c r="U528" s="115"/>
      <c r="V528" s="115"/>
      <c r="W528" s="116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  <c r="BN528" s="115"/>
      <c r="BO528" s="115"/>
      <c r="BP528" s="115"/>
      <c r="BQ528" s="115"/>
      <c r="BR528" s="115"/>
      <c r="BS528" s="115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  <c r="CJ528" s="115"/>
      <c r="CK528" s="115"/>
      <c r="CL528" s="115"/>
      <c r="CM528" s="115"/>
      <c r="CN528" s="115"/>
      <c r="CO528" s="115"/>
    </row>
    <row r="529" spans="1:93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  <c r="U529" s="115"/>
      <c r="V529" s="115"/>
      <c r="W529" s="116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  <c r="BN529" s="115"/>
      <c r="BO529" s="115"/>
      <c r="BP529" s="115"/>
      <c r="BQ529" s="115"/>
      <c r="BR529" s="115"/>
      <c r="BS529" s="115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  <c r="CJ529" s="115"/>
      <c r="CK529" s="115"/>
      <c r="CL529" s="115"/>
      <c r="CM529" s="115"/>
      <c r="CN529" s="115"/>
      <c r="CO529" s="115"/>
    </row>
    <row r="530" spans="1:93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  <c r="U530" s="115"/>
      <c r="V530" s="115"/>
      <c r="W530" s="116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  <c r="BN530" s="115"/>
      <c r="BO530" s="115"/>
      <c r="BP530" s="115"/>
      <c r="BQ530" s="115"/>
      <c r="BR530" s="115"/>
      <c r="BS530" s="115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  <c r="CJ530" s="115"/>
      <c r="CK530" s="115"/>
      <c r="CL530" s="115"/>
      <c r="CM530" s="115"/>
      <c r="CN530" s="115"/>
      <c r="CO530" s="115"/>
    </row>
    <row r="531" spans="1:93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  <c r="U531" s="115"/>
      <c r="V531" s="115"/>
      <c r="W531" s="116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  <c r="BN531" s="115"/>
      <c r="BO531" s="115"/>
      <c r="BP531" s="115"/>
      <c r="BQ531" s="115"/>
      <c r="BR531" s="115"/>
      <c r="BS531" s="115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  <c r="CJ531" s="115"/>
      <c r="CK531" s="115"/>
      <c r="CL531" s="115"/>
      <c r="CM531" s="115"/>
      <c r="CN531" s="115"/>
      <c r="CO531" s="115"/>
    </row>
    <row r="532" spans="1:93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  <c r="U532" s="115"/>
      <c r="V532" s="115"/>
      <c r="W532" s="116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</row>
    <row r="533" spans="1:93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  <c r="U533" s="115"/>
      <c r="V533" s="115"/>
      <c r="W533" s="116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  <c r="BN533" s="115"/>
      <c r="BO533" s="115"/>
      <c r="BP533" s="115"/>
      <c r="BQ533" s="115"/>
      <c r="BR533" s="115"/>
      <c r="BS533" s="115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  <c r="CJ533" s="115"/>
      <c r="CK533" s="115"/>
      <c r="CL533" s="115"/>
      <c r="CM533" s="115"/>
      <c r="CN533" s="115"/>
      <c r="CO533" s="115"/>
    </row>
    <row r="534" spans="1:93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  <c r="U534" s="115"/>
      <c r="V534" s="115"/>
      <c r="W534" s="116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  <c r="BN534" s="115"/>
      <c r="BO534" s="115"/>
      <c r="BP534" s="115"/>
      <c r="BQ534" s="115"/>
      <c r="BR534" s="115"/>
      <c r="BS534" s="115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  <c r="CJ534" s="115"/>
      <c r="CK534" s="115"/>
      <c r="CL534" s="115"/>
      <c r="CM534" s="115"/>
      <c r="CN534" s="115"/>
      <c r="CO534" s="115"/>
    </row>
    <row r="535" spans="1:93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  <c r="U535" s="115"/>
      <c r="V535" s="115"/>
      <c r="W535" s="116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  <c r="BN535" s="115"/>
      <c r="BO535" s="115"/>
      <c r="BP535" s="115"/>
      <c r="BQ535" s="115"/>
      <c r="BR535" s="115"/>
      <c r="BS535" s="115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  <c r="CJ535" s="115"/>
      <c r="CK535" s="115"/>
      <c r="CL535" s="115"/>
      <c r="CM535" s="115"/>
      <c r="CN535" s="115"/>
      <c r="CO535" s="115"/>
    </row>
    <row r="536" spans="1:93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  <c r="U536" s="115"/>
      <c r="V536" s="115"/>
      <c r="W536" s="116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  <c r="BN536" s="115"/>
      <c r="BO536" s="115"/>
      <c r="BP536" s="115"/>
      <c r="BQ536" s="115"/>
      <c r="BR536" s="115"/>
      <c r="BS536" s="115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  <c r="CJ536" s="115"/>
      <c r="CK536" s="115"/>
      <c r="CL536" s="115"/>
      <c r="CM536" s="115"/>
      <c r="CN536" s="115"/>
      <c r="CO536" s="115"/>
    </row>
    <row r="537" spans="1:93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  <c r="U537" s="115"/>
      <c r="V537" s="115"/>
      <c r="W537" s="116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  <c r="BN537" s="115"/>
      <c r="BO537" s="115"/>
      <c r="BP537" s="115"/>
      <c r="BQ537" s="115"/>
      <c r="BR537" s="115"/>
      <c r="BS537" s="115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  <c r="CJ537" s="115"/>
      <c r="CK537" s="115"/>
      <c r="CL537" s="115"/>
      <c r="CM537" s="115"/>
      <c r="CN537" s="115"/>
      <c r="CO537" s="115"/>
    </row>
    <row r="538" spans="1:93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  <c r="U538" s="115"/>
      <c r="V538" s="115"/>
      <c r="W538" s="116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  <c r="BN538" s="115"/>
      <c r="BO538" s="115"/>
      <c r="BP538" s="115"/>
      <c r="BQ538" s="115"/>
      <c r="BR538" s="115"/>
      <c r="BS538" s="115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  <c r="CJ538" s="115"/>
      <c r="CK538" s="115"/>
      <c r="CL538" s="115"/>
      <c r="CM538" s="115"/>
      <c r="CN538" s="115"/>
      <c r="CO538" s="115"/>
    </row>
    <row r="539" spans="1:93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  <c r="U539" s="115"/>
      <c r="V539" s="115"/>
      <c r="W539" s="116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</row>
    <row r="540" spans="1:93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  <c r="U540" s="115"/>
      <c r="V540" s="115"/>
      <c r="W540" s="116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</row>
    <row r="541" spans="1:93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  <c r="U541" s="115"/>
      <c r="V541" s="115"/>
      <c r="W541" s="116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</row>
    <row r="542" spans="1:93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  <c r="U542" s="115"/>
      <c r="V542" s="115"/>
      <c r="W542" s="116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  <c r="BN542" s="115"/>
      <c r="BO542" s="115"/>
      <c r="BP542" s="115"/>
      <c r="BQ542" s="115"/>
      <c r="BR542" s="115"/>
      <c r="BS542" s="115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  <c r="CJ542" s="115"/>
      <c r="CK542" s="115"/>
      <c r="CL542" s="115"/>
      <c r="CM542" s="115"/>
      <c r="CN542" s="115"/>
      <c r="CO542" s="115"/>
    </row>
    <row r="543" spans="1:93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  <c r="U543" s="115"/>
      <c r="V543" s="115"/>
      <c r="W543" s="116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</row>
    <row r="544" spans="1:93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  <c r="U544" s="115"/>
      <c r="V544" s="115"/>
      <c r="W544" s="116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  <c r="BN544" s="115"/>
      <c r="BO544" s="115"/>
      <c r="BP544" s="115"/>
      <c r="BQ544" s="115"/>
      <c r="BR544" s="115"/>
      <c r="BS544" s="115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  <c r="CJ544" s="115"/>
      <c r="CK544" s="115"/>
      <c r="CL544" s="115"/>
      <c r="CM544" s="115"/>
      <c r="CN544" s="115"/>
      <c r="CO544" s="115"/>
    </row>
    <row r="545" spans="1:93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  <c r="U545" s="115"/>
      <c r="V545" s="115"/>
      <c r="W545" s="116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  <c r="BN545" s="115"/>
      <c r="BO545" s="115"/>
      <c r="BP545" s="115"/>
      <c r="BQ545" s="115"/>
      <c r="BR545" s="115"/>
      <c r="BS545" s="115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  <c r="CJ545" s="115"/>
      <c r="CK545" s="115"/>
      <c r="CL545" s="115"/>
      <c r="CM545" s="115"/>
      <c r="CN545" s="115"/>
      <c r="CO545" s="115"/>
    </row>
    <row r="546" spans="1:93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  <c r="U546" s="115"/>
      <c r="V546" s="115"/>
      <c r="W546" s="116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</row>
    <row r="547" spans="1:93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  <c r="U547" s="115"/>
      <c r="V547" s="115"/>
      <c r="W547" s="116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</row>
    <row r="548" spans="1:93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  <c r="U548" s="115"/>
      <c r="V548" s="115"/>
      <c r="W548" s="116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  <c r="BN548" s="115"/>
      <c r="BO548" s="115"/>
      <c r="BP548" s="115"/>
      <c r="BQ548" s="115"/>
      <c r="BR548" s="115"/>
      <c r="BS548" s="115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  <c r="CJ548" s="115"/>
      <c r="CK548" s="115"/>
      <c r="CL548" s="115"/>
      <c r="CM548" s="115"/>
      <c r="CN548" s="115"/>
      <c r="CO548" s="115"/>
    </row>
    <row r="549" spans="1:93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  <c r="U549" s="115"/>
      <c r="V549" s="115"/>
      <c r="W549" s="116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  <c r="BN549" s="115"/>
      <c r="BO549" s="115"/>
      <c r="BP549" s="115"/>
      <c r="BQ549" s="115"/>
      <c r="BR549" s="115"/>
      <c r="BS549" s="115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  <c r="CJ549" s="115"/>
      <c r="CK549" s="115"/>
      <c r="CL549" s="115"/>
      <c r="CM549" s="115"/>
      <c r="CN549" s="115"/>
      <c r="CO549" s="115"/>
    </row>
    <row r="550" spans="1:93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  <c r="U550" s="115"/>
      <c r="V550" s="115"/>
      <c r="W550" s="116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  <c r="BN550" s="115"/>
      <c r="BO550" s="115"/>
      <c r="BP550" s="115"/>
      <c r="BQ550" s="115"/>
      <c r="BR550" s="115"/>
      <c r="BS550" s="115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  <c r="CJ550" s="115"/>
      <c r="CK550" s="115"/>
      <c r="CL550" s="115"/>
      <c r="CM550" s="115"/>
      <c r="CN550" s="115"/>
      <c r="CO550" s="115"/>
    </row>
    <row r="551" spans="1:93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  <c r="U551" s="115"/>
      <c r="V551" s="115"/>
      <c r="W551" s="116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  <c r="BN551" s="115"/>
      <c r="BO551" s="115"/>
      <c r="BP551" s="115"/>
      <c r="BQ551" s="115"/>
      <c r="BR551" s="115"/>
      <c r="BS551" s="115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  <c r="CJ551" s="115"/>
      <c r="CK551" s="115"/>
      <c r="CL551" s="115"/>
      <c r="CM551" s="115"/>
      <c r="CN551" s="115"/>
      <c r="CO551" s="115"/>
    </row>
    <row r="552" spans="1:93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  <c r="U552" s="115"/>
      <c r="V552" s="115"/>
      <c r="W552" s="116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  <c r="BN552" s="115"/>
      <c r="BO552" s="115"/>
      <c r="BP552" s="115"/>
      <c r="BQ552" s="115"/>
      <c r="BR552" s="115"/>
      <c r="BS552" s="115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  <c r="CJ552" s="115"/>
      <c r="CK552" s="115"/>
      <c r="CL552" s="115"/>
      <c r="CM552" s="115"/>
      <c r="CN552" s="115"/>
      <c r="CO552" s="115"/>
    </row>
    <row r="553" spans="1:93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  <c r="U553" s="115"/>
      <c r="V553" s="115"/>
      <c r="W553" s="116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  <c r="BN553" s="115"/>
      <c r="BO553" s="115"/>
      <c r="BP553" s="115"/>
      <c r="BQ553" s="115"/>
      <c r="BR553" s="115"/>
      <c r="BS553" s="115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  <c r="CJ553" s="115"/>
      <c r="CK553" s="115"/>
      <c r="CL553" s="115"/>
      <c r="CM553" s="115"/>
      <c r="CN553" s="115"/>
      <c r="CO553" s="115"/>
    </row>
    <row r="554" spans="1:93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  <c r="U554" s="115"/>
      <c r="V554" s="115"/>
      <c r="W554" s="116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  <c r="BN554" s="115"/>
      <c r="BO554" s="115"/>
      <c r="BP554" s="115"/>
      <c r="BQ554" s="115"/>
      <c r="BR554" s="115"/>
      <c r="BS554" s="115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  <c r="CJ554" s="115"/>
      <c r="CK554" s="115"/>
      <c r="CL554" s="115"/>
      <c r="CM554" s="115"/>
      <c r="CN554" s="115"/>
      <c r="CO554" s="115"/>
    </row>
    <row r="555" spans="1:93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  <c r="U555" s="115"/>
      <c r="V555" s="115"/>
      <c r="W555" s="116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  <c r="BN555" s="115"/>
      <c r="BO555" s="115"/>
      <c r="BP555" s="115"/>
      <c r="BQ555" s="115"/>
      <c r="BR555" s="115"/>
      <c r="BS555" s="115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  <c r="CJ555" s="115"/>
      <c r="CK555" s="115"/>
      <c r="CL555" s="115"/>
      <c r="CM555" s="115"/>
      <c r="CN555" s="115"/>
      <c r="CO555" s="115"/>
    </row>
    <row r="556" spans="1:93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  <c r="U556" s="115"/>
      <c r="V556" s="115"/>
      <c r="W556" s="116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</row>
    <row r="557" spans="1:93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  <c r="U557" s="115"/>
      <c r="V557" s="115"/>
      <c r="W557" s="116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5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  <c r="CJ557" s="115"/>
      <c r="CK557" s="115"/>
      <c r="CL557" s="115"/>
      <c r="CM557" s="115"/>
      <c r="CN557" s="115"/>
      <c r="CO557" s="115"/>
    </row>
    <row r="558" spans="1:93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  <c r="U558" s="115"/>
      <c r="V558" s="115"/>
      <c r="W558" s="116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5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  <c r="CJ558" s="115"/>
      <c r="CK558" s="115"/>
      <c r="CL558" s="115"/>
      <c r="CM558" s="115"/>
      <c r="CN558" s="115"/>
      <c r="CO558" s="115"/>
    </row>
    <row r="559" spans="1:93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  <c r="U559" s="115"/>
      <c r="V559" s="115"/>
      <c r="W559" s="116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5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</row>
    <row r="560" spans="1:93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  <c r="U560" s="115"/>
      <c r="V560" s="115"/>
      <c r="W560" s="116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5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  <c r="CJ560" s="115"/>
      <c r="CK560" s="115"/>
      <c r="CL560" s="115"/>
      <c r="CM560" s="115"/>
      <c r="CN560" s="115"/>
      <c r="CO560" s="115"/>
    </row>
    <row r="561" spans="1:93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  <c r="U561" s="115"/>
      <c r="V561" s="115"/>
      <c r="W561" s="116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5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  <c r="CJ561" s="115"/>
      <c r="CK561" s="115"/>
      <c r="CL561" s="115"/>
      <c r="CM561" s="115"/>
      <c r="CN561" s="115"/>
      <c r="CO561" s="115"/>
    </row>
    <row r="562" spans="1:93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  <c r="U562" s="115"/>
      <c r="V562" s="115"/>
      <c r="W562" s="116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5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  <c r="CJ562" s="115"/>
      <c r="CK562" s="115"/>
      <c r="CL562" s="115"/>
      <c r="CM562" s="115"/>
      <c r="CN562" s="115"/>
      <c r="CO562" s="115"/>
    </row>
    <row r="563" spans="1:93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  <c r="U563" s="115"/>
      <c r="V563" s="115"/>
      <c r="W563" s="116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5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  <c r="CJ563" s="115"/>
      <c r="CK563" s="115"/>
      <c r="CL563" s="115"/>
      <c r="CM563" s="115"/>
      <c r="CN563" s="115"/>
      <c r="CO563" s="115"/>
    </row>
    <row r="564" spans="1:93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  <c r="U564" s="115"/>
      <c r="V564" s="115"/>
      <c r="W564" s="116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5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  <c r="CJ564" s="115"/>
      <c r="CK564" s="115"/>
      <c r="CL564" s="115"/>
      <c r="CM564" s="115"/>
      <c r="CN564" s="115"/>
      <c r="CO564" s="115"/>
    </row>
    <row r="565" spans="1:93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  <c r="U565" s="115"/>
      <c r="V565" s="115"/>
      <c r="W565" s="116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5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  <c r="CJ565" s="115"/>
      <c r="CK565" s="115"/>
      <c r="CL565" s="115"/>
      <c r="CM565" s="115"/>
      <c r="CN565" s="115"/>
      <c r="CO565" s="115"/>
    </row>
    <row r="566" spans="1:93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  <c r="U566" s="115"/>
      <c r="V566" s="115"/>
      <c r="W566" s="116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5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  <c r="CJ566" s="115"/>
      <c r="CK566" s="115"/>
      <c r="CL566" s="115"/>
      <c r="CM566" s="115"/>
      <c r="CN566" s="115"/>
      <c r="CO566" s="115"/>
    </row>
    <row r="567" spans="1:93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  <c r="U567" s="115"/>
      <c r="V567" s="115"/>
      <c r="W567" s="116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5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  <c r="CJ567" s="115"/>
      <c r="CK567" s="115"/>
      <c r="CL567" s="115"/>
      <c r="CM567" s="115"/>
      <c r="CN567" s="115"/>
      <c r="CO567" s="115"/>
    </row>
    <row r="568" spans="1:93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  <c r="U568" s="115"/>
      <c r="V568" s="115"/>
      <c r="W568" s="116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5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  <c r="CJ568" s="115"/>
      <c r="CK568" s="115"/>
      <c r="CL568" s="115"/>
      <c r="CM568" s="115"/>
      <c r="CN568" s="115"/>
      <c r="CO568" s="115"/>
    </row>
    <row r="569" spans="1:93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  <c r="U569" s="115"/>
      <c r="V569" s="115"/>
      <c r="W569" s="116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5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  <c r="CJ569" s="115"/>
      <c r="CK569" s="115"/>
      <c r="CL569" s="115"/>
      <c r="CM569" s="115"/>
      <c r="CN569" s="115"/>
      <c r="CO569" s="115"/>
    </row>
    <row r="570" spans="1:93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  <c r="U570" s="115"/>
      <c r="V570" s="115"/>
      <c r="W570" s="116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5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  <c r="CJ570" s="115"/>
      <c r="CK570" s="115"/>
      <c r="CL570" s="115"/>
      <c r="CM570" s="115"/>
      <c r="CN570" s="115"/>
      <c r="CO570" s="115"/>
    </row>
    <row r="571" spans="1:93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  <c r="U571" s="115"/>
      <c r="V571" s="115"/>
      <c r="W571" s="116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5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  <c r="CJ571" s="115"/>
      <c r="CK571" s="115"/>
      <c r="CL571" s="115"/>
      <c r="CM571" s="115"/>
      <c r="CN571" s="115"/>
      <c r="CO571" s="115"/>
    </row>
    <row r="572" spans="1:93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  <c r="U572" s="115"/>
      <c r="V572" s="115"/>
      <c r="W572" s="116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5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</row>
    <row r="573" spans="1:93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  <c r="U573" s="115"/>
      <c r="V573" s="115"/>
      <c r="W573" s="116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5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  <c r="CJ573" s="115"/>
      <c r="CK573" s="115"/>
      <c r="CL573" s="115"/>
      <c r="CM573" s="115"/>
      <c r="CN573" s="115"/>
      <c r="CO573" s="115"/>
    </row>
    <row r="574" spans="1:93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  <c r="U574" s="115"/>
      <c r="V574" s="115"/>
      <c r="W574" s="116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5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  <c r="CJ574" s="115"/>
      <c r="CK574" s="115"/>
      <c r="CL574" s="115"/>
      <c r="CM574" s="115"/>
      <c r="CN574" s="115"/>
      <c r="CO574" s="115"/>
    </row>
    <row r="575" spans="1:93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  <c r="U575" s="115"/>
      <c r="V575" s="115"/>
      <c r="W575" s="116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5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</row>
    <row r="576" spans="1:93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  <c r="U576" s="115"/>
      <c r="V576" s="115"/>
      <c r="W576" s="116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5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  <c r="CJ576" s="115"/>
      <c r="CK576" s="115"/>
      <c r="CL576" s="115"/>
      <c r="CM576" s="115"/>
      <c r="CN576" s="115"/>
      <c r="CO576" s="115"/>
    </row>
    <row r="577" spans="1:93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  <c r="U577" s="115"/>
      <c r="V577" s="115"/>
      <c r="W577" s="116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5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  <c r="CJ577" s="115"/>
      <c r="CK577" s="115"/>
      <c r="CL577" s="115"/>
      <c r="CM577" s="115"/>
      <c r="CN577" s="115"/>
      <c r="CO577" s="115"/>
    </row>
    <row r="578" spans="1:93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  <c r="U578" s="115"/>
      <c r="V578" s="115"/>
      <c r="W578" s="116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5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  <c r="CJ578" s="115"/>
      <c r="CK578" s="115"/>
      <c r="CL578" s="115"/>
      <c r="CM578" s="115"/>
      <c r="CN578" s="115"/>
      <c r="CO578" s="115"/>
    </row>
    <row r="579" spans="1:93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  <c r="U579" s="115"/>
      <c r="V579" s="115"/>
      <c r="W579" s="116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5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  <c r="CJ579" s="115"/>
      <c r="CK579" s="115"/>
      <c r="CL579" s="115"/>
      <c r="CM579" s="115"/>
      <c r="CN579" s="115"/>
      <c r="CO579" s="115"/>
    </row>
    <row r="580" spans="1:93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  <c r="U580" s="115"/>
      <c r="V580" s="115"/>
      <c r="W580" s="116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  <c r="CJ580" s="115"/>
      <c r="CK580" s="115"/>
      <c r="CL580" s="115"/>
      <c r="CM580" s="115"/>
      <c r="CN580" s="115"/>
      <c r="CO580" s="115"/>
    </row>
    <row r="581" spans="1:93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  <c r="U581" s="115"/>
      <c r="V581" s="115"/>
      <c r="W581" s="116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5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  <c r="CJ581" s="115"/>
      <c r="CK581" s="115"/>
      <c r="CL581" s="115"/>
      <c r="CM581" s="115"/>
      <c r="CN581" s="115"/>
      <c r="CO581" s="115"/>
    </row>
    <row r="582" spans="1:93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  <c r="U582" s="115"/>
      <c r="V582" s="115"/>
      <c r="W582" s="116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5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  <c r="CJ582" s="115"/>
      <c r="CK582" s="115"/>
      <c r="CL582" s="115"/>
      <c r="CM582" s="115"/>
      <c r="CN582" s="115"/>
      <c r="CO582" s="115"/>
    </row>
    <row r="583" spans="1:93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  <c r="U583" s="115"/>
      <c r="V583" s="115"/>
      <c r="W583" s="116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5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  <c r="CJ583" s="115"/>
      <c r="CK583" s="115"/>
      <c r="CL583" s="115"/>
      <c r="CM583" s="115"/>
      <c r="CN583" s="115"/>
      <c r="CO583" s="115"/>
    </row>
    <row r="584" spans="1:93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  <c r="U584" s="115"/>
      <c r="V584" s="115"/>
      <c r="W584" s="116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5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  <c r="CJ584" s="115"/>
      <c r="CK584" s="115"/>
      <c r="CL584" s="115"/>
      <c r="CM584" s="115"/>
      <c r="CN584" s="115"/>
      <c r="CO584" s="115"/>
    </row>
    <row r="585" spans="1:93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  <c r="U585" s="115"/>
      <c r="V585" s="115"/>
      <c r="W585" s="116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5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  <c r="CJ585" s="115"/>
      <c r="CK585" s="115"/>
      <c r="CL585" s="115"/>
      <c r="CM585" s="115"/>
      <c r="CN585" s="115"/>
      <c r="CO585" s="115"/>
    </row>
    <row r="586" spans="1:93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  <c r="U586" s="115"/>
      <c r="V586" s="115"/>
      <c r="W586" s="116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5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  <c r="CJ586" s="115"/>
      <c r="CK586" s="115"/>
      <c r="CL586" s="115"/>
      <c r="CM586" s="115"/>
      <c r="CN586" s="115"/>
      <c r="CO586" s="115"/>
    </row>
    <row r="587" spans="1:93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  <c r="U587" s="115"/>
      <c r="V587" s="115"/>
      <c r="W587" s="116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5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  <c r="CJ587" s="115"/>
      <c r="CK587" s="115"/>
      <c r="CL587" s="115"/>
      <c r="CM587" s="115"/>
      <c r="CN587" s="115"/>
      <c r="CO587" s="115"/>
    </row>
    <row r="588" spans="1:93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  <c r="U588" s="115"/>
      <c r="V588" s="115"/>
      <c r="W588" s="116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5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  <c r="CJ588" s="115"/>
      <c r="CK588" s="115"/>
      <c r="CL588" s="115"/>
      <c r="CM588" s="115"/>
      <c r="CN588" s="115"/>
      <c r="CO588" s="115"/>
    </row>
    <row r="589" spans="1:93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  <c r="U589" s="115"/>
      <c r="V589" s="115"/>
      <c r="W589" s="116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5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  <c r="CJ589" s="115"/>
      <c r="CK589" s="115"/>
      <c r="CL589" s="115"/>
      <c r="CM589" s="115"/>
      <c r="CN589" s="115"/>
      <c r="CO589" s="115"/>
    </row>
    <row r="590" spans="1:93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  <c r="U590" s="115"/>
      <c r="V590" s="115"/>
      <c r="W590" s="116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</row>
    <row r="591" spans="1:93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  <c r="U591" s="115"/>
      <c r="V591" s="115"/>
      <c r="W591" s="116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</row>
    <row r="592" spans="1:93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  <c r="U592" s="115"/>
      <c r="V592" s="115"/>
      <c r="W592" s="116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</row>
    <row r="593" spans="1:93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  <c r="U593" s="115"/>
      <c r="V593" s="115"/>
      <c r="W593" s="116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5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  <c r="CJ593" s="115"/>
      <c r="CK593" s="115"/>
      <c r="CL593" s="115"/>
      <c r="CM593" s="115"/>
      <c r="CN593" s="115"/>
      <c r="CO593" s="115"/>
    </row>
    <row r="594" spans="1:93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  <c r="U594" s="115"/>
      <c r="V594" s="115"/>
      <c r="W594" s="116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5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  <c r="CJ594" s="115"/>
      <c r="CK594" s="115"/>
      <c r="CL594" s="115"/>
      <c r="CM594" s="115"/>
      <c r="CN594" s="115"/>
      <c r="CO594" s="115"/>
    </row>
    <row r="595" spans="1:93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  <c r="U595" s="115"/>
      <c r="V595" s="115"/>
      <c r="W595" s="116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5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  <c r="CJ595" s="115"/>
      <c r="CK595" s="115"/>
      <c r="CL595" s="115"/>
      <c r="CM595" s="115"/>
      <c r="CN595" s="115"/>
      <c r="CO595" s="115"/>
    </row>
    <row r="596" spans="1:93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  <c r="U596" s="115"/>
      <c r="V596" s="115"/>
      <c r="W596" s="116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5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  <c r="CJ596" s="115"/>
      <c r="CK596" s="115"/>
      <c r="CL596" s="115"/>
      <c r="CM596" s="115"/>
      <c r="CN596" s="115"/>
      <c r="CO596" s="115"/>
    </row>
    <row r="597" spans="1:93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  <c r="U597" s="115"/>
      <c r="V597" s="115"/>
      <c r="W597" s="116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5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  <c r="CJ597" s="115"/>
      <c r="CK597" s="115"/>
      <c r="CL597" s="115"/>
      <c r="CM597" s="115"/>
      <c r="CN597" s="115"/>
      <c r="CO597" s="115"/>
    </row>
    <row r="598" spans="1:93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  <c r="U598" s="115"/>
      <c r="V598" s="115"/>
      <c r="W598" s="116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</row>
    <row r="599" spans="1:93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  <c r="U599" s="115"/>
      <c r="V599" s="115"/>
      <c r="W599" s="116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5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</row>
    <row r="600" spans="1:93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  <c r="U600" s="115"/>
      <c r="V600" s="115"/>
      <c r="W600" s="116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5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  <c r="CJ600" s="115"/>
      <c r="CK600" s="115"/>
      <c r="CL600" s="115"/>
      <c r="CM600" s="115"/>
      <c r="CN600" s="115"/>
      <c r="CO600" s="115"/>
    </row>
    <row r="601" spans="1:93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  <c r="U601" s="115"/>
      <c r="V601" s="115"/>
      <c r="W601" s="116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5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  <c r="CJ601" s="115"/>
      <c r="CK601" s="115"/>
      <c r="CL601" s="115"/>
      <c r="CM601" s="115"/>
      <c r="CN601" s="115"/>
      <c r="CO601" s="115"/>
    </row>
    <row r="602" spans="1:93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  <c r="U602" s="115"/>
      <c r="V602" s="115"/>
      <c r="W602" s="116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5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  <c r="CJ602" s="115"/>
      <c r="CK602" s="115"/>
      <c r="CL602" s="115"/>
      <c r="CM602" s="115"/>
      <c r="CN602" s="115"/>
      <c r="CO602" s="115"/>
    </row>
    <row r="603" spans="1:93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  <c r="U603" s="115"/>
      <c r="V603" s="115"/>
      <c r="W603" s="116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5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  <c r="CJ603" s="115"/>
      <c r="CK603" s="115"/>
      <c r="CL603" s="115"/>
      <c r="CM603" s="115"/>
      <c r="CN603" s="115"/>
      <c r="CO603" s="115"/>
    </row>
    <row r="604" spans="1:93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  <c r="U604" s="115"/>
      <c r="V604" s="115"/>
      <c r="W604" s="116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5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  <c r="CJ604" s="115"/>
      <c r="CK604" s="115"/>
      <c r="CL604" s="115"/>
      <c r="CM604" s="115"/>
      <c r="CN604" s="115"/>
      <c r="CO604" s="115"/>
    </row>
    <row r="605" spans="1:93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  <c r="U605" s="115"/>
      <c r="V605" s="115"/>
      <c r="W605" s="116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5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  <c r="CJ605" s="115"/>
      <c r="CK605" s="115"/>
      <c r="CL605" s="115"/>
      <c r="CM605" s="115"/>
      <c r="CN605" s="115"/>
      <c r="CO605" s="115"/>
    </row>
    <row r="606" spans="1:93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  <c r="U606" s="115"/>
      <c r="V606" s="115"/>
      <c r="W606" s="116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5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  <c r="CJ606" s="115"/>
      <c r="CK606" s="115"/>
      <c r="CL606" s="115"/>
      <c r="CM606" s="115"/>
      <c r="CN606" s="115"/>
      <c r="CO606" s="115"/>
    </row>
    <row r="607" spans="1:93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  <c r="U607" s="115"/>
      <c r="V607" s="115"/>
      <c r="W607" s="116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5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  <c r="CJ607" s="115"/>
      <c r="CK607" s="115"/>
      <c r="CL607" s="115"/>
      <c r="CM607" s="115"/>
      <c r="CN607" s="115"/>
      <c r="CO607" s="115"/>
    </row>
    <row r="608" spans="1:93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  <c r="U608" s="115"/>
      <c r="V608" s="115"/>
      <c r="W608" s="116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5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  <c r="CJ608" s="115"/>
      <c r="CK608" s="115"/>
      <c r="CL608" s="115"/>
      <c r="CM608" s="115"/>
      <c r="CN608" s="115"/>
      <c r="CO608" s="115"/>
    </row>
    <row r="609" spans="1:93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  <c r="U609" s="115"/>
      <c r="V609" s="115"/>
      <c r="W609" s="116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  <c r="CJ609" s="115"/>
      <c r="CK609" s="115"/>
      <c r="CL609" s="115"/>
      <c r="CM609" s="115"/>
      <c r="CN609" s="115"/>
      <c r="CO609" s="115"/>
    </row>
    <row r="610" spans="1:93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  <c r="U610" s="115"/>
      <c r="V610" s="115"/>
      <c r="W610" s="116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5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  <c r="CJ610" s="115"/>
      <c r="CK610" s="115"/>
      <c r="CL610" s="115"/>
      <c r="CM610" s="115"/>
      <c r="CN610" s="115"/>
      <c r="CO610" s="115"/>
    </row>
    <row r="611" spans="1:93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  <c r="U611" s="115"/>
      <c r="V611" s="115"/>
      <c r="W611" s="116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5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  <c r="CJ611" s="115"/>
      <c r="CK611" s="115"/>
      <c r="CL611" s="115"/>
      <c r="CM611" s="115"/>
      <c r="CN611" s="115"/>
      <c r="CO611" s="115"/>
    </row>
    <row r="612" spans="1:93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  <c r="U612" s="115"/>
      <c r="V612" s="115"/>
      <c r="W612" s="116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5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  <c r="CJ612" s="115"/>
      <c r="CK612" s="115"/>
      <c r="CL612" s="115"/>
      <c r="CM612" s="115"/>
      <c r="CN612" s="115"/>
      <c r="CO612" s="115"/>
    </row>
    <row r="613" spans="1:93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  <c r="U613" s="115"/>
      <c r="V613" s="115"/>
      <c r="W613" s="116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5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  <c r="CJ613" s="115"/>
      <c r="CK613" s="115"/>
      <c r="CL613" s="115"/>
      <c r="CM613" s="115"/>
      <c r="CN613" s="115"/>
      <c r="CO613" s="115"/>
    </row>
    <row r="614" spans="1:93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  <c r="U614" s="115"/>
      <c r="V614" s="115"/>
      <c r="W614" s="116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5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  <c r="CJ614" s="115"/>
      <c r="CK614" s="115"/>
      <c r="CL614" s="115"/>
      <c r="CM614" s="115"/>
      <c r="CN614" s="115"/>
      <c r="CO614" s="115"/>
    </row>
    <row r="615" spans="1:93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  <c r="U615" s="115"/>
      <c r="V615" s="115"/>
      <c r="W615" s="116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5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  <c r="CJ615" s="115"/>
      <c r="CK615" s="115"/>
      <c r="CL615" s="115"/>
      <c r="CM615" s="115"/>
      <c r="CN615" s="115"/>
      <c r="CO615" s="115"/>
    </row>
    <row r="616" spans="1:93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  <c r="U616" s="115"/>
      <c r="V616" s="115"/>
      <c r="W616" s="116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5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  <c r="CJ616" s="115"/>
      <c r="CK616" s="115"/>
      <c r="CL616" s="115"/>
      <c r="CM616" s="115"/>
      <c r="CN616" s="115"/>
      <c r="CO616" s="115"/>
    </row>
    <row r="617" spans="1:93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  <c r="U617" s="115"/>
      <c r="V617" s="115"/>
      <c r="W617" s="116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5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  <c r="CJ617" s="115"/>
      <c r="CK617" s="115"/>
      <c r="CL617" s="115"/>
      <c r="CM617" s="115"/>
      <c r="CN617" s="115"/>
      <c r="CO617" s="115"/>
    </row>
    <row r="618" spans="1:93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  <c r="U618" s="115"/>
      <c r="V618" s="115"/>
      <c r="W618" s="116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5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  <c r="CJ618" s="115"/>
      <c r="CK618" s="115"/>
      <c r="CL618" s="115"/>
      <c r="CM618" s="115"/>
      <c r="CN618" s="115"/>
      <c r="CO618" s="115"/>
    </row>
    <row r="619" spans="1:93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  <c r="U619" s="115"/>
      <c r="V619" s="115"/>
      <c r="W619" s="116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5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  <c r="CJ619" s="115"/>
      <c r="CK619" s="115"/>
      <c r="CL619" s="115"/>
      <c r="CM619" s="115"/>
      <c r="CN619" s="115"/>
      <c r="CO619" s="115"/>
    </row>
    <row r="620" spans="1:93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  <c r="U620" s="115"/>
      <c r="V620" s="115"/>
      <c r="W620" s="116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5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5"/>
      <c r="CL620" s="115"/>
      <c r="CM620" s="115"/>
      <c r="CN620" s="115"/>
      <c r="CO620" s="115"/>
    </row>
    <row r="621" spans="1:93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  <c r="U621" s="115"/>
      <c r="V621" s="115"/>
      <c r="W621" s="116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5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5"/>
      <c r="CL621" s="115"/>
      <c r="CM621" s="115"/>
      <c r="CN621" s="115"/>
      <c r="CO621" s="115"/>
    </row>
    <row r="622" spans="1:93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  <c r="U622" s="115"/>
      <c r="V622" s="115"/>
      <c r="W622" s="116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5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  <c r="CJ622" s="115"/>
      <c r="CK622" s="115"/>
      <c r="CL622" s="115"/>
      <c r="CM622" s="115"/>
      <c r="CN622" s="115"/>
      <c r="CO622" s="115"/>
    </row>
    <row r="623" spans="1:93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  <c r="U623" s="115"/>
      <c r="V623" s="115"/>
      <c r="W623" s="116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</row>
    <row r="624" spans="1:93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  <c r="U624" s="115"/>
      <c r="V624" s="115"/>
      <c r="W624" s="116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5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  <c r="CJ624" s="115"/>
      <c r="CK624" s="115"/>
      <c r="CL624" s="115"/>
      <c r="CM624" s="115"/>
      <c r="CN624" s="115"/>
      <c r="CO624" s="115"/>
    </row>
    <row r="625" spans="1:93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  <c r="U625" s="115"/>
      <c r="V625" s="115"/>
      <c r="W625" s="116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5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  <c r="CJ625" s="115"/>
      <c r="CK625" s="115"/>
      <c r="CL625" s="115"/>
      <c r="CM625" s="115"/>
      <c r="CN625" s="115"/>
      <c r="CO625" s="115"/>
    </row>
    <row r="626" spans="1:93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  <c r="U626" s="115"/>
      <c r="V626" s="115"/>
      <c r="W626" s="116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5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  <c r="CJ626" s="115"/>
      <c r="CK626" s="115"/>
      <c r="CL626" s="115"/>
      <c r="CM626" s="115"/>
      <c r="CN626" s="115"/>
      <c r="CO626" s="115"/>
    </row>
    <row r="627" spans="1:93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  <c r="U627" s="115"/>
      <c r="V627" s="115"/>
      <c r="W627" s="116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5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  <c r="CJ627" s="115"/>
      <c r="CK627" s="115"/>
      <c r="CL627" s="115"/>
      <c r="CM627" s="115"/>
      <c r="CN627" s="115"/>
      <c r="CO627" s="115"/>
    </row>
    <row r="628" spans="1:93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  <c r="U628" s="115"/>
      <c r="V628" s="115"/>
      <c r="W628" s="116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5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  <c r="CJ628" s="115"/>
      <c r="CK628" s="115"/>
      <c r="CL628" s="115"/>
      <c r="CM628" s="115"/>
      <c r="CN628" s="115"/>
      <c r="CO628" s="115"/>
    </row>
    <row r="629" spans="1:93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  <c r="U629" s="115"/>
      <c r="V629" s="115"/>
      <c r="W629" s="116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  <c r="CJ629" s="115"/>
      <c r="CK629" s="115"/>
      <c r="CL629" s="115"/>
      <c r="CM629" s="115"/>
      <c r="CN629" s="115"/>
      <c r="CO629" s="115"/>
    </row>
    <row r="630" spans="1:93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  <c r="U630" s="115"/>
      <c r="V630" s="115"/>
      <c r="W630" s="116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5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  <c r="CJ630" s="115"/>
      <c r="CK630" s="115"/>
      <c r="CL630" s="115"/>
      <c r="CM630" s="115"/>
      <c r="CN630" s="115"/>
      <c r="CO630" s="115"/>
    </row>
    <row r="631" spans="1:93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  <c r="U631" s="115"/>
      <c r="V631" s="115"/>
      <c r="W631" s="116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</row>
    <row r="632" spans="1:93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  <c r="U632" s="115"/>
      <c r="V632" s="115"/>
      <c r="W632" s="116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</row>
    <row r="633" spans="1:93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  <c r="U633" s="115"/>
      <c r="V633" s="115"/>
      <c r="W633" s="116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</row>
    <row r="634" spans="1:93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  <c r="U634" s="115"/>
      <c r="V634" s="115"/>
      <c r="W634" s="116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</row>
    <row r="635" spans="1:93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  <c r="U635" s="115"/>
      <c r="V635" s="115"/>
      <c r="W635" s="116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</row>
    <row r="636" spans="1:93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  <c r="U636" s="115"/>
      <c r="V636" s="115"/>
      <c r="W636" s="116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</row>
    <row r="637" spans="1:93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  <c r="U637" s="115"/>
      <c r="V637" s="115"/>
      <c r="W637" s="116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</row>
    <row r="638" spans="1:93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  <c r="U638" s="115"/>
      <c r="V638" s="115"/>
      <c r="W638" s="116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</row>
    <row r="639" spans="1:93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  <c r="U639" s="115"/>
      <c r="V639" s="115"/>
      <c r="W639" s="116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</row>
    <row r="640" spans="1:93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  <c r="U640" s="115"/>
      <c r="V640" s="115"/>
      <c r="W640" s="116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</row>
    <row r="641" spans="1:93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  <c r="U641" s="115"/>
      <c r="V641" s="115"/>
      <c r="W641" s="116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</row>
    <row r="642" spans="1:93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  <c r="U642" s="115"/>
      <c r="V642" s="115"/>
      <c r="W642" s="116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</row>
    <row r="643" spans="1:93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  <c r="U643" s="115"/>
      <c r="V643" s="115"/>
      <c r="W643" s="116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</row>
    <row r="644" spans="1:93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  <c r="U644" s="115"/>
      <c r="V644" s="115"/>
      <c r="W644" s="116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</row>
    <row r="645" spans="1:93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  <c r="U645" s="115"/>
      <c r="V645" s="115"/>
      <c r="W645" s="116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</row>
    <row r="646" spans="1:93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  <c r="U646" s="115"/>
      <c r="V646" s="115"/>
      <c r="W646" s="116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</row>
    <row r="647" spans="1:93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  <c r="U647" s="115"/>
      <c r="V647" s="115"/>
      <c r="W647" s="116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</row>
    <row r="648" spans="1:93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  <c r="U648" s="115"/>
      <c r="V648" s="115"/>
      <c r="W648" s="116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</row>
    <row r="649" spans="1:93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  <c r="U649" s="115"/>
      <c r="V649" s="115"/>
      <c r="W649" s="116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</row>
    <row r="650" spans="1:93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  <c r="U650" s="115"/>
      <c r="V650" s="115"/>
      <c r="W650" s="116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</row>
    <row r="651" spans="1:93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  <c r="U651" s="115"/>
      <c r="V651" s="115"/>
      <c r="W651" s="116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</row>
    <row r="652" spans="1:93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  <c r="U652" s="115"/>
      <c r="V652" s="115"/>
      <c r="W652" s="116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</row>
    <row r="653" spans="1:93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  <c r="U653" s="115"/>
      <c r="V653" s="115"/>
      <c r="W653" s="116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</row>
    <row r="654" spans="1:93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  <c r="U654" s="115"/>
      <c r="V654" s="115"/>
      <c r="W654" s="116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</row>
    <row r="655" spans="1:93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  <c r="U655" s="115"/>
      <c r="V655" s="115"/>
      <c r="W655" s="116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</row>
    <row r="656" spans="1:93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  <c r="U656" s="115"/>
      <c r="V656" s="115"/>
      <c r="W656" s="116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</row>
    <row r="657" spans="1:93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  <c r="U657" s="115"/>
      <c r="V657" s="115"/>
      <c r="W657" s="116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</row>
    <row r="658" spans="1:93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  <c r="U658" s="115"/>
      <c r="V658" s="115"/>
      <c r="W658" s="116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</row>
    <row r="659" spans="1:93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  <c r="U659" s="115"/>
      <c r="V659" s="115"/>
      <c r="W659" s="116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</row>
    <row r="660" spans="1:93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  <c r="U660" s="115"/>
      <c r="V660" s="115"/>
      <c r="W660" s="116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</row>
    <row r="661" spans="1:93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  <c r="U661" s="115"/>
      <c r="V661" s="115"/>
      <c r="W661" s="116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5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  <c r="CJ661" s="115"/>
      <c r="CK661" s="115"/>
      <c r="CL661" s="115"/>
      <c r="CM661" s="115"/>
      <c r="CN661" s="115"/>
      <c r="CO661" s="115"/>
    </row>
    <row r="662" spans="1:93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  <c r="U662" s="115"/>
      <c r="V662" s="115"/>
      <c r="W662" s="116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5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  <c r="CJ662" s="115"/>
      <c r="CK662" s="115"/>
      <c r="CL662" s="115"/>
      <c r="CM662" s="115"/>
      <c r="CN662" s="115"/>
      <c r="CO662" s="115"/>
    </row>
    <row r="663" spans="1:93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  <c r="U663" s="115"/>
      <c r="V663" s="115"/>
      <c r="W663" s="116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5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  <c r="CJ663" s="115"/>
      <c r="CK663" s="115"/>
      <c r="CL663" s="115"/>
      <c r="CM663" s="115"/>
      <c r="CN663" s="115"/>
      <c r="CO663" s="115"/>
    </row>
    <row r="664" spans="1:93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  <c r="U664" s="115"/>
      <c r="V664" s="115"/>
      <c r="W664" s="116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5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  <c r="CJ664" s="115"/>
      <c r="CK664" s="115"/>
      <c r="CL664" s="115"/>
      <c r="CM664" s="115"/>
      <c r="CN664" s="115"/>
      <c r="CO664" s="115"/>
    </row>
    <row r="665" spans="1:93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  <c r="U665" s="115"/>
      <c r="V665" s="115"/>
      <c r="W665" s="116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5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  <c r="CJ665" s="115"/>
      <c r="CK665" s="115"/>
      <c r="CL665" s="115"/>
      <c r="CM665" s="115"/>
      <c r="CN665" s="115"/>
      <c r="CO665" s="115"/>
    </row>
    <row r="666" spans="1:93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  <c r="U666" s="115"/>
      <c r="V666" s="115"/>
      <c r="W666" s="116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5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  <c r="CJ666" s="115"/>
      <c r="CK666" s="115"/>
      <c r="CL666" s="115"/>
      <c r="CM666" s="115"/>
      <c r="CN666" s="115"/>
      <c r="CO666" s="115"/>
    </row>
    <row r="667" spans="1:93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  <c r="U667" s="115"/>
      <c r="V667" s="115"/>
      <c r="W667" s="116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5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  <c r="CJ667" s="115"/>
      <c r="CK667" s="115"/>
      <c r="CL667" s="115"/>
      <c r="CM667" s="115"/>
      <c r="CN667" s="115"/>
      <c r="CO667" s="115"/>
    </row>
    <row r="668" spans="1:93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  <c r="U668" s="115"/>
      <c r="V668" s="115"/>
      <c r="W668" s="116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5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  <c r="CJ668" s="115"/>
      <c r="CK668" s="115"/>
      <c r="CL668" s="115"/>
      <c r="CM668" s="115"/>
      <c r="CN668" s="115"/>
      <c r="CO668" s="115"/>
    </row>
    <row r="669" spans="1:93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  <c r="U669" s="115"/>
      <c r="V669" s="115"/>
      <c r="W669" s="116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5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  <c r="CJ669" s="115"/>
      <c r="CK669" s="115"/>
      <c r="CL669" s="115"/>
      <c r="CM669" s="115"/>
      <c r="CN669" s="115"/>
      <c r="CO669" s="115"/>
    </row>
    <row r="670" spans="1:93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  <c r="U670" s="115"/>
      <c r="V670" s="115"/>
      <c r="W670" s="116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5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  <c r="CJ670" s="115"/>
      <c r="CK670" s="115"/>
      <c r="CL670" s="115"/>
      <c r="CM670" s="115"/>
      <c r="CN670" s="115"/>
      <c r="CO670" s="115"/>
    </row>
    <row r="671" spans="1:93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  <c r="U671" s="115"/>
      <c r="V671" s="115"/>
      <c r="W671" s="116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5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  <c r="CJ671" s="115"/>
      <c r="CK671" s="115"/>
      <c r="CL671" s="115"/>
      <c r="CM671" s="115"/>
      <c r="CN671" s="115"/>
      <c r="CO671" s="115"/>
    </row>
    <row r="672" spans="1:93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  <c r="U672" s="115"/>
      <c r="V672" s="115"/>
      <c r="W672" s="116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5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  <c r="CJ672" s="115"/>
      <c r="CK672" s="115"/>
      <c r="CL672" s="115"/>
      <c r="CM672" s="115"/>
      <c r="CN672" s="115"/>
      <c r="CO672" s="115"/>
    </row>
    <row r="673" spans="1:93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  <c r="U673" s="115"/>
      <c r="V673" s="115"/>
      <c r="W673" s="116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5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  <c r="CJ673" s="115"/>
      <c r="CK673" s="115"/>
      <c r="CL673" s="115"/>
      <c r="CM673" s="115"/>
      <c r="CN673" s="115"/>
      <c r="CO673" s="115"/>
    </row>
    <row r="674" spans="1:93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  <c r="U674" s="115"/>
      <c r="V674" s="115"/>
      <c r="W674" s="116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5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  <c r="CJ674" s="115"/>
      <c r="CK674" s="115"/>
      <c r="CL674" s="115"/>
      <c r="CM674" s="115"/>
      <c r="CN674" s="115"/>
      <c r="CO674" s="115"/>
    </row>
    <row r="675" spans="1:93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  <c r="U675" s="115"/>
      <c r="V675" s="115"/>
      <c r="W675" s="116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5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  <c r="CJ675" s="115"/>
      <c r="CK675" s="115"/>
      <c r="CL675" s="115"/>
      <c r="CM675" s="115"/>
      <c r="CN675" s="115"/>
      <c r="CO675" s="115"/>
    </row>
    <row r="676" spans="1:93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  <c r="U676" s="115"/>
      <c r="V676" s="115"/>
      <c r="W676" s="116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5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  <c r="CJ676" s="115"/>
      <c r="CK676" s="115"/>
      <c r="CL676" s="115"/>
      <c r="CM676" s="115"/>
      <c r="CN676" s="115"/>
      <c r="CO676" s="115"/>
    </row>
    <row r="677" spans="1:93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  <c r="U677" s="115"/>
      <c r="V677" s="115"/>
      <c r="W677" s="116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5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  <c r="CJ677" s="115"/>
      <c r="CK677" s="115"/>
      <c r="CL677" s="115"/>
      <c r="CM677" s="115"/>
      <c r="CN677" s="115"/>
      <c r="CO677" s="115"/>
    </row>
    <row r="678" spans="1:93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  <c r="U678" s="115"/>
      <c r="V678" s="115"/>
      <c r="W678" s="116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</row>
    <row r="679" spans="1:93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  <c r="U679" s="115"/>
      <c r="V679" s="115"/>
      <c r="W679" s="116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  <c r="BN679" s="115"/>
      <c r="BO679" s="115"/>
      <c r="BP679" s="115"/>
      <c r="BQ679" s="115"/>
      <c r="BR679" s="115"/>
      <c r="BS679" s="115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  <c r="CJ679" s="115"/>
      <c r="CK679" s="115"/>
      <c r="CL679" s="115"/>
      <c r="CM679" s="115"/>
      <c r="CN679" s="115"/>
      <c r="CO679" s="115"/>
    </row>
    <row r="680" spans="1:93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  <c r="U680" s="115"/>
      <c r="V680" s="115"/>
      <c r="W680" s="116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  <c r="BN680" s="115"/>
      <c r="BO680" s="115"/>
      <c r="BP680" s="115"/>
      <c r="BQ680" s="115"/>
      <c r="BR680" s="115"/>
      <c r="BS680" s="115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  <c r="CJ680" s="115"/>
      <c r="CK680" s="115"/>
      <c r="CL680" s="115"/>
      <c r="CM680" s="115"/>
      <c r="CN680" s="115"/>
      <c r="CO680" s="115"/>
    </row>
    <row r="681" spans="1:93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  <c r="U681" s="115"/>
      <c r="V681" s="115"/>
      <c r="W681" s="116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  <c r="BN681" s="115"/>
      <c r="BO681" s="115"/>
      <c r="BP681" s="115"/>
      <c r="BQ681" s="115"/>
      <c r="BR681" s="115"/>
      <c r="BS681" s="115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  <c r="CJ681" s="115"/>
      <c r="CK681" s="115"/>
      <c r="CL681" s="115"/>
      <c r="CM681" s="115"/>
      <c r="CN681" s="115"/>
      <c r="CO681" s="115"/>
    </row>
    <row r="682" spans="1:93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  <c r="U682" s="115"/>
      <c r="V682" s="115"/>
      <c r="W682" s="116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  <c r="BN682" s="115"/>
      <c r="BO682" s="115"/>
      <c r="BP682" s="115"/>
      <c r="BQ682" s="115"/>
      <c r="BR682" s="115"/>
      <c r="BS682" s="115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  <c r="CJ682" s="115"/>
      <c r="CK682" s="115"/>
      <c r="CL682" s="115"/>
      <c r="CM682" s="115"/>
      <c r="CN682" s="115"/>
      <c r="CO682" s="115"/>
    </row>
    <row r="683" spans="1:93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  <c r="U683" s="115"/>
      <c r="V683" s="115"/>
      <c r="W683" s="116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  <c r="BN683" s="115"/>
      <c r="BO683" s="115"/>
      <c r="BP683" s="115"/>
      <c r="BQ683" s="115"/>
      <c r="BR683" s="115"/>
      <c r="BS683" s="115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</row>
    <row r="684" spans="1:93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  <c r="U684" s="115"/>
      <c r="V684" s="115"/>
      <c r="W684" s="116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  <c r="BN684" s="115"/>
      <c r="BO684" s="115"/>
      <c r="BP684" s="115"/>
      <c r="BQ684" s="115"/>
      <c r="BR684" s="115"/>
      <c r="BS684" s="115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  <c r="CJ684" s="115"/>
      <c r="CK684" s="115"/>
      <c r="CL684" s="115"/>
      <c r="CM684" s="115"/>
      <c r="CN684" s="115"/>
      <c r="CO684" s="115"/>
    </row>
    <row r="685" spans="1:93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  <c r="U685" s="115"/>
      <c r="V685" s="115"/>
      <c r="W685" s="116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  <c r="BN685" s="115"/>
      <c r="BO685" s="115"/>
      <c r="BP685" s="115"/>
      <c r="BQ685" s="115"/>
      <c r="BR685" s="115"/>
      <c r="BS685" s="115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  <c r="CJ685" s="115"/>
      <c r="CK685" s="115"/>
      <c r="CL685" s="115"/>
      <c r="CM685" s="115"/>
      <c r="CN685" s="115"/>
      <c r="CO685" s="115"/>
    </row>
    <row r="686" spans="1:93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  <c r="U686" s="115"/>
      <c r="V686" s="115"/>
      <c r="W686" s="116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  <c r="BN686" s="115"/>
      <c r="BO686" s="115"/>
      <c r="BP686" s="115"/>
      <c r="BQ686" s="115"/>
      <c r="BR686" s="115"/>
      <c r="BS686" s="115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  <c r="CJ686" s="115"/>
      <c r="CK686" s="115"/>
      <c r="CL686" s="115"/>
      <c r="CM686" s="115"/>
      <c r="CN686" s="115"/>
      <c r="CO686" s="115"/>
    </row>
    <row r="687" spans="1:93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  <c r="U687" s="115"/>
      <c r="V687" s="115"/>
      <c r="W687" s="116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  <c r="BN687" s="115"/>
      <c r="BO687" s="115"/>
      <c r="BP687" s="115"/>
      <c r="BQ687" s="115"/>
      <c r="BR687" s="115"/>
      <c r="BS687" s="115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  <c r="CJ687" s="115"/>
      <c r="CK687" s="115"/>
      <c r="CL687" s="115"/>
      <c r="CM687" s="115"/>
      <c r="CN687" s="115"/>
      <c r="CO687" s="115"/>
    </row>
    <row r="688" spans="1:93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  <c r="U688" s="115"/>
      <c r="V688" s="115"/>
      <c r="W688" s="116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  <c r="BN688" s="115"/>
      <c r="BO688" s="115"/>
      <c r="BP688" s="115"/>
      <c r="BQ688" s="115"/>
      <c r="BR688" s="115"/>
      <c r="BS688" s="115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  <c r="CJ688" s="115"/>
      <c r="CK688" s="115"/>
      <c r="CL688" s="115"/>
      <c r="CM688" s="115"/>
      <c r="CN688" s="115"/>
      <c r="CO688" s="115"/>
    </row>
    <row r="689" spans="1:93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  <c r="U689" s="115"/>
      <c r="V689" s="115"/>
      <c r="W689" s="116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  <c r="BN689" s="115"/>
      <c r="BO689" s="115"/>
      <c r="BP689" s="115"/>
      <c r="BQ689" s="115"/>
      <c r="BR689" s="115"/>
      <c r="BS689" s="115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  <c r="CJ689" s="115"/>
      <c r="CK689" s="115"/>
      <c r="CL689" s="115"/>
      <c r="CM689" s="115"/>
      <c r="CN689" s="115"/>
      <c r="CO689" s="115"/>
    </row>
    <row r="690" spans="1:93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  <c r="U690" s="115"/>
      <c r="V690" s="115"/>
      <c r="W690" s="116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</row>
    <row r="691" spans="1:93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  <c r="U691" s="115"/>
      <c r="V691" s="115"/>
      <c r="W691" s="116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  <c r="BN691" s="115"/>
      <c r="BO691" s="115"/>
      <c r="BP691" s="115"/>
      <c r="BQ691" s="115"/>
      <c r="BR691" s="115"/>
      <c r="BS691" s="115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  <c r="CJ691" s="115"/>
      <c r="CK691" s="115"/>
      <c r="CL691" s="115"/>
      <c r="CM691" s="115"/>
      <c r="CN691" s="115"/>
      <c r="CO691" s="115"/>
    </row>
    <row r="692" spans="1:93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  <c r="U692" s="115"/>
      <c r="V692" s="115"/>
      <c r="W692" s="116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</row>
    <row r="693" spans="1:93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  <c r="U693" s="115"/>
      <c r="V693" s="115"/>
      <c r="W693" s="116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</row>
    <row r="694" spans="1:93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  <c r="U694" s="115"/>
      <c r="V694" s="115"/>
      <c r="W694" s="116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</row>
    <row r="695" spans="1:93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  <c r="U695" s="115"/>
      <c r="V695" s="115"/>
      <c r="W695" s="116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  <c r="BN695" s="115"/>
      <c r="BO695" s="115"/>
      <c r="BP695" s="115"/>
      <c r="BQ695" s="115"/>
      <c r="BR695" s="115"/>
      <c r="BS695" s="115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  <c r="CJ695" s="115"/>
      <c r="CK695" s="115"/>
      <c r="CL695" s="115"/>
      <c r="CM695" s="115"/>
      <c r="CN695" s="115"/>
      <c r="CO695" s="115"/>
    </row>
    <row r="696" spans="1:93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  <c r="U696" s="115"/>
      <c r="V696" s="115"/>
      <c r="W696" s="116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  <c r="BN696" s="115"/>
      <c r="BO696" s="115"/>
      <c r="BP696" s="115"/>
      <c r="BQ696" s="115"/>
      <c r="BR696" s="115"/>
      <c r="BS696" s="115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  <c r="CJ696" s="115"/>
      <c r="CK696" s="115"/>
      <c r="CL696" s="115"/>
      <c r="CM696" s="115"/>
      <c r="CN696" s="115"/>
      <c r="CO696" s="115"/>
    </row>
    <row r="697" spans="1:93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  <c r="U697" s="115"/>
      <c r="V697" s="115"/>
      <c r="W697" s="116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  <c r="BN697" s="115"/>
      <c r="BO697" s="115"/>
      <c r="BP697" s="115"/>
      <c r="BQ697" s="115"/>
      <c r="BR697" s="115"/>
      <c r="BS697" s="115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  <c r="CJ697" s="115"/>
      <c r="CK697" s="115"/>
      <c r="CL697" s="115"/>
      <c r="CM697" s="115"/>
      <c r="CN697" s="115"/>
      <c r="CO697" s="115"/>
    </row>
    <row r="698" spans="1:93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  <c r="U698" s="115"/>
      <c r="V698" s="115"/>
      <c r="W698" s="116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  <c r="BN698" s="115"/>
      <c r="BO698" s="115"/>
      <c r="BP698" s="115"/>
      <c r="BQ698" s="115"/>
      <c r="BR698" s="115"/>
      <c r="BS698" s="115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  <c r="CJ698" s="115"/>
      <c r="CK698" s="115"/>
      <c r="CL698" s="115"/>
      <c r="CM698" s="115"/>
      <c r="CN698" s="115"/>
      <c r="CO698" s="115"/>
    </row>
    <row r="699" spans="1:93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  <c r="U699" s="115"/>
      <c r="V699" s="115"/>
      <c r="W699" s="116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  <c r="BN699" s="115"/>
      <c r="BO699" s="115"/>
      <c r="BP699" s="115"/>
      <c r="BQ699" s="115"/>
      <c r="BR699" s="115"/>
      <c r="BS699" s="115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  <c r="CJ699" s="115"/>
      <c r="CK699" s="115"/>
      <c r="CL699" s="115"/>
      <c r="CM699" s="115"/>
      <c r="CN699" s="115"/>
      <c r="CO699" s="115"/>
    </row>
    <row r="700" spans="1:93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  <c r="U700" s="115"/>
      <c r="V700" s="115"/>
      <c r="W700" s="116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  <c r="BN700" s="115"/>
      <c r="BO700" s="115"/>
      <c r="BP700" s="115"/>
      <c r="BQ700" s="115"/>
      <c r="BR700" s="115"/>
      <c r="BS700" s="115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  <c r="CJ700" s="115"/>
      <c r="CK700" s="115"/>
      <c r="CL700" s="115"/>
      <c r="CM700" s="115"/>
      <c r="CN700" s="115"/>
      <c r="CO700" s="115"/>
    </row>
    <row r="701" spans="1:93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  <c r="U701" s="115"/>
      <c r="V701" s="115"/>
      <c r="W701" s="116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  <c r="BN701" s="115"/>
      <c r="BO701" s="115"/>
      <c r="BP701" s="115"/>
      <c r="BQ701" s="115"/>
      <c r="BR701" s="115"/>
      <c r="BS701" s="115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  <c r="CJ701" s="115"/>
      <c r="CK701" s="115"/>
      <c r="CL701" s="115"/>
      <c r="CM701" s="115"/>
      <c r="CN701" s="115"/>
      <c r="CO701" s="115"/>
    </row>
    <row r="702" spans="1:93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  <c r="U702" s="115"/>
      <c r="V702" s="115"/>
      <c r="W702" s="116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</row>
    <row r="703" spans="1:93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  <c r="U703" s="115"/>
      <c r="V703" s="115"/>
      <c r="W703" s="116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  <c r="BN703" s="115"/>
      <c r="BO703" s="115"/>
      <c r="BP703" s="115"/>
      <c r="BQ703" s="115"/>
      <c r="BR703" s="115"/>
      <c r="BS703" s="115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  <c r="CJ703" s="115"/>
      <c r="CK703" s="115"/>
      <c r="CL703" s="115"/>
      <c r="CM703" s="115"/>
      <c r="CN703" s="115"/>
      <c r="CO703" s="115"/>
    </row>
    <row r="704" spans="1:93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  <c r="U704" s="115"/>
      <c r="V704" s="115"/>
      <c r="W704" s="116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</row>
    <row r="705" spans="1:93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  <c r="U705" s="115"/>
      <c r="V705" s="115"/>
      <c r="W705" s="116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  <c r="BN705" s="115"/>
      <c r="BO705" s="115"/>
      <c r="BP705" s="115"/>
      <c r="BQ705" s="115"/>
      <c r="BR705" s="115"/>
      <c r="BS705" s="115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  <c r="CJ705" s="115"/>
      <c r="CK705" s="115"/>
      <c r="CL705" s="115"/>
      <c r="CM705" s="115"/>
      <c r="CN705" s="115"/>
      <c r="CO705" s="115"/>
    </row>
    <row r="706" spans="1:93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  <c r="U706" s="115"/>
      <c r="V706" s="115"/>
      <c r="W706" s="116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  <c r="BN706" s="115"/>
      <c r="BO706" s="115"/>
      <c r="BP706" s="115"/>
      <c r="BQ706" s="115"/>
      <c r="BR706" s="115"/>
      <c r="BS706" s="115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  <c r="CJ706" s="115"/>
      <c r="CK706" s="115"/>
      <c r="CL706" s="115"/>
      <c r="CM706" s="115"/>
      <c r="CN706" s="115"/>
      <c r="CO706" s="115"/>
    </row>
    <row r="707" spans="1:93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  <c r="U707" s="115"/>
      <c r="V707" s="115"/>
      <c r="W707" s="116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  <c r="BN707" s="115"/>
      <c r="BO707" s="115"/>
      <c r="BP707" s="115"/>
      <c r="BQ707" s="115"/>
      <c r="BR707" s="115"/>
      <c r="BS707" s="115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  <c r="CJ707" s="115"/>
      <c r="CK707" s="115"/>
      <c r="CL707" s="115"/>
      <c r="CM707" s="115"/>
      <c r="CN707" s="115"/>
      <c r="CO707" s="115"/>
    </row>
    <row r="708" spans="1:93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  <c r="U708" s="115"/>
      <c r="V708" s="115"/>
      <c r="W708" s="116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  <c r="BN708" s="115"/>
      <c r="BO708" s="115"/>
      <c r="BP708" s="115"/>
      <c r="BQ708" s="115"/>
      <c r="BR708" s="115"/>
      <c r="BS708" s="115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  <c r="CJ708" s="115"/>
      <c r="CK708" s="115"/>
      <c r="CL708" s="115"/>
      <c r="CM708" s="115"/>
      <c r="CN708" s="115"/>
      <c r="CO708" s="115"/>
    </row>
    <row r="709" spans="1:93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  <c r="U709" s="115"/>
      <c r="V709" s="115"/>
      <c r="W709" s="116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  <c r="BN709" s="115"/>
      <c r="BO709" s="115"/>
      <c r="BP709" s="115"/>
      <c r="BQ709" s="115"/>
      <c r="BR709" s="115"/>
      <c r="BS709" s="115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  <c r="CJ709" s="115"/>
      <c r="CK709" s="115"/>
      <c r="CL709" s="115"/>
      <c r="CM709" s="115"/>
      <c r="CN709" s="115"/>
      <c r="CO709" s="115"/>
    </row>
    <row r="710" spans="1:93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  <c r="U710" s="115"/>
      <c r="V710" s="115"/>
      <c r="W710" s="116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  <c r="BN710" s="115"/>
      <c r="BO710" s="115"/>
      <c r="BP710" s="115"/>
      <c r="BQ710" s="115"/>
      <c r="BR710" s="115"/>
      <c r="BS710" s="115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  <c r="CJ710" s="115"/>
      <c r="CK710" s="115"/>
      <c r="CL710" s="115"/>
      <c r="CM710" s="115"/>
      <c r="CN710" s="115"/>
      <c r="CO710" s="115"/>
    </row>
    <row r="711" spans="1:93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  <c r="U711" s="115"/>
      <c r="V711" s="115"/>
      <c r="W711" s="116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  <c r="BN711" s="115"/>
      <c r="BO711" s="115"/>
      <c r="BP711" s="115"/>
      <c r="BQ711" s="115"/>
      <c r="BR711" s="115"/>
      <c r="BS711" s="115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  <c r="CJ711" s="115"/>
      <c r="CK711" s="115"/>
      <c r="CL711" s="115"/>
      <c r="CM711" s="115"/>
      <c r="CN711" s="115"/>
      <c r="CO711" s="115"/>
    </row>
    <row r="712" spans="1:93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  <c r="U712" s="115"/>
      <c r="V712" s="115"/>
      <c r="W712" s="116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  <c r="BN712" s="115"/>
      <c r="BO712" s="115"/>
      <c r="BP712" s="115"/>
      <c r="BQ712" s="115"/>
      <c r="BR712" s="115"/>
      <c r="BS712" s="115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  <c r="CJ712" s="115"/>
      <c r="CK712" s="115"/>
      <c r="CL712" s="115"/>
      <c r="CM712" s="115"/>
      <c r="CN712" s="115"/>
      <c r="CO712" s="115"/>
    </row>
    <row r="713" spans="1:93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  <c r="U713" s="115"/>
      <c r="V713" s="115"/>
      <c r="W713" s="116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  <c r="BN713" s="115"/>
      <c r="BO713" s="115"/>
      <c r="BP713" s="115"/>
      <c r="BQ713" s="115"/>
      <c r="BR713" s="115"/>
      <c r="BS713" s="115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  <c r="CJ713" s="115"/>
      <c r="CK713" s="115"/>
      <c r="CL713" s="115"/>
      <c r="CM713" s="115"/>
      <c r="CN713" s="115"/>
      <c r="CO713" s="115"/>
    </row>
    <row r="714" spans="1:93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  <c r="U714" s="115"/>
      <c r="V714" s="115"/>
      <c r="W714" s="116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  <c r="BN714" s="115"/>
      <c r="BO714" s="115"/>
      <c r="BP714" s="115"/>
      <c r="BQ714" s="115"/>
      <c r="BR714" s="115"/>
      <c r="BS714" s="115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  <c r="CJ714" s="115"/>
      <c r="CK714" s="115"/>
      <c r="CL714" s="115"/>
      <c r="CM714" s="115"/>
      <c r="CN714" s="115"/>
      <c r="CO714" s="115"/>
    </row>
    <row r="715" spans="1:93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  <c r="U715" s="115"/>
      <c r="V715" s="115"/>
      <c r="W715" s="116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  <c r="BN715" s="115"/>
      <c r="BO715" s="115"/>
      <c r="BP715" s="115"/>
      <c r="BQ715" s="115"/>
      <c r="BR715" s="115"/>
      <c r="BS715" s="115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  <c r="CJ715" s="115"/>
      <c r="CK715" s="115"/>
      <c r="CL715" s="115"/>
      <c r="CM715" s="115"/>
      <c r="CN715" s="115"/>
      <c r="CO715" s="115"/>
    </row>
    <row r="716" spans="1:93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  <c r="U716" s="115"/>
      <c r="V716" s="115"/>
      <c r="W716" s="116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</row>
    <row r="717" spans="1:93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  <c r="U717" s="115"/>
      <c r="V717" s="115"/>
      <c r="W717" s="116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</row>
    <row r="718" spans="1:93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  <c r="U718" s="115"/>
      <c r="V718" s="115"/>
      <c r="W718" s="116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  <c r="BN718" s="115"/>
      <c r="BO718" s="115"/>
      <c r="BP718" s="115"/>
      <c r="BQ718" s="115"/>
      <c r="BR718" s="115"/>
      <c r="BS718" s="115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  <c r="CJ718" s="115"/>
      <c r="CK718" s="115"/>
      <c r="CL718" s="115"/>
      <c r="CM718" s="115"/>
      <c r="CN718" s="115"/>
      <c r="CO718" s="115"/>
    </row>
    <row r="719" spans="1:93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  <c r="U719" s="115"/>
      <c r="V719" s="115"/>
      <c r="W719" s="116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  <c r="BN719" s="115"/>
      <c r="BO719" s="115"/>
      <c r="BP719" s="115"/>
      <c r="BQ719" s="115"/>
      <c r="BR719" s="115"/>
      <c r="BS719" s="115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  <c r="CJ719" s="115"/>
      <c r="CK719" s="115"/>
      <c r="CL719" s="115"/>
      <c r="CM719" s="115"/>
      <c r="CN719" s="115"/>
      <c r="CO719" s="115"/>
    </row>
    <row r="720" spans="1:93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  <c r="U720" s="115"/>
      <c r="V720" s="115"/>
      <c r="W720" s="116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  <c r="BN720" s="115"/>
      <c r="BO720" s="115"/>
      <c r="BP720" s="115"/>
      <c r="BQ720" s="115"/>
      <c r="BR720" s="115"/>
      <c r="BS720" s="115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  <c r="CJ720" s="115"/>
      <c r="CK720" s="115"/>
      <c r="CL720" s="115"/>
      <c r="CM720" s="115"/>
      <c r="CN720" s="115"/>
      <c r="CO720" s="115"/>
    </row>
    <row r="721" spans="1:93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  <c r="U721" s="115"/>
      <c r="V721" s="115"/>
      <c r="W721" s="116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  <c r="BN721" s="115"/>
      <c r="BO721" s="115"/>
      <c r="BP721" s="115"/>
      <c r="BQ721" s="115"/>
      <c r="BR721" s="115"/>
      <c r="BS721" s="115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  <c r="CJ721" s="115"/>
      <c r="CK721" s="115"/>
      <c r="CL721" s="115"/>
      <c r="CM721" s="115"/>
      <c r="CN721" s="115"/>
      <c r="CO721" s="115"/>
    </row>
    <row r="722" spans="1:93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  <c r="U722" s="115"/>
      <c r="V722" s="115"/>
      <c r="W722" s="116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  <c r="BN722" s="115"/>
      <c r="BO722" s="115"/>
      <c r="BP722" s="115"/>
      <c r="BQ722" s="115"/>
      <c r="BR722" s="115"/>
      <c r="BS722" s="115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  <c r="CJ722" s="115"/>
      <c r="CK722" s="115"/>
      <c r="CL722" s="115"/>
      <c r="CM722" s="115"/>
      <c r="CN722" s="115"/>
      <c r="CO722" s="115"/>
    </row>
    <row r="723" spans="1:93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  <c r="U723" s="115"/>
      <c r="V723" s="115"/>
      <c r="W723" s="116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  <c r="BN723" s="115"/>
      <c r="BO723" s="115"/>
      <c r="BP723" s="115"/>
      <c r="BQ723" s="115"/>
      <c r="BR723" s="115"/>
      <c r="BS723" s="115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  <c r="CJ723" s="115"/>
      <c r="CK723" s="115"/>
      <c r="CL723" s="115"/>
      <c r="CM723" s="115"/>
      <c r="CN723" s="115"/>
      <c r="CO723" s="115"/>
    </row>
    <row r="724" spans="1:93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  <c r="U724" s="115"/>
      <c r="V724" s="115"/>
      <c r="W724" s="116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  <c r="BN724" s="115"/>
      <c r="BO724" s="115"/>
      <c r="BP724" s="115"/>
      <c r="BQ724" s="115"/>
      <c r="BR724" s="115"/>
      <c r="BS724" s="115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  <c r="CJ724" s="115"/>
      <c r="CK724" s="115"/>
      <c r="CL724" s="115"/>
      <c r="CM724" s="115"/>
      <c r="CN724" s="115"/>
      <c r="CO724" s="115"/>
    </row>
    <row r="725" spans="1:93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  <c r="U725" s="115"/>
      <c r="V725" s="115"/>
      <c r="W725" s="116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  <c r="BN725" s="115"/>
      <c r="BO725" s="115"/>
      <c r="BP725" s="115"/>
      <c r="BQ725" s="115"/>
      <c r="BR725" s="115"/>
      <c r="BS725" s="115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  <c r="CJ725" s="115"/>
      <c r="CK725" s="115"/>
      <c r="CL725" s="115"/>
      <c r="CM725" s="115"/>
      <c r="CN725" s="115"/>
      <c r="CO725" s="115"/>
    </row>
    <row r="726" spans="1:93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  <c r="U726" s="115"/>
      <c r="V726" s="115"/>
      <c r="W726" s="116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  <c r="BN726" s="115"/>
      <c r="BO726" s="115"/>
      <c r="BP726" s="115"/>
      <c r="BQ726" s="115"/>
      <c r="BR726" s="115"/>
      <c r="BS726" s="115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  <c r="CJ726" s="115"/>
      <c r="CK726" s="115"/>
      <c r="CL726" s="115"/>
      <c r="CM726" s="115"/>
      <c r="CN726" s="115"/>
      <c r="CO726" s="115"/>
    </row>
    <row r="727" spans="1:93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  <c r="U727" s="115"/>
      <c r="V727" s="115"/>
      <c r="W727" s="116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  <c r="BN727" s="115"/>
      <c r="BO727" s="115"/>
      <c r="BP727" s="115"/>
      <c r="BQ727" s="115"/>
      <c r="BR727" s="115"/>
      <c r="BS727" s="115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  <c r="CJ727" s="115"/>
      <c r="CK727" s="115"/>
      <c r="CL727" s="115"/>
      <c r="CM727" s="115"/>
      <c r="CN727" s="115"/>
      <c r="CO727" s="115"/>
    </row>
    <row r="728" spans="1:93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  <c r="U728" s="115"/>
      <c r="V728" s="115"/>
      <c r="W728" s="116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  <c r="BN728" s="115"/>
      <c r="BO728" s="115"/>
      <c r="BP728" s="115"/>
      <c r="BQ728" s="115"/>
      <c r="BR728" s="115"/>
      <c r="BS728" s="115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  <c r="CJ728" s="115"/>
      <c r="CK728" s="115"/>
      <c r="CL728" s="115"/>
      <c r="CM728" s="115"/>
      <c r="CN728" s="115"/>
      <c r="CO728" s="115"/>
    </row>
    <row r="729" spans="1:93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  <c r="U729" s="115"/>
      <c r="V729" s="115"/>
      <c r="W729" s="116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  <c r="BN729" s="115"/>
      <c r="BO729" s="115"/>
      <c r="BP729" s="115"/>
      <c r="BQ729" s="115"/>
      <c r="BR729" s="115"/>
      <c r="BS729" s="115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  <c r="CJ729" s="115"/>
      <c r="CK729" s="115"/>
      <c r="CL729" s="115"/>
      <c r="CM729" s="115"/>
      <c r="CN729" s="115"/>
      <c r="CO729" s="115"/>
    </row>
    <row r="730" spans="1:93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  <c r="U730" s="115"/>
      <c r="V730" s="115"/>
      <c r="W730" s="116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  <c r="BN730" s="115"/>
      <c r="BO730" s="115"/>
      <c r="BP730" s="115"/>
      <c r="BQ730" s="115"/>
      <c r="BR730" s="115"/>
      <c r="BS730" s="115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  <c r="CJ730" s="115"/>
      <c r="CK730" s="115"/>
      <c r="CL730" s="115"/>
      <c r="CM730" s="115"/>
      <c r="CN730" s="115"/>
      <c r="CO730" s="115"/>
    </row>
    <row r="731" spans="1:93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  <c r="U731" s="115"/>
      <c r="V731" s="115"/>
      <c r="W731" s="116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  <c r="BN731" s="115"/>
      <c r="BO731" s="115"/>
      <c r="BP731" s="115"/>
      <c r="BQ731" s="115"/>
      <c r="BR731" s="115"/>
      <c r="BS731" s="115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  <c r="CJ731" s="115"/>
      <c r="CK731" s="115"/>
      <c r="CL731" s="115"/>
      <c r="CM731" s="115"/>
      <c r="CN731" s="115"/>
      <c r="CO731" s="115"/>
    </row>
    <row r="732" spans="1:93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  <c r="U732" s="115"/>
      <c r="V732" s="115"/>
      <c r="W732" s="116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  <c r="BN732" s="115"/>
      <c r="BO732" s="115"/>
      <c r="BP732" s="115"/>
      <c r="BQ732" s="115"/>
      <c r="BR732" s="115"/>
      <c r="BS732" s="115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  <c r="CJ732" s="115"/>
      <c r="CK732" s="115"/>
      <c r="CL732" s="115"/>
      <c r="CM732" s="115"/>
      <c r="CN732" s="115"/>
      <c r="CO732" s="115"/>
    </row>
    <row r="733" spans="1:93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  <c r="U733" s="115"/>
      <c r="V733" s="115"/>
      <c r="W733" s="116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  <c r="BN733" s="115"/>
      <c r="BO733" s="115"/>
      <c r="BP733" s="115"/>
      <c r="BQ733" s="115"/>
      <c r="BR733" s="115"/>
      <c r="BS733" s="115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  <c r="CJ733" s="115"/>
      <c r="CK733" s="115"/>
      <c r="CL733" s="115"/>
      <c r="CM733" s="115"/>
      <c r="CN733" s="115"/>
      <c r="CO733" s="115"/>
    </row>
    <row r="734" spans="1:93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  <c r="U734" s="115"/>
      <c r="V734" s="115"/>
      <c r="W734" s="116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  <c r="BN734" s="115"/>
      <c r="BO734" s="115"/>
      <c r="BP734" s="115"/>
      <c r="BQ734" s="115"/>
      <c r="BR734" s="115"/>
      <c r="BS734" s="115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  <c r="CJ734" s="115"/>
      <c r="CK734" s="115"/>
      <c r="CL734" s="115"/>
      <c r="CM734" s="115"/>
      <c r="CN734" s="115"/>
      <c r="CO734" s="115"/>
    </row>
    <row r="735" spans="1:93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  <c r="U735" s="115"/>
      <c r="V735" s="115"/>
      <c r="W735" s="116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</row>
    <row r="736" spans="1:93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  <c r="U736" s="115"/>
      <c r="V736" s="115"/>
      <c r="W736" s="116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  <c r="BN736" s="115"/>
      <c r="BO736" s="115"/>
      <c r="BP736" s="115"/>
      <c r="BQ736" s="115"/>
      <c r="BR736" s="115"/>
      <c r="BS736" s="115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  <c r="CJ736" s="115"/>
      <c r="CK736" s="115"/>
      <c r="CL736" s="115"/>
      <c r="CM736" s="115"/>
      <c r="CN736" s="115"/>
      <c r="CO736" s="115"/>
    </row>
    <row r="737" spans="1:93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  <c r="U737" s="115"/>
      <c r="V737" s="115"/>
      <c r="W737" s="116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  <c r="BN737" s="115"/>
      <c r="BO737" s="115"/>
      <c r="BP737" s="115"/>
      <c r="BQ737" s="115"/>
      <c r="BR737" s="115"/>
      <c r="BS737" s="115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  <c r="CJ737" s="115"/>
      <c r="CK737" s="115"/>
      <c r="CL737" s="115"/>
      <c r="CM737" s="115"/>
      <c r="CN737" s="115"/>
      <c r="CO737" s="115"/>
    </row>
    <row r="738" spans="1:93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  <c r="U738" s="115"/>
      <c r="V738" s="115"/>
      <c r="W738" s="116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  <c r="BN738" s="115"/>
      <c r="BO738" s="115"/>
      <c r="BP738" s="115"/>
      <c r="BQ738" s="115"/>
      <c r="BR738" s="115"/>
      <c r="BS738" s="115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  <c r="CJ738" s="115"/>
      <c r="CK738" s="115"/>
      <c r="CL738" s="115"/>
      <c r="CM738" s="115"/>
      <c r="CN738" s="115"/>
      <c r="CO738" s="115"/>
    </row>
    <row r="739" spans="1:93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  <c r="U739" s="115"/>
      <c r="V739" s="115"/>
      <c r="W739" s="116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  <c r="BN739" s="115"/>
      <c r="BO739" s="115"/>
      <c r="BP739" s="115"/>
      <c r="BQ739" s="115"/>
      <c r="BR739" s="115"/>
      <c r="BS739" s="115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  <c r="CJ739" s="115"/>
      <c r="CK739" s="115"/>
      <c r="CL739" s="115"/>
      <c r="CM739" s="115"/>
      <c r="CN739" s="115"/>
      <c r="CO739" s="115"/>
    </row>
    <row r="740" spans="1:93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  <c r="U740" s="115"/>
      <c r="V740" s="115"/>
      <c r="W740" s="116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  <c r="BN740" s="115"/>
      <c r="BO740" s="115"/>
      <c r="BP740" s="115"/>
      <c r="BQ740" s="115"/>
      <c r="BR740" s="115"/>
      <c r="BS740" s="115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  <c r="CJ740" s="115"/>
      <c r="CK740" s="115"/>
      <c r="CL740" s="115"/>
      <c r="CM740" s="115"/>
      <c r="CN740" s="115"/>
      <c r="CO740" s="115"/>
    </row>
    <row r="741" spans="1:93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  <c r="U741" s="115"/>
      <c r="V741" s="115"/>
      <c r="W741" s="116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  <c r="BN741" s="115"/>
      <c r="BO741" s="115"/>
      <c r="BP741" s="115"/>
      <c r="BQ741" s="115"/>
      <c r="BR741" s="115"/>
      <c r="BS741" s="115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  <c r="CJ741" s="115"/>
      <c r="CK741" s="115"/>
      <c r="CL741" s="115"/>
      <c r="CM741" s="115"/>
      <c r="CN741" s="115"/>
      <c r="CO741" s="115"/>
    </row>
    <row r="742" spans="1:93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  <c r="U742" s="115"/>
      <c r="V742" s="115"/>
      <c r="W742" s="116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  <c r="BN742" s="115"/>
      <c r="BO742" s="115"/>
      <c r="BP742" s="115"/>
      <c r="BQ742" s="115"/>
      <c r="BR742" s="115"/>
      <c r="BS742" s="115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  <c r="CJ742" s="115"/>
      <c r="CK742" s="115"/>
      <c r="CL742" s="115"/>
      <c r="CM742" s="115"/>
      <c r="CN742" s="115"/>
      <c r="CO742" s="115"/>
    </row>
    <row r="743" spans="1:93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  <c r="U743" s="115"/>
      <c r="V743" s="115"/>
      <c r="W743" s="116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</row>
    <row r="744" spans="1:93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  <c r="U744" s="115"/>
      <c r="V744" s="115"/>
      <c r="W744" s="116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</row>
    <row r="745" spans="1:93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  <c r="U745" s="115"/>
      <c r="V745" s="115"/>
      <c r="W745" s="116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</row>
    <row r="746" spans="1:93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  <c r="U746" s="115"/>
      <c r="V746" s="115"/>
      <c r="W746" s="116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  <c r="BN746" s="115"/>
      <c r="BO746" s="115"/>
      <c r="BP746" s="115"/>
      <c r="BQ746" s="115"/>
      <c r="BR746" s="115"/>
      <c r="BS746" s="115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  <c r="CJ746" s="115"/>
      <c r="CK746" s="115"/>
      <c r="CL746" s="115"/>
      <c r="CM746" s="115"/>
      <c r="CN746" s="115"/>
      <c r="CO746" s="115"/>
    </row>
    <row r="747" spans="1:93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  <c r="U747" s="115"/>
      <c r="V747" s="115"/>
      <c r="W747" s="116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  <c r="BN747" s="115"/>
      <c r="BO747" s="115"/>
      <c r="BP747" s="115"/>
      <c r="BQ747" s="115"/>
      <c r="BR747" s="115"/>
      <c r="BS747" s="115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  <c r="CJ747" s="115"/>
      <c r="CK747" s="115"/>
      <c r="CL747" s="115"/>
      <c r="CM747" s="115"/>
      <c r="CN747" s="115"/>
      <c r="CO747" s="115"/>
    </row>
    <row r="748" spans="1:93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  <c r="U748" s="115"/>
      <c r="V748" s="115"/>
      <c r="W748" s="116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  <c r="BN748" s="115"/>
      <c r="BO748" s="115"/>
      <c r="BP748" s="115"/>
      <c r="BQ748" s="115"/>
      <c r="BR748" s="115"/>
      <c r="BS748" s="115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  <c r="CJ748" s="115"/>
      <c r="CK748" s="115"/>
      <c r="CL748" s="115"/>
      <c r="CM748" s="115"/>
      <c r="CN748" s="115"/>
      <c r="CO748" s="115"/>
    </row>
    <row r="749" spans="1:93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  <c r="U749" s="115"/>
      <c r="V749" s="115"/>
      <c r="W749" s="116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</row>
    <row r="750" spans="1:93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  <c r="U750" s="115"/>
      <c r="V750" s="115"/>
      <c r="W750" s="116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  <c r="BN750" s="115"/>
      <c r="BO750" s="115"/>
      <c r="BP750" s="115"/>
      <c r="BQ750" s="115"/>
      <c r="BR750" s="115"/>
      <c r="BS750" s="115"/>
      <c r="BT750" s="115"/>
      <c r="BU750" s="115"/>
      <c r="BV750" s="115"/>
      <c r="BW750" s="115"/>
      <c r="BX750" s="115"/>
      <c r="BY750" s="115"/>
      <c r="BZ750" s="115"/>
      <c r="CA750" s="115"/>
      <c r="CB750" s="115"/>
      <c r="CC750" s="115"/>
      <c r="CD750" s="115"/>
      <c r="CE750" s="115"/>
      <c r="CF750" s="115"/>
      <c r="CG750" s="115"/>
      <c r="CH750" s="115"/>
      <c r="CI750" s="115"/>
      <c r="CJ750" s="115"/>
      <c r="CK750" s="115"/>
      <c r="CL750" s="115"/>
      <c r="CM750" s="115"/>
      <c r="CN750" s="115"/>
      <c r="CO750" s="115"/>
    </row>
    <row r="751" spans="1:93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  <c r="U751" s="115"/>
      <c r="V751" s="115"/>
      <c r="W751" s="116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  <c r="CJ751" s="115"/>
      <c r="CK751" s="115"/>
      <c r="CL751" s="115"/>
      <c r="CM751" s="115"/>
      <c r="CN751" s="115"/>
      <c r="CO751" s="115"/>
    </row>
    <row r="752" spans="1:93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  <c r="U752" s="115"/>
      <c r="V752" s="115"/>
      <c r="W752" s="116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  <c r="BN752" s="115"/>
      <c r="BO752" s="115"/>
      <c r="BP752" s="115"/>
      <c r="BQ752" s="115"/>
      <c r="BR752" s="115"/>
      <c r="BS752" s="115"/>
      <c r="BT752" s="115"/>
      <c r="BU752" s="115"/>
      <c r="BV752" s="115"/>
      <c r="BW752" s="115"/>
      <c r="BX752" s="115"/>
      <c r="BY752" s="115"/>
      <c r="BZ752" s="115"/>
      <c r="CA752" s="115"/>
      <c r="CB752" s="115"/>
      <c r="CC752" s="115"/>
      <c r="CD752" s="115"/>
      <c r="CE752" s="115"/>
      <c r="CF752" s="115"/>
      <c r="CG752" s="115"/>
      <c r="CH752" s="115"/>
      <c r="CI752" s="115"/>
      <c r="CJ752" s="115"/>
      <c r="CK752" s="115"/>
      <c r="CL752" s="115"/>
      <c r="CM752" s="115"/>
      <c r="CN752" s="115"/>
      <c r="CO752" s="115"/>
    </row>
    <row r="753" spans="1:93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  <c r="U753" s="115"/>
      <c r="V753" s="115"/>
      <c r="W753" s="116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A753" s="115"/>
      <c r="CB753" s="115"/>
      <c r="CC753" s="115"/>
      <c r="CD753" s="115"/>
      <c r="CE753" s="115"/>
      <c r="CF753" s="115"/>
      <c r="CG753" s="115"/>
      <c r="CH753" s="115"/>
      <c r="CI753" s="115"/>
      <c r="CJ753" s="115"/>
      <c r="CK753" s="115"/>
      <c r="CL753" s="115"/>
      <c r="CM753" s="115"/>
      <c r="CN753" s="115"/>
      <c r="CO753" s="115"/>
    </row>
    <row r="754" spans="1:93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  <c r="U754" s="115"/>
      <c r="V754" s="115"/>
      <c r="W754" s="116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  <c r="CJ754" s="115"/>
      <c r="CK754" s="115"/>
      <c r="CL754" s="115"/>
      <c r="CM754" s="115"/>
      <c r="CN754" s="115"/>
      <c r="CO754" s="115"/>
    </row>
    <row r="755" spans="1:93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  <c r="U755" s="115"/>
      <c r="V755" s="115"/>
      <c r="W755" s="116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  <c r="BN755" s="115"/>
      <c r="BO755" s="115"/>
      <c r="BP755" s="115"/>
      <c r="BQ755" s="115"/>
      <c r="BR755" s="115"/>
      <c r="BS755" s="115"/>
      <c r="BT755" s="115"/>
      <c r="BU755" s="115"/>
      <c r="BV755" s="115"/>
      <c r="BW755" s="115"/>
      <c r="BX755" s="115"/>
      <c r="BY755" s="115"/>
      <c r="BZ755" s="115"/>
      <c r="CA755" s="115"/>
      <c r="CB755" s="115"/>
      <c r="CC755" s="115"/>
      <c r="CD755" s="115"/>
      <c r="CE755" s="115"/>
      <c r="CF755" s="115"/>
      <c r="CG755" s="115"/>
      <c r="CH755" s="115"/>
      <c r="CI755" s="115"/>
      <c r="CJ755" s="115"/>
      <c r="CK755" s="115"/>
      <c r="CL755" s="115"/>
      <c r="CM755" s="115"/>
      <c r="CN755" s="115"/>
      <c r="CO755" s="115"/>
    </row>
    <row r="756" spans="1:93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  <c r="U756" s="115"/>
      <c r="V756" s="115"/>
      <c r="W756" s="116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  <c r="BN756" s="115"/>
      <c r="BO756" s="115"/>
      <c r="BP756" s="115"/>
      <c r="BQ756" s="115"/>
      <c r="BR756" s="115"/>
      <c r="BS756" s="115"/>
      <c r="BT756" s="115"/>
      <c r="BU756" s="115"/>
      <c r="BV756" s="115"/>
      <c r="BW756" s="115"/>
      <c r="BX756" s="115"/>
      <c r="BY756" s="115"/>
      <c r="BZ756" s="115"/>
      <c r="CA756" s="115"/>
      <c r="CB756" s="115"/>
      <c r="CC756" s="115"/>
      <c r="CD756" s="115"/>
      <c r="CE756" s="115"/>
      <c r="CF756" s="115"/>
      <c r="CG756" s="115"/>
      <c r="CH756" s="115"/>
      <c r="CI756" s="115"/>
      <c r="CJ756" s="115"/>
      <c r="CK756" s="115"/>
      <c r="CL756" s="115"/>
      <c r="CM756" s="115"/>
      <c r="CN756" s="115"/>
      <c r="CO756" s="115"/>
    </row>
    <row r="757" spans="1:93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  <c r="U757" s="115"/>
      <c r="V757" s="115"/>
      <c r="W757" s="116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  <c r="BN757" s="115"/>
      <c r="BO757" s="115"/>
      <c r="BP757" s="115"/>
      <c r="BQ757" s="115"/>
      <c r="BR757" s="115"/>
      <c r="BS757" s="115"/>
      <c r="BT757" s="115"/>
      <c r="BU757" s="115"/>
      <c r="BV757" s="115"/>
      <c r="BW757" s="115"/>
      <c r="BX757" s="115"/>
      <c r="BY757" s="115"/>
      <c r="BZ757" s="115"/>
      <c r="CA757" s="115"/>
      <c r="CB757" s="115"/>
      <c r="CC757" s="115"/>
      <c r="CD757" s="115"/>
      <c r="CE757" s="115"/>
      <c r="CF757" s="115"/>
      <c r="CG757" s="115"/>
      <c r="CH757" s="115"/>
      <c r="CI757" s="115"/>
      <c r="CJ757" s="115"/>
      <c r="CK757" s="115"/>
      <c r="CL757" s="115"/>
      <c r="CM757" s="115"/>
      <c r="CN757" s="115"/>
      <c r="CO757" s="115"/>
    </row>
    <row r="758" spans="1:93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  <c r="U758" s="115"/>
      <c r="V758" s="115"/>
      <c r="W758" s="116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  <c r="BN758" s="115"/>
      <c r="BO758" s="115"/>
      <c r="BP758" s="115"/>
      <c r="BQ758" s="115"/>
      <c r="BR758" s="115"/>
      <c r="BS758" s="115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  <c r="CJ758" s="115"/>
      <c r="CK758" s="115"/>
      <c r="CL758" s="115"/>
      <c r="CM758" s="115"/>
      <c r="CN758" s="115"/>
      <c r="CO758" s="115"/>
    </row>
    <row r="759" spans="1:93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  <c r="U759" s="115"/>
      <c r="V759" s="115"/>
      <c r="W759" s="116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  <c r="CJ759" s="115"/>
      <c r="CK759" s="115"/>
      <c r="CL759" s="115"/>
      <c r="CM759" s="115"/>
      <c r="CN759" s="115"/>
      <c r="CO759" s="115"/>
    </row>
    <row r="760" spans="1:93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  <c r="U760" s="115"/>
      <c r="V760" s="115"/>
      <c r="W760" s="116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  <c r="BN760" s="115"/>
      <c r="BO760" s="115"/>
      <c r="BP760" s="115"/>
      <c r="BQ760" s="115"/>
      <c r="BR760" s="115"/>
      <c r="BS760" s="115"/>
      <c r="BT760" s="115"/>
      <c r="BU760" s="115"/>
      <c r="BV760" s="115"/>
      <c r="BW760" s="115"/>
      <c r="BX760" s="115"/>
      <c r="BY760" s="115"/>
      <c r="BZ760" s="115"/>
      <c r="CA760" s="115"/>
      <c r="CB760" s="115"/>
      <c r="CC760" s="115"/>
      <c r="CD760" s="115"/>
      <c r="CE760" s="115"/>
      <c r="CF760" s="115"/>
      <c r="CG760" s="115"/>
      <c r="CH760" s="115"/>
      <c r="CI760" s="115"/>
      <c r="CJ760" s="115"/>
      <c r="CK760" s="115"/>
      <c r="CL760" s="115"/>
      <c r="CM760" s="115"/>
      <c r="CN760" s="115"/>
      <c r="CO760" s="115"/>
    </row>
    <row r="761" spans="1:93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  <c r="U761" s="115"/>
      <c r="V761" s="115"/>
      <c r="W761" s="116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  <c r="BN761" s="115"/>
      <c r="BO761" s="115"/>
      <c r="BP761" s="115"/>
      <c r="BQ761" s="115"/>
      <c r="BR761" s="115"/>
      <c r="BS761" s="115"/>
      <c r="BT761" s="115"/>
      <c r="BU761" s="115"/>
      <c r="BV761" s="115"/>
      <c r="BW761" s="115"/>
      <c r="BX761" s="115"/>
      <c r="BY761" s="115"/>
      <c r="BZ761" s="115"/>
      <c r="CA761" s="115"/>
      <c r="CB761" s="115"/>
      <c r="CC761" s="115"/>
      <c r="CD761" s="115"/>
      <c r="CE761" s="115"/>
      <c r="CF761" s="115"/>
      <c r="CG761" s="115"/>
      <c r="CH761" s="115"/>
      <c r="CI761" s="115"/>
      <c r="CJ761" s="115"/>
      <c r="CK761" s="115"/>
      <c r="CL761" s="115"/>
      <c r="CM761" s="115"/>
      <c r="CN761" s="115"/>
      <c r="CO761" s="115"/>
    </row>
    <row r="762" spans="1:93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  <c r="U762" s="115"/>
      <c r="V762" s="115"/>
      <c r="W762" s="116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  <c r="BN762" s="115"/>
      <c r="BO762" s="115"/>
      <c r="BP762" s="115"/>
      <c r="BQ762" s="115"/>
      <c r="BR762" s="115"/>
      <c r="BS762" s="115"/>
      <c r="BT762" s="115"/>
      <c r="BU762" s="115"/>
      <c r="BV762" s="115"/>
      <c r="BW762" s="115"/>
      <c r="BX762" s="115"/>
      <c r="BY762" s="115"/>
      <c r="BZ762" s="115"/>
      <c r="CA762" s="115"/>
      <c r="CB762" s="115"/>
      <c r="CC762" s="115"/>
      <c r="CD762" s="115"/>
      <c r="CE762" s="115"/>
      <c r="CF762" s="115"/>
      <c r="CG762" s="115"/>
      <c r="CH762" s="115"/>
      <c r="CI762" s="115"/>
      <c r="CJ762" s="115"/>
      <c r="CK762" s="115"/>
      <c r="CL762" s="115"/>
      <c r="CM762" s="115"/>
      <c r="CN762" s="115"/>
      <c r="CO762" s="115"/>
    </row>
    <row r="763" spans="1:93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  <c r="U763" s="115"/>
      <c r="V763" s="115"/>
      <c r="W763" s="116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  <c r="BN763" s="115"/>
      <c r="BO763" s="115"/>
      <c r="BP763" s="115"/>
      <c r="BQ763" s="115"/>
      <c r="BR763" s="115"/>
      <c r="BS763" s="115"/>
      <c r="BT763" s="115"/>
      <c r="BU763" s="115"/>
      <c r="BV763" s="115"/>
      <c r="BW763" s="115"/>
      <c r="BX763" s="115"/>
      <c r="BY763" s="115"/>
      <c r="BZ763" s="115"/>
      <c r="CA763" s="115"/>
      <c r="CB763" s="115"/>
      <c r="CC763" s="115"/>
      <c r="CD763" s="115"/>
      <c r="CE763" s="115"/>
      <c r="CF763" s="115"/>
      <c r="CG763" s="115"/>
      <c r="CH763" s="115"/>
      <c r="CI763" s="115"/>
      <c r="CJ763" s="115"/>
      <c r="CK763" s="115"/>
      <c r="CL763" s="115"/>
      <c r="CM763" s="115"/>
      <c r="CN763" s="115"/>
      <c r="CO763" s="115"/>
    </row>
    <row r="764" spans="1:93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  <c r="U764" s="115"/>
      <c r="V764" s="115"/>
      <c r="W764" s="116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  <c r="BN764" s="115"/>
      <c r="BO764" s="115"/>
      <c r="BP764" s="115"/>
      <c r="BQ764" s="115"/>
      <c r="BR764" s="115"/>
      <c r="BS764" s="115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  <c r="CJ764" s="115"/>
      <c r="CK764" s="115"/>
      <c r="CL764" s="115"/>
      <c r="CM764" s="115"/>
      <c r="CN764" s="115"/>
      <c r="CO764" s="115"/>
    </row>
    <row r="765" spans="1:93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  <c r="U765" s="115"/>
      <c r="V765" s="115"/>
      <c r="W765" s="116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  <c r="BN765" s="115"/>
      <c r="BO765" s="115"/>
      <c r="BP765" s="115"/>
      <c r="BQ765" s="115"/>
      <c r="BR765" s="115"/>
      <c r="BS765" s="115"/>
      <c r="BT765" s="115"/>
      <c r="BU765" s="115"/>
      <c r="BV765" s="115"/>
      <c r="BW765" s="115"/>
      <c r="BX765" s="115"/>
      <c r="BY765" s="115"/>
      <c r="BZ765" s="115"/>
      <c r="CA765" s="115"/>
      <c r="CB765" s="115"/>
      <c r="CC765" s="115"/>
      <c r="CD765" s="115"/>
      <c r="CE765" s="115"/>
      <c r="CF765" s="115"/>
      <c r="CG765" s="115"/>
      <c r="CH765" s="115"/>
      <c r="CI765" s="115"/>
      <c r="CJ765" s="115"/>
      <c r="CK765" s="115"/>
      <c r="CL765" s="115"/>
      <c r="CM765" s="115"/>
      <c r="CN765" s="115"/>
      <c r="CO765" s="115"/>
    </row>
    <row r="766" spans="1:93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  <c r="U766" s="115"/>
      <c r="V766" s="115"/>
      <c r="W766" s="116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  <c r="BN766" s="115"/>
      <c r="BO766" s="115"/>
      <c r="BP766" s="115"/>
      <c r="BQ766" s="115"/>
      <c r="BR766" s="115"/>
      <c r="BS766" s="115"/>
      <c r="BT766" s="115"/>
      <c r="BU766" s="115"/>
      <c r="BV766" s="115"/>
      <c r="BW766" s="115"/>
      <c r="BX766" s="115"/>
      <c r="BY766" s="115"/>
      <c r="BZ766" s="115"/>
      <c r="CA766" s="115"/>
      <c r="CB766" s="115"/>
      <c r="CC766" s="115"/>
      <c r="CD766" s="115"/>
      <c r="CE766" s="115"/>
      <c r="CF766" s="115"/>
      <c r="CG766" s="115"/>
      <c r="CH766" s="115"/>
      <c r="CI766" s="115"/>
      <c r="CJ766" s="115"/>
      <c r="CK766" s="115"/>
      <c r="CL766" s="115"/>
      <c r="CM766" s="115"/>
      <c r="CN766" s="115"/>
      <c r="CO766" s="115"/>
    </row>
    <row r="767" spans="1:93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  <c r="U767" s="115"/>
      <c r="V767" s="115"/>
      <c r="W767" s="116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  <c r="BN767" s="115"/>
      <c r="BO767" s="115"/>
      <c r="BP767" s="115"/>
      <c r="BQ767" s="115"/>
      <c r="BR767" s="115"/>
      <c r="BS767" s="115"/>
      <c r="BT767" s="115"/>
      <c r="BU767" s="115"/>
      <c r="BV767" s="115"/>
      <c r="BW767" s="115"/>
      <c r="BX767" s="115"/>
      <c r="BY767" s="115"/>
      <c r="BZ767" s="115"/>
      <c r="CA767" s="115"/>
      <c r="CB767" s="115"/>
      <c r="CC767" s="115"/>
      <c r="CD767" s="115"/>
      <c r="CE767" s="115"/>
      <c r="CF767" s="115"/>
      <c r="CG767" s="115"/>
      <c r="CH767" s="115"/>
      <c r="CI767" s="115"/>
      <c r="CJ767" s="115"/>
      <c r="CK767" s="115"/>
      <c r="CL767" s="115"/>
      <c r="CM767" s="115"/>
      <c r="CN767" s="115"/>
      <c r="CO767" s="115"/>
    </row>
    <row r="768" spans="1:93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  <c r="U768" s="115"/>
      <c r="V768" s="115"/>
      <c r="W768" s="116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  <c r="BN768" s="115"/>
      <c r="BO768" s="115"/>
      <c r="BP768" s="115"/>
      <c r="BQ768" s="115"/>
      <c r="BR768" s="115"/>
      <c r="BS768" s="115"/>
      <c r="BT768" s="115"/>
      <c r="BU768" s="115"/>
      <c r="BV768" s="115"/>
      <c r="BW768" s="115"/>
      <c r="BX768" s="115"/>
      <c r="BY768" s="115"/>
      <c r="BZ768" s="115"/>
      <c r="CA768" s="115"/>
      <c r="CB768" s="115"/>
      <c r="CC768" s="115"/>
      <c r="CD768" s="115"/>
      <c r="CE768" s="115"/>
      <c r="CF768" s="115"/>
      <c r="CG768" s="115"/>
      <c r="CH768" s="115"/>
      <c r="CI768" s="115"/>
      <c r="CJ768" s="115"/>
      <c r="CK768" s="115"/>
      <c r="CL768" s="115"/>
      <c r="CM768" s="115"/>
      <c r="CN768" s="115"/>
      <c r="CO768" s="115"/>
    </row>
    <row r="769" spans="1:93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  <c r="U769" s="115"/>
      <c r="V769" s="115"/>
      <c r="W769" s="116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  <c r="BN769" s="115"/>
      <c r="BO769" s="115"/>
      <c r="BP769" s="115"/>
      <c r="BQ769" s="115"/>
      <c r="BR769" s="115"/>
      <c r="BS769" s="115"/>
      <c r="BT769" s="115"/>
      <c r="BU769" s="115"/>
      <c r="BV769" s="115"/>
      <c r="BW769" s="115"/>
      <c r="BX769" s="115"/>
      <c r="BY769" s="115"/>
      <c r="BZ769" s="115"/>
      <c r="CA769" s="115"/>
      <c r="CB769" s="115"/>
      <c r="CC769" s="115"/>
      <c r="CD769" s="115"/>
      <c r="CE769" s="115"/>
      <c r="CF769" s="115"/>
      <c r="CG769" s="115"/>
      <c r="CH769" s="115"/>
      <c r="CI769" s="115"/>
      <c r="CJ769" s="115"/>
      <c r="CK769" s="115"/>
      <c r="CL769" s="115"/>
      <c r="CM769" s="115"/>
      <c r="CN769" s="115"/>
      <c r="CO769" s="115"/>
    </row>
    <row r="770" spans="1:93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  <c r="U770" s="115"/>
      <c r="V770" s="115"/>
      <c r="W770" s="116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  <c r="BN770" s="115"/>
      <c r="BO770" s="115"/>
      <c r="BP770" s="115"/>
      <c r="BQ770" s="115"/>
      <c r="BR770" s="115"/>
      <c r="BS770" s="115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  <c r="CJ770" s="115"/>
      <c r="CK770" s="115"/>
      <c r="CL770" s="115"/>
      <c r="CM770" s="115"/>
      <c r="CN770" s="115"/>
      <c r="CO770" s="115"/>
    </row>
    <row r="771" spans="1:93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  <c r="U771" s="115"/>
      <c r="V771" s="115"/>
      <c r="W771" s="116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  <c r="BN771" s="115"/>
      <c r="BO771" s="115"/>
      <c r="BP771" s="115"/>
      <c r="BQ771" s="115"/>
      <c r="BR771" s="115"/>
      <c r="BS771" s="115"/>
      <c r="BT771" s="115"/>
      <c r="BU771" s="115"/>
      <c r="BV771" s="115"/>
      <c r="BW771" s="115"/>
      <c r="BX771" s="115"/>
      <c r="BY771" s="115"/>
      <c r="BZ771" s="115"/>
      <c r="CA771" s="115"/>
      <c r="CB771" s="115"/>
      <c r="CC771" s="115"/>
      <c r="CD771" s="115"/>
      <c r="CE771" s="115"/>
      <c r="CF771" s="115"/>
      <c r="CG771" s="115"/>
      <c r="CH771" s="115"/>
      <c r="CI771" s="115"/>
      <c r="CJ771" s="115"/>
      <c r="CK771" s="115"/>
      <c r="CL771" s="115"/>
      <c r="CM771" s="115"/>
      <c r="CN771" s="115"/>
      <c r="CO771" s="115"/>
    </row>
    <row r="772" spans="1:93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  <c r="U772" s="115"/>
      <c r="V772" s="115"/>
      <c r="W772" s="116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</row>
    <row r="773" spans="1:93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  <c r="U773" s="115"/>
      <c r="V773" s="115"/>
      <c r="W773" s="116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  <c r="BN773" s="115"/>
      <c r="BO773" s="115"/>
      <c r="BP773" s="115"/>
      <c r="BQ773" s="115"/>
      <c r="BR773" s="115"/>
      <c r="BS773" s="115"/>
      <c r="BT773" s="115"/>
      <c r="BU773" s="115"/>
      <c r="BV773" s="115"/>
      <c r="BW773" s="115"/>
      <c r="BX773" s="115"/>
      <c r="BY773" s="115"/>
      <c r="BZ773" s="115"/>
      <c r="CA773" s="115"/>
      <c r="CB773" s="115"/>
      <c r="CC773" s="115"/>
      <c r="CD773" s="115"/>
      <c r="CE773" s="115"/>
      <c r="CF773" s="115"/>
      <c r="CG773" s="115"/>
      <c r="CH773" s="115"/>
      <c r="CI773" s="115"/>
      <c r="CJ773" s="115"/>
      <c r="CK773" s="115"/>
      <c r="CL773" s="115"/>
      <c r="CM773" s="115"/>
      <c r="CN773" s="115"/>
      <c r="CO773" s="115"/>
    </row>
    <row r="774" spans="1:93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  <c r="U774" s="115"/>
      <c r="V774" s="115"/>
      <c r="W774" s="116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  <c r="BN774" s="115"/>
      <c r="BO774" s="115"/>
      <c r="BP774" s="115"/>
      <c r="BQ774" s="115"/>
      <c r="BR774" s="115"/>
      <c r="BS774" s="115"/>
      <c r="BT774" s="115"/>
      <c r="BU774" s="115"/>
      <c r="BV774" s="115"/>
      <c r="BW774" s="115"/>
      <c r="BX774" s="115"/>
      <c r="BY774" s="115"/>
      <c r="BZ774" s="115"/>
      <c r="CA774" s="115"/>
      <c r="CB774" s="115"/>
      <c r="CC774" s="115"/>
      <c r="CD774" s="115"/>
      <c r="CE774" s="115"/>
      <c r="CF774" s="115"/>
      <c r="CG774" s="115"/>
      <c r="CH774" s="115"/>
      <c r="CI774" s="115"/>
      <c r="CJ774" s="115"/>
      <c r="CK774" s="115"/>
      <c r="CL774" s="115"/>
      <c r="CM774" s="115"/>
      <c r="CN774" s="115"/>
      <c r="CO774" s="115"/>
    </row>
    <row r="775" spans="1:93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  <c r="U775" s="115"/>
      <c r="V775" s="115"/>
      <c r="W775" s="116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  <c r="BN775" s="115"/>
      <c r="BO775" s="115"/>
      <c r="BP775" s="115"/>
      <c r="BQ775" s="115"/>
      <c r="BR775" s="115"/>
      <c r="BS775" s="115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  <c r="CJ775" s="115"/>
      <c r="CK775" s="115"/>
      <c r="CL775" s="115"/>
      <c r="CM775" s="115"/>
      <c r="CN775" s="115"/>
      <c r="CO775" s="115"/>
    </row>
    <row r="776" spans="1:93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  <c r="U776" s="115"/>
      <c r="V776" s="115"/>
      <c r="W776" s="116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  <c r="BN776" s="115"/>
      <c r="BO776" s="115"/>
      <c r="BP776" s="115"/>
      <c r="BQ776" s="115"/>
      <c r="BR776" s="115"/>
      <c r="BS776" s="115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  <c r="CJ776" s="115"/>
      <c r="CK776" s="115"/>
      <c r="CL776" s="115"/>
      <c r="CM776" s="115"/>
      <c r="CN776" s="115"/>
      <c r="CO776" s="115"/>
    </row>
    <row r="777" spans="1:93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  <c r="U777" s="115"/>
      <c r="V777" s="115"/>
      <c r="W777" s="116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  <c r="BN777" s="115"/>
      <c r="BO777" s="115"/>
      <c r="BP777" s="115"/>
      <c r="BQ777" s="115"/>
      <c r="BR777" s="115"/>
      <c r="BS777" s="115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  <c r="CJ777" s="115"/>
      <c r="CK777" s="115"/>
      <c r="CL777" s="115"/>
      <c r="CM777" s="115"/>
      <c r="CN777" s="115"/>
      <c r="CO777" s="115"/>
    </row>
    <row r="778" spans="1:93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  <c r="U778" s="115"/>
      <c r="V778" s="115"/>
      <c r="W778" s="116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  <c r="BN778" s="115"/>
      <c r="BO778" s="115"/>
      <c r="BP778" s="115"/>
      <c r="BQ778" s="115"/>
      <c r="BR778" s="115"/>
      <c r="BS778" s="115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  <c r="CJ778" s="115"/>
      <c r="CK778" s="115"/>
      <c r="CL778" s="115"/>
      <c r="CM778" s="115"/>
      <c r="CN778" s="115"/>
      <c r="CO778" s="115"/>
    </row>
    <row r="779" spans="1:93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  <c r="U779" s="115"/>
      <c r="V779" s="115"/>
      <c r="W779" s="116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  <c r="BN779" s="115"/>
      <c r="BO779" s="115"/>
      <c r="BP779" s="115"/>
      <c r="BQ779" s="115"/>
      <c r="BR779" s="115"/>
      <c r="BS779" s="115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  <c r="CJ779" s="115"/>
      <c r="CK779" s="115"/>
      <c r="CL779" s="115"/>
      <c r="CM779" s="115"/>
      <c r="CN779" s="115"/>
      <c r="CO779" s="115"/>
    </row>
    <row r="780" spans="1:93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  <c r="U780" s="115"/>
      <c r="V780" s="115"/>
      <c r="W780" s="116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  <c r="BN780" s="115"/>
      <c r="BO780" s="115"/>
      <c r="BP780" s="115"/>
      <c r="BQ780" s="115"/>
      <c r="BR780" s="115"/>
      <c r="BS780" s="115"/>
      <c r="BT780" s="115"/>
      <c r="BU780" s="115"/>
      <c r="BV780" s="115"/>
      <c r="BW780" s="115"/>
      <c r="BX780" s="115"/>
      <c r="BY780" s="115"/>
      <c r="BZ780" s="115"/>
      <c r="CA780" s="115"/>
      <c r="CB780" s="115"/>
      <c r="CC780" s="115"/>
      <c r="CD780" s="115"/>
      <c r="CE780" s="115"/>
      <c r="CF780" s="115"/>
      <c r="CG780" s="115"/>
      <c r="CH780" s="115"/>
      <c r="CI780" s="115"/>
      <c r="CJ780" s="115"/>
      <c r="CK780" s="115"/>
      <c r="CL780" s="115"/>
      <c r="CM780" s="115"/>
      <c r="CN780" s="115"/>
      <c r="CO780" s="115"/>
    </row>
    <row r="781" spans="1:93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  <c r="U781" s="115"/>
      <c r="V781" s="115"/>
      <c r="W781" s="116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  <c r="BN781" s="115"/>
      <c r="BO781" s="115"/>
      <c r="BP781" s="115"/>
      <c r="BQ781" s="115"/>
      <c r="BR781" s="115"/>
      <c r="BS781" s="115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  <c r="CJ781" s="115"/>
      <c r="CK781" s="115"/>
      <c r="CL781" s="115"/>
      <c r="CM781" s="115"/>
      <c r="CN781" s="115"/>
      <c r="CO781" s="115"/>
    </row>
    <row r="782" spans="1:93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  <c r="U782" s="115"/>
      <c r="V782" s="115"/>
      <c r="W782" s="116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  <c r="BN782" s="115"/>
      <c r="BO782" s="115"/>
      <c r="BP782" s="115"/>
      <c r="BQ782" s="115"/>
      <c r="BR782" s="115"/>
      <c r="BS782" s="115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  <c r="CJ782" s="115"/>
      <c r="CK782" s="115"/>
      <c r="CL782" s="115"/>
      <c r="CM782" s="115"/>
      <c r="CN782" s="115"/>
      <c r="CO782" s="115"/>
    </row>
    <row r="783" spans="1:93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  <c r="U783" s="115"/>
      <c r="V783" s="115"/>
      <c r="W783" s="116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  <c r="BN783" s="115"/>
      <c r="BO783" s="115"/>
      <c r="BP783" s="115"/>
      <c r="BQ783" s="115"/>
      <c r="BR783" s="115"/>
      <c r="BS783" s="115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  <c r="CJ783" s="115"/>
      <c r="CK783" s="115"/>
      <c r="CL783" s="115"/>
      <c r="CM783" s="115"/>
      <c r="CN783" s="115"/>
      <c r="CO783" s="115"/>
    </row>
    <row r="784" spans="1:93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  <c r="U784" s="115"/>
      <c r="V784" s="115"/>
      <c r="W784" s="116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  <c r="BN784" s="115"/>
      <c r="BO784" s="115"/>
      <c r="BP784" s="115"/>
      <c r="BQ784" s="115"/>
      <c r="BR784" s="115"/>
      <c r="BS784" s="115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  <c r="CJ784" s="115"/>
      <c r="CK784" s="115"/>
      <c r="CL784" s="115"/>
      <c r="CM784" s="115"/>
      <c r="CN784" s="115"/>
      <c r="CO784" s="115"/>
    </row>
    <row r="785" spans="1:93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  <c r="U785" s="115"/>
      <c r="V785" s="115"/>
      <c r="W785" s="116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</row>
    <row r="786" spans="1:93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  <c r="U786" s="115"/>
      <c r="V786" s="115"/>
      <c r="W786" s="116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  <c r="BN786" s="115"/>
      <c r="BO786" s="115"/>
      <c r="BP786" s="115"/>
      <c r="BQ786" s="115"/>
      <c r="BR786" s="115"/>
      <c r="BS786" s="115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  <c r="CJ786" s="115"/>
      <c r="CK786" s="115"/>
      <c r="CL786" s="115"/>
      <c r="CM786" s="115"/>
      <c r="CN786" s="115"/>
      <c r="CO786" s="115"/>
    </row>
    <row r="787" spans="1:93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  <c r="U787" s="115"/>
      <c r="V787" s="115"/>
      <c r="W787" s="116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  <c r="BN787" s="115"/>
      <c r="BO787" s="115"/>
      <c r="BP787" s="115"/>
      <c r="BQ787" s="115"/>
      <c r="BR787" s="115"/>
      <c r="BS787" s="115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  <c r="CJ787" s="115"/>
      <c r="CK787" s="115"/>
      <c r="CL787" s="115"/>
      <c r="CM787" s="115"/>
      <c r="CN787" s="115"/>
      <c r="CO787" s="115"/>
    </row>
    <row r="788" spans="1:93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  <c r="U788" s="115"/>
      <c r="V788" s="115"/>
      <c r="W788" s="116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  <c r="BN788" s="115"/>
      <c r="BO788" s="115"/>
      <c r="BP788" s="115"/>
      <c r="BQ788" s="115"/>
      <c r="BR788" s="115"/>
      <c r="BS788" s="115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  <c r="CJ788" s="115"/>
      <c r="CK788" s="115"/>
      <c r="CL788" s="115"/>
      <c r="CM788" s="115"/>
      <c r="CN788" s="115"/>
      <c r="CO788" s="115"/>
    </row>
    <row r="789" spans="1:93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  <c r="U789" s="115"/>
      <c r="V789" s="115"/>
      <c r="W789" s="116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  <c r="BN789" s="115"/>
      <c r="BO789" s="115"/>
      <c r="BP789" s="115"/>
      <c r="BQ789" s="115"/>
      <c r="BR789" s="115"/>
      <c r="BS789" s="115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  <c r="CJ789" s="115"/>
      <c r="CK789" s="115"/>
      <c r="CL789" s="115"/>
      <c r="CM789" s="115"/>
      <c r="CN789" s="115"/>
      <c r="CO789" s="115"/>
    </row>
    <row r="790" spans="1:93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  <c r="U790" s="115"/>
      <c r="V790" s="115"/>
      <c r="W790" s="116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  <c r="BN790" s="115"/>
      <c r="BO790" s="115"/>
      <c r="BP790" s="115"/>
      <c r="BQ790" s="115"/>
      <c r="BR790" s="115"/>
      <c r="BS790" s="115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  <c r="CJ790" s="115"/>
      <c r="CK790" s="115"/>
      <c r="CL790" s="115"/>
      <c r="CM790" s="115"/>
      <c r="CN790" s="115"/>
      <c r="CO790" s="115"/>
    </row>
    <row r="791" spans="1:93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  <c r="U791" s="115"/>
      <c r="V791" s="115"/>
      <c r="W791" s="116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  <c r="BN791" s="115"/>
      <c r="BO791" s="115"/>
      <c r="BP791" s="115"/>
      <c r="BQ791" s="115"/>
      <c r="BR791" s="115"/>
      <c r="BS791" s="115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  <c r="CJ791" s="115"/>
      <c r="CK791" s="115"/>
      <c r="CL791" s="115"/>
      <c r="CM791" s="115"/>
      <c r="CN791" s="115"/>
      <c r="CO791" s="115"/>
    </row>
    <row r="792" spans="1:93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  <c r="U792" s="115"/>
      <c r="V792" s="115"/>
      <c r="W792" s="116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  <c r="BN792" s="115"/>
      <c r="BO792" s="115"/>
      <c r="BP792" s="115"/>
      <c r="BQ792" s="115"/>
      <c r="BR792" s="115"/>
      <c r="BS792" s="115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  <c r="CJ792" s="115"/>
      <c r="CK792" s="115"/>
      <c r="CL792" s="115"/>
      <c r="CM792" s="115"/>
      <c r="CN792" s="115"/>
      <c r="CO792" s="115"/>
    </row>
    <row r="793" spans="1:93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  <c r="U793" s="115"/>
      <c r="V793" s="115"/>
      <c r="W793" s="116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  <c r="BN793" s="115"/>
      <c r="BO793" s="115"/>
      <c r="BP793" s="115"/>
      <c r="BQ793" s="115"/>
      <c r="BR793" s="115"/>
      <c r="BS793" s="115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  <c r="CJ793" s="115"/>
      <c r="CK793" s="115"/>
      <c r="CL793" s="115"/>
      <c r="CM793" s="115"/>
      <c r="CN793" s="115"/>
      <c r="CO793" s="115"/>
    </row>
    <row r="794" spans="1:93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  <c r="U794" s="115"/>
      <c r="V794" s="115"/>
      <c r="W794" s="116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</row>
    <row r="795" spans="1:93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  <c r="U795" s="115"/>
      <c r="V795" s="115"/>
      <c r="W795" s="116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</row>
    <row r="796" spans="1:93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  <c r="U796" s="115"/>
      <c r="V796" s="115"/>
      <c r="W796" s="116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</row>
    <row r="797" spans="1:93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  <c r="U797" s="115"/>
      <c r="V797" s="115"/>
      <c r="W797" s="116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</row>
    <row r="798" spans="1:93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  <c r="U798" s="115"/>
      <c r="V798" s="115"/>
      <c r="W798" s="116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  <c r="BN798" s="115"/>
      <c r="BO798" s="115"/>
      <c r="BP798" s="115"/>
      <c r="BQ798" s="115"/>
      <c r="BR798" s="115"/>
      <c r="BS798" s="115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  <c r="CJ798" s="115"/>
      <c r="CK798" s="115"/>
      <c r="CL798" s="115"/>
      <c r="CM798" s="115"/>
      <c r="CN798" s="115"/>
      <c r="CO798" s="115"/>
    </row>
    <row r="799" spans="1:93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  <c r="U799" s="115"/>
      <c r="V799" s="115"/>
      <c r="W799" s="116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  <c r="BN799" s="115"/>
      <c r="BO799" s="115"/>
      <c r="BP799" s="115"/>
      <c r="BQ799" s="115"/>
      <c r="BR799" s="115"/>
      <c r="BS799" s="115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  <c r="CJ799" s="115"/>
      <c r="CK799" s="115"/>
      <c r="CL799" s="115"/>
      <c r="CM799" s="115"/>
      <c r="CN799" s="115"/>
      <c r="CO799" s="115"/>
    </row>
    <row r="800" spans="1:93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  <c r="U800" s="115"/>
      <c r="V800" s="115"/>
      <c r="W800" s="116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  <c r="BN800" s="115"/>
      <c r="BO800" s="115"/>
      <c r="BP800" s="115"/>
      <c r="BQ800" s="115"/>
      <c r="BR800" s="115"/>
      <c r="BS800" s="115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  <c r="CJ800" s="115"/>
      <c r="CK800" s="115"/>
      <c r="CL800" s="115"/>
      <c r="CM800" s="115"/>
      <c r="CN800" s="115"/>
      <c r="CO800" s="115"/>
    </row>
    <row r="801" spans="1:93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  <c r="U801" s="115"/>
      <c r="V801" s="115"/>
      <c r="W801" s="116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  <c r="BN801" s="115"/>
      <c r="BO801" s="115"/>
      <c r="BP801" s="115"/>
      <c r="BQ801" s="115"/>
      <c r="BR801" s="115"/>
      <c r="BS801" s="115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  <c r="CJ801" s="115"/>
      <c r="CK801" s="115"/>
      <c r="CL801" s="115"/>
      <c r="CM801" s="115"/>
      <c r="CN801" s="115"/>
      <c r="CO801" s="115"/>
    </row>
    <row r="802" spans="1:93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  <c r="U802" s="115"/>
      <c r="V802" s="115"/>
      <c r="W802" s="116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  <c r="BN802" s="115"/>
      <c r="BO802" s="115"/>
      <c r="BP802" s="115"/>
      <c r="BQ802" s="115"/>
      <c r="BR802" s="115"/>
      <c r="BS802" s="115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  <c r="CJ802" s="115"/>
      <c r="CK802" s="115"/>
      <c r="CL802" s="115"/>
      <c r="CM802" s="115"/>
      <c r="CN802" s="115"/>
      <c r="CO802" s="115"/>
    </row>
    <row r="803" spans="1:93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  <c r="U803" s="115"/>
      <c r="V803" s="115"/>
      <c r="W803" s="116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  <c r="BN803" s="115"/>
      <c r="BO803" s="115"/>
      <c r="BP803" s="115"/>
      <c r="BQ803" s="115"/>
      <c r="BR803" s="115"/>
      <c r="BS803" s="115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  <c r="CJ803" s="115"/>
      <c r="CK803" s="115"/>
      <c r="CL803" s="115"/>
      <c r="CM803" s="115"/>
      <c r="CN803" s="115"/>
      <c r="CO803" s="115"/>
    </row>
    <row r="804" spans="1:93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  <c r="U804" s="115"/>
      <c r="V804" s="115"/>
      <c r="W804" s="116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  <c r="BN804" s="115"/>
      <c r="BO804" s="115"/>
      <c r="BP804" s="115"/>
      <c r="BQ804" s="115"/>
      <c r="BR804" s="115"/>
      <c r="BS804" s="115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  <c r="CJ804" s="115"/>
      <c r="CK804" s="115"/>
      <c r="CL804" s="115"/>
      <c r="CM804" s="115"/>
      <c r="CN804" s="115"/>
      <c r="CO804" s="115"/>
    </row>
    <row r="805" spans="1:93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  <c r="U805" s="115"/>
      <c r="V805" s="115"/>
      <c r="W805" s="116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  <c r="BN805" s="115"/>
      <c r="BO805" s="115"/>
      <c r="BP805" s="115"/>
      <c r="BQ805" s="115"/>
      <c r="BR805" s="115"/>
      <c r="BS805" s="115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  <c r="CJ805" s="115"/>
      <c r="CK805" s="115"/>
      <c r="CL805" s="115"/>
      <c r="CM805" s="115"/>
      <c r="CN805" s="115"/>
      <c r="CO805" s="115"/>
    </row>
    <row r="806" spans="1:93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  <c r="U806" s="115"/>
      <c r="V806" s="115"/>
      <c r="W806" s="116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  <c r="BN806" s="115"/>
      <c r="BO806" s="115"/>
      <c r="BP806" s="115"/>
      <c r="BQ806" s="115"/>
      <c r="BR806" s="115"/>
      <c r="BS806" s="115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  <c r="CJ806" s="115"/>
      <c r="CK806" s="115"/>
      <c r="CL806" s="115"/>
      <c r="CM806" s="115"/>
      <c r="CN806" s="115"/>
      <c r="CO806" s="115"/>
    </row>
    <row r="807" spans="1:93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  <c r="U807" s="115"/>
      <c r="V807" s="115"/>
      <c r="W807" s="116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  <c r="BN807" s="115"/>
      <c r="BO807" s="115"/>
      <c r="BP807" s="115"/>
      <c r="BQ807" s="115"/>
      <c r="BR807" s="115"/>
      <c r="BS807" s="115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  <c r="CJ807" s="115"/>
      <c r="CK807" s="115"/>
      <c r="CL807" s="115"/>
      <c r="CM807" s="115"/>
      <c r="CN807" s="115"/>
      <c r="CO807" s="115"/>
    </row>
    <row r="808" spans="1:93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  <c r="U808" s="115"/>
      <c r="V808" s="115"/>
      <c r="W808" s="116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  <c r="BN808" s="115"/>
      <c r="BO808" s="115"/>
      <c r="BP808" s="115"/>
      <c r="BQ808" s="115"/>
      <c r="BR808" s="115"/>
      <c r="BS808" s="115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  <c r="CJ808" s="115"/>
      <c r="CK808" s="115"/>
      <c r="CL808" s="115"/>
      <c r="CM808" s="115"/>
      <c r="CN808" s="115"/>
      <c r="CO808" s="115"/>
    </row>
    <row r="809" spans="1:93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  <c r="U809" s="115"/>
      <c r="V809" s="115"/>
      <c r="W809" s="116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  <c r="BN809" s="115"/>
      <c r="BO809" s="115"/>
      <c r="BP809" s="115"/>
      <c r="BQ809" s="115"/>
      <c r="BR809" s="115"/>
      <c r="BS809" s="115"/>
      <c r="BT809" s="115"/>
      <c r="BU809" s="115"/>
      <c r="BV809" s="115"/>
      <c r="BW809" s="115"/>
      <c r="BX809" s="115"/>
      <c r="BY809" s="115"/>
      <c r="BZ809" s="115"/>
      <c r="CA809" s="115"/>
      <c r="CB809" s="115"/>
      <c r="CC809" s="115"/>
      <c r="CD809" s="115"/>
      <c r="CE809" s="115"/>
      <c r="CF809" s="115"/>
      <c r="CG809" s="115"/>
      <c r="CH809" s="115"/>
      <c r="CI809" s="115"/>
      <c r="CJ809" s="115"/>
      <c r="CK809" s="115"/>
      <c r="CL809" s="115"/>
      <c r="CM809" s="115"/>
      <c r="CN809" s="115"/>
      <c r="CO809" s="115"/>
    </row>
    <row r="810" spans="1:93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  <c r="U810" s="115"/>
      <c r="V810" s="115"/>
      <c r="W810" s="116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  <c r="BN810" s="115"/>
      <c r="BO810" s="115"/>
      <c r="BP810" s="115"/>
      <c r="BQ810" s="115"/>
      <c r="BR810" s="115"/>
      <c r="BS810" s="115"/>
      <c r="BT810" s="115"/>
      <c r="BU810" s="115"/>
      <c r="BV810" s="115"/>
      <c r="BW810" s="115"/>
      <c r="BX810" s="115"/>
      <c r="BY810" s="115"/>
      <c r="BZ810" s="115"/>
      <c r="CA810" s="115"/>
      <c r="CB810" s="115"/>
      <c r="CC810" s="115"/>
      <c r="CD810" s="115"/>
      <c r="CE810" s="115"/>
      <c r="CF810" s="115"/>
      <c r="CG810" s="115"/>
      <c r="CH810" s="115"/>
      <c r="CI810" s="115"/>
      <c r="CJ810" s="115"/>
      <c r="CK810" s="115"/>
      <c r="CL810" s="115"/>
      <c r="CM810" s="115"/>
      <c r="CN810" s="115"/>
      <c r="CO810" s="115"/>
    </row>
    <row r="811" spans="1:93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  <c r="U811" s="115"/>
      <c r="V811" s="115"/>
      <c r="W811" s="116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  <c r="BN811" s="115"/>
      <c r="BO811" s="115"/>
      <c r="BP811" s="115"/>
      <c r="BQ811" s="115"/>
      <c r="BR811" s="115"/>
      <c r="BS811" s="115"/>
      <c r="BT811" s="115"/>
      <c r="BU811" s="115"/>
      <c r="BV811" s="115"/>
      <c r="BW811" s="115"/>
      <c r="BX811" s="115"/>
      <c r="BY811" s="115"/>
      <c r="BZ811" s="115"/>
      <c r="CA811" s="115"/>
      <c r="CB811" s="115"/>
      <c r="CC811" s="115"/>
      <c r="CD811" s="115"/>
      <c r="CE811" s="115"/>
      <c r="CF811" s="115"/>
      <c r="CG811" s="115"/>
      <c r="CH811" s="115"/>
      <c r="CI811" s="115"/>
      <c r="CJ811" s="115"/>
      <c r="CK811" s="115"/>
      <c r="CL811" s="115"/>
      <c r="CM811" s="115"/>
      <c r="CN811" s="115"/>
      <c r="CO811" s="115"/>
    </row>
    <row r="812" spans="1:93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  <c r="U812" s="115"/>
      <c r="V812" s="115"/>
      <c r="W812" s="116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  <c r="BN812" s="115"/>
      <c r="BO812" s="115"/>
      <c r="BP812" s="115"/>
      <c r="BQ812" s="115"/>
      <c r="BR812" s="115"/>
      <c r="BS812" s="115"/>
      <c r="BT812" s="115"/>
      <c r="BU812" s="115"/>
      <c r="BV812" s="115"/>
      <c r="BW812" s="115"/>
      <c r="BX812" s="115"/>
      <c r="BY812" s="115"/>
      <c r="BZ812" s="115"/>
      <c r="CA812" s="115"/>
      <c r="CB812" s="115"/>
      <c r="CC812" s="115"/>
      <c r="CD812" s="115"/>
      <c r="CE812" s="115"/>
      <c r="CF812" s="115"/>
      <c r="CG812" s="115"/>
      <c r="CH812" s="115"/>
      <c r="CI812" s="115"/>
      <c r="CJ812" s="115"/>
      <c r="CK812" s="115"/>
      <c r="CL812" s="115"/>
      <c r="CM812" s="115"/>
      <c r="CN812" s="115"/>
      <c r="CO812" s="115"/>
    </row>
    <row r="813" spans="1:93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  <c r="U813" s="115"/>
      <c r="V813" s="115"/>
      <c r="W813" s="116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  <c r="BN813" s="115"/>
      <c r="BO813" s="115"/>
      <c r="BP813" s="115"/>
      <c r="BQ813" s="115"/>
      <c r="BR813" s="115"/>
      <c r="BS813" s="115"/>
      <c r="BT813" s="115"/>
      <c r="BU813" s="115"/>
      <c r="BV813" s="115"/>
      <c r="BW813" s="115"/>
      <c r="BX813" s="115"/>
      <c r="BY813" s="115"/>
      <c r="BZ813" s="115"/>
      <c r="CA813" s="115"/>
      <c r="CB813" s="115"/>
      <c r="CC813" s="115"/>
      <c r="CD813" s="115"/>
      <c r="CE813" s="115"/>
      <c r="CF813" s="115"/>
      <c r="CG813" s="115"/>
      <c r="CH813" s="115"/>
      <c r="CI813" s="115"/>
      <c r="CJ813" s="115"/>
      <c r="CK813" s="115"/>
      <c r="CL813" s="115"/>
      <c r="CM813" s="115"/>
      <c r="CN813" s="115"/>
      <c r="CO813" s="115"/>
    </row>
    <row r="814" spans="1:93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  <c r="U814" s="115"/>
      <c r="V814" s="115"/>
      <c r="W814" s="116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  <c r="BN814" s="115"/>
      <c r="BO814" s="115"/>
      <c r="BP814" s="115"/>
      <c r="BQ814" s="115"/>
      <c r="BR814" s="115"/>
      <c r="BS814" s="115"/>
      <c r="BT814" s="115"/>
      <c r="BU814" s="115"/>
      <c r="BV814" s="115"/>
      <c r="BW814" s="115"/>
      <c r="BX814" s="115"/>
      <c r="BY814" s="115"/>
      <c r="BZ814" s="115"/>
      <c r="CA814" s="115"/>
      <c r="CB814" s="115"/>
      <c r="CC814" s="115"/>
      <c r="CD814" s="115"/>
      <c r="CE814" s="115"/>
      <c r="CF814" s="115"/>
      <c r="CG814" s="115"/>
      <c r="CH814" s="115"/>
      <c r="CI814" s="115"/>
      <c r="CJ814" s="115"/>
      <c r="CK814" s="115"/>
      <c r="CL814" s="115"/>
      <c r="CM814" s="115"/>
      <c r="CN814" s="115"/>
      <c r="CO814" s="115"/>
    </row>
    <row r="815" spans="1:93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  <c r="U815" s="115"/>
      <c r="V815" s="115"/>
      <c r="W815" s="116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</row>
    <row r="816" spans="1:93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  <c r="U816" s="115"/>
      <c r="V816" s="115"/>
      <c r="W816" s="116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  <c r="BN816" s="115"/>
      <c r="BO816" s="115"/>
      <c r="BP816" s="115"/>
      <c r="BQ816" s="115"/>
      <c r="BR816" s="115"/>
      <c r="BS816" s="115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  <c r="CJ816" s="115"/>
      <c r="CK816" s="115"/>
      <c r="CL816" s="115"/>
      <c r="CM816" s="115"/>
      <c r="CN816" s="115"/>
      <c r="CO816" s="115"/>
    </row>
    <row r="817" spans="1:93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  <c r="U817" s="115"/>
      <c r="V817" s="115"/>
      <c r="W817" s="116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  <c r="BN817" s="115"/>
      <c r="BO817" s="115"/>
      <c r="BP817" s="115"/>
      <c r="BQ817" s="115"/>
      <c r="BR817" s="115"/>
      <c r="BS817" s="115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  <c r="CJ817" s="115"/>
      <c r="CK817" s="115"/>
      <c r="CL817" s="115"/>
      <c r="CM817" s="115"/>
      <c r="CN817" s="115"/>
      <c r="CO817" s="115"/>
    </row>
    <row r="818" spans="1:93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  <c r="U818" s="115"/>
      <c r="V818" s="115"/>
      <c r="W818" s="116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  <c r="BN818" s="115"/>
      <c r="BO818" s="115"/>
      <c r="BP818" s="115"/>
      <c r="BQ818" s="115"/>
      <c r="BR818" s="115"/>
      <c r="BS818" s="115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  <c r="CJ818" s="115"/>
      <c r="CK818" s="115"/>
      <c r="CL818" s="115"/>
      <c r="CM818" s="115"/>
      <c r="CN818" s="115"/>
      <c r="CO818" s="115"/>
    </row>
    <row r="819" spans="1:93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  <c r="U819" s="115"/>
      <c r="V819" s="115"/>
      <c r="W819" s="116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  <c r="BN819" s="115"/>
      <c r="BO819" s="115"/>
      <c r="BP819" s="115"/>
      <c r="BQ819" s="115"/>
      <c r="BR819" s="115"/>
      <c r="BS819" s="115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  <c r="CJ819" s="115"/>
      <c r="CK819" s="115"/>
      <c r="CL819" s="115"/>
      <c r="CM819" s="115"/>
      <c r="CN819" s="115"/>
      <c r="CO819" s="115"/>
    </row>
    <row r="820" spans="1:93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  <c r="U820" s="115"/>
      <c r="V820" s="115"/>
      <c r="W820" s="116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  <c r="BN820" s="115"/>
      <c r="BO820" s="115"/>
      <c r="BP820" s="115"/>
      <c r="BQ820" s="115"/>
      <c r="BR820" s="115"/>
      <c r="BS820" s="115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  <c r="CJ820" s="115"/>
      <c r="CK820" s="115"/>
      <c r="CL820" s="115"/>
      <c r="CM820" s="115"/>
      <c r="CN820" s="115"/>
      <c r="CO820" s="115"/>
    </row>
    <row r="821" spans="1:93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  <c r="U821" s="115"/>
      <c r="V821" s="115"/>
      <c r="W821" s="116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</row>
    <row r="822" spans="1:93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  <c r="U822" s="115"/>
      <c r="V822" s="115"/>
      <c r="W822" s="116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  <c r="BN822" s="115"/>
      <c r="BO822" s="115"/>
      <c r="BP822" s="115"/>
      <c r="BQ822" s="115"/>
      <c r="BR822" s="115"/>
      <c r="BS822" s="115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  <c r="CJ822" s="115"/>
      <c r="CK822" s="115"/>
      <c r="CL822" s="115"/>
      <c r="CM822" s="115"/>
      <c r="CN822" s="115"/>
      <c r="CO822" s="115"/>
    </row>
    <row r="823" spans="1:93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  <c r="U823" s="115"/>
      <c r="V823" s="115"/>
      <c r="W823" s="116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  <c r="BN823" s="115"/>
      <c r="BO823" s="115"/>
      <c r="BP823" s="115"/>
      <c r="BQ823" s="115"/>
      <c r="BR823" s="115"/>
      <c r="BS823" s="115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  <c r="CJ823" s="115"/>
      <c r="CK823" s="115"/>
      <c r="CL823" s="115"/>
      <c r="CM823" s="115"/>
      <c r="CN823" s="115"/>
      <c r="CO823" s="115"/>
    </row>
    <row r="824" spans="1:93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  <c r="U824" s="115"/>
      <c r="V824" s="115"/>
      <c r="W824" s="116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  <c r="BN824" s="115"/>
      <c r="BO824" s="115"/>
      <c r="BP824" s="115"/>
      <c r="BQ824" s="115"/>
      <c r="BR824" s="115"/>
      <c r="BS824" s="115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  <c r="CJ824" s="115"/>
      <c r="CK824" s="115"/>
      <c r="CL824" s="115"/>
      <c r="CM824" s="115"/>
      <c r="CN824" s="115"/>
      <c r="CO824" s="115"/>
    </row>
    <row r="825" spans="1:93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  <c r="U825" s="115"/>
      <c r="V825" s="115"/>
      <c r="W825" s="116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  <c r="BN825" s="115"/>
      <c r="BO825" s="115"/>
      <c r="BP825" s="115"/>
      <c r="BQ825" s="115"/>
      <c r="BR825" s="115"/>
      <c r="BS825" s="115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  <c r="CJ825" s="115"/>
      <c r="CK825" s="115"/>
      <c r="CL825" s="115"/>
      <c r="CM825" s="115"/>
      <c r="CN825" s="115"/>
      <c r="CO825" s="115"/>
    </row>
    <row r="826" spans="1:93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  <c r="U826" s="115"/>
      <c r="V826" s="115"/>
      <c r="W826" s="116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  <c r="BN826" s="115"/>
      <c r="BO826" s="115"/>
      <c r="BP826" s="115"/>
      <c r="BQ826" s="115"/>
      <c r="BR826" s="115"/>
      <c r="BS826" s="115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  <c r="CJ826" s="115"/>
      <c r="CK826" s="115"/>
      <c r="CL826" s="115"/>
      <c r="CM826" s="115"/>
      <c r="CN826" s="115"/>
      <c r="CO826" s="115"/>
    </row>
    <row r="827" spans="1:93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  <c r="U827" s="115"/>
      <c r="V827" s="115"/>
      <c r="W827" s="116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  <c r="BN827" s="115"/>
      <c r="BO827" s="115"/>
      <c r="BP827" s="115"/>
      <c r="BQ827" s="115"/>
      <c r="BR827" s="115"/>
      <c r="BS827" s="115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  <c r="CJ827" s="115"/>
      <c r="CK827" s="115"/>
      <c r="CL827" s="115"/>
      <c r="CM827" s="115"/>
      <c r="CN827" s="115"/>
      <c r="CO827" s="115"/>
    </row>
    <row r="828" spans="1:93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  <c r="U828" s="115"/>
      <c r="V828" s="115"/>
      <c r="W828" s="116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  <c r="BN828" s="115"/>
      <c r="BO828" s="115"/>
      <c r="BP828" s="115"/>
      <c r="BQ828" s="115"/>
      <c r="BR828" s="115"/>
      <c r="BS828" s="115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  <c r="CJ828" s="115"/>
      <c r="CK828" s="115"/>
      <c r="CL828" s="115"/>
      <c r="CM828" s="115"/>
      <c r="CN828" s="115"/>
      <c r="CO828" s="115"/>
    </row>
    <row r="829" spans="1:93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  <c r="U829" s="115"/>
      <c r="V829" s="115"/>
      <c r="W829" s="116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  <c r="BN829" s="115"/>
      <c r="BO829" s="115"/>
      <c r="BP829" s="115"/>
      <c r="BQ829" s="115"/>
      <c r="BR829" s="115"/>
      <c r="BS829" s="115"/>
      <c r="BT829" s="115"/>
      <c r="BU829" s="115"/>
      <c r="BV829" s="115"/>
      <c r="BW829" s="115"/>
      <c r="BX829" s="115"/>
      <c r="BY829" s="115"/>
      <c r="BZ829" s="115"/>
      <c r="CA829" s="115"/>
      <c r="CB829" s="115"/>
      <c r="CC829" s="115"/>
      <c r="CD829" s="115"/>
      <c r="CE829" s="115"/>
      <c r="CF829" s="115"/>
      <c r="CG829" s="115"/>
      <c r="CH829" s="115"/>
      <c r="CI829" s="115"/>
      <c r="CJ829" s="115"/>
      <c r="CK829" s="115"/>
      <c r="CL829" s="115"/>
      <c r="CM829" s="115"/>
      <c r="CN829" s="115"/>
      <c r="CO829" s="115"/>
    </row>
    <row r="830" spans="1:93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  <c r="U830" s="115"/>
      <c r="V830" s="115"/>
      <c r="W830" s="116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  <c r="BN830" s="115"/>
      <c r="BO830" s="115"/>
      <c r="BP830" s="115"/>
      <c r="BQ830" s="115"/>
      <c r="BR830" s="115"/>
      <c r="BS830" s="115"/>
      <c r="BT830" s="115"/>
      <c r="BU830" s="115"/>
      <c r="BV830" s="115"/>
      <c r="BW830" s="115"/>
      <c r="BX830" s="115"/>
      <c r="BY830" s="115"/>
      <c r="BZ830" s="115"/>
      <c r="CA830" s="115"/>
      <c r="CB830" s="115"/>
      <c r="CC830" s="115"/>
      <c r="CD830" s="115"/>
      <c r="CE830" s="115"/>
      <c r="CF830" s="115"/>
      <c r="CG830" s="115"/>
      <c r="CH830" s="115"/>
      <c r="CI830" s="115"/>
      <c r="CJ830" s="115"/>
      <c r="CK830" s="115"/>
      <c r="CL830" s="115"/>
      <c r="CM830" s="115"/>
      <c r="CN830" s="115"/>
      <c r="CO830" s="115"/>
    </row>
    <row r="831" spans="1:93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  <c r="U831" s="115"/>
      <c r="V831" s="115"/>
      <c r="W831" s="116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  <c r="BN831" s="115"/>
      <c r="BO831" s="115"/>
      <c r="BP831" s="115"/>
      <c r="BQ831" s="115"/>
      <c r="BR831" s="115"/>
      <c r="BS831" s="115"/>
      <c r="BT831" s="115"/>
      <c r="BU831" s="115"/>
      <c r="BV831" s="115"/>
      <c r="BW831" s="115"/>
      <c r="BX831" s="115"/>
      <c r="BY831" s="115"/>
      <c r="BZ831" s="115"/>
      <c r="CA831" s="115"/>
      <c r="CB831" s="115"/>
      <c r="CC831" s="115"/>
      <c r="CD831" s="115"/>
      <c r="CE831" s="115"/>
      <c r="CF831" s="115"/>
      <c r="CG831" s="115"/>
      <c r="CH831" s="115"/>
      <c r="CI831" s="115"/>
      <c r="CJ831" s="115"/>
      <c r="CK831" s="115"/>
      <c r="CL831" s="115"/>
      <c r="CM831" s="115"/>
      <c r="CN831" s="115"/>
      <c r="CO831" s="115"/>
    </row>
    <row r="832" spans="1:93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  <c r="U832" s="115"/>
      <c r="V832" s="115"/>
      <c r="W832" s="116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  <c r="BN832" s="115"/>
      <c r="BO832" s="115"/>
      <c r="BP832" s="115"/>
      <c r="BQ832" s="115"/>
      <c r="BR832" s="115"/>
      <c r="BS832" s="115"/>
      <c r="BT832" s="115"/>
      <c r="BU832" s="115"/>
      <c r="BV832" s="115"/>
      <c r="BW832" s="115"/>
      <c r="BX832" s="115"/>
      <c r="BY832" s="115"/>
      <c r="BZ832" s="115"/>
      <c r="CA832" s="115"/>
      <c r="CB832" s="115"/>
      <c r="CC832" s="115"/>
      <c r="CD832" s="115"/>
      <c r="CE832" s="115"/>
      <c r="CF832" s="115"/>
      <c r="CG832" s="115"/>
      <c r="CH832" s="115"/>
      <c r="CI832" s="115"/>
      <c r="CJ832" s="115"/>
      <c r="CK832" s="115"/>
      <c r="CL832" s="115"/>
      <c r="CM832" s="115"/>
      <c r="CN832" s="115"/>
      <c r="CO832" s="115"/>
    </row>
    <row r="833" spans="1:93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  <c r="U833" s="115"/>
      <c r="V833" s="115"/>
      <c r="W833" s="116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  <c r="BN833" s="115"/>
      <c r="BO833" s="115"/>
      <c r="BP833" s="115"/>
      <c r="BQ833" s="115"/>
      <c r="BR833" s="115"/>
      <c r="BS833" s="115"/>
      <c r="BT833" s="115"/>
      <c r="BU833" s="115"/>
      <c r="BV833" s="115"/>
      <c r="BW833" s="115"/>
      <c r="BX833" s="115"/>
      <c r="BY833" s="115"/>
      <c r="BZ833" s="115"/>
      <c r="CA833" s="115"/>
      <c r="CB833" s="115"/>
      <c r="CC833" s="115"/>
      <c r="CD833" s="115"/>
      <c r="CE833" s="115"/>
      <c r="CF833" s="115"/>
      <c r="CG833" s="115"/>
      <c r="CH833" s="115"/>
      <c r="CI833" s="115"/>
      <c r="CJ833" s="115"/>
      <c r="CK833" s="115"/>
      <c r="CL833" s="115"/>
      <c r="CM833" s="115"/>
      <c r="CN833" s="115"/>
      <c r="CO833" s="115"/>
    </row>
    <row r="834" spans="1:93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  <c r="U834" s="115"/>
      <c r="V834" s="115"/>
      <c r="W834" s="116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  <c r="BN834" s="115"/>
      <c r="BO834" s="115"/>
      <c r="BP834" s="115"/>
      <c r="BQ834" s="115"/>
      <c r="BR834" s="115"/>
      <c r="BS834" s="115"/>
      <c r="BT834" s="115"/>
      <c r="BU834" s="115"/>
      <c r="BV834" s="115"/>
      <c r="BW834" s="115"/>
      <c r="BX834" s="115"/>
      <c r="BY834" s="115"/>
      <c r="BZ834" s="115"/>
      <c r="CA834" s="115"/>
      <c r="CB834" s="115"/>
      <c r="CC834" s="115"/>
      <c r="CD834" s="115"/>
      <c r="CE834" s="115"/>
      <c r="CF834" s="115"/>
      <c r="CG834" s="115"/>
      <c r="CH834" s="115"/>
      <c r="CI834" s="115"/>
      <c r="CJ834" s="115"/>
      <c r="CK834" s="115"/>
      <c r="CL834" s="115"/>
      <c r="CM834" s="115"/>
      <c r="CN834" s="115"/>
      <c r="CO834" s="115"/>
    </row>
    <row r="835" spans="1:93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  <c r="U835" s="115"/>
      <c r="V835" s="115"/>
      <c r="W835" s="116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  <c r="BN835" s="115"/>
      <c r="BO835" s="115"/>
      <c r="BP835" s="115"/>
      <c r="BQ835" s="115"/>
      <c r="BR835" s="115"/>
      <c r="BS835" s="115"/>
      <c r="BT835" s="115"/>
      <c r="BU835" s="115"/>
      <c r="BV835" s="115"/>
      <c r="BW835" s="115"/>
      <c r="BX835" s="115"/>
      <c r="BY835" s="115"/>
      <c r="BZ835" s="115"/>
      <c r="CA835" s="115"/>
      <c r="CB835" s="115"/>
      <c r="CC835" s="115"/>
      <c r="CD835" s="115"/>
      <c r="CE835" s="115"/>
      <c r="CF835" s="115"/>
      <c r="CG835" s="115"/>
      <c r="CH835" s="115"/>
      <c r="CI835" s="115"/>
      <c r="CJ835" s="115"/>
      <c r="CK835" s="115"/>
      <c r="CL835" s="115"/>
      <c r="CM835" s="115"/>
      <c r="CN835" s="115"/>
      <c r="CO835" s="115"/>
    </row>
    <row r="836" spans="1:93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  <c r="U836" s="115"/>
      <c r="V836" s="115"/>
      <c r="W836" s="116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  <c r="CJ836" s="115"/>
      <c r="CK836" s="115"/>
      <c r="CL836" s="115"/>
      <c r="CM836" s="115"/>
      <c r="CN836" s="115"/>
      <c r="CO836" s="115"/>
    </row>
    <row r="837" spans="1:93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  <c r="U837" s="115"/>
      <c r="V837" s="115"/>
      <c r="W837" s="116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  <c r="BN837" s="115"/>
      <c r="BO837" s="115"/>
      <c r="BP837" s="115"/>
      <c r="BQ837" s="115"/>
      <c r="BR837" s="115"/>
      <c r="BS837" s="115"/>
      <c r="BT837" s="115"/>
      <c r="BU837" s="115"/>
      <c r="BV837" s="115"/>
      <c r="BW837" s="115"/>
      <c r="BX837" s="115"/>
      <c r="BY837" s="115"/>
      <c r="BZ837" s="115"/>
      <c r="CA837" s="115"/>
      <c r="CB837" s="115"/>
      <c r="CC837" s="115"/>
      <c r="CD837" s="115"/>
      <c r="CE837" s="115"/>
      <c r="CF837" s="115"/>
      <c r="CG837" s="115"/>
      <c r="CH837" s="115"/>
      <c r="CI837" s="115"/>
      <c r="CJ837" s="115"/>
      <c r="CK837" s="115"/>
      <c r="CL837" s="115"/>
      <c r="CM837" s="115"/>
      <c r="CN837" s="115"/>
      <c r="CO837" s="115"/>
    </row>
    <row r="838" spans="1:93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  <c r="U838" s="115"/>
      <c r="V838" s="115"/>
      <c r="W838" s="116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  <c r="BN838" s="115"/>
      <c r="BO838" s="115"/>
      <c r="BP838" s="115"/>
      <c r="BQ838" s="115"/>
      <c r="BR838" s="115"/>
      <c r="BS838" s="115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  <c r="CJ838" s="115"/>
      <c r="CK838" s="115"/>
      <c r="CL838" s="115"/>
      <c r="CM838" s="115"/>
      <c r="CN838" s="115"/>
      <c r="CO838" s="115"/>
    </row>
    <row r="839" spans="1:93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  <c r="U839" s="115"/>
      <c r="V839" s="115"/>
      <c r="W839" s="116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  <c r="BN839" s="115"/>
      <c r="BO839" s="115"/>
      <c r="BP839" s="115"/>
      <c r="BQ839" s="115"/>
      <c r="BR839" s="115"/>
      <c r="BS839" s="115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  <c r="CJ839" s="115"/>
      <c r="CK839" s="115"/>
      <c r="CL839" s="115"/>
      <c r="CM839" s="115"/>
      <c r="CN839" s="115"/>
      <c r="CO839" s="115"/>
    </row>
    <row r="840" spans="1:93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  <c r="U840" s="115"/>
      <c r="V840" s="115"/>
      <c r="W840" s="116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</row>
    <row r="841" spans="1:93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  <c r="U841" s="115"/>
      <c r="V841" s="115"/>
      <c r="W841" s="116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</row>
    <row r="842" spans="1:93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  <c r="U842" s="115"/>
      <c r="V842" s="115"/>
      <c r="W842" s="116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</row>
    <row r="843" spans="1:93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  <c r="U843" s="115"/>
      <c r="V843" s="115"/>
      <c r="W843" s="116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</row>
    <row r="844" spans="1:93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  <c r="U844" s="115"/>
      <c r="V844" s="115"/>
      <c r="W844" s="116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</row>
    <row r="845" spans="1:93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  <c r="U845" s="115"/>
      <c r="V845" s="115"/>
      <c r="W845" s="116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</row>
    <row r="846" spans="1:93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  <c r="U846" s="115"/>
      <c r="V846" s="115"/>
      <c r="W846" s="116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</row>
    <row r="847" spans="1:93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  <c r="U847" s="115"/>
      <c r="V847" s="115"/>
      <c r="W847" s="116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</row>
    <row r="848" spans="1:93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  <c r="U848" s="115"/>
      <c r="V848" s="115"/>
      <c r="W848" s="116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</row>
    <row r="849" spans="1:93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  <c r="U849" s="115"/>
      <c r="V849" s="115"/>
      <c r="W849" s="116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</row>
    <row r="850" spans="1:93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  <c r="U850" s="115"/>
      <c r="V850" s="115"/>
      <c r="W850" s="116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</row>
    <row r="851" spans="1:93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  <c r="U851" s="115"/>
      <c r="V851" s="115"/>
      <c r="W851" s="116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</row>
    <row r="852" spans="1:93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  <c r="U852" s="115"/>
      <c r="V852" s="115"/>
      <c r="W852" s="116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</row>
    <row r="853" spans="1:93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  <c r="U853" s="115"/>
      <c r="V853" s="115"/>
      <c r="W853" s="116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</row>
    <row r="854" spans="1:93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  <c r="U854" s="115"/>
      <c r="V854" s="115"/>
      <c r="W854" s="116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</row>
    <row r="855" spans="1:93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  <c r="U855" s="115"/>
      <c r="V855" s="115"/>
      <c r="W855" s="116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</row>
    <row r="856" spans="1:93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  <c r="U856" s="115"/>
      <c r="V856" s="115"/>
      <c r="W856" s="116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</row>
    <row r="857" spans="1:93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  <c r="U857" s="115"/>
      <c r="V857" s="115"/>
      <c r="W857" s="116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</row>
    <row r="858" spans="1:93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  <c r="U858" s="115"/>
      <c r="V858" s="115"/>
      <c r="W858" s="116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</row>
    <row r="859" spans="1:93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  <c r="U859" s="115"/>
      <c r="V859" s="115"/>
      <c r="W859" s="116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</row>
    <row r="860" spans="1:93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  <c r="U860" s="115"/>
      <c r="V860" s="115"/>
      <c r="W860" s="116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</row>
    <row r="861" spans="1:93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  <c r="U861" s="115"/>
      <c r="V861" s="115"/>
      <c r="W861" s="116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</row>
    <row r="862" spans="1:93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  <c r="U862" s="115"/>
      <c r="V862" s="115"/>
      <c r="W862" s="116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</row>
    <row r="863" spans="1:93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  <c r="U863" s="115"/>
      <c r="V863" s="115"/>
      <c r="W863" s="116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</row>
    <row r="864" spans="1:93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  <c r="U864" s="115"/>
      <c r="V864" s="115"/>
      <c r="W864" s="116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</row>
    <row r="865" spans="1:93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  <c r="U865" s="115"/>
      <c r="V865" s="115"/>
      <c r="W865" s="116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</row>
    <row r="866" spans="1:93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  <c r="U866" s="115"/>
      <c r="V866" s="115"/>
      <c r="W866" s="116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</row>
    <row r="867" spans="1:93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  <c r="U867" s="115"/>
      <c r="V867" s="115"/>
      <c r="W867" s="116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</row>
    <row r="868" spans="1:93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  <c r="U868" s="115"/>
      <c r="V868" s="115"/>
      <c r="W868" s="116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</row>
    <row r="869" spans="1:93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  <c r="U869" s="115"/>
      <c r="V869" s="115"/>
      <c r="W869" s="116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</row>
    <row r="870" spans="1:93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  <c r="U870" s="115"/>
      <c r="V870" s="115"/>
      <c r="W870" s="116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</row>
    <row r="871" spans="1:93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  <c r="U871" s="115"/>
      <c r="V871" s="115"/>
      <c r="W871" s="116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</row>
    <row r="872" spans="1:93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  <c r="U872" s="115"/>
      <c r="V872" s="115"/>
      <c r="W872" s="116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</row>
    <row r="873" spans="1:93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  <c r="U873" s="115"/>
      <c r="V873" s="115"/>
      <c r="W873" s="116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</row>
    <row r="874" spans="1:93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  <c r="U874" s="115"/>
      <c r="V874" s="115"/>
      <c r="W874" s="116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  <c r="CJ874" s="115"/>
      <c r="CK874" s="115"/>
      <c r="CL874" s="115"/>
      <c r="CM874" s="115"/>
      <c r="CN874" s="115"/>
      <c r="CO874" s="115"/>
    </row>
    <row r="875" spans="1:93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  <c r="U875" s="115"/>
      <c r="V875" s="115"/>
      <c r="W875" s="116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  <c r="CJ875" s="115"/>
      <c r="CK875" s="115"/>
      <c r="CL875" s="115"/>
      <c r="CM875" s="115"/>
      <c r="CN875" s="115"/>
      <c r="CO875" s="115"/>
    </row>
    <row r="876" spans="1:93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  <c r="U876" s="115"/>
      <c r="V876" s="115"/>
      <c r="W876" s="116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  <c r="BN876" s="115"/>
      <c r="BO876" s="115"/>
      <c r="BP876" s="115"/>
      <c r="BQ876" s="115"/>
      <c r="BR876" s="115"/>
      <c r="BS876" s="115"/>
      <c r="BT876" s="115"/>
      <c r="BU876" s="115"/>
      <c r="BV876" s="115"/>
      <c r="BW876" s="115"/>
      <c r="BX876" s="115"/>
      <c r="BY876" s="115"/>
      <c r="BZ876" s="115"/>
      <c r="CA876" s="115"/>
      <c r="CB876" s="115"/>
      <c r="CC876" s="115"/>
      <c r="CD876" s="115"/>
      <c r="CE876" s="115"/>
      <c r="CF876" s="115"/>
      <c r="CG876" s="115"/>
      <c r="CH876" s="115"/>
      <c r="CI876" s="115"/>
      <c r="CJ876" s="115"/>
      <c r="CK876" s="115"/>
      <c r="CL876" s="115"/>
      <c r="CM876" s="115"/>
      <c r="CN876" s="115"/>
      <c r="CO876" s="115"/>
    </row>
    <row r="877" spans="1:93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  <c r="U877" s="115"/>
      <c r="V877" s="115"/>
      <c r="W877" s="116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  <c r="BN877" s="115"/>
      <c r="BO877" s="115"/>
      <c r="BP877" s="115"/>
      <c r="BQ877" s="115"/>
      <c r="BR877" s="115"/>
      <c r="BS877" s="115"/>
      <c r="BT877" s="115"/>
      <c r="BU877" s="115"/>
      <c r="BV877" s="115"/>
      <c r="BW877" s="115"/>
      <c r="BX877" s="115"/>
      <c r="BY877" s="115"/>
      <c r="BZ877" s="115"/>
      <c r="CA877" s="115"/>
      <c r="CB877" s="115"/>
      <c r="CC877" s="115"/>
      <c r="CD877" s="115"/>
      <c r="CE877" s="115"/>
      <c r="CF877" s="115"/>
      <c r="CG877" s="115"/>
      <c r="CH877" s="115"/>
      <c r="CI877" s="115"/>
      <c r="CJ877" s="115"/>
      <c r="CK877" s="115"/>
      <c r="CL877" s="115"/>
      <c r="CM877" s="115"/>
      <c r="CN877" s="115"/>
      <c r="CO877" s="115"/>
    </row>
    <row r="878" spans="1:93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  <c r="U878" s="115"/>
      <c r="V878" s="115"/>
      <c r="W878" s="116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  <c r="BN878" s="115"/>
      <c r="BO878" s="115"/>
      <c r="BP878" s="115"/>
      <c r="BQ878" s="115"/>
      <c r="BR878" s="115"/>
      <c r="BS878" s="115"/>
      <c r="BT878" s="115"/>
      <c r="BU878" s="115"/>
      <c r="BV878" s="115"/>
      <c r="BW878" s="115"/>
      <c r="BX878" s="115"/>
      <c r="BY878" s="115"/>
      <c r="BZ878" s="115"/>
      <c r="CA878" s="115"/>
      <c r="CB878" s="115"/>
      <c r="CC878" s="115"/>
      <c r="CD878" s="115"/>
      <c r="CE878" s="115"/>
      <c r="CF878" s="115"/>
      <c r="CG878" s="115"/>
      <c r="CH878" s="115"/>
      <c r="CI878" s="115"/>
      <c r="CJ878" s="115"/>
      <c r="CK878" s="115"/>
      <c r="CL878" s="115"/>
      <c r="CM878" s="115"/>
      <c r="CN878" s="115"/>
      <c r="CO878" s="115"/>
    </row>
    <row r="879" spans="1:93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  <c r="U879" s="115"/>
      <c r="V879" s="115"/>
      <c r="W879" s="116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  <c r="BN879" s="115"/>
      <c r="BO879" s="115"/>
      <c r="BP879" s="115"/>
      <c r="BQ879" s="115"/>
      <c r="BR879" s="115"/>
      <c r="BS879" s="115"/>
      <c r="BT879" s="115"/>
      <c r="BU879" s="115"/>
      <c r="BV879" s="115"/>
      <c r="BW879" s="115"/>
      <c r="BX879" s="115"/>
      <c r="BY879" s="115"/>
      <c r="BZ879" s="115"/>
      <c r="CA879" s="115"/>
      <c r="CB879" s="115"/>
      <c r="CC879" s="115"/>
      <c r="CD879" s="115"/>
      <c r="CE879" s="115"/>
      <c r="CF879" s="115"/>
      <c r="CG879" s="115"/>
      <c r="CH879" s="115"/>
      <c r="CI879" s="115"/>
      <c r="CJ879" s="115"/>
      <c r="CK879" s="115"/>
      <c r="CL879" s="115"/>
      <c r="CM879" s="115"/>
      <c r="CN879" s="115"/>
      <c r="CO879" s="115"/>
    </row>
    <row r="880" spans="1:93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  <c r="U880" s="115"/>
      <c r="V880" s="115"/>
      <c r="W880" s="116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  <c r="BN880" s="115"/>
      <c r="BO880" s="115"/>
      <c r="BP880" s="115"/>
      <c r="BQ880" s="115"/>
      <c r="BR880" s="115"/>
      <c r="BS880" s="115"/>
      <c r="BT880" s="115"/>
      <c r="BU880" s="115"/>
      <c r="BV880" s="115"/>
      <c r="BW880" s="115"/>
      <c r="BX880" s="115"/>
      <c r="BY880" s="115"/>
      <c r="BZ880" s="115"/>
      <c r="CA880" s="115"/>
      <c r="CB880" s="115"/>
      <c r="CC880" s="115"/>
      <c r="CD880" s="115"/>
      <c r="CE880" s="115"/>
      <c r="CF880" s="115"/>
      <c r="CG880" s="115"/>
      <c r="CH880" s="115"/>
      <c r="CI880" s="115"/>
      <c r="CJ880" s="115"/>
      <c r="CK880" s="115"/>
      <c r="CL880" s="115"/>
      <c r="CM880" s="115"/>
      <c r="CN880" s="115"/>
      <c r="CO880" s="115"/>
    </row>
    <row r="881" spans="1:93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  <c r="U881" s="115"/>
      <c r="V881" s="115"/>
      <c r="W881" s="116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  <c r="BN881" s="115"/>
      <c r="BO881" s="115"/>
      <c r="BP881" s="115"/>
      <c r="BQ881" s="115"/>
      <c r="BR881" s="115"/>
      <c r="BS881" s="115"/>
      <c r="BT881" s="115"/>
      <c r="BU881" s="115"/>
      <c r="BV881" s="115"/>
      <c r="BW881" s="115"/>
      <c r="BX881" s="115"/>
      <c r="BY881" s="115"/>
      <c r="BZ881" s="115"/>
      <c r="CA881" s="115"/>
      <c r="CB881" s="115"/>
      <c r="CC881" s="115"/>
      <c r="CD881" s="115"/>
      <c r="CE881" s="115"/>
      <c r="CF881" s="115"/>
      <c r="CG881" s="115"/>
      <c r="CH881" s="115"/>
      <c r="CI881" s="115"/>
      <c r="CJ881" s="115"/>
      <c r="CK881" s="115"/>
      <c r="CL881" s="115"/>
      <c r="CM881" s="115"/>
      <c r="CN881" s="115"/>
      <c r="CO881" s="115"/>
    </row>
    <row r="882" spans="1:93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  <c r="U882" s="115"/>
      <c r="V882" s="115"/>
      <c r="W882" s="116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  <c r="BN882" s="115"/>
      <c r="BO882" s="115"/>
      <c r="BP882" s="115"/>
      <c r="BQ882" s="115"/>
      <c r="BR882" s="115"/>
      <c r="BS882" s="115"/>
      <c r="BT882" s="115"/>
      <c r="BU882" s="115"/>
      <c r="BV882" s="115"/>
      <c r="BW882" s="115"/>
      <c r="BX882" s="115"/>
      <c r="BY882" s="115"/>
      <c r="BZ882" s="115"/>
      <c r="CA882" s="115"/>
      <c r="CB882" s="115"/>
      <c r="CC882" s="115"/>
      <c r="CD882" s="115"/>
      <c r="CE882" s="115"/>
      <c r="CF882" s="115"/>
      <c r="CG882" s="115"/>
      <c r="CH882" s="115"/>
      <c r="CI882" s="115"/>
      <c r="CJ882" s="115"/>
      <c r="CK882" s="115"/>
      <c r="CL882" s="115"/>
      <c r="CM882" s="115"/>
      <c r="CN882" s="115"/>
      <c r="CO882" s="115"/>
    </row>
    <row r="883" spans="1:93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  <c r="U883" s="115"/>
      <c r="V883" s="115"/>
      <c r="W883" s="116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  <c r="BN883" s="115"/>
      <c r="BO883" s="115"/>
      <c r="BP883" s="115"/>
      <c r="BQ883" s="115"/>
      <c r="BR883" s="115"/>
      <c r="BS883" s="115"/>
      <c r="BT883" s="115"/>
      <c r="BU883" s="115"/>
      <c r="BV883" s="115"/>
      <c r="BW883" s="115"/>
      <c r="BX883" s="115"/>
      <c r="BY883" s="115"/>
      <c r="BZ883" s="115"/>
      <c r="CA883" s="115"/>
      <c r="CB883" s="115"/>
      <c r="CC883" s="115"/>
      <c r="CD883" s="115"/>
      <c r="CE883" s="115"/>
      <c r="CF883" s="115"/>
      <c r="CG883" s="115"/>
      <c r="CH883" s="115"/>
      <c r="CI883" s="115"/>
      <c r="CJ883" s="115"/>
      <c r="CK883" s="115"/>
      <c r="CL883" s="115"/>
      <c r="CM883" s="115"/>
      <c r="CN883" s="115"/>
      <c r="CO883" s="115"/>
    </row>
    <row r="884" spans="1:93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  <c r="U884" s="115"/>
      <c r="V884" s="115"/>
      <c r="W884" s="116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  <c r="BN884" s="115"/>
      <c r="BO884" s="115"/>
      <c r="BP884" s="115"/>
      <c r="BQ884" s="115"/>
      <c r="BR884" s="115"/>
      <c r="BS884" s="115"/>
      <c r="BT884" s="115"/>
      <c r="BU884" s="115"/>
      <c r="BV884" s="115"/>
      <c r="BW884" s="115"/>
      <c r="BX884" s="115"/>
      <c r="BY884" s="115"/>
      <c r="BZ884" s="115"/>
      <c r="CA884" s="115"/>
      <c r="CB884" s="115"/>
      <c r="CC884" s="115"/>
      <c r="CD884" s="115"/>
      <c r="CE884" s="115"/>
      <c r="CF884" s="115"/>
      <c r="CG884" s="115"/>
      <c r="CH884" s="115"/>
      <c r="CI884" s="115"/>
      <c r="CJ884" s="115"/>
      <c r="CK884" s="115"/>
      <c r="CL884" s="115"/>
      <c r="CM884" s="115"/>
      <c r="CN884" s="115"/>
      <c r="CO884" s="115"/>
    </row>
    <row r="885" spans="1:93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  <c r="U885" s="115"/>
      <c r="V885" s="115"/>
      <c r="W885" s="116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  <c r="BN885" s="115"/>
      <c r="BO885" s="115"/>
      <c r="BP885" s="115"/>
      <c r="BQ885" s="115"/>
      <c r="BR885" s="115"/>
      <c r="BS885" s="115"/>
      <c r="BT885" s="115"/>
      <c r="BU885" s="115"/>
      <c r="BV885" s="115"/>
      <c r="BW885" s="115"/>
      <c r="BX885" s="115"/>
      <c r="BY885" s="115"/>
      <c r="BZ885" s="115"/>
      <c r="CA885" s="115"/>
      <c r="CB885" s="115"/>
      <c r="CC885" s="115"/>
      <c r="CD885" s="115"/>
      <c r="CE885" s="115"/>
      <c r="CF885" s="115"/>
      <c r="CG885" s="115"/>
      <c r="CH885" s="115"/>
      <c r="CI885" s="115"/>
      <c r="CJ885" s="115"/>
      <c r="CK885" s="115"/>
      <c r="CL885" s="115"/>
      <c r="CM885" s="115"/>
      <c r="CN885" s="115"/>
      <c r="CO885" s="115"/>
    </row>
    <row r="886" spans="1:93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  <c r="U886" s="115"/>
      <c r="V886" s="115"/>
      <c r="W886" s="116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  <c r="BN886" s="115"/>
      <c r="BO886" s="115"/>
      <c r="BP886" s="115"/>
      <c r="BQ886" s="115"/>
      <c r="BR886" s="115"/>
      <c r="BS886" s="115"/>
      <c r="BT886" s="115"/>
      <c r="BU886" s="115"/>
      <c r="BV886" s="115"/>
      <c r="BW886" s="115"/>
      <c r="BX886" s="115"/>
      <c r="BY886" s="115"/>
      <c r="BZ886" s="115"/>
      <c r="CA886" s="115"/>
      <c r="CB886" s="115"/>
      <c r="CC886" s="115"/>
      <c r="CD886" s="115"/>
      <c r="CE886" s="115"/>
      <c r="CF886" s="115"/>
      <c r="CG886" s="115"/>
      <c r="CH886" s="115"/>
      <c r="CI886" s="115"/>
      <c r="CJ886" s="115"/>
      <c r="CK886" s="115"/>
      <c r="CL886" s="115"/>
      <c r="CM886" s="115"/>
      <c r="CN886" s="115"/>
      <c r="CO886" s="115"/>
    </row>
    <row r="887" spans="1:93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  <c r="U887" s="115"/>
      <c r="V887" s="115"/>
      <c r="W887" s="116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  <c r="BN887" s="115"/>
      <c r="BO887" s="115"/>
      <c r="BP887" s="115"/>
      <c r="BQ887" s="115"/>
      <c r="BR887" s="115"/>
      <c r="BS887" s="115"/>
      <c r="BT887" s="115"/>
      <c r="BU887" s="115"/>
      <c r="BV887" s="115"/>
      <c r="BW887" s="115"/>
      <c r="BX887" s="115"/>
      <c r="BY887" s="115"/>
      <c r="BZ887" s="115"/>
      <c r="CA887" s="115"/>
      <c r="CB887" s="115"/>
      <c r="CC887" s="115"/>
      <c r="CD887" s="115"/>
      <c r="CE887" s="115"/>
      <c r="CF887" s="115"/>
      <c r="CG887" s="115"/>
      <c r="CH887" s="115"/>
      <c r="CI887" s="115"/>
      <c r="CJ887" s="115"/>
      <c r="CK887" s="115"/>
      <c r="CL887" s="115"/>
      <c r="CM887" s="115"/>
      <c r="CN887" s="115"/>
      <c r="CO887" s="115"/>
    </row>
    <row r="888" spans="1:93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  <c r="U888" s="115"/>
      <c r="V888" s="115"/>
      <c r="W888" s="116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  <c r="BN888" s="115"/>
      <c r="BO888" s="115"/>
      <c r="BP888" s="115"/>
      <c r="BQ888" s="115"/>
      <c r="BR888" s="115"/>
      <c r="BS888" s="115"/>
      <c r="BT888" s="115"/>
      <c r="BU888" s="115"/>
      <c r="BV888" s="115"/>
      <c r="BW888" s="115"/>
      <c r="BX888" s="115"/>
      <c r="BY888" s="115"/>
      <c r="BZ888" s="115"/>
      <c r="CA888" s="115"/>
      <c r="CB888" s="115"/>
      <c r="CC888" s="115"/>
      <c r="CD888" s="115"/>
      <c r="CE888" s="115"/>
      <c r="CF888" s="115"/>
      <c r="CG888" s="115"/>
      <c r="CH888" s="115"/>
      <c r="CI888" s="115"/>
      <c r="CJ888" s="115"/>
      <c r="CK888" s="115"/>
      <c r="CL888" s="115"/>
      <c r="CM888" s="115"/>
      <c r="CN888" s="115"/>
      <c r="CO888" s="115"/>
    </row>
    <row r="889" spans="1:93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  <c r="U889" s="115"/>
      <c r="V889" s="115"/>
      <c r="W889" s="116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  <c r="BN889" s="115"/>
      <c r="BO889" s="115"/>
      <c r="BP889" s="115"/>
      <c r="BQ889" s="115"/>
      <c r="BR889" s="115"/>
      <c r="BS889" s="115"/>
      <c r="BT889" s="115"/>
      <c r="BU889" s="115"/>
      <c r="BV889" s="115"/>
      <c r="BW889" s="115"/>
      <c r="BX889" s="115"/>
      <c r="BY889" s="115"/>
      <c r="BZ889" s="115"/>
      <c r="CA889" s="115"/>
      <c r="CB889" s="115"/>
      <c r="CC889" s="115"/>
      <c r="CD889" s="115"/>
      <c r="CE889" s="115"/>
      <c r="CF889" s="115"/>
      <c r="CG889" s="115"/>
      <c r="CH889" s="115"/>
      <c r="CI889" s="115"/>
      <c r="CJ889" s="115"/>
      <c r="CK889" s="115"/>
      <c r="CL889" s="115"/>
      <c r="CM889" s="115"/>
      <c r="CN889" s="115"/>
      <c r="CO889" s="115"/>
    </row>
    <row r="890" spans="1:93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  <c r="U890" s="115"/>
      <c r="V890" s="115"/>
      <c r="W890" s="116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  <c r="BN890" s="115"/>
      <c r="BO890" s="115"/>
      <c r="BP890" s="115"/>
      <c r="BQ890" s="115"/>
      <c r="BR890" s="115"/>
      <c r="BS890" s="115"/>
      <c r="BT890" s="115"/>
      <c r="BU890" s="115"/>
      <c r="BV890" s="115"/>
      <c r="BW890" s="115"/>
      <c r="BX890" s="115"/>
      <c r="BY890" s="115"/>
      <c r="BZ890" s="115"/>
      <c r="CA890" s="115"/>
      <c r="CB890" s="115"/>
      <c r="CC890" s="115"/>
      <c r="CD890" s="115"/>
      <c r="CE890" s="115"/>
      <c r="CF890" s="115"/>
      <c r="CG890" s="115"/>
      <c r="CH890" s="115"/>
      <c r="CI890" s="115"/>
      <c r="CJ890" s="115"/>
      <c r="CK890" s="115"/>
      <c r="CL890" s="115"/>
      <c r="CM890" s="115"/>
      <c r="CN890" s="115"/>
      <c r="CO890" s="115"/>
    </row>
    <row r="891" spans="1:93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  <c r="U891" s="115"/>
      <c r="V891" s="115"/>
      <c r="W891" s="116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  <c r="BN891" s="115"/>
      <c r="BO891" s="115"/>
      <c r="BP891" s="115"/>
      <c r="BQ891" s="115"/>
      <c r="BR891" s="115"/>
      <c r="BS891" s="115"/>
      <c r="BT891" s="115"/>
      <c r="BU891" s="115"/>
      <c r="BV891" s="115"/>
      <c r="BW891" s="115"/>
      <c r="BX891" s="115"/>
      <c r="BY891" s="115"/>
      <c r="BZ891" s="115"/>
      <c r="CA891" s="115"/>
      <c r="CB891" s="115"/>
      <c r="CC891" s="115"/>
      <c r="CD891" s="115"/>
      <c r="CE891" s="115"/>
      <c r="CF891" s="115"/>
      <c r="CG891" s="115"/>
      <c r="CH891" s="115"/>
      <c r="CI891" s="115"/>
      <c r="CJ891" s="115"/>
      <c r="CK891" s="115"/>
      <c r="CL891" s="115"/>
      <c r="CM891" s="115"/>
      <c r="CN891" s="115"/>
      <c r="CO891" s="115"/>
    </row>
    <row r="892" spans="1:93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  <c r="U892" s="115"/>
      <c r="V892" s="115"/>
      <c r="W892" s="116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  <c r="BN892" s="115"/>
      <c r="BO892" s="115"/>
      <c r="BP892" s="115"/>
      <c r="BQ892" s="115"/>
      <c r="BR892" s="115"/>
      <c r="BS892" s="115"/>
      <c r="BT892" s="115"/>
      <c r="BU892" s="115"/>
      <c r="BV892" s="115"/>
      <c r="BW892" s="115"/>
      <c r="BX892" s="115"/>
      <c r="BY892" s="115"/>
      <c r="BZ892" s="115"/>
      <c r="CA892" s="115"/>
      <c r="CB892" s="115"/>
      <c r="CC892" s="115"/>
      <c r="CD892" s="115"/>
      <c r="CE892" s="115"/>
      <c r="CF892" s="115"/>
      <c r="CG892" s="115"/>
      <c r="CH892" s="115"/>
      <c r="CI892" s="115"/>
      <c r="CJ892" s="115"/>
      <c r="CK892" s="115"/>
      <c r="CL892" s="115"/>
      <c r="CM892" s="115"/>
      <c r="CN892" s="115"/>
      <c r="CO892" s="115"/>
    </row>
    <row r="893" spans="1:93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  <c r="U893" s="115"/>
      <c r="V893" s="115"/>
      <c r="W893" s="116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  <c r="BN893" s="115"/>
      <c r="BO893" s="115"/>
      <c r="BP893" s="115"/>
      <c r="BQ893" s="115"/>
      <c r="BR893" s="115"/>
      <c r="BS893" s="115"/>
      <c r="BT893" s="115"/>
      <c r="BU893" s="115"/>
      <c r="BV893" s="115"/>
      <c r="BW893" s="115"/>
      <c r="BX893" s="115"/>
      <c r="BY893" s="115"/>
      <c r="BZ893" s="115"/>
      <c r="CA893" s="115"/>
      <c r="CB893" s="115"/>
      <c r="CC893" s="115"/>
      <c r="CD893" s="115"/>
      <c r="CE893" s="115"/>
      <c r="CF893" s="115"/>
      <c r="CG893" s="115"/>
      <c r="CH893" s="115"/>
      <c r="CI893" s="115"/>
      <c r="CJ893" s="115"/>
      <c r="CK893" s="115"/>
      <c r="CL893" s="115"/>
      <c r="CM893" s="115"/>
      <c r="CN893" s="115"/>
      <c r="CO893" s="115"/>
    </row>
    <row r="894" spans="1:93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  <c r="U894" s="115"/>
      <c r="V894" s="115"/>
      <c r="W894" s="116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  <c r="BN894" s="115"/>
      <c r="BO894" s="115"/>
      <c r="BP894" s="115"/>
      <c r="BQ894" s="115"/>
      <c r="BR894" s="115"/>
      <c r="BS894" s="115"/>
      <c r="BT894" s="115"/>
      <c r="BU894" s="115"/>
      <c r="BV894" s="115"/>
      <c r="BW894" s="115"/>
      <c r="BX894" s="115"/>
      <c r="BY894" s="115"/>
      <c r="BZ894" s="115"/>
      <c r="CA894" s="115"/>
      <c r="CB894" s="115"/>
      <c r="CC894" s="115"/>
      <c r="CD894" s="115"/>
      <c r="CE894" s="115"/>
      <c r="CF894" s="115"/>
      <c r="CG894" s="115"/>
      <c r="CH894" s="115"/>
      <c r="CI894" s="115"/>
      <c r="CJ894" s="115"/>
      <c r="CK894" s="115"/>
      <c r="CL894" s="115"/>
      <c r="CM894" s="115"/>
      <c r="CN894" s="115"/>
      <c r="CO894" s="115"/>
    </row>
    <row r="895" spans="1:93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  <c r="U895" s="115"/>
      <c r="V895" s="115"/>
      <c r="W895" s="116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  <c r="BN895" s="115"/>
      <c r="BO895" s="115"/>
      <c r="BP895" s="115"/>
      <c r="BQ895" s="115"/>
      <c r="BR895" s="115"/>
      <c r="BS895" s="115"/>
      <c r="BT895" s="115"/>
      <c r="BU895" s="115"/>
      <c r="BV895" s="115"/>
      <c r="BW895" s="115"/>
      <c r="BX895" s="115"/>
      <c r="BY895" s="115"/>
      <c r="BZ895" s="115"/>
      <c r="CA895" s="115"/>
      <c r="CB895" s="115"/>
      <c r="CC895" s="115"/>
      <c r="CD895" s="115"/>
      <c r="CE895" s="115"/>
      <c r="CF895" s="115"/>
      <c r="CG895" s="115"/>
      <c r="CH895" s="115"/>
      <c r="CI895" s="115"/>
      <c r="CJ895" s="115"/>
      <c r="CK895" s="115"/>
      <c r="CL895" s="115"/>
      <c r="CM895" s="115"/>
      <c r="CN895" s="115"/>
      <c r="CO895" s="115"/>
    </row>
    <row r="896" spans="1:93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  <c r="U896" s="115"/>
      <c r="V896" s="115"/>
      <c r="W896" s="116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</row>
    <row r="897" spans="1:93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  <c r="U897" s="115"/>
      <c r="V897" s="115"/>
      <c r="W897" s="116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  <c r="CJ897" s="115"/>
      <c r="CK897" s="115"/>
      <c r="CL897" s="115"/>
      <c r="CM897" s="115"/>
      <c r="CN897" s="115"/>
      <c r="CO897" s="115"/>
    </row>
    <row r="898" spans="1:93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  <c r="U898" s="115"/>
      <c r="V898" s="115"/>
      <c r="W898" s="116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  <c r="CJ898" s="115"/>
      <c r="CK898" s="115"/>
      <c r="CL898" s="115"/>
      <c r="CM898" s="115"/>
      <c r="CN898" s="115"/>
      <c r="CO898" s="115"/>
    </row>
    <row r="899" spans="1:93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  <c r="U899" s="115"/>
      <c r="V899" s="115"/>
      <c r="W899" s="116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  <c r="BN899" s="115"/>
      <c r="BO899" s="115"/>
      <c r="BP899" s="115"/>
      <c r="BQ899" s="115"/>
      <c r="BR899" s="115"/>
      <c r="BS899" s="115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  <c r="CJ899" s="115"/>
      <c r="CK899" s="115"/>
      <c r="CL899" s="115"/>
      <c r="CM899" s="115"/>
      <c r="CN899" s="115"/>
      <c r="CO899" s="115"/>
    </row>
    <row r="900" spans="1:93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  <c r="U900" s="115"/>
      <c r="V900" s="115"/>
      <c r="W900" s="116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  <c r="BN900" s="115"/>
      <c r="BO900" s="115"/>
      <c r="BP900" s="115"/>
      <c r="BQ900" s="115"/>
      <c r="BR900" s="115"/>
      <c r="BS900" s="115"/>
      <c r="BT900" s="115"/>
      <c r="BU900" s="115"/>
      <c r="BV900" s="115"/>
      <c r="BW900" s="115"/>
      <c r="BX900" s="115"/>
      <c r="BY900" s="115"/>
      <c r="BZ900" s="115"/>
      <c r="CA900" s="115"/>
      <c r="CB900" s="115"/>
      <c r="CC900" s="115"/>
      <c r="CD900" s="115"/>
      <c r="CE900" s="115"/>
      <c r="CF900" s="115"/>
      <c r="CG900" s="115"/>
      <c r="CH900" s="115"/>
      <c r="CI900" s="115"/>
      <c r="CJ900" s="115"/>
      <c r="CK900" s="115"/>
      <c r="CL900" s="115"/>
      <c r="CM900" s="115"/>
      <c r="CN900" s="115"/>
      <c r="CO900" s="115"/>
    </row>
    <row r="901" spans="1:93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  <c r="U901" s="115"/>
      <c r="V901" s="115"/>
      <c r="W901" s="116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  <c r="BN901" s="115"/>
      <c r="BO901" s="115"/>
      <c r="BP901" s="115"/>
      <c r="BQ901" s="115"/>
      <c r="BR901" s="115"/>
      <c r="BS901" s="115"/>
      <c r="BT901" s="115"/>
      <c r="BU901" s="115"/>
      <c r="BV901" s="115"/>
      <c r="BW901" s="115"/>
      <c r="BX901" s="115"/>
      <c r="BY901" s="115"/>
      <c r="BZ901" s="115"/>
      <c r="CA901" s="115"/>
      <c r="CB901" s="115"/>
      <c r="CC901" s="115"/>
      <c r="CD901" s="115"/>
      <c r="CE901" s="115"/>
      <c r="CF901" s="115"/>
      <c r="CG901" s="115"/>
      <c r="CH901" s="115"/>
      <c r="CI901" s="115"/>
      <c r="CJ901" s="115"/>
      <c r="CK901" s="115"/>
      <c r="CL901" s="115"/>
      <c r="CM901" s="115"/>
      <c r="CN901" s="115"/>
      <c r="CO901" s="115"/>
    </row>
    <row r="902" spans="1:93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  <c r="U902" s="115"/>
      <c r="V902" s="115"/>
      <c r="W902" s="116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  <c r="BN902" s="115"/>
      <c r="BO902" s="115"/>
      <c r="BP902" s="115"/>
      <c r="BQ902" s="115"/>
      <c r="BR902" s="115"/>
      <c r="BS902" s="115"/>
      <c r="BT902" s="115"/>
      <c r="BU902" s="115"/>
      <c r="BV902" s="115"/>
      <c r="BW902" s="115"/>
      <c r="BX902" s="115"/>
      <c r="BY902" s="115"/>
      <c r="BZ902" s="115"/>
      <c r="CA902" s="115"/>
      <c r="CB902" s="115"/>
      <c r="CC902" s="115"/>
      <c r="CD902" s="115"/>
      <c r="CE902" s="115"/>
      <c r="CF902" s="115"/>
      <c r="CG902" s="115"/>
      <c r="CH902" s="115"/>
      <c r="CI902" s="115"/>
      <c r="CJ902" s="115"/>
      <c r="CK902" s="115"/>
      <c r="CL902" s="115"/>
      <c r="CM902" s="115"/>
      <c r="CN902" s="115"/>
      <c r="CO902" s="115"/>
    </row>
    <row r="903" spans="1:93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  <c r="U903" s="115"/>
      <c r="V903" s="115"/>
      <c r="W903" s="116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  <c r="BN903" s="115"/>
      <c r="BO903" s="115"/>
      <c r="BP903" s="115"/>
      <c r="BQ903" s="115"/>
      <c r="BR903" s="115"/>
      <c r="BS903" s="115"/>
      <c r="BT903" s="115"/>
      <c r="BU903" s="115"/>
      <c r="BV903" s="115"/>
      <c r="BW903" s="115"/>
      <c r="BX903" s="115"/>
      <c r="BY903" s="115"/>
      <c r="BZ903" s="115"/>
      <c r="CA903" s="115"/>
      <c r="CB903" s="115"/>
      <c r="CC903" s="115"/>
      <c r="CD903" s="115"/>
      <c r="CE903" s="115"/>
      <c r="CF903" s="115"/>
      <c r="CG903" s="115"/>
      <c r="CH903" s="115"/>
      <c r="CI903" s="115"/>
      <c r="CJ903" s="115"/>
      <c r="CK903" s="115"/>
      <c r="CL903" s="115"/>
      <c r="CM903" s="115"/>
      <c r="CN903" s="115"/>
      <c r="CO903" s="115"/>
    </row>
    <row r="904" spans="1:93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  <c r="U904" s="115"/>
      <c r="V904" s="115"/>
      <c r="W904" s="116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  <c r="BN904" s="115"/>
      <c r="BO904" s="115"/>
      <c r="BP904" s="115"/>
      <c r="BQ904" s="115"/>
      <c r="BR904" s="115"/>
      <c r="BS904" s="115"/>
      <c r="BT904" s="115"/>
      <c r="BU904" s="115"/>
      <c r="BV904" s="115"/>
      <c r="BW904" s="115"/>
      <c r="BX904" s="115"/>
      <c r="BY904" s="115"/>
      <c r="BZ904" s="115"/>
      <c r="CA904" s="115"/>
      <c r="CB904" s="115"/>
      <c r="CC904" s="115"/>
      <c r="CD904" s="115"/>
      <c r="CE904" s="115"/>
      <c r="CF904" s="115"/>
      <c r="CG904" s="115"/>
      <c r="CH904" s="115"/>
      <c r="CI904" s="115"/>
      <c r="CJ904" s="115"/>
      <c r="CK904" s="115"/>
      <c r="CL904" s="115"/>
      <c r="CM904" s="115"/>
      <c r="CN904" s="115"/>
      <c r="CO904" s="115"/>
    </row>
    <row r="905" spans="1:93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  <c r="U905" s="115"/>
      <c r="V905" s="115"/>
      <c r="W905" s="116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  <c r="BN905" s="115"/>
      <c r="BO905" s="115"/>
      <c r="BP905" s="115"/>
      <c r="BQ905" s="115"/>
      <c r="BR905" s="115"/>
      <c r="BS905" s="115"/>
      <c r="BT905" s="115"/>
      <c r="BU905" s="115"/>
      <c r="BV905" s="115"/>
      <c r="BW905" s="115"/>
      <c r="BX905" s="115"/>
      <c r="BY905" s="115"/>
      <c r="BZ905" s="115"/>
      <c r="CA905" s="115"/>
      <c r="CB905" s="115"/>
      <c r="CC905" s="115"/>
      <c r="CD905" s="115"/>
      <c r="CE905" s="115"/>
      <c r="CF905" s="115"/>
      <c r="CG905" s="115"/>
      <c r="CH905" s="115"/>
      <c r="CI905" s="115"/>
      <c r="CJ905" s="115"/>
      <c r="CK905" s="115"/>
      <c r="CL905" s="115"/>
      <c r="CM905" s="115"/>
      <c r="CN905" s="115"/>
      <c r="CO905" s="115"/>
    </row>
    <row r="906" spans="1:93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  <c r="U906" s="115"/>
      <c r="V906" s="115"/>
      <c r="W906" s="116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  <c r="CJ906" s="115"/>
      <c r="CK906" s="115"/>
      <c r="CL906" s="115"/>
      <c r="CM906" s="115"/>
      <c r="CN906" s="115"/>
      <c r="CO906" s="115"/>
    </row>
    <row r="907" spans="1:93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  <c r="U907" s="115"/>
      <c r="V907" s="115"/>
      <c r="W907" s="116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  <c r="BN907" s="115"/>
      <c r="BO907" s="115"/>
      <c r="BP907" s="115"/>
      <c r="BQ907" s="115"/>
      <c r="BR907" s="115"/>
      <c r="BS907" s="115"/>
      <c r="BT907" s="115"/>
      <c r="BU907" s="115"/>
      <c r="BV907" s="115"/>
      <c r="BW907" s="115"/>
      <c r="BX907" s="115"/>
      <c r="BY907" s="115"/>
      <c r="BZ907" s="115"/>
      <c r="CA907" s="115"/>
      <c r="CB907" s="115"/>
      <c r="CC907" s="115"/>
      <c r="CD907" s="115"/>
      <c r="CE907" s="115"/>
      <c r="CF907" s="115"/>
      <c r="CG907" s="115"/>
      <c r="CH907" s="115"/>
      <c r="CI907" s="115"/>
      <c r="CJ907" s="115"/>
      <c r="CK907" s="115"/>
      <c r="CL907" s="115"/>
      <c r="CM907" s="115"/>
      <c r="CN907" s="115"/>
      <c r="CO907" s="115"/>
    </row>
    <row r="908" spans="1:93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  <c r="U908" s="115"/>
      <c r="V908" s="115"/>
      <c r="W908" s="116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  <c r="BN908" s="115"/>
      <c r="BO908" s="115"/>
      <c r="BP908" s="115"/>
      <c r="BQ908" s="115"/>
      <c r="BR908" s="115"/>
      <c r="BS908" s="115"/>
      <c r="BT908" s="115"/>
      <c r="BU908" s="115"/>
      <c r="BV908" s="115"/>
      <c r="BW908" s="115"/>
      <c r="BX908" s="115"/>
      <c r="BY908" s="115"/>
      <c r="BZ908" s="115"/>
      <c r="CA908" s="115"/>
      <c r="CB908" s="115"/>
      <c r="CC908" s="115"/>
      <c r="CD908" s="115"/>
      <c r="CE908" s="115"/>
      <c r="CF908" s="115"/>
      <c r="CG908" s="115"/>
      <c r="CH908" s="115"/>
      <c r="CI908" s="115"/>
      <c r="CJ908" s="115"/>
      <c r="CK908" s="115"/>
      <c r="CL908" s="115"/>
      <c r="CM908" s="115"/>
      <c r="CN908" s="115"/>
      <c r="CO908" s="115"/>
    </row>
    <row r="909" spans="1:93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  <c r="U909" s="115"/>
      <c r="V909" s="115"/>
      <c r="W909" s="116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  <c r="BN909" s="115"/>
      <c r="BO909" s="115"/>
      <c r="BP909" s="115"/>
      <c r="BQ909" s="115"/>
      <c r="BR909" s="115"/>
      <c r="BS909" s="115"/>
      <c r="BT909" s="115"/>
      <c r="BU909" s="115"/>
      <c r="BV909" s="115"/>
      <c r="BW909" s="115"/>
      <c r="BX909" s="115"/>
      <c r="BY909" s="115"/>
      <c r="BZ909" s="115"/>
      <c r="CA909" s="115"/>
      <c r="CB909" s="115"/>
      <c r="CC909" s="115"/>
      <c r="CD909" s="115"/>
      <c r="CE909" s="115"/>
      <c r="CF909" s="115"/>
      <c r="CG909" s="115"/>
      <c r="CH909" s="115"/>
      <c r="CI909" s="115"/>
      <c r="CJ909" s="115"/>
      <c r="CK909" s="115"/>
      <c r="CL909" s="115"/>
      <c r="CM909" s="115"/>
      <c r="CN909" s="115"/>
      <c r="CO909" s="115"/>
    </row>
    <row r="910" spans="1:93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  <c r="U910" s="115"/>
      <c r="V910" s="115"/>
      <c r="W910" s="116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  <c r="BN910" s="115"/>
      <c r="BO910" s="115"/>
      <c r="BP910" s="115"/>
      <c r="BQ910" s="115"/>
      <c r="BR910" s="115"/>
      <c r="BS910" s="115"/>
      <c r="BT910" s="115"/>
      <c r="BU910" s="115"/>
      <c r="BV910" s="115"/>
      <c r="BW910" s="115"/>
      <c r="BX910" s="115"/>
      <c r="BY910" s="115"/>
      <c r="BZ910" s="115"/>
      <c r="CA910" s="115"/>
      <c r="CB910" s="115"/>
      <c r="CC910" s="115"/>
      <c r="CD910" s="115"/>
      <c r="CE910" s="115"/>
      <c r="CF910" s="115"/>
      <c r="CG910" s="115"/>
      <c r="CH910" s="115"/>
      <c r="CI910" s="115"/>
      <c r="CJ910" s="115"/>
      <c r="CK910" s="115"/>
      <c r="CL910" s="115"/>
      <c r="CM910" s="115"/>
      <c r="CN910" s="115"/>
      <c r="CO910" s="115"/>
    </row>
    <row r="911" spans="1:93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  <c r="U911" s="115"/>
      <c r="V911" s="115"/>
      <c r="W911" s="116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  <c r="BN911" s="115"/>
      <c r="BO911" s="115"/>
      <c r="BP911" s="115"/>
      <c r="BQ911" s="115"/>
      <c r="BR911" s="115"/>
      <c r="BS911" s="115"/>
      <c r="BT911" s="115"/>
      <c r="BU911" s="115"/>
      <c r="BV911" s="115"/>
      <c r="BW911" s="115"/>
      <c r="BX911" s="115"/>
      <c r="BY911" s="115"/>
      <c r="BZ911" s="115"/>
      <c r="CA911" s="115"/>
      <c r="CB911" s="115"/>
      <c r="CC911" s="115"/>
      <c r="CD911" s="115"/>
      <c r="CE911" s="115"/>
      <c r="CF911" s="115"/>
      <c r="CG911" s="115"/>
      <c r="CH911" s="115"/>
      <c r="CI911" s="115"/>
      <c r="CJ911" s="115"/>
      <c r="CK911" s="115"/>
      <c r="CL911" s="115"/>
      <c r="CM911" s="115"/>
      <c r="CN911" s="115"/>
      <c r="CO911" s="115"/>
    </row>
    <row r="912" spans="1:93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  <c r="U912" s="115"/>
      <c r="V912" s="115"/>
      <c r="W912" s="116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  <c r="BN912" s="115"/>
      <c r="BO912" s="115"/>
      <c r="BP912" s="115"/>
      <c r="BQ912" s="115"/>
      <c r="BR912" s="115"/>
      <c r="BS912" s="115"/>
      <c r="BT912" s="115"/>
      <c r="BU912" s="115"/>
      <c r="BV912" s="115"/>
      <c r="BW912" s="115"/>
      <c r="BX912" s="115"/>
      <c r="BY912" s="115"/>
      <c r="BZ912" s="115"/>
      <c r="CA912" s="115"/>
      <c r="CB912" s="115"/>
      <c r="CC912" s="115"/>
      <c r="CD912" s="115"/>
      <c r="CE912" s="115"/>
      <c r="CF912" s="115"/>
      <c r="CG912" s="115"/>
      <c r="CH912" s="115"/>
      <c r="CI912" s="115"/>
      <c r="CJ912" s="115"/>
      <c r="CK912" s="115"/>
      <c r="CL912" s="115"/>
      <c r="CM912" s="115"/>
      <c r="CN912" s="115"/>
      <c r="CO912" s="115"/>
    </row>
    <row r="913" spans="1:93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  <c r="U913" s="115"/>
      <c r="V913" s="115"/>
      <c r="W913" s="116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  <c r="BN913" s="115"/>
      <c r="BO913" s="115"/>
      <c r="BP913" s="115"/>
      <c r="BQ913" s="115"/>
      <c r="BR913" s="115"/>
      <c r="BS913" s="115"/>
      <c r="BT913" s="115"/>
      <c r="BU913" s="115"/>
      <c r="BV913" s="115"/>
      <c r="BW913" s="115"/>
      <c r="BX913" s="115"/>
      <c r="BY913" s="115"/>
      <c r="BZ913" s="115"/>
      <c r="CA913" s="115"/>
      <c r="CB913" s="115"/>
      <c r="CC913" s="115"/>
      <c r="CD913" s="115"/>
      <c r="CE913" s="115"/>
      <c r="CF913" s="115"/>
      <c r="CG913" s="115"/>
      <c r="CH913" s="115"/>
      <c r="CI913" s="115"/>
      <c r="CJ913" s="115"/>
      <c r="CK913" s="115"/>
      <c r="CL913" s="115"/>
      <c r="CM913" s="115"/>
      <c r="CN913" s="115"/>
      <c r="CO913" s="115"/>
    </row>
    <row r="914" spans="1:93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  <c r="U914" s="115"/>
      <c r="V914" s="115"/>
      <c r="W914" s="116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  <c r="BN914" s="115"/>
      <c r="BO914" s="115"/>
      <c r="BP914" s="115"/>
      <c r="BQ914" s="115"/>
      <c r="BR914" s="115"/>
      <c r="BS914" s="115"/>
      <c r="BT914" s="115"/>
      <c r="BU914" s="115"/>
      <c r="BV914" s="115"/>
      <c r="BW914" s="115"/>
      <c r="BX914" s="115"/>
      <c r="BY914" s="115"/>
      <c r="BZ914" s="115"/>
      <c r="CA914" s="115"/>
      <c r="CB914" s="115"/>
      <c r="CC914" s="115"/>
      <c r="CD914" s="115"/>
      <c r="CE914" s="115"/>
      <c r="CF914" s="115"/>
      <c r="CG914" s="115"/>
      <c r="CH914" s="115"/>
      <c r="CI914" s="115"/>
      <c r="CJ914" s="115"/>
      <c r="CK914" s="115"/>
      <c r="CL914" s="115"/>
      <c r="CM914" s="115"/>
      <c r="CN914" s="115"/>
      <c r="CO914" s="115"/>
    </row>
    <row r="915" spans="1:93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  <c r="U915" s="115"/>
      <c r="V915" s="115"/>
      <c r="W915" s="116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  <c r="BN915" s="115"/>
      <c r="BO915" s="115"/>
      <c r="BP915" s="115"/>
      <c r="BQ915" s="115"/>
      <c r="BR915" s="115"/>
      <c r="BS915" s="115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  <c r="CJ915" s="115"/>
      <c r="CK915" s="115"/>
      <c r="CL915" s="115"/>
      <c r="CM915" s="115"/>
      <c r="CN915" s="115"/>
      <c r="CO915" s="115"/>
    </row>
    <row r="916" spans="1:93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  <c r="U916" s="115"/>
      <c r="V916" s="115"/>
      <c r="W916" s="116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  <c r="BN916" s="115"/>
      <c r="BO916" s="115"/>
      <c r="BP916" s="115"/>
      <c r="BQ916" s="115"/>
      <c r="BR916" s="115"/>
      <c r="BS916" s="115"/>
      <c r="BT916" s="115"/>
      <c r="BU916" s="115"/>
      <c r="BV916" s="115"/>
      <c r="BW916" s="115"/>
      <c r="BX916" s="115"/>
      <c r="BY916" s="115"/>
      <c r="BZ916" s="115"/>
      <c r="CA916" s="115"/>
      <c r="CB916" s="115"/>
      <c r="CC916" s="115"/>
      <c r="CD916" s="115"/>
      <c r="CE916" s="115"/>
      <c r="CF916" s="115"/>
      <c r="CG916" s="115"/>
      <c r="CH916" s="115"/>
      <c r="CI916" s="115"/>
      <c r="CJ916" s="115"/>
      <c r="CK916" s="115"/>
      <c r="CL916" s="115"/>
      <c r="CM916" s="115"/>
      <c r="CN916" s="115"/>
      <c r="CO916" s="115"/>
    </row>
    <row r="917" spans="1:93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  <c r="U917" s="115"/>
      <c r="V917" s="115"/>
      <c r="W917" s="116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  <c r="BN917" s="115"/>
      <c r="BO917" s="115"/>
      <c r="BP917" s="115"/>
      <c r="BQ917" s="115"/>
      <c r="BR917" s="115"/>
      <c r="BS917" s="115"/>
      <c r="BT917" s="115"/>
      <c r="BU917" s="115"/>
      <c r="BV917" s="115"/>
      <c r="BW917" s="115"/>
      <c r="BX917" s="115"/>
      <c r="BY917" s="115"/>
      <c r="BZ917" s="115"/>
      <c r="CA917" s="115"/>
      <c r="CB917" s="115"/>
      <c r="CC917" s="115"/>
      <c r="CD917" s="115"/>
      <c r="CE917" s="115"/>
      <c r="CF917" s="115"/>
      <c r="CG917" s="115"/>
      <c r="CH917" s="115"/>
      <c r="CI917" s="115"/>
      <c r="CJ917" s="115"/>
      <c r="CK917" s="115"/>
      <c r="CL917" s="115"/>
      <c r="CM917" s="115"/>
      <c r="CN917" s="115"/>
      <c r="CO917" s="115"/>
    </row>
    <row r="918" spans="1:93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  <c r="U918" s="115"/>
      <c r="V918" s="115"/>
      <c r="W918" s="116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  <c r="BN918" s="115"/>
      <c r="BO918" s="115"/>
      <c r="BP918" s="115"/>
      <c r="BQ918" s="115"/>
      <c r="BR918" s="115"/>
      <c r="BS918" s="115"/>
      <c r="BT918" s="115"/>
      <c r="BU918" s="115"/>
      <c r="BV918" s="115"/>
      <c r="BW918" s="115"/>
      <c r="BX918" s="115"/>
      <c r="BY918" s="115"/>
      <c r="BZ918" s="115"/>
      <c r="CA918" s="115"/>
      <c r="CB918" s="115"/>
      <c r="CC918" s="115"/>
      <c r="CD918" s="115"/>
      <c r="CE918" s="115"/>
      <c r="CF918" s="115"/>
      <c r="CG918" s="115"/>
      <c r="CH918" s="115"/>
      <c r="CI918" s="115"/>
      <c r="CJ918" s="115"/>
      <c r="CK918" s="115"/>
      <c r="CL918" s="115"/>
      <c r="CM918" s="115"/>
      <c r="CN918" s="115"/>
      <c r="CO918" s="115"/>
    </row>
    <row r="919" spans="1:93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  <c r="U919" s="115"/>
      <c r="V919" s="115"/>
      <c r="W919" s="116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  <c r="BN919" s="115"/>
      <c r="BO919" s="115"/>
      <c r="BP919" s="115"/>
      <c r="BQ919" s="115"/>
      <c r="BR919" s="115"/>
      <c r="BS919" s="115"/>
      <c r="BT919" s="115"/>
      <c r="BU919" s="115"/>
      <c r="BV919" s="115"/>
      <c r="BW919" s="115"/>
      <c r="BX919" s="115"/>
      <c r="BY919" s="115"/>
      <c r="BZ919" s="115"/>
      <c r="CA919" s="115"/>
      <c r="CB919" s="115"/>
      <c r="CC919" s="115"/>
      <c r="CD919" s="115"/>
      <c r="CE919" s="115"/>
      <c r="CF919" s="115"/>
      <c r="CG919" s="115"/>
      <c r="CH919" s="115"/>
      <c r="CI919" s="115"/>
      <c r="CJ919" s="115"/>
      <c r="CK919" s="115"/>
      <c r="CL919" s="115"/>
      <c r="CM919" s="115"/>
      <c r="CN919" s="115"/>
      <c r="CO919" s="115"/>
    </row>
    <row r="920" spans="1:93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  <c r="U920" s="115"/>
      <c r="V920" s="115"/>
      <c r="W920" s="116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  <c r="BN920" s="115"/>
      <c r="BO920" s="115"/>
      <c r="BP920" s="115"/>
      <c r="BQ920" s="115"/>
      <c r="BR920" s="115"/>
      <c r="BS920" s="115"/>
      <c r="BT920" s="115"/>
      <c r="BU920" s="115"/>
      <c r="BV920" s="115"/>
      <c r="BW920" s="115"/>
      <c r="BX920" s="115"/>
      <c r="BY920" s="115"/>
      <c r="BZ920" s="115"/>
      <c r="CA920" s="115"/>
      <c r="CB920" s="115"/>
      <c r="CC920" s="115"/>
      <c r="CD920" s="115"/>
      <c r="CE920" s="115"/>
      <c r="CF920" s="115"/>
      <c r="CG920" s="115"/>
      <c r="CH920" s="115"/>
      <c r="CI920" s="115"/>
      <c r="CJ920" s="115"/>
      <c r="CK920" s="115"/>
      <c r="CL920" s="115"/>
      <c r="CM920" s="115"/>
      <c r="CN920" s="115"/>
      <c r="CO920" s="115"/>
    </row>
    <row r="921" spans="1:93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  <c r="U921" s="115"/>
      <c r="V921" s="115"/>
      <c r="W921" s="116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  <c r="BN921" s="115"/>
      <c r="BO921" s="115"/>
      <c r="BP921" s="115"/>
      <c r="BQ921" s="115"/>
      <c r="BR921" s="115"/>
      <c r="BS921" s="115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  <c r="CJ921" s="115"/>
      <c r="CK921" s="115"/>
      <c r="CL921" s="115"/>
      <c r="CM921" s="115"/>
      <c r="CN921" s="115"/>
      <c r="CO921" s="115"/>
    </row>
    <row r="922" spans="1:93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  <c r="U922" s="115"/>
      <c r="V922" s="115"/>
      <c r="W922" s="116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  <c r="BN922" s="115"/>
      <c r="BO922" s="115"/>
      <c r="BP922" s="115"/>
      <c r="BQ922" s="115"/>
      <c r="BR922" s="115"/>
      <c r="BS922" s="115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  <c r="CJ922" s="115"/>
      <c r="CK922" s="115"/>
      <c r="CL922" s="115"/>
      <c r="CM922" s="115"/>
      <c r="CN922" s="115"/>
      <c r="CO922" s="115"/>
    </row>
    <row r="923" spans="1:93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  <c r="U923" s="115"/>
      <c r="V923" s="115"/>
      <c r="W923" s="116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  <c r="BN923" s="115"/>
      <c r="BO923" s="115"/>
      <c r="BP923" s="115"/>
      <c r="BQ923" s="115"/>
      <c r="BR923" s="115"/>
      <c r="BS923" s="115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  <c r="CJ923" s="115"/>
      <c r="CK923" s="115"/>
      <c r="CL923" s="115"/>
      <c r="CM923" s="115"/>
      <c r="CN923" s="115"/>
      <c r="CO923" s="115"/>
    </row>
    <row r="924" spans="1:93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  <c r="U924" s="115"/>
      <c r="V924" s="115"/>
      <c r="W924" s="116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  <c r="BN924" s="115"/>
      <c r="BO924" s="115"/>
      <c r="BP924" s="115"/>
      <c r="BQ924" s="115"/>
      <c r="BR924" s="115"/>
      <c r="BS924" s="115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  <c r="CJ924" s="115"/>
      <c r="CK924" s="115"/>
      <c r="CL924" s="115"/>
      <c r="CM924" s="115"/>
      <c r="CN924" s="115"/>
      <c r="CO924" s="115"/>
    </row>
    <row r="925" spans="1:93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  <c r="U925" s="115"/>
      <c r="V925" s="115"/>
      <c r="W925" s="116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  <c r="BN925" s="115"/>
      <c r="BO925" s="115"/>
      <c r="BP925" s="115"/>
      <c r="BQ925" s="115"/>
      <c r="BR925" s="115"/>
      <c r="BS925" s="115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  <c r="CJ925" s="115"/>
      <c r="CK925" s="115"/>
      <c r="CL925" s="115"/>
      <c r="CM925" s="115"/>
      <c r="CN925" s="115"/>
      <c r="CO925" s="115"/>
    </row>
    <row r="926" spans="1:93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  <c r="U926" s="115"/>
      <c r="V926" s="115"/>
      <c r="W926" s="116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  <c r="BN926" s="115"/>
      <c r="BO926" s="115"/>
      <c r="BP926" s="115"/>
      <c r="BQ926" s="115"/>
      <c r="BR926" s="115"/>
      <c r="BS926" s="115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  <c r="CJ926" s="115"/>
      <c r="CK926" s="115"/>
      <c r="CL926" s="115"/>
      <c r="CM926" s="115"/>
      <c r="CN926" s="115"/>
      <c r="CO926" s="115"/>
    </row>
    <row r="927" spans="1:93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  <c r="U927" s="115"/>
      <c r="V927" s="115"/>
      <c r="W927" s="116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  <c r="BN927" s="115"/>
      <c r="BO927" s="115"/>
      <c r="BP927" s="115"/>
      <c r="BQ927" s="115"/>
      <c r="BR927" s="115"/>
      <c r="BS927" s="115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  <c r="CJ927" s="115"/>
      <c r="CK927" s="115"/>
      <c r="CL927" s="115"/>
      <c r="CM927" s="115"/>
      <c r="CN927" s="115"/>
      <c r="CO927" s="115"/>
    </row>
    <row r="928" spans="1:93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  <c r="U928" s="115"/>
      <c r="V928" s="115"/>
      <c r="W928" s="116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  <c r="BN928" s="115"/>
      <c r="BO928" s="115"/>
      <c r="BP928" s="115"/>
      <c r="BQ928" s="115"/>
      <c r="BR928" s="115"/>
      <c r="BS928" s="115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  <c r="CJ928" s="115"/>
      <c r="CK928" s="115"/>
      <c r="CL928" s="115"/>
      <c r="CM928" s="115"/>
      <c r="CN928" s="115"/>
      <c r="CO928" s="115"/>
    </row>
    <row r="929" spans="1:93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  <c r="U929" s="115"/>
      <c r="V929" s="115"/>
      <c r="W929" s="116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  <c r="BN929" s="115"/>
      <c r="BO929" s="115"/>
      <c r="BP929" s="115"/>
      <c r="BQ929" s="115"/>
      <c r="BR929" s="115"/>
      <c r="BS929" s="115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  <c r="CJ929" s="115"/>
      <c r="CK929" s="115"/>
      <c r="CL929" s="115"/>
      <c r="CM929" s="115"/>
      <c r="CN929" s="115"/>
      <c r="CO929" s="115"/>
    </row>
    <row r="930" spans="1:93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  <c r="U930" s="115"/>
      <c r="V930" s="115"/>
      <c r="W930" s="116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  <c r="BN930" s="115"/>
      <c r="BO930" s="115"/>
      <c r="BP930" s="115"/>
      <c r="BQ930" s="115"/>
      <c r="BR930" s="115"/>
      <c r="BS930" s="115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  <c r="CJ930" s="115"/>
      <c r="CK930" s="115"/>
      <c r="CL930" s="115"/>
      <c r="CM930" s="115"/>
      <c r="CN930" s="115"/>
      <c r="CO930" s="115"/>
    </row>
    <row r="931" spans="1:93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  <c r="U931" s="115"/>
      <c r="V931" s="115"/>
      <c r="W931" s="116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  <c r="BN931" s="115"/>
      <c r="BO931" s="115"/>
      <c r="BP931" s="115"/>
      <c r="BQ931" s="115"/>
      <c r="BR931" s="115"/>
      <c r="BS931" s="115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  <c r="CJ931" s="115"/>
      <c r="CK931" s="115"/>
      <c r="CL931" s="115"/>
      <c r="CM931" s="115"/>
      <c r="CN931" s="115"/>
      <c r="CO931" s="115"/>
    </row>
    <row r="932" spans="1:93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  <c r="U932" s="115"/>
      <c r="V932" s="115"/>
      <c r="W932" s="116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  <c r="BN932" s="115"/>
      <c r="BO932" s="115"/>
      <c r="BP932" s="115"/>
      <c r="BQ932" s="115"/>
      <c r="BR932" s="115"/>
      <c r="BS932" s="115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  <c r="CJ932" s="115"/>
      <c r="CK932" s="115"/>
      <c r="CL932" s="115"/>
      <c r="CM932" s="115"/>
      <c r="CN932" s="115"/>
      <c r="CO932" s="115"/>
    </row>
    <row r="933" spans="1:93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  <c r="U933" s="115"/>
      <c r="V933" s="115"/>
      <c r="W933" s="116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</row>
    <row r="934" spans="1:93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  <c r="U934" s="115"/>
      <c r="V934" s="115"/>
      <c r="W934" s="116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  <c r="BN934" s="115"/>
      <c r="BO934" s="115"/>
      <c r="BP934" s="115"/>
      <c r="BQ934" s="115"/>
      <c r="BR934" s="115"/>
      <c r="BS934" s="115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  <c r="CJ934" s="115"/>
      <c r="CK934" s="115"/>
      <c r="CL934" s="115"/>
      <c r="CM934" s="115"/>
      <c r="CN934" s="115"/>
      <c r="CO934" s="115"/>
    </row>
    <row r="935" spans="1:93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  <c r="U935" s="115"/>
      <c r="V935" s="115"/>
      <c r="W935" s="116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  <c r="BN935" s="115"/>
      <c r="BO935" s="115"/>
      <c r="BP935" s="115"/>
      <c r="BQ935" s="115"/>
      <c r="BR935" s="115"/>
      <c r="BS935" s="115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  <c r="CJ935" s="115"/>
      <c r="CK935" s="115"/>
      <c r="CL935" s="115"/>
      <c r="CM935" s="115"/>
      <c r="CN935" s="115"/>
      <c r="CO935" s="115"/>
    </row>
    <row r="936" spans="1:93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  <c r="U936" s="115"/>
      <c r="V936" s="115"/>
      <c r="W936" s="116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  <c r="BN936" s="115"/>
      <c r="BO936" s="115"/>
      <c r="BP936" s="115"/>
      <c r="BQ936" s="115"/>
      <c r="BR936" s="115"/>
      <c r="BS936" s="115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  <c r="CJ936" s="115"/>
      <c r="CK936" s="115"/>
      <c r="CL936" s="115"/>
      <c r="CM936" s="115"/>
      <c r="CN936" s="115"/>
      <c r="CO936" s="115"/>
    </row>
    <row r="937" spans="1:93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  <c r="U937" s="115"/>
      <c r="V937" s="115"/>
      <c r="W937" s="116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  <c r="BN937" s="115"/>
      <c r="BO937" s="115"/>
      <c r="BP937" s="115"/>
      <c r="BQ937" s="115"/>
      <c r="BR937" s="115"/>
      <c r="BS937" s="115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  <c r="CJ937" s="115"/>
      <c r="CK937" s="115"/>
      <c r="CL937" s="115"/>
      <c r="CM937" s="115"/>
      <c r="CN937" s="115"/>
      <c r="CO937" s="115"/>
    </row>
    <row r="938" spans="1:93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  <c r="U938" s="115"/>
      <c r="V938" s="115"/>
      <c r="W938" s="116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  <c r="BN938" s="115"/>
      <c r="BO938" s="115"/>
      <c r="BP938" s="115"/>
      <c r="BQ938" s="115"/>
      <c r="BR938" s="115"/>
      <c r="BS938" s="115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  <c r="CJ938" s="115"/>
      <c r="CK938" s="115"/>
      <c r="CL938" s="115"/>
      <c r="CM938" s="115"/>
      <c r="CN938" s="115"/>
      <c r="CO938" s="115"/>
    </row>
    <row r="939" spans="1:93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  <c r="U939" s="115"/>
      <c r="V939" s="115"/>
      <c r="W939" s="116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  <c r="BN939" s="115"/>
      <c r="BO939" s="115"/>
      <c r="BP939" s="115"/>
      <c r="BQ939" s="115"/>
      <c r="BR939" s="115"/>
      <c r="BS939" s="115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  <c r="CJ939" s="115"/>
      <c r="CK939" s="115"/>
      <c r="CL939" s="115"/>
      <c r="CM939" s="115"/>
      <c r="CN939" s="115"/>
      <c r="CO939" s="115"/>
    </row>
    <row r="940" spans="1:93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  <c r="U940" s="115"/>
      <c r="V940" s="115"/>
      <c r="W940" s="116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  <c r="BN940" s="115"/>
      <c r="BO940" s="115"/>
      <c r="BP940" s="115"/>
      <c r="BQ940" s="115"/>
      <c r="BR940" s="115"/>
      <c r="BS940" s="115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  <c r="CJ940" s="115"/>
      <c r="CK940" s="115"/>
      <c r="CL940" s="115"/>
      <c r="CM940" s="115"/>
      <c r="CN940" s="115"/>
      <c r="CO940" s="115"/>
    </row>
    <row r="941" spans="1:93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  <c r="U941" s="115"/>
      <c r="V941" s="115"/>
      <c r="W941" s="116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  <c r="BN941" s="115"/>
      <c r="BO941" s="115"/>
      <c r="BP941" s="115"/>
      <c r="BQ941" s="115"/>
      <c r="BR941" s="115"/>
      <c r="BS941" s="115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  <c r="CJ941" s="115"/>
      <c r="CK941" s="115"/>
      <c r="CL941" s="115"/>
      <c r="CM941" s="115"/>
      <c r="CN941" s="115"/>
      <c r="CO941" s="115"/>
    </row>
    <row r="942" spans="1:93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  <c r="U942" s="115"/>
      <c r="V942" s="115"/>
      <c r="W942" s="116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  <c r="BN942" s="115"/>
      <c r="BO942" s="115"/>
      <c r="BP942" s="115"/>
      <c r="BQ942" s="115"/>
      <c r="BR942" s="115"/>
      <c r="BS942" s="115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  <c r="CJ942" s="115"/>
      <c r="CK942" s="115"/>
      <c r="CL942" s="115"/>
      <c r="CM942" s="115"/>
      <c r="CN942" s="115"/>
      <c r="CO942" s="115"/>
    </row>
    <row r="943" spans="1:93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  <c r="U943" s="115"/>
      <c r="V943" s="115"/>
      <c r="W943" s="116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  <c r="BN943" s="115"/>
      <c r="BO943" s="115"/>
      <c r="BP943" s="115"/>
      <c r="BQ943" s="115"/>
      <c r="BR943" s="115"/>
      <c r="BS943" s="115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  <c r="CJ943" s="115"/>
      <c r="CK943" s="115"/>
      <c r="CL943" s="115"/>
      <c r="CM943" s="115"/>
      <c r="CN943" s="115"/>
      <c r="CO943" s="115"/>
    </row>
    <row r="944" spans="1:93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  <c r="U944" s="115"/>
      <c r="V944" s="115"/>
      <c r="W944" s="116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  <c r="BN944" s="115"/>
      <c r="BO944" s="115"/>
      <c r="BP944" s="115"/>
      <c r="BQ944" s="115"/>
      <c r="BR944" s="115"/>
      <c r="BS944" s="115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  <c r="CJ944" s="115"/>
      <c r="CK944" s="115"/>
      <c r="CL944" s="115"/>
      <c r="CM944" s="115"/>
      <c r="CN944" s="115"/>
      <c r="CO944" s="115"/>
    </row>
    <row r="945" spans="1:93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  <c r="U945" s="115"/>
      <c r="V945" s="115"/>
      <c r="W945" s="116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  <c r="BN945" s="115"/>
      <c r="BO945" s="115"/>
      <c r="BP945" s="115"/>
      <c r="BQ945" s="115"/>
      <c r="BR945" s="115"/>
      <c r="BS945" s="115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  <c r="CJ945" s="115"/>
      <c r="CK945" s="115"/>
      <c r="CL945" s="115"/>
      <c r="CM945" s="115"/>
      <c r="CN945" s="115"/>
      <c r="CO945" s="115"/>
    </row>
    <row r="946" spans="1:93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  <c r="U946" s="115"/>
      <c r="V946" s="115"/>
      <c r="W946" s="116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  <c r="BN946" s="115"/>
      <c r="BO946" s="115"/>
      <c r="BP946" s="115"/>
      <c r="BQ946" s="115"/>
      <c r="BR946" s="115"/>
      <c r="BS946" s="115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  <c r="CJ946" s="115"/>
      <c r="CK946" s="115"/>
      <c r="CL946" s="115"/>
      <c r="CM946" s="115"/>
      <c r="CN946" s="115"/>
      <c r="CO946" s="115"/>
    </row>
    <row r="947" spans="1:93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  <c r="U947" s="115"/>
      <c r="V947" s="115"/>
      <c r="W947" s="116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</row>
    <row r="948" spans="1:93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  <c r="U948" s="115"/>
      <c r="V948" s="115"/>
      <c r="W948" s="116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</row>
    <row r="949" spans="1:93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  <c r="U949" s="115"/>
      <c r="V949" s="115"/>
      <c r="W949" s="116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</row>
    <row r="950" spans="1:93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  <c r="U950" s="115"/>
      <c r="V950" s="115"/>
      <c r="W950" s="116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  <c r="BN950" s="115"/>
      <c r="BO950" s="115"/>
      <c r="BP950" s="115"/>
      <c r="BQ950" s="115"/>
      <c r="BR950" s="115"/>
      <c r="BS950" s="115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  <c r="CJ950" s="115"/>
      <c r="CK950" s="115"/>
      <c r="CL950" s="115"/>
      <c r="CM950" s="115"/>
      <c r="CN950" s="115"/>
      <c r="CO950" s="115"/>
    </row>
    <row r="951" spans="1:93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  <c r="U951" s="115"/>
      <c r="V951" s="115"/>
      <c r="W951" s="116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</row>
    <row r="952" spans="1:93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  <c r="U952" s="115"/>
      <c r="V952" s="115"/>
      <c r="W952" s="116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  <c r="BN952" s="115"/>
      <c r="BO952" s="115"/>
      <c r="BP952" s="115"/>
      <c r="BQ952" s="115"/>
      <c r="BR952" s="115"/>
      <c r="BS952" s="115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  <c r="CJ952" s="115"/>
      <c r="CK952" s="115"/>
      <c r="CL952" s="115"/>
      <c r="CM952" s="115"/>
      <c r="CN952" s="115"/>
      <c r="CO952" s="115"/>
    </row>
    <row r="953" spans="1:93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  <c r="U953" s="115"/>
      <c r="V953" s="115"/>
      <c r="W953" s="116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  <c r="BN953" s="115"/>
      <c r="BO953" s="115"/>
      <c r="BP953" s="115"/>
      <c r="BQ953" s="115"/>
      <c r="BR953" s="115"/>
      <c r="BS953" s="115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  <c r="CJ953" s="115"/>
      <c r="CK953" s="115"/>
      <c r="CL953" s="115"/>
      <c r="CM953" s="115"/>
      <c r="CN953" s="115"/>
      <c r="CO953" s="115"/>
    </row>
    <row r="954" spans="1:93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  <c r="U954" s="115"/>
      <c r="V954" s="115"/>
      <c r="W954" s="116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  <c r="BN954" s="115"/>
      <c r="BO954" s="115"/>
      <c r="BP954" s="115"/>
      <c r="BQ954" s="115"/>
      <c r="BR954" s="115"/>
      <c r="BS954" s="115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  <c r="CJ954" s="115"/>
      <c r="CK954" s="115"/>
      <c r="CL954" s="115"/>
      <c r="CM954" s="115"/>
      <c r="CN954" s="115"/>
      <c r="CO954" s="115"/>
    </row>
    <row r="955" spans="1:93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  <c r="U955" s="115"/>
      <c r="V955" s="115"/>
      <c r="W955" s="116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  <c r="BN955" s="115"/>
      <c r="BO955" s="115"/>
      <c r="BP955" s="115"/>
      <c r="BQ955" s="115"/>
      <c r="BR955" s="115"/>
      <c r="BS955" s="115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  <c r="CJ955" s="115"/>
      <c r="CK955" s="115"/>
      <c r="CL955" s="115"/>
      <c r="CM955" s="115"/>
      <c r="CN955" s="115"/>
      <c r="CO955" s="115"/>
    </row>
    <row r="956" spans="1:93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  <c r="U956" s="115"/>
      <c r="V956" s="115"/>
      <c r="W956" s="116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  <c r="BN956" s="115"/>
      <c r="BO956" s="115"/>
      <c r="BP956" s="115"/>
      <c r="BQ956" s="115"/>
      <c r="BR956" s="115"/>
      <c r="BS956" s="115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  <c r="CJ956" s="115"/>
      <c r="CK956" s="115"/>
      <c r="CL956" s="115"/>
      <c r="CM956" s="115"/>
      <c r="CN956" s="115"/>
      <c r="CO956" s="115"/>
    </row>
    <row r="957" spans="1:93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  <c r="U957" s="115"/>
      <c r="V957" s="115"/>
      <c r="W957" s="116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</row>
    <row r="958" spans="1:93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  <c r="U958" s="115"/>
      <c r="V958" s="115"/>
      <c r="W958" s="116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  <c r="BN958" s="115"/>
      <c r="BO958" s="115"/>
      <c r="BP958" s="115"/>
      <c r="BQ958" s="115"/>
      <c r="BR958" s="115"/>
      <c r="BS958" s="115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  <c r="CJ958" s="115"/>
      <c r="CK958" s="115"/>
      <c r="CL958" s="115"/>
      <c r="CM958" s="115"/>
      <c r="CN958" s="115"/>
      <c r="CO958" s="115"/>
    </row>
    <row r="959" spans="1:93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  <c r="U959" s="115"/>
      <c r="V959" s="115"/>
      <c r="W959" s="116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  <c r="BN959" s="115"/>
      <c r="BO959" s="115"/>
      <c r="BP959" s="115"/>
      <c r="BQ959" s="115"/>
      <c r="BR959" s="115"/>
      <c r="BS959" s="115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  <c r="CJ959" s="115"/>
      <c r="CK959" s="115"/>
      <c r="CL959" s="115"/>
      <c r="CM959" s="115"/>
      <c r="CN959" s="115"/>
      <c r="CO959" s="115"/>
    </row>
    <row r="960" spans="1:93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  <c r="U960" s="115"/>
      <c r="V960" s="115"/>
      <c r="W960" s="116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  <c r="BN960" s="115"/>
      <c r="BO960" s="115"/>
      <c r="BP960" s="115"/>
      <c r="BQ960" s="115"/>
      <c r="BR960" s="115"/>
      <c r="BS960" s="115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  <c r="CJ960" s="115"/>
      <c r="CK960" s="115"/>
      <c r="CL960" s="115"/>
      <c r="CM960" s="115"/>
      <c r="CN960" s="115"/>
      <c r="CO960" s="115"/>
    </row>
    <row r="961" spans="1:93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  <c r="U961" s="115"/>
      <c r="V961" s="115"/>
      <c r="W961" s="116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  <c r="BN961" s="115"/>
      <c r="BO961" s="115"/>
      <c r="BP961" s="115"/>
      <c r="BQ961" s="115"/>
      <c r="BR961" s="115"/>
      <c r="BS961" s="115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  <c r="CJ961" s="115"/>
      <c r="CK961" s="115"/>
      <c r="CL961" s="115"/>
      <c r="CM961" s="115"/>
      <c r="CN961" s="115"/>
      <c r="CO961" s="115"/>
    </row>
    <row r="962" spans="1:93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  <c r="U962" s="115"/>
      <c r="V962" s="115"/>
      <c r="W962" s="116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  <c r="BN962" s="115"/>
      <c r="BO962" s="115"/>
      <c r="BP962" s="115"/>
      <c r="BQ962" s="115"/>
      <c r="BR962" s="115"/>
      <c r="BS962" s="115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  <c r="CJ962" s="115"/>
      <c r="CK962" s="115"/>
      <c r="CL962" s="115"/>
      <c r="CM962" s="115"/>
      <c r="CN962" s="115"/>
      <c r="CO962" s="115"/>
    </row>
    <row r="963" spans="1:93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  <c r="U963" s="115"/>
      <c r="V963" s="115"/>
      <c r="W963" s="116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  <c r="BN963" s="115"/>
      <c r="BO963" s="115"/>
      <c r="BP963" s="115"/>
      <c r="BQ963" s="115"/>
      <c r="BR963" s="115"/>
      <c r="BS963" s="115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  <c r="CJ963" s="115"/>
      <c r="CK963" s="115"/>
      <c r="CL963" s="115"/>
      <c r="CM963" s="115"/>
      <c r="CN963" s="115"/>
      <c r="CO963" s="115"/>
    </row>
    <row r="964" spans="1:93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  <c r="U964" s="115"/>
      <c r="V964" s="115"/>
      <c r="W964" s="116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  <c r="BN964" s="115"/>
      <c r="BO964" s="115"/>
      <c r="BP964" s="115"/>
      <c r="BQ964" s="115"/>
      <c r="BR964" s="115"/>
      <c r="BS964" s="115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  <c r="CJ964" s="115"/>
      <c r="CK964" s="115"/>
      <c r="CL964" s="115"/>
      <c r="CM964" s="115"/>
      <c r="CN964" s="115"/>
      <c r="CO964" s="115"/>
    </row>
    <row r="965" spans="1:93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  <c r="U965" s="115"/>
      <c r="V965" s="115"/>
      <c r="W965" s="116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  <c r="BN965" s="115"/>
      <c r="BO965" s="115"/>
      <c r="BP965" s="115"/>
      <c r="BQ965" s="115"/>
      <c r="BR965" s="115"/>
      <c r="BS965" s="115"/>
      <c r="BT965" s="115"/>
      <c r="BU965" s="115"/>
      <c r="BV965" s="115"/>
      <c r="BW965" s="115"/>
      <c r="BX965" s="115"/>
      <c r="BY965" s="115"/>
      <c r="BZ965" s="115"/>
      <c r="CA965" s="115"/>
      <c r="CB965" s="115"/>
      <c r="CC965" s="115"/>
      <c r="CD965" s="115"/>
      <c r="CE965" s="115"/>
      <c r="CF965" s="115"/>
      <c r="CG965" s="115"/>
      <c r="CH965" s="115"/>
      <c r="CI965" s="115"/>
      <c r="CJ965" s="115"/>
      <c r="CK965" s="115"/>
      <c r="CL965" s="115"/>
      <c r="CM965" s="115"/>
      <c r="CN965" s="115"/>
      <c r="CO965" s="115"/>
    </row>
    <row r="966" spans="1:93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  <c r="U966" s="115"/>
      <c r="V966" s="115"/>
      <c r="W966" s="116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  <c r="BN966" s="115"/>
      <c r="BO966" s="115"/>
      <c r="BP966" s="115"/>
      <c r="BQ966" s="115"/>
      <c r="BR966" s="115"/>
      <c r="BS966" s="115"/>
      <c r="BT966" s="115"/>
      <c r="BU966" s="115"/>
      <c r="BV966" s="115"/>
      <c r="BW966" s="115"/>
      <c r="BX966" s="115"/>
      <c r="BY966" s="115"/>
      <c r="BZ966" s="115"/>
      <c r="CA966" s="115"/>
      <c r="CB966" s="115"/>
      <c r="CC966" s="115"/>
      <c r="CD966" s="115"/>
      <c r="CE966" s="115"/>
      <c r="CF966" s="115"/>
      <c r="CG966" s="115"/>
      <c r="CH966" s="115"/>
      <c r="CI966" s="115"/>
      <c r="CJ966" s="115"/>
      <c r="CK966" s="115"/>
      <c r="CL966" s="115"/>
      <c r="CM966" s="115"/>
      <c r="CN966" s="115"/>
      <c r="CO966" s="115"/>
    </row>
    <row r="967" spans="1:93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  <c r="U967" s="115"/>
      <c r="V967" s="115"/>
      <c r="W967" s="116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  <c r="BN967" s="115"/>
      <c r="BO967" s="115"/>
      <c r="BP967" s="115"/>
      <c r="BQ967" s="115"/>
      <c r="BR967" s="115"/>
      <c r="BS967" s="115"/>
      <c r="BT967" s="115"/>
      <c r="BU967" s="115"/>
      <c r="BV967" s="115"/>
      <c r="BW967" s="115"/>
      <c r="BX967" s="115"/>
      <c r="BY967" s="115"/>
      <c r="BZ967" s="115"/>
      <c r="CA967" s="115"/>
      <c r="CB967" s="115"/>
      <c r="CC967" s="115"/>
      <c r="CD967" s="115"/>
      <c r="CE967" s="115"/>
      <c r="CF967" s="115"/>
      <c r="CG967" s="115"/>
      <c r="CH967" s="115"/>
      <c r="CI967" s="115"/>
      <c r="CJ967" s="115"/>
      <c r="CK967" s="115"/>
      <c r="CL967" s="115"/>
      <c r="CM967" s="115"/>
      <c r="CN967" s="115"/>
      <c r="CO967" s="115"/>
    </row>
    <row r="968" spans="1:93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  <c r="U968" s="115"/>
      <c r="V968" s="115"/>
      <c r="W968" s="116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  <c r="BN968" s="115"/>
      <c r="BO968" s="115"/>
      <c r="BP968" s="115"/>
      <c r="BQ968" s="115"/>
      <c r="BR968" s="115"/>
      <c r="BS968" s="115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  <c r="CJ968" s="115"/>
      <c r="CK968" s="115"/>
      <c r="CL968" s="115"/>
      <c r="CM968" s="115"/>
      <c r="CN968" s="115"/>
      <c r="CO968" s="115"/>
    </row>
    <row r="969" spans="1:93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  <c r="U969" s="115"/>
      <c r="V969" s="115"/>
      <c r="W969" s="116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</row>
    <row r="970" spans="1:93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  <c r="U970" s="115"/>
      <c r="V970" s="115"/>
      <c r="W970" s="116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  <c r="BN970" s="115"/>
      <c r="BO970" s="115"/>
      <c r="BP970" s="115"/>
      <c r="BQ970" s="115"/>
      <c r="BR970" s="115"/>
      <c r="BS970" s="115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  <c r="CJ970" s="115"/>
      <c r="CK970" s="115"/>
      <c r="CL970" s="115"/>
      <c r="CM970" s="115"/>
      <c r="CN970" s="115"/>
      <c r="CO970" s="115"/>
    </row>
    <row r="971" spans="1:93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  <c r="U971" s="115"/>
      <c r="V971" s="115"/>
      <c r="W971" s="116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  <c r="BN971" s="115"/>
      <c r="BO971" s="115"/>
      <c r="BP971" s="115"/>
      <c r="BQ971" s="115"/>
      <c r="BR971" s="115"/>
      <c r="BS971" s="115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  <c r="CJ971" s="115"/>
      <c r="CK971" s="115"/>
      <c r="CL971" s="115"/>
      <c r="CM971" s="115"/>
      <c r="CN971" s="115"/>
      <c r="CO971" s="115"/>
    </row>
    <row r="972" spans="1:93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  <c r="U972" s="115"/>
      <c r="V972" s="115"/>
      <c r="W972" s="116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  <c r="BN972" s="115"/>
      <c r="BO972" s="115"/>
      <c r="BP972" s="115"/>
      <c r="BQ972" s="115"/>
      <c r="BR972" s="115"/>
      <c r="BS972" s="115"/>
      <c r="BT972" s="115"/>
      <c r="BU972" s="115"/>
      <c r="BV972" s="115"/>
      <c r="BW972" s="115"/>
      <c r="BX972" s="115"/>
      <c r="BY972" s="115"/>
      <c r="BZ972" s="115"/>
      <c r="CA972" s="115"/>
      <c r="CB972" s="115"/>
      <c r="CC972" s="115"/>
      <c r="CD972" s="115"/>
      <c r="CE972" s="115"/>
      <c r="CF972" s="115"/>
      <c r="CG972" s="115"/>
      <c r="CH972" s="115"/>
      <c r="CI972" s="115"/>
      <c r="CJ972" s="115"/>
      <c r="CK972" s="115"/>
      <c r="CL972" s="115"/>
      <c r="CM972" s="115"/>
      <c r="CN972" s="115"/>
      <c r="CO972" s="115"/>
    </row>
    <row r="973" spans="1:93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  <c r="U973" s="115"/>
      <c r="V973" s="115"/>
      <c r="W973" s="116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  <c r="BN973" s="115"/>
      <c r="BO973" s="115"/>
      <c r="BP973" s="115"/>
      <c r="BQ973" s="115"/>
      <c r="BR973" s="115"/>
      <c r="BS973" s="115"/>
      <c r="BT973" s="115"/>
      <c r="BU973" s="115"/>
      <c r="BV973" s="115"/>
      <c r="BW973" s="115"/>
      <c r="BX973" s="115"/>
      <c r="BY973" s="115"/>
      <c r="BZ973" s="115"/>
      <c r="CA973" s="115"/>
      <c r="CB973" s="115"/>
      <c r="CC973" s="115"/>
      <c r="CD973" s="115"/>
      <c r="CE973" s="115"/>
      <c r="CF973" s="115"/>
      <c r="CG973" s="115"/>
      <c r="CH973" s="115"/>
      <c r="CI973" s="115"/>
      <c r="CJ973" s="115"/>
      <c r="CK973" s="115"/>
      <c r="CL973" s="115"/>
      <c r="CM973" s="115"/>
      <c r="CN973" s="115"/>
      <c r="CO973" s="115"/>
    </row>
    <row r="974" spans="1:93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  <c r="U974" s="115"/>
      <c r="V974" s="115"/>
      <c r="W974" s="116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  <c r="BN974" s="115"/>
      <c r="BO974" s="115"/>
      <c r="BP974" s="115"/>
      <c r="BQ974" s="115"/>
      <c r="BR974" s="115"/>
      <c r="BS974" s="115"/>
      <c r="BT974" s="115"/>
      <c r="BU974" s="115"/>
      <c r="BV974" s="115"/>
      <c r="BW974" s="115"/>
      <c r="BX974" s="115"/>
      <c r="BY974" s="115"/>
      <c r="BZ974" s="115"/>
      <c r="CA974" s="115"/>
      <c r="CB974" s="115"/>
      <c r="CC974" s="115"/>
      <c r="CD974" s="115"/>
      <c r="CE974" s="115"/>
      <c r="CF974" s="115"/>
      <c r="CG974" s="115"/>
      <c r="CH974" s="115"/>
      <c r="CI974" s="115"/>
      <c r="CJ974" s="115"/>
      <c r="CK974" s="115"/>
      <c r="CL974" s="115"/>
      <c r="CM974" s="115"/>
      <c r="CN974" s="115"/>
      <c r="CO974" s="115"/>
    </row>
    <row r="975" spans="1:93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  <c r="U975" s="115"/>
      <c r="V975" s="115"/>
      <c r="W975" s="116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  <c r="BN975" s="115"/>
      <c r="BO975" s="115"/>
      <c r="BP975" s="115"/>
      <c r="BQ975" s="115"/>
      <c r="BR975" s="115"/>
      <c r="BS975" s="115"/>
      <c r="BT975" s="115"/>
      <c r="BU975" s="115"/>
      <c r="BV975" s="115"/>
      <c r="BW975" s="115"/>
      <c r="BX975" s="115"/>
      <c r="BY975" s="115"/>
      <c r="BZ975" s="115"/>
      <c r="CA975" s="115"/>
      <c r="CB975" s="115"/>
      <c r="CC975" s="115"/>
      <c r="CD975" s="115"/>
      <c r="CE975" s="115"/>
      <c r="CF975" s="115"/>
      <c r="CG975" s="115"/>
      <c r="CH975" s="115"/>
      <c r="CI975" s="115"/>
      <c r="CJ975" s="115"/>
      <c r="CK975" s="115"/>
      <c r="CL975" s="115"/>
      <c r="CM975" s="115"/>
      <c r="CN975" s="115"/>
      <c r="CO975" s="115"/>
    </row>
    <row r="976" spans="1:93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  <c r="U976" s="115"/>
      <c r="V976" s="115"/>
      <c r="W976" s="116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  <c r="BN976" s="115"/>
      <c r="BO976" s="115"/>
      <c r="BP976" s="115"/>
      <c r="BQ976" s="115"/>
      <c r="BR976" s="115"/>
      <c r="BS976" s="115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  <c r="CJ976" s="115"/>
      <c r="CK976" s="115"/>
      <c r="CL976" s="115"/>
      <c r="CM976" s="115"/>
      <c r="CN976" s="115"/>
      <c r="CO976" s="115"/>
    </row>
    <row r="977" spans="1:93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  <c r="U977" s="115"/>
      <c r="V977" s="115"/>
      <c r="W977" s="116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  <c r="BN977" s="115"/>
      <c r="BO977" s="115"/>
      <c r="BP977" s="115"/>
      <c r="BQ977" s="115"/>
      <c r="BR977" s="115"/>
      <c r="BS977" s="115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  <c r="CJ977" s="115"/>
      <c r="CK977" s="115"/>
      <c r="CL977" s="115"/>
      <c r="CM977" s="115"/>
      <c r="CN977" s="115"/>
      <c r="CO977" s="115"/>
    </row>
    <row r="978" spans="1:93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  <c r="U978" s="115"/>
      <c r="V978" s="115"/>
      <c r="W978" s="116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  <c r="BN978" s="115"/>
      <c r="BO978" s="115"/>
      <c r="BP978" s="115"/>
      <c r="BQ978" s="115"/>
      <c r="BR978" s="115"/>
      <c r="BS978" s="115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  <c r="CJ978" s="115"/>
      <c r="CK978" s="115"/>
      <c r="CL978" s="115"/>
      <c r="CM978" s="115"/>
      <c r="CN978" s="115"/>
      <c r="CO978" s="115"/>
    </row>
    <row r="979" spans="1:93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  <c r="U979" s="115"/>
      <c r="V979" s="115"/>
      <c r="W979" s="116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  <c r="BN979" s="115"/>
      <c r="BO979" s="115"/>
      <c r="BP979" s="115"/>
      <c r="BQ979" s="115"/>
      <c r="BR979" s="115"/>
      <c r="BS979" s="115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  <c r="CJ979" s="115"/>
      <c r="CK979" s="115"/>
      <c r="CL979" s="115"/>
      <c r="CM979" s="115"/>
      <c r="CN979" s="115"/>
      <c r="CO979" s="115"/>
    </row>
    <row r="980" spans="1:93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  <c r="U980" s="115"/>
      <c r="V980" s="115"/>
      <c r="W980" s="116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  <c r="BN980" s="115"/>
      <c r="BO980" s="115"/>
      <c r="BP980" s="115"/>
      <c r="BQ980" s="115"/>
      <c r="BR980" s="115"/>
      <c r="BS980" s="115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  <c r="CJ980" s="115"/>
      <c r="CK980" s="115"/>
      <c r="CL980" s="115"/>
      <c r="CM980" s="115"/>
      <c r="CN980" s="115"/>
      <c r="CO980" s="115"/>
    </row>
    <row r="981" spans="1:93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  <c r="U981" s="115"/>
      <c r="V981" s="115"/>
      <c r="W981" s="116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  <c r="BN981" s="115"/>
      <c r="BO981" s="115"/>
      <c r="BP981" s="115"/>
      <c r="BQ981" s="115"/>
      <c r="BR981" s="115"/>
      <c r="BS981" s="115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  <c r="CJ981" s="115"/>
      <c r="CK981" s="115"/>
      <c r="CL981" s="115"/>
      <c r="CM981" s="115"/>
      <c r="CN981" s="115"/>
      <c r="CO981" s="115"/>
    </row>
    <row r="982" spans="1:93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  <c r="U982" s="115"/>
      <c r="V982" s="115"/>
      <c r="W982" s="116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  <c r="BN982" s="115"/>
      <c r="BO982" s="115"/>
      <c r="BP982" s="115"/>
      <c r="BQ982" s="115"/>
      <c r="BR982" s="115"/>
      <c r="BS982" s="115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  <c r="CJ982" s="115"/>
      <c r="CK982" s="115"/>
      <c r="CL982" s="115"/>
      <c r="CM982" s="115"/>
      <c r="CN982" s="115"/>
      <c r="CO982" s="115"/>
    </row>
    <row r="983" spans="1:93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  <c r="U983" s="115"/>
      <c r="V983" s="115"/>
      <c r="W983" s="116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  <c r="BN983" s="115"/>
      <c r="BO983" s="115"/>
      <c r="BP983" s="115"/>
      <c r="BQ983" s="115"/>
      <c r="BR983" s="115"/>
      <c r="BS983" s="115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  <c r="CJ983" s="115"/>
      <c r="CK983" s="115"/>
      <c r="CL983" s="115"/>
      <c r="CM983" s="115"/>
      <c r="CN983" s="115"/>
      <c r="CO983" s="115"/>
    </row>
    <row r="984" spans="1:93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  <c r="U984" s="115"/>
      <c r="V984" s="115"/>
      <c r="W984" s="116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  <c r="BN984" s="115"/>
      <c r="BO984" s="115"/>
      <c r="BP984" s="115"/>
      <c r="BQ984" s="115"/>
      <c r="BR984" s="115"/>
      <c r="BS984" s="115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  <c r="CJ984" s="115"/>
      <c r="CK984" s="115"/>
      <c r="CL984" s="115"/>
      <c r="CM984" s="115"/>
      <c r="CN984" s="115"/>
      <c r="CO984" s="115"/>
    </row>
    <row r="985" spans="1:93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  <c r="U985" s="115"/>
      <c r="V985" s="115"/>
      <c r="W985" s="116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  <c r="BN985" s="115"/>
      <c r="BO985" s="115"/>
      <c r="BP985" s="115"/>
      <c r="BQ985" s="115"/>
      <c r="BR985" s="115"/>
      <c r="BS985" s="115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  <c r="CJ985" s="115"/>
      <c r="CK985" s="115"/>
      <c r="CL985" s="115"/>
      <c r="CM985" s="115"/>
      <c r="CN985" s="115"/>
      <c r="CO985" s="115"/>
    </row>
    <row r="986" spans="1:93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  <c r="U986" s="115"/>
      <c r="V986" s="115"/>
      <c r="W986" s="116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  <c r="BN986" s="115"/>
      <c r="BO986" s="115"/>
      <c r="BP986" s="115"/>
      <c r="BQ986" s="115"/>
      <c r="BR986" s="115"/>
      <c r="BS986" s="115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  <c r="CJ986" s="115"/>
      <c r="CK986" s="115"/>
      <c r="CL986" s="115"/>
      <c r="CM986" s="115"/>
      <c r="CN986" s="115"/>
      <c r="CO986" s="115"/>
    </row>
    <row r="987" spans="1:93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  <c r="U987" s="115"/>
      <c r="V987" s="115"/>
      <c r="W987" s="116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  <c r="BN987" s="115"/>
      <c r="BO987" s="115"/>
      <c r="BP987" s="115"/>
      <c r="BQ987" s="115"/>
      <c r="BR987" s="115"/>
      <c r="BS987" s="115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  <c r="CJ987" s="115"/>
      <c r="CK987" s="115"/>
      <c r="CL987" s="115"/>
      <c r="CM987" s="115"/>
      <c r="CN987" s="115"/>
      <c r="CO987" s="115"/>
    </row>
    <row r="988" spans="1:93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  <c r="U988" s="115"/>
      <c r="V988" s="115"/>
      <c r="W988" s="116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  <c r="BN988" s="115"/>
      <c r="BO988" s="115"/>
      <c r="BP988" s="115"/>
      <c r="BQ988" s="115"/>
      <c r="BR988" s="115"/>
      <c r="BS988" s="115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  <c r="CJ988" s="115"/>
      <c r="CK988" s="115"/>
      <c r="CL988" s="115"/>
      <c r="CM988" s="115"/>
      <c r="CN988" s="115"/>
      <c r="CO988" s="115"/>
    </row>
    <row r="989" spans="1:93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  <c r="U989" s="115"/>
      <c r="V989" s="115"/>
      <c r="W989" s="116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</row>
    <row r="990" spans="1:93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  <c r="U990" s="115"/>
      <c r="V990" s="115"/>
      <c r="W990" s="116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  <c r="BN990" s="115"/>
      <c r="BO990" s="115"/>
      <c r="BP990" s="115"/>
      <c r="BQ990" s="115"/>
      <c r="BR990" s="115"/>
      <c r="BS990" s="115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  <c r="CJ990" s="115"/>
      <c r="CK990" s="115"/>
      <c r="CL990" s="115"/>
      <c r="CM990" s="115"/>
      <c r="CN990" s="115"/>
      <c r="CO990" s="115"/>
    </row>
    <row r="991" spans="1:93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  <c r="U991" s="115"/>
      <c r="V991" s="115"/>
      <c r="W991" s="116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  <c r="BN991" s="115"/>
      <c r="BO991" s="115"/>
      <c r="BP991" s="115"/>
      <c r="BQ991" s="115"/>
      <c r="BR991" s="115"/>
      <c r="BS991" s="115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  <c r="CJ991" s="115"/>
      <c r="CK991" s="115"/>
      <c r="CL991" s="115"/>
      <c r="CM991" s="115"/>
      <c r="CN991" s="115"/>
      <c r="CO991" s="115"/>
    </row>
    <row r="992" spans="1:93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  <c r="U992" s="115"/>
      <c r="V992" s="115"/>
      <c r="W992" s="116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  <c r="BN992" s="115"/>
      <c r="BO992" s="115"/>
      <c r="BP992" s="115"/>
      <c r="BQ992" s="115"/>
      <c r="BR992" s="115"/>
      <c r="BS992" s="115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  <c r="CJ992" s="115"/>
      <c r="CK992" s="115"/>
      <c r="CL992" s="115"/>
      <c r="CM992" s="115"/>
      <c r="CN992" s="115"/>
      <c r="CO992" s="115"/>
    </row>
    <row r="993" spans="1:93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  <c r="U993" s="115"/>
      <c r="V993" s="115"/>
      <c r="W993" s="116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  <c r="BN993" s="115"/>
      <c r="BO993" s="115"/>
      <c r="BP993" s="115"/>
      <c r="BQ993" s="115"/>
      <c r="BR993" s="115"/>
      <c r="BS993" s="115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  <c r="CJ993" s="115"/>
      <c r="CK993" s="115"/>
      <c r="CL993" s="115"/>
      <c r="CM993" s="115"/>
      <c r="CN993" s="115"/>
      <c r="CO993" s="115"/>
    </row>
    <row r="994" spans="1:93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  <c r="U994" s="115"/>
      <c r="V994" s="115"/>
      <c r="W994" s="116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  <c r="BN994" s="115"/>
      <c r="BO994" s="115"/>
      <c r="BP994" s="115"/>
      <c r="BQ994" s="115"/>
      <c r="BR994" s="115"/>
      <c r="BS994" s="115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  <c r="CJ994" s="115"/>
      <c r="CK994" s="115"/>
      <c r="CL994" s="115"/>
      <c r="CM994" s="115"/>
      <c r="CN994" s="115"/>
      <c r="CO994" s="115"/>
    </row>
    <row r="995" spans="1:93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  <c r="U995" s="115"/>
      <c r="V995" s="115"/>
      <c r="W995" s="116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  <c r="BN995" s="115"/>
      <c r="BO995" s="115"/>
      <c r="BP995" s="115"/>
      <c r="BQ995" s="115"/>
      <c r="BR995" s="115"/>
      <c r="BS995" s="115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  <c r="CJ995" s="115"/>
      <c r="CK995" s="115"/>
      <c r="CL995" s="115"/>
      <c r="CM995" s="115"/>
      <c r="CN995" s="115"/>
      <c r="CO995" s="115"/>
    </row>
    <row r="996" spans="1:93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  <c r="U996" s="115"/>
      <c r="V996" s="115"/>
      <c r="W996" s="116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  <c r="BN996" s="115"/>
      <c r="BO996" s="115"/>
      <c r="BP996" s="115"/>
      <c r="BQ996" s="115"/>
      <c r="BR996" s="115"/>
      <c r="BS996" s="115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  <c r="CJ996" s="115"/>
      <c r="CK996" s="115"/>
      <c r="CL996" s="115"/>
      <c r="CM996" s="115"/>
      <c r="CN996" s="115"/>
      <c r="CO996" s="115"/>
    </row>
    <row r="997" spans="1:93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  <c r="U997" s="115"/>
      <c r="V997" s="115"/>
      <c r="W997" s="116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  <c r="BN997" s="115"/>
      <c r="BO997" s="115"/>
      <c r="BP997" s="115"/>
      <c r="BQ997" s="115"/>
      <c r="BR997" s="115"/>
      <c r="BS997" s="115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  <c r="CJ997" s="115"/>
      <c r="CK997" s="115"/>
      <c r="CL997" s="115"/>
      <c r="CM997" s="115"/>
      <c r="CN997" s="115"/>
      <c r="CO997" s="115"/>
    </row>
    <row r="998" spans="1:93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  <c r="U998" s="115"/>
      <c r="V998" s="115"/>
      <c r="W998" s="116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</row>
    <row r="999" spans="1:93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  <c r="U999" s="115"/>
      <c r="V999" s="115"/>
      <c r="W999" s="116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</row>
  </sheetData>
  <mergeCells count="76">
    <mergeCell ref="AJ4:AL4"/>
    <mergeCell ref="AM4:AO4"/>
    <mergeCell ref="AP4:AQ4"/>
    <mergeCell ref="AR4:AT4"/>
    <mergeCell ref="R4:T4"/>
    <mergeCell ref="U4:W4"/>
    <mergeCell ref="X4:Z4"/>
    <mergeCell ref="AA4:AC4"/>
    <mergeCell ref="AD4:AF4"/>
    <mergeCell ref="C3:Q3"/>
    <mergeCell ref="C4:G4"/>
    <mergeCell ref="H4:I4"/>
    <mergeCell ref="J4:Q4"/>
    <mergeCell ref="AG4:AI4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AE5:AF5"/>
    <mergeCell ref="AH5:AI5"/>
    <mergeCell ref="AK5:AL5"/>
    <mergeCell ref="AN5:AO5"/>
    <mergeCell ref="AP5:AQ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BM4:BO4"/>
    <mergeCell ref="BP4:BR4"/>
    <mergeCell ref="BS4:BU4"/>
    <mergeCell ref="BV4:BX4"/>
    <mergeCell ref="BY4:CA4"/>
    <mergeCell ref="CB4:CD4"/>
    <mergeCell ref="CE4:CG4"/>
    <mergeCell ref="CH4:CJ4"/>
    <mergeCell ref="CK4:CM4"/>
    <mergeCell ref="CN4:CO4"/>
    <mergeCell ref="BG4:BI4"/>
    <mergeCell ref="BJ4:BL4"/>
    <mergeCell ref="AS5:AT5"/>
    <mergeCell ref="AV5:AW5"/>
    <mergeCell ref="AY5:AZ5"/>
    <mergeCell ref="BB5:BC5"/>
    <mergeCell ref="BE5:BF5"/>
    <mergeCell ref="AU4:AW4"/>
    <mergeCell ref="AX4:AZ4"/>
    <mergeCell ref="BA4:BC4"/>
    <mergeCell ref="BD4:BF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26" max="1048575" man="1"/>
    <brk id="43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11.42578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71" t="s">
        <v>1</v>
      </c>
      <c r="B2" s="372"/>
      <c r="C2" s="400" t="s">
        <v>199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2"/>
    </row>
    <row r="3" spans="1:20" ht="30" customHeight="1" x14ac:dyDescent="0.2">
      <c r="A3" s="373"/>
      <c r="B3" s="374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450" t="s">
        <v>200</v>
      </c>
      <c r="S3" s="406"/>
      <c r="T3" s="407"/>
    </row>
    <row r="4" spans="1:20" ht="30" customHeight="1" x14ac:dyDescent="0.2">
      <c r="A4" s="373"/>
      <c r="B4" s="374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417"/>
      <c r="S4" s="395"/>
      <c r="T4" s="396"/>
    </row>
    <row r="5" spans="1:20" ht="24" customHeight="1" x14ac:dyDescent="0.3">
      <c r="A5" s="373"/>
      <c r="B5" s="374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281" t="s">
        <v>21</v>
      </c>
      <c r="S5" s="399" t="s">
        <v>22</v>
      </c>
      <c r="T5" s="382"/>
    </row>
    <row r="6" spans="1:20" ht="41.25" customHeight="1" x14ac:dyDescent="0.2">
      <c r="A6" s="375"/>
      <c r="B6" s="37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">
      <c r="A7" s="367" t="s">
        <v>239</v>
      </c>
      <c r="B7" s="368"/>
      <c r="C7" s="283">
        <f t="shared" ref="C7:C116" ca="1" si="0">D7+G7</f>
        <v>4016300</v>
      </c>
      <c r="D7" s="284">
        <f t="shared" ref="D7:E7" ca="1" si="1">D8+D9+D12</f>
        <v>4016300</v>
      </c>
      <c r="E7" s="18">
        <f t="shared" ca="1" si="1"/>
        <v>1807300</v>
      </c>
      <c r="F7" s="19">
        <f ca="1">F8+F9</f>
        <v>2209000</v>
      </c>
      <c r="G7" s="20">
        <f t="shared" ref="G7:I7" ca="1" si="2">G8+G9+G12</f>
        <v>0</v>
      </c>
      <c r="H7" s="21">
        <f t="shared" ca="1" si="2"/>
        <v>4016300</v>
      </c>
      <c r="I7" s="21">
        <f t="shared" ca="1" si="2"/>
        <v>0</v>
      </c>
      <c r="J7" s="22">
        <f t="shared" ref="J7:J116" ca="1" si="3">L7+O7</f>
        <v>3582784.6700000004</v>
      </c>
      <c r="K7" s="23">
        <f t="shared" ref="K7:K116" ca="1" si="4">IF(C7&gt;0,J7*100/C7,0)</f>
        <v>89.206101884819375</v>
      </c>
      <c r="L7" s="22">
        <f ca="1">L8+L9+L12</f>
        <v>3582784.6700000004</v>
      </c>
      <c r="M7" s="24">
        <f t="shared" ref="M7:M116" ca="1" si="5">IF(D7&gt;0,L7*100/D7,0)</f>
        <v>89.206101884819375</v>
      </c>
      <c r="N7" s="24">
        <f t="shared" ref="N7:N116" ca="1" si="6">IF(H7&gt;0,L7*100/H7,0)</f>
        <v>89.206101884819375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1584</v>
      </c>
      <c r="S7" s="27">
        <f t="shared" ca="1" si="9"/>
        <v>1586</v>
      </c>
      <c r="T7" s="28">
        <f t="shared" ref="T7:T8" ca="1" si="10">IF(R7&gt;0,S7*100/R7,0)</f>
        <v>100.12626262626263</v>
      </c>
    </row>
    <row r="8" spans="1:20" ht="28.5" customHeight="1" x14ac:dyDescent="0.2">
      <c r="A8" s="29" t="s">
        <v>31</v>
      </c>
      <c r="B8" s="30"/>
      <c r="C8" s="31">
        <f t="shared" ca="1" si="0"/>
        <v>3509800</v>
      </c>
      <c r="D8" s="32">
        <f t="shared" ref="D8:I8" ca="1" si="11">+D13+D31+D52+D74</f>
        <v>3509800</v>
      </c>
      <c r="E8" s="33">
        <f t="shared" ca="1" si="11"/>
        <v>1573000</v>
      </c>
      <c r="F8" s="33">
        <f t="shared" ca="1" si="11"/>
        <v>1936800</v>
      </c>
      <c r="G8" s="33">
        <f t="shared" ca="1" si="11"/>
        <v>0</v>
      </c>
      <c r="H8" s="33">
        <f t="shared" ca="1" si="11"/>
        <v>3509800</v>
      </c>
      <c r="I8" s="33">
        <f t="shared" ca="1" si="11"/>
        <v>0</v>
      </c>
      <c r="J8" s="33">
        <f t="shared" ca="1" si="3"/>
        <v>3187087.99</v>
      </c>
      <c r="K8" s="34">
        <f t="shared" ca="1" si="4"/>
        <v>90.805401732292438</v>
      </c>
      <c r="L8" s="33">
        <f ca="1">+L13+L31+L52+L74</f>
        <v>3187087.99</v>
      </c>
      <c r="M8" s="35">
        <f t="shared" ca="1" si="5"/>
        <v>90.805401732292438</v>
      </c>
      <c r="N8" s="35">
        <f t="shared" ca="1" si="6"/>
        <v>90.805401732292438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12">+R13+R31+R52+R74</f>
        <v>1584</v>
      </c>
      <c r="S8" s="33">
        <f t="shared" ca="1" si="12"/>
        <v>1586</v>
      </c>
      <c r="T8" s="35">
        <f t="shared" ca="1" si="10"/>
        <v>100.12626262626263</v>
      </c>
    </row>
    <row r="9" spans="1:20" ht="28.5" customHeight="1" x14ac:dyDescent="0.2">
      <c r="A9" s="39" t="s">
        <v>240</v>
      </c>
      <c r="B9" s="40"/>
      <c r="C9" s="41">
        <f t="shared" ca="1" si="0"/>
        <v>506500</v>
      </c>
      <c r="D9" s="42">
        <f t="shared" ref="D9:I9" ca="1" si="13">+D10+D11</f>
        <v>506500</v>
      </c>
      <c r="E9" s="41">
        <f t="shared" ca="1" si="13"/>
        <v>234300</v>
      </c>
      <c r="F9" s="41">
        <f t="shared" ca="1" si="13"/>
        <v>272200</v>
      </c>
      <c r="G9" s="41">
        <f t="shared" ca="1" si="13"/>
        <v>0</v>
      </c>
      <c r="H9" s="41">
        <f t="shared" ca="1" si="13"/>
        <v>506500</v>
      </c>
      <c r="I9" s="41">
        <f t="shared" ca="1" si="13"/>
        <v>0</v>
      </c>
      <c r="J9" s="41">
        <f t="shared" ca="1" si="3"/>
        <v>395696.68</v>
      </c>
      <c r="K9" s="43">
        <f t="shared" ca="1" si="4"/>
        <v>78.123727541954594</v>
      </c>
      <c r="L9" s="41">
        <f ca="1">+L10+L11</f>
        <v>395696.68</v>
      </c>
      <c r="M9" s="44">
        <f t="shared" ca="1" si="5"/>
        <v>78.123727541954594</v>
      </c>
      <c r="N9" s="44">
        <f t="shared" ca="1" si="6"/>
        <v>78.123727541954594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372200</v>
      </c>
      <c r="D10" s="42">
        <f t="shared" ref="D10:I10" ca="1" si="14">+D89</f>
        <v>372200</v>
      </c>
      <c r="E10" s="41">
        <f t="shared" ca="1" si="14"/>
        <v>100000</v>
      </c>
      <c r="F10" s="41">
        <f t="shared" ca="1" si="14"/>
        <v>272200</v>
      </c>
      <c r="G10" s="41">
        <f t="shared" ca="1" si="14"/>
        <v>0</v>
      </c>
      <c r="H10" s="41">
        <f t="shared" ca="1" si="14"/>
        <v>460900</v>
      </c>
      <c r="I10" s="41">
        <f t="shared" ca="1" si="14"/>
        <v>0</v>
      </c>
      <c r="J10" s="41">
        <f t="shared" ca="1" si="3"/>
        <v>367196.68</v>
      </c>
      <c r="K10" s="43">
        <f t="shared" ca="1" si="4"/>
        <v>98.655744223535734</v>
      </c>
      <c r="L10" s="41">
        <f ca="1">+L89</f>
        <v>367196.68</v>
      </c>
      <c r="M10" s="44">
        <f t="shared" ca="1" si="5"/>
        <v>98.655744223535734</v>
      </c>
      <c r="N10" s="44">
        <f t="shared" ca="1" si="6"/>
        <v>79.669490128010409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134300</v>
      </c>
      <c r="D11" s="42">
        <f t="shared" ref="D11:I11" ca="1" si="15">+D104</f>
        <v>134300</v>
      </c>
      <c r="E11" s="41">
        <f t="shared" ca="1" si="15"/>
        <v>134300</v>
      </c>
      <c r="F11" s="41">
        <f t="shared" ca="1" si="15"/>
        <v>0</v>
      </c>
      <c r="G11" s="41">
        <f t="shared" ca="1" si="15"/>
        <v>0</v>
      </c>
      <c r="H11" s="41">
        <f t="shared" ca="1" si="15"/>
        <v>45600</v>
      </c>
      <c r="I11" s="41">
        <f t="shared" ca="1" si="15"/>
        <v>0</v>
      </c>
      <c r="J11" s="41">
        <f t="shared" ca="1" si="3"/>
        <v>28500</v>
      </c>
      <c r="K11" s="43">
        <f t="shared" ca="1" si="4"/>
        <v>21.221146686522712</v>
      </c>
      <c r="L11" s="41">
        <f ca="1">+L104</f>
        <v>28500</v>
      </c>
      <c r="M11" s="44">
        <f t="shared" ca="1" si="5"/>
        <v>21.221146686522712</v>
      </c>
      <c r="N11" s="44">
        <f t="shared" ca="1" si="6"/>
        <v>62.5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81" t="s">
        <v>35</v>
      </c>
      <c r="B13" s="382"/>
      <c r="C13" s="57">
        <f t="shared" ca="1" si="0"/>
        <v>1193200</v>
      </c>
      <c r="D13" s="58">
        <f t="shared" ref="D13:I13" ca="1" si="17">SUM(D14:D30)</f>
        <v>1193200</v>
      </c>
      <c r="E13" s="59">
        <f t="shared" ca="1" si="17"/>
        <v>715000</v>
      </c>
      <c r="F13" s="59">
        <f t="shared" ca="1" si="17"/>
        <v>478200</v>
      </c>
      <c r="G13" s="59">
        <f t="shared" ca="1" si="17"/>
        <v>0</v>
      </c>
      <c r="H13" s="59">
        <f t="shared" ca="1" si="17"/>
        <v>1193200</v>
      </c>
      <c r="I13" s="59">
        <f t="shared" ca="1" si="17"/>
        <v>0</v>
      </c>
      <c r="J13" s="59">
        <f t="shared" ca="1" si="3"/>
        <v>1040833.0800000001</v>
      </c>
      <c r="K13" s="60">
        <f t="shared" ca="1" si="4"/>
        <v>87.230395574924572</v>
      </c>
      <c r="L13" s="59">
        <f ca="1">SUM(L14:L30)</f>
        <v>1040833.0800000001</v>
      </c>
      <c r="M13" s="61">
        <f t="shared" ca="1" si="5"/>
        <v>87.230395574924572</v>
      </c>
      <c r="N13" s="61">
        <f t="shared" ca="1" si="6"/>
        <v>87.230395574924572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396</v>
      </c>
      <c r="S13" s="59">
        <f t="shared" ca="1" si="19"/>
        <v>398</v>
      </c>
      <c r="T13" s="61">
        <f t="shared" ca="1" si="16"/>
        <v>100.50505050505051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26900</v>
      </c>
      <c r="D14" s="66">
        <f t="shared" ref="D14:D30" ca="1" si="20">+E14+F14</f>
        <v>26900</v>
      </c>
      <c r="E14" s="67">
        <f ca="1">IFERROR(__xludf.DUMMYFUNCTION("IMPORTRANGE(""https://docs.google.com/spreadsheets/d/1MeEWN-I1oV_STSDYn1IFDPWt_1FKiwhDph83XaGc0o0/edit?usp=sharing"",""งบพรบ!CZ14"")"),0)</f>
        <v>0</v>
      </c>
      <c r="F14" s="67">
        <f ca="1">IFERROR(__xludf.DUMMYFUNCTION("IMPORTRANGE(""https://docs.google.com/spreadsheets/d/1MeEWN-I1oV_STSDYn1IFDPWt_1FKiwhDph83XaGc0o0/edit?usp=sharing"",""งบพรบ!DA14"")"),26900)</f>
        <v>26900</v>
      </c>
      <c r="G14" s="68">
        <f ca="1">IFERROR(__xludf.DUMMYFUNCTION("IMPORTRANGE(""https://docs.google.com/spreadsheets/d/1MeEWN-I1oV_STSDYn1IFDPWt_1FKiwhDph83XaGc0o0/edit?usp=sharing"",""งบพรบ!DB14"")"),0)</f>
        <v>0</v>
      </c>
      <c r="H14" s="68">
        <f ca="1">IFERROR(__xludf.DUMMYFUNCTION("IMPORTRANGE(""https://docs.google.com/spreadsheets/d/1MeEWN-I1oV_STSDYn1IFDPWt_1FKiwhDph83XaGc0o0/edit?usp=sharing"",""งบพรบ!DD14"")"),26900)</f>
        <v>26900</v>
      </c>
      <c r="I14" s="68">
        <f ca="1">IFERROR(__xludf.DUMMYFUNCTION("IMPORTRANGE(""https://docs.google.com/spreadsheets/d/1MeEWN-I1oV_STSDYn1IFDPWt_1FKiwhDph83XaGc0o0/edit?usp=sharing"",""งบพรบ!DE14"")"),0)</f>
        <v>0</v>
      </c>
      <c r="J14" s="68">
        <f t="shared" ca="1" si="3"/>
        <v>26900</v>
      </c>
      <c r="K14" s="69">
        <f t="shared" ca="1" si="4"/>
        <v>100</v>
      </c>
      <c r="L14" s="68">
        <f ca="1">IFERROR(__xludf.DUMMYFUNCTION("IMPORTRANGE(""https://docs.google.com/spreadsheets/d/1MeEWN-I1oV_STSDYn1IFDPWt_1FKiwhDph83XaGc0o0/edit?usp=sharing"",""งบพรบ!DF14"")"),26900)</f>
        <v>26900</v>
      </c>
      <c r="M14" s="70">
        <f t="shared" ca="1" si="5"/>
        <v>100</v>
      </c>
      <c r="N14" s="70">
        <f t="shared" ca="1" si="6"/>
        <v>100</v>
      </c>
      <c r="O14" s="71">
        <f ca="1">IFERROR(__xludf.DUMMYFUNCTION("IMPORTRANGE(""https://docs.google.com/spreadsheets/d/1MeEWN-I1oV_STSDYn1IFDPWt_1FKiwhDph83XaGc0o0/edit?usp=sharing"",""งบพรบ!DG14"")"),0)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IFERROR(__xludf.DUMMYFUNCTION("IMPORTRANGE(""https://docs.google.com/spreadsheets/d/1KxicF4apzSqm0-jIpmueT4kyZtE-Cwn5zskl7GD4loQ/edit?usp=sharing"",""กำแพงเพชร!I271"")"),22)</f>
        <v>22</v>
      </c>
      <c r="S14" s="68">
        <f ca="1">IFERROR(__xludf.DUMMYFUNCTION("IMPORTRANGE(""https://docs.google.com/spreadsheets/d/1KxicF4apzSqm0-jIpmueT4kyZtE-Cwn5zskl7GD4loQ/edit?usp=sharing"",""กำแพงเพชร!J271"")"),22)</f>
        <v>22</v>
      </c>
      <c r="T14" s="72">
        <f t="shared" ca="1" si="16"/>
        <v>100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30700</v>
      </c>
      <c r="D15" s="76">
        <f t="shared" ca="1" si="20"/>
        <v>30700</v>
      </c>
      <c r="E15" s="77">
        <f ca="1">IFERROR(__xludf.DUMMYFUNCTION("IMPORTRANGE(""https://docs.google.com/spreadsheets/d/1MeEWN-I1oV_STSDYn1IFDPWt_1FKiwhDph83XaGc0o0/edit?usp=sharing"",""งบพรบ!CZ15"")"),0)</f>
        <v>0</v>
      </c>
      <c r="F15" s="77">
        <f ca="1">IFERROR(__xludf.DUMMYFUNCTION("IMPORTRANGE(""https://docs.google.com/spreadsheets/d/1MeEWN-I1oV_STSDYn1IFDPWt_1FKiwhDph83XaGc0o0/edit?usp=sharing"",""งบพรบ!DA15"")"),30700)</f>
        <v>30700</v>
      </c>
      <c r="G15" s="77">
        <f ca="1">IFERROR(__xludf.DUMMYFUNCTION("IMPORTRANGE(""https://docs.google.com/spreadsheets/d/1MeEWN-I1oV_STSDYn1IFDPWt_1FKiwhDph83XaGc0o0/edit?usp=sharing"",""งบพรบ!DB15"")"),0)</f>
        <v>0</v>
      </c>
      <c r="H15" s="77">
        <f ca="1">IFERROR(__xludf.DUMMYFUNCTION("IMPORTRANGE(""https://docs.google.com/spreadsheets/d/1MeEWN-I1oV_STSDYn1IFDPWt_1FKiwhDph83XaGc0o0/edit?usp=sharing"",""งบพรบ!DD15"")"),30700)</f>
        <v>30700</v>
      </c>
      <c r="I15" s="77">
        <f ca="1">IFERROR(__xludf.DUMMYFUNCTION("IMPORTRANGE(""https://docs.google.com/spreadsheets/d/1MeEWN-I1oV_STSDYn1IFDPWt_1FKiwhDph83XaGc0o0/edit?usp=sharing"",""งบพรบ!DE15"")"),0)</f>
        <v>0</v>
      </c>
      <c r="J15" s="77">
        <f t="shared" ca="1" si="3"/>
        <v>30700</v>
      </c>
      <c r="K15" s="78">
        <f t="shared" ca="1" si="4"/>
        <v>100</v>
      </c>
      <c r="L15" s="77">
        <f ca="1">IFERROR(__xludf.DUMMYFUNCTION("IMPORTRANGE(""https://docs.google.com/spreadsheets/d/1MeEWN-I1oV_STSDYn1IFDPWt_1FKiwhDph83XaGc0o0/edit?usp=sharing"",""งบพรบ!DF15"")"),30700)</f>
        <v>30700</v>
      </c>
      <c r="M15" s="79">
        <f t="shared" ca="1" si="5"/>
        <v>100</v>
      </c>
      <c r="N15" s="79">
        <f t="shared" ca="1" si="6"/>
        <v>100</v>
      </c>
      <c r="O15" s="80">
        <f ca="1">IFERROR(__xludf.DUMMYFUNCTION("IMPORTRANGE(""https://docs.google.com/spreadsheets/d/1MeEWN-I1oV_STSDYn1IFDPWt_1FKiwhDph83XaGc0o0/edit?usp=sharing"",""งบพรบ!DG15"")"),0)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IFERROR(__xludf.DUMMYFUNCTION("IMPORTRANGE(""https://docs.google.com/spreadsheets/d/1ZNYWeiFoFA1K1U4xKWqRX29MBvEyRHXORjo734Gnq_c/edit?usp=sharing"",""เชียงราย!I271"")"),26)</f>
        <v>26</v>
      </c>
      <c r="S15" s="81">
        <f ca="1">IFERROR(__xludf.DUMMYFUNCTION("IMPORTRANGE(""https://docs.google.com/spreadsheets/d/1ZNYWeiFoFA1K1U4xKWqRX29MBvEyRHXORjo734Gnq_c/edit?usp=sharing"",""เชียงราย!J271"")"),26)</f>
        <v>26</v>
      </c>
      <c r="T15" s="82">
        <f t="shared" ca="1" si="16"/>
        <v>100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30700</v>
      </c>
      <c r="D16" s="76">
        <f t="shared" ca="1" si="20"/>
        <v>30700</v>
      </c>
      <c r="E16" s="77">
        <f ca="1">IFERROR(__xludf.DUMMYFUNCTION("IMPORTRANGE(""https://docs.google.com/spreadsheets/d/1MeEWN-I1oV_STSDYn1IFDPWt_1FKiwhDph83XaGc0o0/edit?usp=sharing"",""งบพรบ!CZ16"")"),0)</f>
        <v>0</v>
      </c>
      <c r="F16" s="77">
        <f ca="1">IFERROR(__xludf.DUMMYFUNCTION("IMPORTRANGE(""https://docs.google.com/spreadsheets/d/1MeEWN-I1oV_STSDYn1IFDPWt_1FKiwhDph83XaGc0o0/edit?usp=sharing"",""งบพรบ!DA16"")"),30700)</f>
        <v>30700</v>
      </c>
      <c r="G16" s="77">
        <f ca="1">IFERROR(__xludf.DUMMYFUNCTION("IMPORTRANGE(""https://docs.google.com/spreadsheets/d/1MeEWN-I1oV_STSDYn1IFDPWt_1FKiwhDph83XaGc0o0/edit?usp=sharing"",""งบพรบ!DB16"")"),0)</f>
        <v>0</v>
      </c>
      <c r="H16" s="77">
        <f ca="1">IFERROR(__xludf.DUMMYFUNCTION("IMPORTRANGE(""https://docs.google.com/spreadsheets/d/1MeEWN-I1oV_STSDYn1IFDPWt_1FKiwhDph83XaGc0o0/edit?usp=sharing"",""งบพรบ!DD16"")"),30700)</f>
        <v>30700</v>
      </c>
      <c r="I16" s="77">
        <f ca="1">IFERROR(__xludf.DUMMYFUNCTION("IMPORTRANGE(""https://docs.google.com/spreadsheets/d/1MeEWN-I1oV_STSDYn1IFDPWt_1FKiwhDph83XaGc0o0/edit?usp=sharing"",""งบพรบ!DE16"")"),0)</f>
        <v>0</v>
      </c>
      <c r="J16" s="77">
        <f t="shared" ca="1" si="3"/>
        <v>27700</v>
      </c>
      <c r="K16" s="78">
        <f t="shared" ca="1" si="4"/>
        <v>90.22801302931596</v>
      </c>
      <c r="L16" s="77">
        <f ca="1">IFERROR(__xludf.DUMMYFUNCTION("IMPORTRANGE(""https://docs.google.com/spreadsheets/d/1MeEWN-I1oV_STSDYn1IFDPWt_1FKiwhDph83XaGc0o0/edit?usp=sharing"",""งบพรบ!DF16"")"),27700)</f>
        <v>27700</v>
      </c>
      <c r="M16" s="79">
        <f t="shared" ca="1" si="5"/>
        <v>90.22801302931596</v>
      </c>
      <c r="N16" s="79">
        <f t="shared" ca="1" si="6"/>
        <v>90.22801302931596</v>
      </c>
      <c r="O16" s="80">
        <f ca="1">IFERROR(__xludf.DUMMYFUNCTION("IMPORTRANGE(""https://docs.google.com/spreadsheets/d/1MeEWN-I1oV_STSDYn1IFDPWt_1FKiwhDph83XaGc0o0/edit?usp=sharing"",""งบพรบ!DG16"")"),0)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IFERROR(__xludf.DUMMYFUNCTION("IMPORTRANGE(""https://docs.google.com/spreadsheets/d/1Jgv0Y7YlHDtsiDawwp-uvifEJ8HVaSn0k2aGHG8-hwM/edit?usp=sharing"",""เชียงใหม่!I271"")"),26)</f>
        <v>26</v>
      </c>
      <c r="S16" s="81">
        <f ca="1">IFERROR(__xludf.DUMMYFUNCTION("IMPORTRANGE(""https://docs.google.com/spreadsheets/d/1Jgv0Y7YlHDtsiDawwp-uvifEJ8HVaSn0k2aGHG8-hwM/edit?usp=sharing"",""เชียงใหม่!J271"")"),26)</f>
        <v>26</v>
      </c>
      <c r="T16" s="82">
        <f t="shared" ca="1" si="16"/>
        <v>100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26900</v>
      </c>
      <c r="D17" s="76">
        <f t="shared" ca="1" si="20"/>
        <v>26900</v>
      </c>
      <c r="E17" s="77">
        <f ca="1">IFERROR(__xludf.DUMMYFUNCTION("IMPORTRANGE(""https://docs.google.com/spreadsheets/d/1MeEWN-I1oV_STSDYn1IFDPWt_1FKiwhDph83XaGc0o0/edit?usp=sharing"",""งบพรบ!CZ17"")"),0)</f>
        <v>0</v>
      </c>
      <c r="F17" s="77">
        <f ca="1">IFERROR(__xludf.DUMMYFUNCTION("IMPORTRANGE(""https://docs.google.com/spreadsheets/d/1MeEWN-I1oV_STSDYn1IFDPWt_1FKiwhDph83XaGc0o0/edit?usp=sharing"",""งบพรบ!DA17"")"),26900)</f>
        <v>26900</v>
      </c>
      <c r="G17" s="77">
        <f ca="1">IFERROR(__xludf.DUMMYFUNCTION("IMPORTRANGE(""https://docs.google.com/spreadsheets/d/1MeEWN-I1oV_STSDYn1IFDPWt_1FKiwhDph83XaGc0o0/edit?usp=sharing"",""งบพรบ!DB17"")"),0)</f>
        <v>0</v>
      </c>
      <c r="H17" s="77">
        <f ca="1">IFERROR(__xludf.DUMMYFUNCTION("IMPORTRANGE(""https://docs.google.com/spreadsheets/d/1MeEWN-I1oV_STSDYn1IFDPWt_1FKiwhDph83XaGc0o0/edit?usp=sharing"",""งบพรบ!DD17"")"),26900)</f>
        <v>26900</v>
      </c>
      <c r="I17" s="77">
        <f ca="1">IFERROR(__xludf.DUMMYFUNCTION("IMPORTRANGE(""https://docs.google.com/spreadsheets/d/1MeEWN-I1oV_STSDYn1IFDPWt_1FKiwhDph83XaGc0o0/edit?usp=sharing"",""งบพรบ!DE17"")"),0)</f>
        <v>0</v>
      </c>
      <c r="J17" s="77">
        <f t="shared" ca="1" si="3"/>
        <v>26420</v>
      </c>
      <c r="K17" s="78">
        <f t="shared" ca="1" si="4"/>
        <v>98.215613382899633</v>
      </c>
      <c r="L17" s="77">
        <f ca="1">IFERROR(__xludf.DUMMYFUNCTION("IMPORTRANGE(""https://docs.google.com/spreadsheets/d/1MeEWN-I1oV_STSDYn1IFDPWt_1FKiwhDph83XaGc0o0/edit?usp=sharing"",""งบพรบ!DF17"")"),26420)</f>
        <v>26420</v>
      </c>
      <c r="M17" s="79">
        <f t="shared" ca="1" si="5"/>
        <v>98.215613382899633</v>
      </c>
      <c r="N17" s="79">
        <f t="shared" ca="1" si="6"/>
        <v>98.215613382899633</v>
      </c>
      <c r="O17" s="80">
        <f ca="1">IFERROR(__xludf.DUMMYFUNCTION("IMPORTRANGE(""https://docs.google.com/spreadsheets/d/1MeEWN-I1oV_STSDYn1IFDPWt_1FKiwhDph83XaGc0o0/edit?usp=sharing"",""งบพรบ!DG17"")"),0)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IFERROR(__xludf.DUMMYFUNCTION("IMPORTRANGE(""https://docs.google.com/spreadsheets/d/1JWG2rZePOz9pe-f-ObA-yDr0VoOX2kSb0qIix2mTUo8/edit?usp=sharing"",""ตาก!I271"")"),22)</f>
        <v>22</v>
      </c>
      <c r="S17" s="81">
        <f ca="1">IFERROR(__xludf.DUMMYFUNCTION("IMPORTRANGE(""https://docs.google.com/spreadsheets/d/1JWG2rZePOz9pe-f-ObA-yDr0VoOX2kSb0qIix2mTUo8/edit?usp=sharing"",""ตาก!J271"")"),22)</f>
        <v>22</v>
      </c>
      <c r="T17" s="82">
        <f t="shared" ca="1" si="16"/>
        <v>100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26900</v>
      </c>
      <c r="D18" s="76">
        <f t="shared" ca="1" si="20"/>
        <v>26900</v>
      </c>
      <c r="E18" s="77">
        <f ca="1">IFERROR(__xludf.DUMMYFUNCTION("IMPORTRANGE(""https://docs.google.com/spreadsheets/d/1MeEWN-I1oV_STSDYn1IFDPWt_1FKiwhDph83XaGc0o0/edit?usp=sharing"",""งบพรบ!CZ18"")"),0)</f>
        <v>0</v>
      </c>
      <c r="F18" s="77">
        <f ca="1">IFERROR(__xludf.DUMMYFUNCTION("IMPORTRANGE(""https://docs.google.com/spreadsheets/d/1MeEWN-I1oV_STSDYn1IFDPWt_1FKiwhDph83XaGc0o0/edit?usp=sharing"",""งบพรบ!DA18"")"),26900)</f>
        <v>26900</v>
      </c>
      <c r="G18" s="77">
        <f ca="1">IFERROR(__xludf.DUMMYFUNCTION("IMPORTRANGE(""https://docs.google.com/spreadsheets/d/1MeEWN-I1oV_STSDYn1IFDPWt_1FKiwhDph83XaGc0o0/edit?usp=sharing"",""งบพรบ!DB18"")"),0)</f>
        <v>0</v>
      </c>
      <c r="H18" s="77">
        <f ca="1">IFERROR(__xludf.DUMMYFUNCTION("IMPORTRANGE(""https://docs.google.com/spreadsheets/d/1MeEWN-I1oV_STSDYn1IFDPWt_1FKiwhDph83XaGc0o0/edit?usp=sharing"",""งบพรบ!DD18"")"),26900)</f>
        <v>26900</v>
      </c>
      <c r="I18" s="77">
        <f ca="1">IFERROR(__xludf.DUMMYFUNCTION("IMPORTRANGE(""https://docs.google.com/spreadsheets/d/1MeEWN-I1oV_STSDYn1IFDPWt_1FKiwhDph83XaGc0o0/edit?usp=sharing"",""งบพรบ!DE18"")"),0)</f>
        <v>0</v>
      </c>
      <c r="J18" s="77">
        <f t="shared" ca="1" si="3"/>
        <v>21780</v>
      </c>
      <c r="K18" s="78">
        <f t="shared" ca="1" si="4"/>
        <v>80.966542750929364</v>
      </c>
      <c r="L18" s="77">
        <f ca="1">IFERROR(__xludf.DUMMYFUNCTION("IMPORTRANGE(""https://docs.google.com/spreadsheets/d/1MeEWN-I1oV_STSDYn1IFDPWt_1FKiwhDph83XaGc0o0/edit?usp=sharing"",""งบพรบ!DF18"")"),21780)</f>
        <v>21780</v>
      </c>
      <c r="M18" s="79">
        <f t="shared" ca="1" si="5"/>
        <v>80.966542750929364</v>
      </c>
      <c r="N18" s="79">
        <f t="shared" ca="1" si="6"/>
        <v>80.966542750929364</v>
      </c>
      <c r="O18" s="80">
        <f ca="1">IFERROR(__xludf.DUMMYFUNCTION("IMPORTRANGE(""https://docs.google.com/spreadsheets/d/1MeEWN-I1oV_STSDYn1IFDPWt_1FKiwhDph83XaGc0o0/edit?usp=sharing"",""งบพรบ!DG18"")"),0)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IFERROR(__xludf.DUMMYFUNCTION("IMPORTRANGE(""https://docs.google.com/spreadsheets/d/10nSRjK08hx8Y6HgSOQKNw81lyY46Zc7U_Cj72hBMp9U/edit?usp=sharing"",""นครสวรรค์!I271"")"),22)</f>
        <v>22</v>
      </c>
      <c r="S18" s="81">
        <f ca="1">IFERROR(__xludf.DUMMYFUNCTION("IMPORTRANGE(""https://docs.google.com/spreadsheets/d/10nSRjK08hx8Y6HgSOQKNw81lyY46Zc7U_Cj72hBMp9U/edit?usp=sharing"",""นครสวรรค์!J271"")"),22)</f>
        <v>22</v>
      </c>
      <c r="T18" s="82">
        <f t="shared" ca="1" si="16"/>
        <v>100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26900</v>
      </c>
      <c r="D19" s="76">
        <f t="shared" ca="1" si="20"/>
        <v>26900</v>
      </c>
      <c r="E19" s="77">
        <f ca="1">IFERROR(__xludf.DUMMYFUNCTION("IMPORTRANGE(""https://docs.google.com/spreadsheets/d/1MeEWN-I1oV_STSDYn1IFDPWt_1FKiwhDph83XaGc0o0/edit?usp=sharing"",""งบพรบ!CZ19"")"),0)</f>
        <v>0</v>
      </c>
      <c r="F19" s="77">
        <f ca="1">IFERROR(__xludf.DUMMYFUNCTION("IMPORTRANGE(""https://docs.google.com/spreadsheets/d/1MeEWN-I1oV_STSDYn1IFDPWt_1FKiwhDph83XaGc0o0/edit?usp=sharing"",""งบพรบ!DA19"")"),26900)</f>
        <v>26900</v>
      </c>
      <c r="G19" s="77">
        <f ca="1">IFERROR(__xludf.DUMMYFUNCTION("IMPORTRANGE(""https://docs.google.com/spreadsheets/d/1MeEWN-I1oV_STSDYn1IFDPWt_1FKiwhDph83XaGc0o0/edit?usp=sharing"",""งบพรบ!DB19"")"),0)</f>
        <v>0</v>
      </c>
      <c r="H19" s="77">
        <f ca="1">IFERROR(__xludf.DUMMYFUNCTION("IMPORTRANGE(""https://docs.google.com/spreadsheets/d/1MeEWN-I1oV_STSDYn1IFDPWt_1FKiwhDph83XaGc0o0/edit?usp=sharing"",""งบพรบ!DD19"")"),26900)</f>
        <v>26900</v>
      </c>
      <c r="I19" s="77">
        <f ca="1">IFERROR(__xludf.DUMMYFUNCTION("IMPORTRANGE(""https://docs.google.com/spreadsheets/d/1MeEWN-I1oV_STSDYn1IFDPWt_1FKiwhDph83XaGc0o0/edit?usp=sharing"",""งบพรบ!DE19"")"),0)</f>
        <v>0</v>
      </c>
      <c r="J19" s="77">
        <f t="shared" ca="1" si="3"/>
        <v>23784</v>
      </c>
      <c r="K19" s="78">
        <f t="shared" ca="1" si="4"/>
        <v>88.416356877323423</v>
      </c>
      <c r="L19" s="77">
        <f ca="1">IFERROR(__xludf.DUMMYFUNCTION("IMPORTRANGE(""https://docs.google.com/spreadsheets/d/1MeEWN-I1oV_STSDYn1IFDPWt_1FKiwhDph83XaGc0o0/edit?usp=sharing"",""งบพรบ!DF19"")"),23784)</f>
        <v>23784</v>
      </c>
      <c r="M19" s="79">
        <f t="shared" ca="1" si="5"/>
        <v>88.416356877323423</v>
      </c>
      <c r="N19" s="79">
        <f t="shared" ca="1" si="6"/>
        <v>88.416356877323423</v>
      </c>
      <c r="O19" s="80">
        <f ca="1">IFERROR(__xludf.DUMMYFUNCTION("IMPORTRANGE(""https://docs.google.com/spreadsheets/d/1MeEWN-I1oV_STSDYn1IFDPWt_1FKiwhDph83XaGc0o0/edit?usp=sharing"",""งบพรบ!DG19"")"),0)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IFERROR(__xludf.DUMMYFUNCTION("IMPORTRANGE(""https://docs.google.com/spreadsheets/d/1gFVb7qd7amutrIxAAoM7lcy35hllxznovot8lyOfvDo/edit?usp=sharing"",""น่าน!I271"")"),22)</f>
        <v>22</v>
      </c>
      <c r="S19" s="81">
        <f ca="1">IFERROR(__xludf.DUMMYFUNCTION("IMPORTRANGE(""https://docs.google.com/spreadsheets/d/1gFVb7qd7amutrIxAAoM7lcy35hllxznovot8lyOfvDo/edit?usp=sharing"",""น่าน!J271"")"),22)</f>
        <v>22</v>
      </c>
      <c r="T19" s="82">
        <f t="shared" ca="1" si="16"/>
        <v>100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26900</v>
      </c>
      <c r="D20" s="76">
        <f t="shared" ca="1" si="20"/>
        <v>26900</v>
      </c>
      <c r="E20" s="77">
        <f ca="1">IFERROR(__xludf.DUMMYFUNCTION("IMPORTRANGE(""https://docs.google.com/spreadsheets/d/1MeEWN-I1oV_STSDYn1IFDPWt_1FKiwhDph83XaGc0o0/edit?usp=sharing"",""งบพรบ!CZ20"")"),0)</f>
        <v>0</v>
      </c>
      <c r="F20" s="77">
        <f ca="1">IFERROR(__xludf.DUMMYFUNCTION("IMPORTRANGE(""https://docs.google.com/spreadsheets/d/1MeEWN-I1oV_STSDYn1IFDPWt_1FKiwhDph83XaGc0o0/edit?usp=sharing"",""งบพรบ!DA20"")"),26900)</f>
        <v>26900</v>
      </c>
      <c r="G20" s="77">
        <f ca="1">IFERROR(__xludf.DUMMYFUNCTION("IMPORTRANGE(""https://docs.google.com/spreadsheets/d/1MeEWN-I1oV_STSDYn1IFDPWt_1FKiwhDph83XaGc0o0/edit?usp=sharing"",""งบพรบ!DB20"")"),0)</f>
        <v>0</v>
      </c>
      <c r="H20" s="77">
        <f ca="1">IFERROR(__xludf.DUMMYFUNCTION("IMPORTRANGE(""https://docs.google.com/spreadsheets/d/1MeEWN-I1oV_STSDYn1IFDPWt_1FKiwhDph83XaGc0o0/edit?usp=sharing"",""งบพรบ!DD20"")"),26900)</f>
        <v>26900</v>
      </c>
      <c r="I20" s="77">
        <f ca="1">IFERROR(__xludf.DUMMYFUNCTION("IMPORTRANGE(""https://docs.google.com/spreadsheets/d/1MeEWN-I1oV_STSDYn1IFDPWt_1FKiwhDph83XaGc0o0/edit?usp=sharing"",""งบพรบ!DE20"")"),0)</f>
        <v>0</v>
      </c>
      <c r="J20" s="77">
        <f t="shared" ca="1" si="3"/>
        <v>26900</v>
      </c>
      <c r="K20" s="78">
        <f t="shared" ca="1" si="4"/>
        <v>100</v>
      </c>
      <c r="L20" s="77">
        <f ca="1">IFERROR(__xludf.DUMMYFUNCTION("IMPORTRANGE(""https://docs.google.com/spreadsheets/d/1MeEWN-I1oV_STSDYn1IFDPWt_1FKiwhDph83XaGc0o0/edit?usp=sharing"",""งบพรบ!DF20"")"),26900)</f>
        <v>26900</v>
      </c>
      <c r="M20" s="79">
        <f t="shared" ca="1" si="5"/>
        <v>100</v>
      </c>
      <c r="N20" s="79">
        <f t="shared" ca="1" si="6"/>
        <v>100</v>
      </c>
      <c r="O20" s="80">
        <f ca="1">IFERROR(__xludf.DUMMYFUNCTION("IMPORTRANGE(""https://docs.google.com/spreadsheets/d/1MeEWN-I1oV_STSDYn1IFDPWt_1FKiwhDph83XaGc0o0/edit?usp=sharing"",""งบพรบ!DG20"")"),0)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IFERROR(__xludf.DUMMYFUNCTION("IMPORTRANGE(""https://docs.google.com/spreadsheets/d/1K0Aa9s-6EuHE5M0FG1F9aHLXRCOV917xvycTdLdct0w/edit?usp=sharing"",""พะเยา!I271"")"),22)</f>
        <v>22</v>
      </c>
      <c r="S20" s="81">
        <f ca="1">IFERROR(__xludf.DUMMYFUNCTION("IMPORTRANGE(""https://docs.google.com/spreadsheets/d/1K0Aa9s-6EuHE5M0FG1F9aHLXRCOV917xvycTdLdct0w/edit?usp=sharing"",""พะเยา!J271"")"),22)</f>
        <v>22</v>
      </c>
      <c r="T20" s="82">
        <f t="shared" ca="1" si="16"/>
        <v>100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312900</v>
      </c>
      <c r="D21" s="76">
        <f t="shared" ca="1" si="20"/>
        <v>312900</v>
      </c>
      <c r="E21" s="77">
        <f ca="1">IFERROR(__xludf.DUMMYFUNCTION("IMPORTRANGE(""https://docs.google.com/spreadsheets/d/1MeEWN-I1oV_STSDYn1IFDPWt_1FKiwhDph83XaGc0o0/edit?usp=sharing"",""งบพรบ!CZ21"")"),286000)</f>
        <v>286000</v>
      </c>
      <c r="F21" s="77">
        <f ca="1">IFERROR(__xludf.DUMMYFUNCTION("IMPORTRANGE(""https://docs.google.com/spreadsheets/d/1MeEWN-I1oV_STSDYn1IFDPWt_1FKiwhDph83XaGc0o0/edit?usp=sharing"",""งบพรบ!DA21"")"),26900)</f>
        <v>26900</v>
      </c>
      <c r="G21" s="77">
        <f ca="1">IFERROR(__xludf.DUMMYFUNCTION("IMPORTRANGE(""https://docs.google.com/spreadsheets/d/1MeEWN-I1oV_STSDYn1IFDPWt_1FKiwhDph83XaGc0o0/edit?usp=sharing"",""งบพรบ!DB21"")"),0)</f>
        <v>0</v>
      </c>
      <c r="H21" s="77">
        <f ca="1">IFERROR(__xludf.DUMMYFUNCTION("IMPORTRANGE(""https://docs.google.com/spreadsheets/d/1MeEWN-I1oV_STSDYn1IFDPWt_1FKiwhDph83XaGc0o0/edit?usp=sharing"",""งบพรบ!DD21"")"),312900)</f>
        <v>312900</v>
      </c>
      <c r="I21" s="77">
        <f ca="1">IFERROR(__xludf.DUMMYFUNCTION("IMPORTRANGE(""https://docs.google.com/spreadsheets/d/1MeEWN-I1oV_STSDYn1IFDPWt_1FKiwhDph83XaGc0o0/edit?usp=sharing"",""งบพรบ!DE21"")"),0)</f>
        <v>0</v>
      </c>
      <c r="J21" s="77">
        <f t="shared" ca="1" si="3"/>
        <v>286899.51</v>
      </c>
      <c r="K21" s="78">
        <f t="shared" ca="1" si="4"/>
        <v>91.690479386385434</v>
      </c>
      <c r="L21" s="77">
        <f ca="1">IFERROR(__xludf.DUMMYFUNCTION("IMPORTRANGE(""https://docs.google.com/spreadsheets/d/1MeEWN-I1oV_STSDYn1IFDPWt_1FKiwhDph83XaGc0o0/edit?usp=sharing"",""งบพรบ!DF21"")"),286899.51)</f>
        <v>286899.51</v>
      </c>
      <c r="M21" s="79">
        <f t="shared" ca="1" si="5"/>
        <v>91.690479386385434</v>
      </c>
      <c r="N21" s="79">
        <f t="shared" ca="1" si="6"/>
        <v>91.690479386385434</v>
      </c>
      <c r="O21" s="80">
        <f ca="1">IFERROR(__xludf.DUMMYFUNCTION("IMPORTRANGE(""https://docs.google.com/spreadsheets/d/1MeEWN-I1oV_STSDYn1IFDPWt_1FKiwhDph83XaGc0o0/edit?usp=sharing"",""งบพรบ!DG21"")"),0)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IFERROR(__xludf.DUMMYFUNCTION("IMPORTRANGE(""https://docs.google.com/spreadsheets/d/1Y9LPKx95PyL5OKy09d-KbKJSuuEZCFdkhYjwC0XQjBA/edit?usp=sharing"",""พิจิตร!I271"")"),22)</f>
        <v>22</v>
      </c>
      <c r="S21" s="81">
        <f ca="1">IFERROR(__xludf.DUMMYFUNCTION("IMPORTRANGE(""https://docs.google.com/spreadsheets/d/1Y9LPKx95PyL5OKy09d-KbKJSuuEZCFdkhYjwC0XQjBA/edit?usp=sharing"",""พิจิตร!J271"")"),22)</f>
        <v>22</v>
      </c>
      <c r="T21" s="82">
        <f t="shared" ca="1" si="16"/>
        <v>100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28800</v>
      </c>
      <c r="D22" s="76">
        <f t="shared" ca="1" si="20"/>
        <v>28800</v>
      </c>
      <c r="E22" s="77">
        <f ca="1">IFERROR(__xludf.DUMMYFUNCTION("IMPORTRANGE(""https://docs.google.com/spreadsheets/d/1MeEWN-I1oV_STSDYn1IFDPWt_1FKiwhDph83XaGc0o0/edit?usp=sharing"",""งบพรบ!CZ22"")"),0)</f>
        <v>0</v>
      </c>
      <c r="F22" s="77">
        <f ca="1">IFERROR(__xludf.DUMMYFUNCTION("IMPORTRANGE(""https://docs.google.com/spreadsheets/d/1MeEWN-I1oV_STSDYn1IFDPWt_1FKiwhDph83XaGc0o0/edit?usp=sharing"",""งบพรบ!DA22"")"),28800)</f>
        <v>28800</v>
      </c>
      <c r="G22" s="77">
        <f ca="1">IFERROR(__xludf.DUMMYFUNCTION("IMPORTRANGE(""https://docs.google.com/spreadsheets/d/1MeEWN-I1oV_STSDYn1IFDPWt_1FKiwhDph83XaGc0o0/edit?usp=sharing"",""งบพรบ!DB22"")"),0)</f>
        <v>0</v>
      </c>
      <c r="H22" s="77">
        <f ca="1">IFERROR(__xludf.DUMMYFUNCTION("IMPORTRANGE(""https://docs.google.com/spreadsheets/d/1MeEWN-I1oV_STSDYn1IFDPWt_1FKiwhDph83XaGc0o0/edit?usp=sharing"",""งบพรบ!DD22"")"),28800)</f>
        <v>28800</v>
      </c>
      <c r="I22" s="77">
        <f ca="1">IFERROR(__xludf.DUMMYFUNCTION("IMPORTRANGE(""https://docs.google.com/spreadsheets/d/1MeEWN-I1oV_STSDYn1IFDPWt_1FKiwhDph83XaGc0o0/edit?usp=sharing"",""งบพรบ!DE22"")"),0)</f>
        <v>0</v>
      </c>
      <c r="J22" s="77">
        <f t="shared" ca="1" si="3"/>
        <v>23850</v>
      </c>
      <c r="K22" s="78">
        <f t="shared" ca="1" si="4"/>
        <v>82.8125</v>
      </c>
      <c r="L22" s="77">
        <f ca="1">IFERROR(__xludf.DUMMYFUNCTION("IMPORTRANGE(""https://docs.google.com/spreadsheets/d/1MeEWN-I1oV_STSDYn1IFDPWt_1FKiwhDph83XaGc0o0/edit?usp=sharing"",""งบพรบ!DF22"")"),23850)</f>
        <v>23850</v>
      </c>
      <c r="M22" s="79">
        <f t="shared" ca="1" si="5"/>
        <v>82.8125</v>
      </c>
      <c r="N22" s="79">
        <f t="shared" ca="1" si="6"/>
        <v>82.8125</v>
      </c>
      <c r="O22" s="80">
        <f ca="1">IFERROR(__xludf.DUMMYFUNCTION("IMPORTRANGE(""https://docs.google.com/spreadsheets/d/1MeEWN-I1oV_STSDYn1IFDPWt_1FKiwhDph83XaGc0o0/edit?usp=sharing"",""งบพรบ!DG22"")"),0)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IFERROR(__xludf.DUMMYFUNCTION("IMPORTRANGE(""https://docs.google.com/spreadsheets/d/16OMuOwy2eVqZcYWOouQtTpa8X1L23h4660uVHc0C8os/edit?usp=sharing"",""พิษณุโลก!I271"")"),24)</f>
        <v>24</v>
      </c>
      <c r="S22" s="81">
        <f ca="1">IFERROR(__xludf.DUMMYFUNCTION("IMPORTRANGE(""https://docs.google.com/spreadsheets/d/16OMuOwy2eVqZcYWOouQtTpa8X1L23h4660uVHc0C8os/edit?usp=sharing"",""พิษณุโลก!J271"")"),24)</f>
        <v>24</v>
      </c>
      <c r="T22" s="82">
        <f t="shared" ca="1" si="16"/>
        <v>100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26900</v>
      </c>
      <c r="D23" s="76">
        <f t="shared" ca="1" si="20"/>
        <v>26900</v>
      </c>
      <c r="E23" s="77">
        <f ca="1">IFERROR(__xludf.DUMMYFUNCTION("IMPORTRANGE(""https://docs.google.com/spreadsheets/d/1MeEWN-I1oV_STSDYn1IFDPWt_1FKiwhDph83XaGc0o0/edit?usp=sharing"",""งบพรบ!CZ23"")"),0)</f>
        <v>0</v>
      </c>
      <c r="F23" s="77">
        <f ca="1">IFERROR(__xludf.DUMMYFUNCTION("IMPORTRANGE(""https://docs.google.com/spreadsheets/d/1MeEWN-I1oV_STSDYn1IFDPWt_1FKiwhDph83XaGc0o0/edit?usp=sharing"",""งบพรบ!DA23"")"),26900)</f>
        <v>26900</v>
      </c>
      <c r="G23" s="77">
        <f ca="1">IFERROR(__xludf.DUMMYFUNCTION("IMPORTRANGE(""https://docs.google.com/spreadsheets/d/1MeEWN-I1oV_STSDYn1IFDPWt_1FKiwhDph83XaGc0o0/edit?usp=sharing"",""งบพรบ!DB23"")"),0)</f>
        <v>0</v>
      </c>
      <c r="H23" s="77">
        <f ca="1">IFERROR(__xludf.DUMMYFUNCTION("IMPORTRANGE(""https://docs.google.com/spreadsheets/d/1MeEWN-I1oV_STSDYn1IFDPWt_1FKiwhDph83XaGc0o0/edit?usp=sharing"",""งบพรบ!DD23"")"),26900)</f>
        <v>26900</v>
      </c>
      <c r="I23" s="77">
        <f ca="1">IFERROR(__xludf.DUMMYFUNCTION("IMPORTRANGE(""https://docs.google.com/spreadsheets/d/1MeEWN-I1oV_STSDYn1IFDPWt_1FKiwhDph83XaGc0o0/edit?usp=sharing"",""งบพรบ!DE23"")"),0)</f>
        <v>0</v>
      </c>
      <c r="J23" s="77">
        <f t="shared" ca="1" si="3"/>
        <v>21012.5</v>
      </c>
      <c r="K23" s="78">
        <f t="shared" ca="1" si="4"/>
        <v>78.113382899628249</v>
      </c>
      <c r="L23" s="77">
        <f ca="1">IFERROR(__xludf.DUMMYFUNCTION("IMPORTRANGE(""https://docs.google.com/spreadsheets/d/1MeEWN-I1oV_STSDYn1IFDPWt_1FKiwhDph83XaGc0o0/edit?usp=sharing"",""งบพรบ!DF23"")"),21012.5)</f>
        <v>21012.5</v>
      </c>
      <c r="M23" s="79">
        <f t="shared" ca="1" si="5"/>
        <v>78.113382899628249</v>
      </c>
      <c r="N23" s="79">
        <f t="shared" ca="1" si="6"/>
        <v>78.113382899628249</v>
      </c>
      <c r="O23" s="80">
        <f ca="1">IFERROR(__xludf.DUMMYFUNCTION("IMPORTRANGE(""https://docs.google.com/spreadsheets/d/1MeEWN-I1oV_STSDYn1IFDPWt_1FKiwhDph83XaGc0o0/edit?usp=sharing"",""งบพรบ!DG23"")"),0)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IFERROR(__xludf.DUMMYFUNCTION("IMPORTRANGE(""https://docs.google.com/spreadsheets/d/1GfgTldLG6k77HXaMQzaafODklYuucJZQNs_GAPEfZyY/edit?usp=sharing"",""เพชรบูรณ์!I271"")"),22)</f>
        <v>22</v>
      </c>
      <c r="S23" s="81">
        <f ca="1">IFERROR(__xludf.DUMMYFUNCTION("IMPORTRANGE(""https://docs.google.com/spreadsheets/d/1GfgTldLG6k77HXaMQzaafODklYuucJZQNs_GAPEfZyY/edit?usp=sharing"",""เพชรบูรณ์!J271"")"),22)</f>
        <v>22</v>
      </c>
      <c r="T23" s="82">
        <f t="shared" ca="1" si="16"/>
        <v>100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26900</v>
      </c>
      <c r="D24" s="76">
        <f t="shared" ca="1" si="20"/>
        <v>26900</v>
      </c>
      <c r="E24" s="77">
        <f ca="1">IFERROR(__xludf.DUMMYFUNCTION("IMPORTRANGE(""https://docs.google.com/spreadsheets/d/1MeEWN-I1oV_STSDYn1IFDPWt_1FKiwhDph83XaGc0o0/edit?usp=sharing"",""งบพรบ!CZ24"")"),0)</f>
        <v>0</v>
      </c>
      <c r="F24" s="77">
        <f ca="1">IFERROR(__xludf.DUMMYFUNCTION("IMPORTRANGE(""https://docs.google.com/spreadsheets/d/1MeEWN-I1oV_STSDYn1IFDPWt_1FKiwhDph83XaGc0o0/edit?usp=sharing"",""งบพรบ!DA24"")"),26900)</f>
        <v>26900</v>
      </c>
      <c r="G24" s="77">
        <f ca="1">IFERROR(__xludf.DUMMYFUNCTION("IMPORTRANGE(""https://docs.google.com/spreadsheets/d/1MeEWN-I1oV_STSDYn1IFDPWt_1FKiwhDph83XaGc0o0/edit?usp=sharing"",""งบพรบ!DB24"")"),0)</f>
        <v>0</v>
      </c>
      <c r="H24" s="77">
        <f ca="1">IFERROR(__xludf.DUMMYFUNCTION("IMPORTRANGE(""https://docs.google.com/spreadsheets/d/1MeEWN-I1oV_STSDYn1IFDPWt_1FKiwhDph83XaGc0o0/edit?usp=sharing"",""งบพรบ!DD24"")"),26900)</f>
        <v>26900</v>
      </c>
      <c r="I24" s="77">
        <f ca="1">IFERROR(__xludf.DUMMYFUNCTION("IMPORTRANGE(""https://docs.google.com/spreadsheets/d/1MeEWN-I1oV_STSDYn1IFDPWt_1FKiwhDph83XaGc0o0/edit?usp=sharing"",""งบพรบ!DE24"")"),0)</f>
        <v>0</v>
      </c>
      <c r="J24" s="77">
        <f t="shared" ca="1" si="3"/>
        <v>23400</v>
      </c>
      <c r="K24" s="78">
        <f t="shared" ca="1" si="4"/>
        <v>86.988847583643121</v>
      </c>
      <c r="L24" s="77">
        <f ca="1">IFERROR(__xludf.DUMMYFUNCTION("IMPORTRANGE(""https://docs.google.com/spreadsheets/d/1MeEWN-I1oV_STSDYn1IFDPWt_1FKiwhDph83XaGc0o0/edit?usp=sharing"",""งบพรบ!DF24"")"),23400)</f>
        <v>23400</v>
      </c>
      <c r="M24" s="79">
        <f t="shared" ca="1" si="5"/>
        <v>86.988847583643121</v>
      </c>
      <c r="N24" s="79">
        <f t="shared" ca="1" si="6"/>
        <v>86.988847583643121</v>
      </c>
      <c r="O24" s="80">
        <f ca="1">IFERROR(__xludf.DUMMYFUNCTION("IMPORTRANGE(""https://docs.google.com/spreadsheets/d/1MeEWN-I1oV_STSDYn1IFDPWt_1FKiwhDph83XaGc0o0/edit?usp=sharing"",""งบพรบ!DG24"")"),0)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IFERROR(__xludf.DUMMYFUNCTION("IMPORTRANGE(""https://docs.google.com/spreadsheets/d/1gvTMYAnm7v1yG1BKWFtr0DnaTsq59oW9dwWvFgq6hs0/edit?usp=sharing"",""แพร่!I271"")"),22)</f>
        <v>22</v>
      </c>
      <c r="S24" s="81">
        <f ca="1">IFERROR(__xludf.DUMMYFUNCTION("IMPORTRANGE(""https://docs.google.com/spreadsheets/d/1gvTMYAnm7v1yG1BKWFtr0DnaTsq59oW9dwWvFgq6hs0/edit?usp=sharing"",""แพร่!J271"")"),24)</f>
        <v>24</v>
      </c>
      <c r="T24" s="82">
        <f t="shared" ca="1" si="16"/>
        <v>109.09090909090909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25000</v>
      </c>
      <c r="D25" s="76">
        <f t="shared" ca="1" si="20"/>
        <v>25000</v>
      </c>
      <c r="E25" s="77">
        <f ca="1">IFERROR(__xludf.DUMMYFUNCTION("IMPORTRANGE(""https://docs.google.com/spreadsheets/d/1MeEWN-I1oV_STSDYn1IFDPWt_1FKiwhDph83XaGc0o0/edit?usp=sharing"",""งบพรบ!CZ25"")"),0)</f>
        <v>0</v>
      </c>
      <c r="F25" s="77">
        <f ca="1">IFERROR(__xludf.DUMMYFUNCTION("IMPORTRANGE(""https://docs.google.com/spreadsheets/d/1MeEWN-I1oV_STSDYn1IFDPWt_1FKiwhDph83XaGc0o0/edit?usp=sharing"",""งบพรบ!DA25"")"),25000)</f>
        <v>25000</v>
      </c>
      <c r="G25" s="77">
        <f ca="1">IFERROR(__xludf.DUMMYFUNCTION("IMPORTRANGE(""https://docs.google.com/spreadsheets/d/1MeEWN-I1oV_STSDYn1IFDPWt_1FKiwhDph83XaGc0o0/edit?usp=sharing"",""งบพรบ!DB25"")"),0)</f>
        <v>0</v>
      </c>
      <c r="H25" s="77">
        <f ca="1">IFERROR(__xludf.DUMMYFUNCTION("IMPORTRANGE(""https://docs.google.com/spreadsheets/d/1MeEWN-I1oV_STSDYn1IFDPWt_1FKiwhDph83XaGc0o0/edit?usp=sharing"",""งบพรบ!DD25"")"),25000)</f>
        <v>25000</v>
      </c>
      <c r="I25" s="77">
        <f ca="1">IFERROR(__xludf.DUMMYFUNCTION("IMPORTRANGE(""https://docs.google.com/spreadsheets/d/1MeEWN-I1oV_STSDYn1IFDPWt_1FKiwhDph83XaGc0o0/edit?usp=sharing"",""งบพรบ!DE25"")"),0)</f>
        <v>0</v>
      </c>
      <c r="J25" s="77">
        <f t="shared" ca="1" si="3"/>
        <v>25000</v>
      </c>
      <c r="K25" s="78">
        <f t="shared" ca="1" si="4"/>
        <v>100</v>
      </c>
      <c r="L25" s="77">
        <f ca="1">IFERROR(__xludf.DUMMYFUNCTION("IMPORTRANGE(""https://docs.google.com/spreadsheets/d/1MeEWN-I1oV_STSDYn1IFDPWt_1FKiwhDph83XaGc0o0/edit?usp=sharing"",""งบพรบ!DF25"")"),25000)</f>
        <v>25000</v>
      </c>
      <c r="M25" s="79">
        <f t="shared" ca="1" si="5"/>
        <v>100</v>
      </c>
      <c r="N25" s="79">
        <f t="shared" ca="1" si="6"/>
        <v>100</v>
      </c>
      <c r="O25" s="80">
        <f ca="1">IFERROR(__xludf.DUMMYFUNCTION("IMPORTRANGE(""https://docs.google.com/spreadsheets/d/1MeEWN-I1oV_STSDYn1IFDPWt_1FKiwhDph83XaGc0o0/edit?usp=sharing"",""งบพรบ!DG25"")"),0)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IFERROR(__xludf.DUMMYFUNCTION("IMPORTRANGE(""https://docs.google.com/spreadsheets/d/1Wbcosgy-Xa1xXUArJSOenub6EfZHUSzc_bpJFWwQUf0/edit?usp=sharing"",""แม่ฮ่องสอน!I271"")"),20)</f>
        <v>20</v>
      </c>
      <c r="S25" s="81">
        <f ca="1">IFERROR(__xludf.DUMMYFUNCTION("IMPORTRANGE(""https://docs.google.com/spreadsheets/d/1Wbcosgy-Xa1xXUArJSOenub6EfZHUSzc_bpJFWwQUf0/edit?usp=sharing"",""แม่ฮ่องสอน!J271"")"),20)</f>
        <v>20</v>
      </c>
      <c r="T25" s="82">
        <f t="shared" ca="1" si="16"/>
        <v>100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34500</v>
      </c>
      <c r="D26" s="76">
        <f t="shared" ca="1" si="20"/>
        <v>34500</v>
      </c>
      <c r="E26" s="77">
        <f ca="1">IFERROR(__xludf.DUMMYFUNCTION("IMPORTRANGE(""https://docs.google.com/spreadsheets/d/1MeEWN-I1oV_STSDYn1IFDPWt_1FKiwhDph83XaGc0o0/edit?usp=sharing"",""งบพรบ!CZ26"")"),0)</f>
        <v>0</v>
      </c>
      <c r="F26" s="77">
        <f ca="1">IFERROR(__xludf.DUMMYFUNCTION("IMPORTRANGE(""https://docs.google.com/spreadsheets/d/1MeEWN-I1oV_STSDYn1IFDPWt_1FKiwhDph83XaGc0o0/edit?usp=sharing"",""งบพรบ!DA26"")"),34500)</f>
        <v>34500</v>
      </c>
      <c r="G26" s="77">
        <f ca="1">IFERROR(__xludf.DUMMYFUNCTION("IMPORTRANGE(""https://docs.google.com/spreadsheets/d/1MeEWN-I1oV_STSDYn1IFDPWt_1FKiwhDph83XaGc0o0/edit?usp=sharing"",""งบพรบ!DB26"")"),0)</f>
        <v>0</v>
      </c>
      <c r="H26" s="77">
        <f ca="1">IFERROR(__xludf.DUMMYFUNCTION("IMPORTRANGE(""https://docs.google.com/spreadsheets/d/1MeEWN-I1oV_STSDYn1IFDPWt_1FKiwhDph83XaGc0o0/edit?usp=sharing"",""งบพรบ!DD26"")"),34500)</f>
        <v>34500</v>
      </c>
      <c r="I26" s="77">
        <f ca="1">IFERROR(__xludf.DUMMYFUNCTION("IMPORTRANGE(""https://docs.google.com/spreadsheets/d/1MeEWN-I1oV_STSDYn1IFDPWt_1FKiwhDph83XaGc0o0/edit?usp=sharing"",""งบพรบ!DE26"")"),0)</f>
        <v>0</v>
      </c>
      <c r="J26" s="77">
        <f t="shared" ca="1" si="3"/>
        <v>31500</v>
      </c>
      <c r="K26" s="78">
        <f t="shared" ca="1" si="4"/>
        <v>91.304347826086953</v>
      </c>
      <c r="L26" s="77">
        <f ca="1">IFERROR(__xludf.DUMMYFUNCTION("IMPORTRANGE(""https://docs.google.com/spreadsheets/d/1MeEWN-I1oV_STSDYn1IFDPWt_1FKiwhDph83XaGc0o0/edit?usp=sharing"",""งบพรบ!DF26"")"),31500)</f>
        <v>31500</v>
      </c>
      <c r="M26" s="79">
        <f t="shared" ca="1" si="5"/>
        <v>91.304347826086953</v>
      </c>
      <c r="N26" s="79">
        <f t="shared" ca="1" si="6"/>
        <v>91.304347826086953</v>
      </c>
      <c r="O26" s="80">
        <f ca="1">IFERROR(__xludf.DUMMYFUNCTION("IMPORTRANGE(""https://docs.google.com/spreadsheets/d/1MeEWN-I1oV_STSDYn1IFDPWt_1FKiwhDph83XaGc0o0/edit?usp=sharing"",""งบพรบ!DG26"")"),0)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IFERROR(__xludf.DUMMYFUNCTION("IMPORTRANGE(""https://docs.google.com/spreadsheets/d/1p7ERhsr0qZeSn-KSOdeHS9r0heI-lHtkcn2OH7hP0jQ/edit?usp=sharing"",""ลำปาง!I271"")"),30)</f>
        <v>30</v>
      </c>
      <c r="S26" s="81">
        <f ca="1">IFERROR(__xludf.DUMMYFUNCTION("IMPORTRANGE(""https://docs.google.com/spreadsheets/d/1p7ERhsr0qZeSn-KSOdeHS9r0heI-lHtkcn2OH7hP0jQ/edit?usp=sharing"",""ลำปาง!J271"")"),30)</f>
        <v>30</v>
      </c>
      <c r="T26" s="82">
        <f t="shared" ca="1" si="16"/>
        <v>100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312900</v>
      </c>
      <c r="D27" s="76">
        <f t="shared" ca="1" si="20"/>
        <v>312900</v>
      </c>
      <c r="E27" s="77">
        <f ca="1">IFERROR(__xludf.DUMMYFUNCTION("IMPORTRANGE(""https://docs.google.com/spreadsheets/d/1MeEWN-I1oV_STSDYn1IFDPWt_1FKiwhDph83XaGc0o0/edit?usp=sharing"",""งบพรบ!CZ27"")"),286000)</f>
        <v>286000</v>
      </c>
      <c r="F27" s="77">
        <f ca="1">IFERROR(__xludf.DUMMYFUNCTION("IMPORTRANGE(""https://docs.google.com/spreadsheets/d/1MeEWN-I1oV_STSDYn1IFDPWt_1FKiwhDph83XaGc0o0/edit?usp=sharing"",""งบพรบ!DA27"")"),26900)</f>
        <v>26900</v>
      </c>
      <c r="G27" s="77">
        <f ca="1">IFERROR(__xludf.DUMMYFUNCTION("IMPORTRANGE(""https://docs.google.com/spreadsheets/d/1MeEWN-I1oV_STSDYn1IFDPWt_1FKiwhDph83XaGc0o0/edit?usp=sharing"",""งบพรบ!DB27"")"),0)</f>
        <v>0</v>
      </c>
      <c r="H27" s="77">
        <f ca="1">IFERROR(__xludf.DUMMYFUNCTION("IMPORTRANGE(""https://docs.google.com/spreadsheets/d/1MeEWN-I1oV_STSDYn1IFDPWt_1FKiwhDph83XaGc0o0/edit?usp=sharing"",""งบพรบ!DD27"")"),312900)</f>
        <v>312900</v>
      </c>
      <c r="I27" s="77">
        <f ca="1">IFERROR(__xludf.DUMMYFUNCTION("IMPORTRANGE(""https://docs.google.com/spreadsheets/d/1MeEWN-I1oV_STSDYn1IFDPWt_1FKiwhDph83XaGc0o0/edit?usp=sharing"",""งบพรบ!DE27"")"),0)</f>
        <v>0</v>
      </c>
      <c r="J27" s="77">
        <f t="shared" ca="1" si="3"/>
        <v>240627.07</v>
      </c>
      <c r="K27" s="78">
        <f t="shared" ca="1" si="4"/>
        <v>76.902227548737613</v>
      </c>
      <c r="L27" s="77">
        <f ca="1">IFERROR(__xludf.DUMMYFUNCTION("IMPORTRANGE(""https://docs.google.com/spreadsheets/d/1MeEWN-I1oV_STSDYn1IFDPWt_1FKiwhDph83XaGc0o0/edit?usp=sharing"",""งบพรบ!DF27"")"),240627.07)</f>
        <v>240627.07</v>
      </c>
      <c r="M27" s="79">
        <f t="shared" ca="1" si="5"/>
        <v>76.902227548737613</v>
      </c>
      <c r="N27" s="79">
        <f t="shared" ca="1" si="6"/>
        <v>76.902227548737613</v>
      </c>
      <c r="O27" s="80">
        <f ca="1">IFERROR(__xludf.DUMMYFUNCTION("IMPORTRANGE(""https://docs.google.com/spreadsheets/d/1MeEWN-I1oV_STSDYn1IFDPWt_1FKiwhDph83XaGc0o0/edit?usp=sharing"",""งบพรบ!DG27"")"),0)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IFERROR(__xludf.DUMMYFUNCTION("IMPORTRANGE(""https://docs.google.com/spreadsheets/d/1-uUXvimVhiU2U0bMN-xi2te0tS4X7DI2GLPnMjzl8cA/edit?usp=sharing"",""ลำพูน!I271"")"),22)</f>
        <v>22</v>
      </c>
      <c r="S27" s="81">
        <f ca="1">IFERROR(__xludf.DUMMYFUNCTION("IMPORTRANGE(""https://docs.google.com/spreadsheets/d/1-uUXvimVhiU2U0bMN-xi2te0tS4X7DI2GLPnMjzl8cA/edit?usp=sharing"",""ลำพูน!J271"")"),22)</f>
        <v>22</v>
      </c>
      <c r="T27" s="82">
        <f t="shared" ca="1" si="16"/>
        <v>100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30700</v>
      </c>
      <c r="D28" s="76">
        <f t="shared" ca="1" si="20"/>
        <v>30700</v>
      </c>
      <c r="E28" s="77">
        <f ca="1">IFERROR(__xludf.DUMMYFUNCTION("IMPORTRANGE(""https://docs.google.com/spreadsheets/d/1MeEWN-I1oV_STSDYn1IFDPWt_1FKiwhDph83XaGc0o0/edit?usp=sharing"",""งบพรบ!CZ28"")"),0)</f>
        <v>0</v>
      </c>
      <c r="F28" s="77">
        <f ca="1">IFERROR(__xludf.DUMMYFUNCTION("IMPORTRANGE(""https://docs.google.com/spreadsheets/d/1MeEWN-I1oV_STSDYn1IFDPWt_1FKiwhDph83XaGc0o0/edit?usp=sharing"",""งบพรบ!DA28"")"),30700)</f>
        <v>30700</v>
      </c>
      <c r="G28" s="77">
        <f ca="1">IFERROR(__xludf.DUMMYFUNCTION("IMPORTRANGE(""https://docs.google.com/spreadsheets/d/1MeEWN-I1oV_STSDYn1IFDPWt_1FKiwhDph83XaGc0o0/edit?usp=sharing"",""งบพรบ!DB28"")"),0)</f>
        <v>0</v>
      </c>
      <c r="H28" s="77">
        <f ca="1">IFERROR(__xludf.DUMMYFUNCTION("IMPORTRANGE(""https://docs.google.com/spreadsheets/d/1MeEWN-I1oV_STSDYn1IFDPWt_1FKiwhDph83XaGc0o0/edit?usp=sharing"",""งบพรบ!DD28"")"),30700)</f>
        <v>30700</v>
      </c>
      <c r="I28" s="77">
        <f ca="1">IFERROR(__xludf.DUMMYFUNCTION("IMPORTRANGE(""https://docs.google.com/spreadsheets/d/1MeEWN-I1oV_STSDYn1IFDPWt_1FKiwhDph83XaGc0o0/edit?usp=sharing"",""งบพรบ!DE28"")"),0)</f>
        <v>0</v>
      </c>
      <c r="J28" s="77">
        <f t="shared" ca="1" si="3"/>
        <v>28170</v>
      </c>
      <c r="K28" s="78">
        <f t="shared" ca="1" si="4"/>
        <v>91.758957654723133</v>
      </c>
      <c r="L28" s="77">
        <f ca="1">IFERROR(__xludf.DUMMYFUNCTION("IMPORTRANGE(""https://docs.google.com/spreadsheets/d/1MeEWN-I1oV_STSDYn1IFDPWt_1FKiwhDph83XaGc0o0/edit?usp=sharing"",""งบพรบ!DF28"")"),28170)</f>
        <v>28170</v>
      </c>
      <c r="M28" s="79">
        <f t="shared" ca="1" si="5"/>
        <v>91.758957654723133</v>
      </c>
      <c r="N28" s="79">
        <f t="shared" ca="1" si="6"/>
        <v>91.758957654723133</v>
      </c>
      <c r="O28" s="80">
        <f ca="1">IFERROR(__xludf.DUMMYFUNCTION("IMPORTRANGE(""https://docs.google.com/spreadsheets/d/1MeEWN-I1oV_STSDYn1IFDPWt_1FKiwhDph83XaGc0o0/edit?usp=sharing"",""งบพรบ!DG28"")"),0)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IFERROR(__xludf.DUMMYFUNCTION("IMPORTRANGE(""https://docs.google.com/spreadsheets/d/17HrOaa5pBUI1onckFfumXB8xlg35qb2uBAFfF1D-Myo/edit?usp=sharing"",""สุโขทัย!I271"")"),26)</f>
        <v>26</v>
      </c>
      <c r="S28" s="81">
        <f ca="1">IFERROR(__xludf.DUMMYFUNCTION("IMPORTRANGE(""https://docs.google.com/spreadsheets/d/17HrOaa5pBUI1onckFfumXB8xlg35qb2uBAFfF1D-Myo/edit?usp=sharing"",""สุโขทัย!J271"")"),26)</f>
        <v>26</v>
      </c>
      <c r="T28" s="82">
        <f t="shared" ca="1" si="16"/>
        <v>100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169900</v>
      </c>
      <c r="D29" s="76">
        <f t="shared" ca="1" si="20"/>
        <v>169900</v>
      </c>
      <c r="E29" s="77">
        <f ca="1">IFERROR(__xludf.DUMMYFUNCTION("IMPORTRANGE(""https://docs.google.com/spreadsheets/d/1MeEWN-I1oV_STSDYn1IFDPWt_1FKiwhDph83XaGc0o0/edit?usp=sharing"",""งบพรบ!CZ29"")"),143000)</f>
        <v>143000</v>
      </c>
      <c r="F29" s="77">
        <f ca="1">IFERROR(__xludf.DUMMYFUNCTION("IMPORTRANGE(""https://docs.google.com/spreadsheets/d/1MeEWN-I1oV_STSDYn1IFDPWt_1FKiwhDph83XaGc0o0/edit?usp=sharing"",""งบพรบ!DA29"")"),26900)</f>
        <v>26900</v>
      </c>
      <c r="G29" s="77">
        <f ca="1">IFERROR(__xludf.DUMMYFUNCTION("IMPORTRANGE(""https://docs.google.com/spreadsheets/d/1MeEWN-I1oV_STSDYn1IFDPWt_1FKiwhDph83XaGc0o0/edit?usp=sharing"",""งบพรบ!DB29"")"),0)</f>
        <v>0</v>
      </c>
      <c r="H29" s="77">
        <f ca="1">IFERROR(__xludf.DUMMYFUNCTION("IMPORTRANGE(""https://docs.google.com/spreadsheets/d/1MeEWN-I1oV_STSDYn1IFDPWt_1FKiwhDph83XaGc0o0/edit?usp=sharing"",""งบพรบ!DD29"")"),169900)</f>
        <v>169900</v>
      </c>
      <c r="I29" s="77">
        <f ca="1">IFERROR(__xludf.DUMMYFUNCTION("IMPORTRANGE(""https://docs.google.com/spreadsheets/d/1MeEWN-I1oV_STSDYn1IFDPWt_1FKiwhDph83XaGc0o0/edit?usp=sharing"",""งบพรบ!DE29"")"),0)</f>
        <v>0</v>
      </c>
      <c r="J29" s="77">
        <f t="shared" ca="1" si="3"/>
        <v>152665</v>
      </c>
      <c r="K29" s="78">
        <f t="shared" ca="1" si="4"/>
        <v>89.85579752795762</v>
      </c>
      <c r="L29" s="77">
        <f ca="1">IFERROR(__xludf.DUMMYFUNCTION("IMPORTRANGE(""https://docs.google.com/spreadsheets/d/1MeEWN-I1oV_STSDYn1IFDPWt_1FKiwhDph83XaGc0o0/edit?usp=sharing"",""งบพรบ!DF29"")"),152665)</f>
        <v>152665</v>
      </c>
      <c r="M29" s="79">
        <f t="shared" ca="1" si="5"/>
        <v>89.85579752795762</v>
      </c>
      <c r="N29" s="79">
        <f t="shared" ca="1" si="6"/>
        <v>89.85579752795762</v>
      </c>
      <c r="O29" s="80">
        <f ca="1">IFERROR(__xludf.DUMMYFUNCTION("IMPORTRANGE(""https://docs.google.com/spreadsheets/d/1MeEWN-I1oV_STSDYn1IFDPWt_1FKiwhDph83XaGc0o0/edit?usp=sharing"",""งบพรบ!DG29"")"),0)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IFERROR(__xludf.DUMMYFUNCTION("IMPORTRANGE(""https://docs.google.com/spreadsheets/d/1ubs5cl16eYL9gHbdHTJtmtYb9MGzHBs7CAphn8kNCgM/edit?usp=sharing"",""อุตรดิตถ์!I271"")"),22)</f>
        <v>22</v>
      </c>
      <c r="S29" s="81">
        <f ca="1">IFERROR(__xludf.DUMMYFUNCTION("IMPORTRANGE(""https://docs.google.com/spreadsheets/d/1ubs5cl16eYL9gHbdHTJtmtYb9MGzHBs7CAphn8kNCgM/edit?usp=sharing"",""อุตรดิตถ์!J271"")"),22)</f>
        <v>22</v>
      </c>
      <c r="T29" s="82">
        <f t="shared" ca="1" si="16"/>
        <v>100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28800</v>
      </c>
      <c r="D30" s="87">
        <f t="shared" ca="1" si="20"/>
        <v>28800</v>
      </c>
      <c r="E30" s="88">
        <f ca="1">IFERROR(__xludf.DUMMYFUNCTION("IMPORTRANGE(""https://docs.google.com/spreadsheets/d/1MeEWN-I1oV_STSDYn1IFDPWt_1FKiwhDph83XaGc0o0/edit?usp=sharing"",""งบพรบ!CZ30"")"),0)</f>
        <v>0</v>
      </c>
      <c r="F30" s="88">
        <f ca="1">IFERROR(__xludf.DUMMYFUNCTION("IMPORTRANGE(""https://docs.google.com/spreadsheets/d/1MeEWN-I1oV_STSDYn1IFDPWt_1FKiwhDph83XaGc0o0/edit?usp=sharing"",""งบพรบ!DA30"")"),28800)</f>
        <v>28800</v>
      </c>
      <c r="G30" s="88">
        <f ca="1">IFERROR(__xludf.DUMMYFUNCTION("IMPORTRANGE(""https://docs.google.com/spreadsheets/d/1MeEWN-I1oV_STSDYn1IFDPWt_1FKiwhDph83XaGc0o0/edit?usp=sharing"",""งบพรบ!DB30"")"),0)</f>
        <v>0</v>
      </c>
      <c r="H30" s="88">
        <f ca="1">IFERROR(__xludf.DUMMYFUNCTION("IMPORTRANGE(""https://docs.google.com/spreadsheets/d/1MeEWN-I1oV_STSDYn1IFDPWt_1FKiwhDph83XaGc0o0/edit?usp=sharing"",""งบพรบ!DD30"")"),28800)</f>
        <v>28800</v>
      </c>
      <c r="I30" s="88">
        <f ca="1">IFERROR(__xludf.DUMMYFUNCTION("IMPORTRANGE(""https://docs.google.com/spreadsheets/d/1MeEWN-I1oV_STSDYn1IFDPWt_1FKiwhDph83XaGc0o0/edit?usp=sharing"",""งบพรบ!DE30"")"),0)</f>
        <v>0</v>
      </c>
      <c r="J30" s="88">
        <f t="shared" ca="1" si="3"/>
        <v>23525</v>
      </c>
      <c r="K30" s="89">
        <f t="shared" ca="1" si="4"/>
        <v>81.684027777777771</v>
      </c>
      <c r="L30" s="88">
        <f ca="1">IFERROR(__xludf.DUMMYFUNCTION("IMPORTRANGE(""https://docs.google.com/spreadsheets/d/1MeEWN-I1oV_STSDYn1IFDPWt_1FKiwhDph83XaGc0o0/edit?usp=sharing"",""งบพรบ!DF30"")"),23525)</f>
        <v>23525</v>
      </c>
      <c r="M30" s="90">
        <f t="shared" ca="1" si="5"/>
        <v>81.684027777777771</v>
      </c>
      <c r="N30" s="90">
        <f t="shared" ca="1" si="6"/>
        <v>81.684027777777771</v>
      </c>
      <c r="O30" s="91">
        <f ca="1">IFERROR(__xludf.DUMMYFUNCTION("IMPORTRANGE(""https://docs.google.com/spreadsheets/d/1MeEWN-I1oV_STSDYn1IFDPWt_1FKiwhDph83XaGc0o0/edit?usp=sharing"",""งบพรบ!DG30"")"),0)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IFERROR(__xludf.DUMMYFUNCTION("IMPORTRANGE(""https://docs.google.com/spreadsheets/d/1kII0BjS6CtVrBvI8IrytgPdxDrlyQDyigzMsohRtDMs/edit?usp=sharing"",""อุทัยธานี!I271"")"),24)</f>
        <v>24</v>
      </c>
      <c r="S30" s="92">
        <f ca="1">IFERROR(__xludf.DUMMYFUNCTION("IMPORTRANGE(""https://docs.google.com/spreadsheets/d/1kII0BjS6CtVrBvI8IrytgPdxDrlyQDyigzMsohRtDMs/edit?usp=sharing"",""อุทัยธานี!J271"")"),24)</f>
        <v>24</v>
      </c>
      <c r="T30" s="93">
        <f t="shared" ca="1" si="16"/>
        <v>100</v>
      </c>
    </row>
    <row r="31" spans="1:20" ht="21" customHeight="1" x14ac:dyDescent="0.2">
      <c r="A31" s="383" t="s">
        <v>53</v>
      </c>
      <c r="B31" s="384"/>
      <c r="C31" s="94">
        <f t="shared" ca="1" si="0"/>
        <v>844900</v>
      </c>
      <c r="D31" s="57">
        <f t="shared" ref="D31:I31" ca="1" si="21">SUM(D32:D51)</f>
        <v>844900</v>
      </c>
      <c r="E31" s="57">
        <f t="shared" ca="1" si="21"/>
        <v>286000</v>
      </c>
      <c r="F31" s="57">
        <f t="shared" ca="1" si="21"/>
        <v>558900</v>
      </c>
      <c r="G31" s="57">
        <f t="shared" ca="1" si="21"/>
        <v>0</v>
      </c>
      <c r="H31" s="57">
        <f t="shared" ca="1" si="21"/>
        <v>844900</v>
      </c>
      <c r="I31" s="57">
        <f t="shared" ca="1" si="21"/>
        <v>0</v>
      </c>
      <c r="J31" s="57">
        <f t="shared" ca="1" si="3"/>
        <v>784950.81</v>
      </c>
      <c r="K31" s="95">
        <f t="shared" ca="1" si="4"/>
        <v>92.904581607290808</v>
      </c>
      <c r="L31" s="57">
        <f ca="1">SUM(L32:L51)</f>
        <v>784950.81</v>
      </c>
      <c r="M31" s="96">
        <f t="shared" ca="1" si="5"/>
        <v>92.904581607290808</v>
      </c>
      <c r="N31" s="96">
        <f t="shared" ca="1" si="6"/>
        <v>92.904581607290808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462</v>
      </c>
      <c r="S31" s="57">
        <f t="shared" ca="1" si="22"/>
        <v>462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25000</v>
      </c>
      <c r="D32" s="66">
        <f t="shared" ref="D32:D51" ca="1" si="23">+E32+F32</f>
        <v>25000</v>
      </c>
      <c r="E32" s="67">
        <f ca="1">IFERROR(__xludf.DUMMYFUNCTION("IMPORTRANGE(""https://docs.google.com/spreadsheets/d/1MeEWN-I1oV_STSDYn1IFDPWt_1FKiwhDph83XaGc0o0/edit?usp=sharing"",""งบพรบ!CZ32"")"),0)</f>
        <v>0</v>
      </c>
      <c r="F32" s="67">
        <f ca="1">IFERROR(__xludf.DUMMYFUNCTION("IMPORTRANGE(""https://docs.google.com/spreadsheets/d/1MeEWN-I1oV_STSDYn1IFDPWt_1FKiwhDph83XaGc0o0/edit?usp=sharing"",""งบพรบ!DA32"")"),25000)</f>
        <v>25000</v>
      </c>
      <c r="G32" s="68">
        <f ca="1">IFERROR(__xludf.DUMMYFUNCTION("IMPORTRANGE(""https://docs.google.com/spreadsheets/d/1MeEWN-I1oV_STSDYn1IFDPWt_1FKiwhDph83XaGc0o0/edit?usp=sharing"",""งบพรบ!DB32"")"),0)</f>
        <v>0</v>
      </c>
      <c r="H32" s="68">
        <f ca="1">IFERROR(__xludf.DUMMYFUNCTION("IMPORTRANGE(""https://docs.google.com/spreadsheets/d/1MeEWN-I1oV_STSDYn1IFDPWt_1FKiwhDph83XaGc0o0/edit?usp=sharing"",""งบพรบ!DD32"")"),25000)</f>
        <v>25000</v>
      </c>
      <c r="I32" s="68">
        <f ca="1">IFERROR(__xludf.DUMMYFUNCTION("IMPORTRANGE(""https://docs.google.com/spreadsheets/d/1MeEWN-I1oV_STSDYn1IFDPWt_1FKiwhDph83XaGc0o0/edit?usp=sharing"",""งบพรบ!DE32"")"),0)</f>
        <v>0</v>
      </c>
      <c r="J32" s="68">
        <f t="shared" ca="1" si="3"/>
        <v>25000</v>
      </c>
      <c r="K32" s="69">
        <f t="shared" ca="1" si="4"/>
        <v>100</v>
      </c>
      <c r="L32" s="68">
        <f ca="1">IFERROR(__xludf.DUMMYFUNCTION("IMPORTRANGE(""https://docs.google.com/spreadsheets/d/1MeEWN-I1oV_STSDYn1IFDPWt_1FKiwhDph83XaGc0o0/edit?usp=sharing"",""งบพรบ!DF32"")"),25000)</f>
        <v>25000</v>
      </c>
      <c r="M32" s="70">
        <f t="shared" ca="1" si="5"/>
        <v>100</v>
      </c>
      <c r="N32" s="70">
        <f t="shared" ca="1" si="6"/>
        <v>100</v>
      </c>
      <c r="O32" s="71">
        <f ca="1">IFERROR(__xludf.DUMMYFUNCTION("IMPORTRANGE(""https://docs.google.com/spreadsheets/d/1MeEWN-I1oV_STSDYn1IFDPWt_1FKiwhDph83XaGc0o0/edit?usp=sharing"",""งบพรบ!DG32"")"),0)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IFERROR(__xludf.DUMMYFUNCTION("IMPORTRANGE(""https://docs.google.com/spreadsheets/d/1fb2B9NLcpJgjIieIJvenUTNPn0TimZDUi0OtYeiSQ_s/edit?usp=sharing"",""กาฬสินธุ์!I271"")"),20)</f>
        <v>20</v>
      </c>
      <c r="S32" s="68">
        <f ca="1">IFERROR(__xludf.DUMMYFUNCTION("IMPORTRANGE(""https://docs.google.com/spreadsheets/d/1fb2B9NLcpJgjIieIJvenUTNPn0TimZDUi0OtYeiSQ_s/edit?usp=sharing"",""กาฬสินธุ์!J271"")"),20)</f>
        <v>20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30700</v>
      </c>
      <c r="D33" s="76">
        <f t="shared" ca="1" si="23"/>
        <v>30700</v>
      </c>
      <c r="E33" s="77">
        <f ca="1">IFERROR(__xludf.DUMMYFUNCTION("IMPORTRANGE(""https://docs.google.com/spreadsheets/d/1MeEWN-I1oV_STSDYn1IFDPWt_1FKiwhDph83XaGc0o0/edit?usp=sharing"",""งบพรบ!CZ33"")"),0)</f>
        <v>0</v>
      </c>
      <c r="F33" s="77">
        <f ca="1">IFERROR(__xludf.DUMMYFUNCTION("IMPORTRANGE(""https://docs.google.com/spreadsheets/d/1MeEWN-I1oV_STSDYn1IFDPWt_1FKiwhDph83XaGc0o0/edit?usp=sharing"",""งบพรบ!DA33"")"),30700)</f>
        <v>30700</v>
      </c>
      <c r="G33" s="77">
        <f ca="1">IFERROR(__xludf.DUMMYFUNCTION("IMPORTRANGE(""https://docs.google.com/spreadsheets/d/1MeEWN-I1oV_STSDYn1IFDPWt_1FKiwhDph83XaGc0o0/edit?usp=sharing"",""งบพรบ!DB33"")"),0)</f>
        <v>0</v>
      </c>
      <c r="H33" s="77">
        <f ca="1">IFERROR(__xludf.DUMMYFUNCTION("IMPORTRANGE(""https://docs.google.com/spreadsheets/d/1MeEWN-I1oV_STSDYn1IFDPWt_1FKiwhDph83XaGc0o0/edit?usp=sharing"",""งบพรบ!DD33"")"),30700)</f>
        <v>30700</v>
      </c>
      <c r="I33" s="77">
        <f ca="1">IFERROR(__xludf.DUMMYFUNCTION("IMPORTRANGE(""https://docs.google.com/spreadsheets/d/1MeEWN-I1oV_STSDYn1IFDPWt_1FKiwhDph83XaGc0o0/edit?usp=sharing"",""งบพรบ!DE33"")"),0)</f>
        <v>0</v>
      </c>
      <c r="J33" s="77">
        <f t="shared" ca="1" si="3"/>
        <v>27780</v>
      </c>
      <c r="K33" s="78">
        <f t="shared" ca="1" si="4"/>
        <v>90.488599348534208</v>
      </c>
      <c r="L33" s="77">
        <f ca="1">IFERROR(__xludf.DUMMYFUNCTION("IMPORTRANGE(""https://docs.google.com/spreadsheets/d/1MeEWN-I1oV_STSDYn1IFDPWt_1FKiwhDph83XaGc0o0/edit?usp=sharing"",""งบพรบ!DF33"")"),27780)</f>
        <v>27780</v>
      </c>
      <c r="M33" s="79">
        <f t="shared" ca="1" si="5"/>
        <v>90.488599348534208</v>
      </c>
      <c r="N33" s="79">
        <f t="shared" ca="1" si="6"/>
        <v>90.488599348534208</v>
      </c>
      <c r="O33" s="80">
        <f ca="1">IFERROR(__xludf.DUMMYFUNCTION("IMPORTRANGE(""https://docs.google.com/spreadsheets/d/1MeEWN-I1oV_STSDYn1IFDPWt_1FKiwhDph83XaGc0o0/edit?usp=sharing"",""งบพรบ!DG33"")"),0)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IFERROR(__xludf.DUMMYFUNCTION("IMPORTRANGE(""https://docs.google.com/spreadsheets/d/1SaMnqrwRGmFYNR0MhpWmHuL5niYUd5E7vDq8X7whAlI/edit?usp=sharing"",""ขอนแก่น!I271"")"),26)</f>
        <v>26</v>
      </c>
      <c r="S33" s="81">
        <f ca="1">IFERROR(__xludf.DUMMYFUNCTION("IMPORTRANGE(""https://docs.google.com/spreadsheets/d/1SaMnqrwRGmFYNR0MhpWmHuL5niYUd5E7vDq8X7whAlI/edit?usp=sharing"",""ขอนแก่น!J271"")"),26)</f>
        <v>26</v>
      </c>
      <c r="T33" s="82">
        <f t="shared" ca="1" si="16"/>
        <v>100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26900</v>
      </c>
      <c r="D34" s="76">
        <f t="shared" ca="1" si="23"/>
        <v>26900</v>
      </c>
      <c r="E34" s="77">
        <f ca="1">IFERROR(__xludf.DUMMYFUNCTION("IMPORTRANGE(""https://docs.google.com/spreadsheets/d/1MeEWN-I1oV_STSDYn1IFDPWt_1FKiwhDph83XaGc0o0/edit?usp=sharing"",""งบพรบ!CZ34"")"),0)</f>
        <v>0</v>
      </c>
      <c r="F34" s="77">
        <f ca="1">IFERROR(__xludf.DUMMYFUNCTION("IMPORTRANGE(""https://docs.google.com/spreadsheets/d/1MeEWN-I1oV_STSDYn1IFDPWt_1FKiwhDph83XaGc0o0/edit?usp=sharing"",""งบพรบ!DA34"")"),26900)</f>
        <v>26900</v>
      </c>
      <c r="G34" s="77">
        <f ca="1">IFERROR(__xludf.DUMMYFUNCTION("IMPORTRANGE(""https://docs.google.com/spreadsheets/d/1MeEWN-I1oV_STSDYn1IFDPWt_1FKiwhDph83XaGc0o0/edit?usp=sharing"",""งบพรบ!DB34"")"),0)</f>
        <v>0</v>
      </c>
      <c r="H34" s="77">
        <f ca="1">IFERROR(__xludf.DUMMYFUNCTION("IMPORTRANGE(""https://docs.google.com/spreadsheets/d/1MeEWN-I1oV_STSDYn1IFDPWt_1FKiwhDph83XaGc0o0/edit?usp=sharing"",""งบพรบ!DD34"")"),26900)</f>
        <v>26900</v>
      </c>
      <c r="I34" s="77">
        <f ca="1">IFERROR(__xludf.DUMMYFUNCTION("IMPORTRANGE(""https://docs.google.com/spreadsheets/d/1MeEWN-I1oV_STSDYn1IFDPWt_1FKiwhDph83XaGc0o0/edit?usp=sharing"",""งบพรบ!DE34"")"),0)</f>
        <v>0</v>
      </c>
      <c r="J34" s="77">
        <f t="shared" ca="1" si="3"/>
        <v>26900</v>
      </c>
      <c r="K34" s="78">
        <f t="shared" ca="1" si="4"/>
        <v>100</v>
      </c>
      <c r="L34" s="77">
        <f ca="1">IFERROR(__xludf.DUMMYFUNCTION("IMPORTRANGE(""https://docs.google.com/spreadsheets/d/1MeEWN-I1oV_STSDYn1IFDPWt_1FKiwhDph83XaGc0o0/edit?usp=sharing"",""งบพรบ!DF34"")"),26900)</f>
        <v>26900</v>
      </c>
      <c r="M34" s="79">
        <f t="shared" ca="1" si="5"/>
        <v>100</v>
      </c>
      <c r="N34" s="79">
        <f t="shared" ca="1" si="6"/>
        <v>100</v>
      </c>
      <c r="O34" s="80">
        <f ca="1">IFERROR(__xludf.DUMMYFUNCTION("IMPORTRANGE(""https://docs.google.com/spreadsheets/d/1MeEWN-I1oV_STSDYn1IFDPWt_1FKiwhDph83XaGc0o0/edit?usp=sharing"",""งบพรบ!DG34"")"),0)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IFERROR(__xludf.DUMMYFUNCTION("IMPORTRANGE(""https://docs.google.com/spreadsheets/d/1xQzEtGHhTTgxHh6YUkKY1P4dRyjVhS74dGswLfAASA4/edit?usp=sharing"",""ชัยภูมิ!I271"")"),22)</f>
        <v>22</v>
      </c>
      <c r="S34" s="81">
        <f ca="1">IFERROR(__xludf.DUMMYFUNCTION("IMPORTRANGE(""https://docs.google.com/spreadsheets/d/1xQzEtGHhTTgxHh6YUkKY1P4dRyjVhS74dGswLfAASA4/edit?usp=sharing"",""ชัยภูมิ!J271"")"),22)</f>
        <v>22</v>
      </c>
      <c r="T34" s="82">
        <f t="shared" ca="1" si="16"/>
        <v>100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169900</v>
      </c>
      <c r="D35" s="76">
        <f t="shared" ca="1" si="23"/>
        <v>169900</v>
      </c>
      <c r="E35" s="77">
        <f ca="1">IFERROR(__xludf.DUMMYFUNCTION("IMPORTRANGE(""https://docs.google.com/spreadsheets/d/1MeEWN-I1oV_STSDYn1IFDPWt_1FKiwhDph83XaGc0o0/edit?usp=sharing"",""งบพรบ!CZ35"")"),143000)</f>
        <v>143000</v>
      </c>
      <c r="F35" s="77">
        <f ca="1">IFERROR(__xludf.DUMMYFUNCTION("IMPORTRANGE(""https://docs.google.com/spreadsheets/d/1MeEWN-I1oV_STSDYn1IFDPWt_1FKiwhDph83XaGc0o0/edit?usp=sharing"",""งบพรบ!DA35"")"),26900)</f>
        <v>26900</v>
      </c>
      <c r="G35" s="77">
        <f ca="1">IFERROR(__xludf.DUMMYFUNCTION("IMPORTRANGE(""https://docs.google.com/spreadsheets/d/1MeEWN-I1oV_STSDYn1IFDPWt_1FKiwhDph83XaGc0o0/edit?usp=sharing"",""งบพรบ!DB35"")"),0)</f>
        <v>0</v>
      </c>
      <c r="H35" s="77">
        <f ca="1">IFERROR(__xludf.DUMMYFUNCTION("IMPORTRANGE(""https://docs.google.com/spreadsheets/d/1MeEWN-I1oV_STSDYn1IFDPWt_1FKiwhDph83XaGc0o0/edit?usp=sharing"",""งบพรบ!DD35"")"),169900)</f>
        <v>169900</v>
      </c>
      <c r="I35" s="77">
        <f ca="1">IFERROR(__xludf.DUMMYFUNCTION("IMPORTRANGE(""https://docs.google.com/spreadsheets/d/1MeEWN-I1oV_STSDYn1IFDPWt_1FKiwhDph83XaGc0o0/edit?usp=sharing"",""งบพรบ!DE35"")"),0)</f>
        <v>0</v>
      </c>
      <c r="J35" s="77">
        <f t="shared" ca="1" si="3"/>
        <v>163352.81</v>
      </c>
      <c r="K35" s="78">
        <f t="shared" ca="1" si="4"/>
        <v>96.146444967628014</v>
      </c>
      <c r="L35" s="77">
        <f ca="1">IFERROR(__xludf.DUMMYFUNCTION("IMPORTRANGE(""https://docs.google.com/spreadsheets/d/1MeEWN-I1oV_STSDYn1IFDPWt_1FKiwhDph83XaGc0o0/edit?usp=sharing"",""งบพรบ!DF35"")"),163352.81)</f>
        <v>163352.81</v>
      </c>
      <c r="M35" s="79">
        <f t="shared" ca="1" si="5"/>
        <v>96.146444967628014</v>
      </c>
      <c r="N35" s="79">
        <f t="shared" ca="1" si="6"/>
        <v>96.146444967628014</v>
      </c>
      <c r="O35" s="80">
        <f ca="1">IFERROR(__xludf.DUMMYFUNCTION("IMPORTRANGE(""https://docs.google.com/spreadsheets/d/1MeEWN-I1oV_STSDYn1IFDPWt_1FKiwhDph83XaGc0o0/edit?usp=sharing"",""งบพรบ!DG35"")"),0)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IFERROR(__xludf.DUMMYFUNCTION("IMPORTRANGE(""https://docs.google.com/spreadsheets/d/1EXMBoBxU3OFbjT2TRpneM33qFjqDzrKmn9ydcflfI0o/edit?usp=sharing"",""นครพนม!I271"")"),22)</f>
        <v>22</v>
      </c>
      <c r="S35" s="81">
        <f ca="1">IFERROR(__xludf.DUMMYFUNCTION("IMPORTRANGE(""https://docs.google.com/spreadsheets/d/1EXMBoBxU3OFbjT2TRpneM33qFjqDzrKmn9ydcflfI0o/edit?usp=sharing"",""นครพนม!J271"")"),22)</f>
        <v>22</v>
      </c>
      <c r="T35" s="82">
        <f t="shared" ca="1" si="16"/>
        <v>100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28800</v>
      </c>
      <c r="D36" s="76">
        <f t="shared" ca="1" si="23"/>
        <v>28800</v>
      </c>
      <c r="E36" s="77">
        <f ca="1">IFERROR(__xludf.DUMMYFUNCTION("IMPORTRANGE(""https://docs.google.com/spreadsheets/d/1MeEWN-I1oV_STSDYn1IFDPWt_1FKiwhDph83XaGc0o0/edit?usp=sharing"",""งบพรบ!CZ36"")"),0)</f>
        <v>0</v>
      </c>
      <c r="F36" s="77">
        <f ca="1">IFERROR(__xludf.DUMMYFUNCTION("IMPORTRANGE(""https://docs.google.com/spreadsheets/d/1MeEWN-I1oV_STSDYn1IFDPWt_1FKiwhDph83XaGc0o0/edit?usp=sharing"",""งบพรบ!DA36"")"),28800)</f>
        <v>28800</v>
      </c>
      <c r="G36" s="77">
        <f ca="1">IFERROR(__xludf.DUMMYFUNCTION("IMPORTRANGE(""https://docs.google.com/spreadsheets/d/1MeEWN-I1oV_STSDYn1IFDPWt_1FKiwhDph83XaGc0o0/edit?usp=sharing"",""งบพรบ!DB36"")"),0)</f>
        <v>0</v>
      </c>
      <c r="H36" s="77">
        <f ca="1">IFERROR(__xludf.DUMMYFUNCTION("IMPORTRANGE(""https://docs.google.com/spreadsheets/d/1MeEWN-I1oV_STSDYn1IFDPWt_1FKiwhDph83XaGc0o0/edit?usp=sharing"",""งบพรบ!DD36"")"),28800)</f>
        <v>28800</v>
      </c>
      <c r="I36" s="77">
        <f ca="1">IFERROR(__xludf.DUMMYFUNCTION("IMPORTRANGE(""https://docs.google.com/spreadsheets/d/1MeEWN-I1oV_STSDYn1IFDPWt_1FKiwhDph83XaGc0o0/edit?usp=sharing"",""งบพรบ!DE36"")"),0)</f>
        <v>0</v>
      </c>
      <c r="J36" s="77">
        <f t="shared" ca="1" si="3"/>
        <v>28800</v>
      </c>
      <c r="K36" s="78">
        <f t="shared" ca="1" si="4"/>
        <v>100</v>
      </c>
      <c r="L36" s="77">
        <f ca="1">IFERROR(__xludf.DUMMYFUNCTION("IMPORTRANGE(""https://docs.google.com/spreadsheets/d/1MeEWN-I1oV_STSDYn1IFDPWt_1FKiwhDph83XaGc0o0/edit?usp=sharing"",""งบพรบ!DF36"")"),28800)</f>
        <v>28800</v>
      </c>
      <c r="M36" s="79">
        <f t="shared" ca="1" si="5"/>
        <v>100</v>
      </c>
      <c r="N36" s="79">
        <f t="shared" ca="1" si="6"/>
        <v>100</v>
      </c>
      <c r="O36" s="80">
        <f ca="1">IFERROR(__xludf.DUMMYFUNCTION("IMPORTRANGE(""https://docs.google.com/spreadsheets/d/1MeEWN-I1oV_STSDYn1IFDPWt_1FKiwhDph83XaGc0o0/edit?usp=sharing"",""งบพรบ!DG36"")"),0)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IFERROR(__xludf.DUMMYFUNCTION("IMPORTRANGE(""https://docs.google.com/spreadsheets/d/1bDQrolntRWtHumK8W-x-HXKntwxB9S3sF5aDeRS66Ko/edit?usp=sharing"",""นครราชสีมา!I271"")"),24)</f>
        <v>24</v>
      </c>
      <c r="S36" s="81">
        <f ca="1">IFERROR(__xludf.DUMMYFUNCTION("IMPORTRANGE(""https://docs.google.com/spreadsheets/d/1bDQrolntRWtHumK8W-x-HXKntwxB9S3sF5aDeRS66Ko/edit?usp=sharing"",""นครราชสีมา!J271"")"),24)</f>
        <v>24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177500</v>
      </c>
      <c r="D37" s="76">
        <f t="shared" ca="1" si="23"/>
        <v>177500</v>
      </c>
      <c r="E37" s="77">
        <f ca="1">IFERROR(__xludf.DUMMYFUNCTION("IMPORTRANGE(""https://docs.google.com/spreadsheets/d/1MeEWN-I1oV_STSDYn1IFDPWt_1FKiwhDph83XaGc0o0/edit?usp=sharing"",""งบพรบ!CZ37"")"),143000)</f>
        <v>143000</v>
      </c>
      <c r="F37" s="77">
        <f ca="1">IFERROR(__xludf.DUMMYFUNCTION("IMPORTRANGE(""https://docs.google.com/spreadsheets/d/1MeEWN-I1oV_STSDYn1IFDPWt_1FKiwhDph83XaGc0o0/edit?usp=sharing"",""งบพรบ!DA37"")"),34500)</f>
        <v>34500</v>
      </c>
      <c r="G37" s="77">
        <f ca="1">IFERROR(__xludf.DUMMYFUNCTION("IMPORTRANGE(""https://docs.google.com/spreadsheets/d/1MeEWN-I1oV_STSDYn1IFDPWt_1FKiwhDph83XaGc0o0/edit?usp=sharing"",""งบพรบ!DB37"")"),0)</f>
        <v>0</v>
      </c>
      <c r="H37" s="77">
        <f ca="1">IFERROR(__xludf.DUMMYFUNCTION("IMPORTRANGE(""https://docs.google.com/spreadsheets/d/1MeEWN-I1oV_STSDYn1IFDPWt_1FKiwhDph83XaGc0o0/edit?usp=sharing"",""งบพรบ!DD37"")"),177500)</f>
        <v>177500</v>
      </c>
      <c r="I37" s="77">
        <f ca="1">IFERROR(__xludf.DUMMYFUNCTION("IMPORTRANGE(""https://docs.google.com/spreadsheets/d/1MeEWN-I1oV_STSDYn1IFDPWt_1FKiwhDph83XaGc0o0/edit?usp=sharing"",""งบพรบ!DE37"")"),0)</f>
        <v>0</v>
      </c>
      <c r="J37" s="77">
        <f t="shared" ca="1" si="3"/>
        <v>137526</v>
      </c>
      <c r="K37" s="78">
        <f t="shared" ca="1" si="4"/>
        <v>77.479436619718314</v>
      </c>
      <c r="L37" s="77">
        <f ca="1">IFERROR(__xludf.DUMMYFUNCTION("IMPORTRANGE(""https://docs.google.com/spreadsheets/d/1MeEWN-I1oV_STSDYn1IFDPWt_1FKiwhDph83XaGc0o0/edit?usp=sharing"",""งบพรบ!DF37"")"),137526)</f>
        <v>137526</v>
      </c>
      <c r="M37" s="79">
        <f t="shared" ca="1" si="5"/>
        <v>77.479436619718314</v>
      </c>
      <c r="N37" s="79">
        <f t="shared" ca="1" si="6"/>
        <v>77.479436619718314</v>
      </c>
      <c r="O37" s="80">
        <f ca="1">IFERROR(__xludf.DUMMYFUNCTION("IMPORTRANGE(""https://docs.google.com/spreadsheets/d/1MeEWN-I1oV_STSDYn1IFDPWt_1FKiwhDph83XaGc0o0/edit?usp=sharing"",""งบพรบ!DG37"")"),0)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IFERROR(__xludf.DUMMYFUNCTION("IMPORTRANGE(""https://docs.google.com/spreadsheets/d/1_MzZ-2gVPiCW-d2VcafoCmFJQTSrZ6SQyFcMqRRQQ2w/edit?usp=sharing"",""บึงกาฬ!I271"")"),30)</f>
        <v>30</v>
      </c>
      <c r="S37" s="81">
        <f ca="1">IFERROR(__xludf.DUMMYFUNCTION("IMPORTRANGE(""https://docs.google.com/spreadsheets/d/1_MzZ-2gVPiCW-d2VcafoCmFJQTSrZ6SQyFcMqRRQQ2w/edit?usp=sharing"",""บึงกาฬ!J271"")"),30)</f>
        <v>30</v>
      </c>
      <c r="T37" s="82">
        <f t="shared" ca="1" si="16"/>
        <v>100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26900</v>
      </c>
      <c r="D38" s="76">
        <f t="shared" ca="1" si="23"/>
        <v>26900</v>
      </c>
      <c r="E38" s="77">
        <f ca="1">IFERROR(__xludf.DUMMYFUNCTION("IMPORTRANGE(""https://docs.google.com/spreadsheets/d/1MeEWN-I1oV_STSDYn1IFDPWt_1FKiwhDph83XaGc0o0/edit?usp=sharing"",""งบพรบ!CZ38"")"),0)</f>
        <v>0</v>
      </c>
      <c r="F38" s="77">
        <f ca="1">IFERROR(__xludf.DUMMYFUNCTION("IMPORTRANGE(""https://docs.google.com/spreadsheets/d/1MeEWN-I1oV_STSDYn1IFDPWt_1FKiwhDph83XaGc0o0/edit?usp=sharing"",""งบพรบ!DA38"")"),26900)</f>
        <v>26900</v>
      </c>
      <c r="G38" s="77">
        <f ca="1">IFERROR(__xludf.DUMMYFUNCTION("IMPORTRANGE(""https://docs.google.com/spreadsheets/d/1MeEWN-I1oV_STSDYn1IFDPWt_1FKiwhDph83XaGc0o0/edit?usp=sharing"",""งบพรบ!DB38"")"),0)</f>
        <v>0</v>
      </c>
      <c r="H38" s="77">
        <f ca="1">IFERROR(__xludf.DUMMYFUNCTION("IMPORTRANGE(""https://docs.google.com/spreadsheets/d/1MeEWN-I1oV_STSDYn1IFDPWt_1FKiwhDph83XaGc0o0/edit?usp=sharing"",""งบพรบ!DD38"")"),26900)</f>
        <v>26900</v>
      </c>
      <c r="I38" s="77">
        <f ca="1">IFERROR(__xludf.DUMMYFUNCTION("IMPORTRANGE(""https://docs.google.com/spreadsheets/d/1MeEWN-I1oV_STSDYn1IFDPWt_1FKiwhDph83XaGc0o0/edit?usp=sharing"",""งบพรบ!DE38"")"),0)</f>
        <v>0</v>
      </c>
      <c r="J38" s="77">
        <f t="shared" ca="1" si="3"/>
        <v>26900</v>
      </c>
      <c r="K38" s="78">
        <f t="shared" ca="1" si="4"/>
        <v>100</v>
      </c>
      <c r="L38" s="77">
        <f ca="1">IFERROR(__xludf.DUMMYFUNCTION("IMPORTRANGE(""https://docs.google.com/spreadsheets/d/1MeEWN-I1oV_STSDYn1IFDPWt_1FKiwhDph83XaGc0o0/edit?usp=sharing"",""งบพรบ!DF38"")"),26900)</f>
        <v>26900</v>
      </c>
      <c r="M38" s="79">
        <f t="shared" ca="1" si="5"/>
        <v>100</v>
      </c>
      <c r="N38" s="79">
        <f t="shared" ca="1" si="6"/>
        <v>100</v>
      </c>
      <c r="O38" s="80">
        <f ca="1">IFERROR(__xludf.DUMMYFUNCTION("IMPORTRANGE(""https://docs.google.com/spreadsheets/d/1MeEWN-I1oV_STSDYn1IFDPWt_1FKiwhDph83XaGc0o0/edit?usp=sharing"",""งบพรบ!DG38"")"),0)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IFERROR(__xludf.DUMMYFUNCTION("IMPORTRANGE(""https://docs.google.com/spreadsheets/d/1B3lPpzOuaNwVItLwLEZYl_qEblfcx7dRnbRkAw0l-pE/edit?usp=sharing"",""บุรีรัมย์!I271"")"),22)</f>
        <v>22</v>
      </c>
      <c r="S38" s="81">
        <f ca="1">IFERROR(__xludf.DUMMYFUNCTION("IMPORTRANGE(""https://docs.google.com/spreadsheets/d/1B3lPpzOuaNwVItLwLEZYl_qEblfcx7dRnbRkAw0l-pE/edit?usp=sharing"",""บุรีรัมย์!J271"")"),22)</f>
        <v>22</v>
      </c>
      <c r="T38" s="82">
        <f t="shared" ca="1" si="16"/>
        <v>100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26900</v>
      </c>
      <c r="D39" s="76">
        <f t="shared" ca="1" si="23"/>
        <v>26900</v>
      </c>
      <c r="E39" s="77">
        <f ca="1">IFERROR(__xludf.DUMMYFUNCTION("IMPORTRANGE(""https://docs.google.com/spreadsheets/d/1MeEWN-I1oV_STSDYn1IFDPWt_1FKiwhDph83XaGc0o0/edit?usp=sharing"",""งบพรบ!CZ39"")"),0)</f>
        <v>0</v>
      </c>
      <c r="F39" s="77">
        <f ca="1">IFERROR(__xludf.DUMMYFUNCTION("IMPORTRANGE(""https://docs.google.com/spreadsheets/d/1MeEWN-I1oV_STSDYn1IFDPWt_1FKiwhDph83XaGc0o0/edit?usp=sharing"",""งบพรบ!DA39"")"),26900)</f>
        <v>26900</v>
      </c>
      <c r="G39" s="77">
        <f ca="1">IFERROR(__xludf.DUMMYFUNCTION("IMPORTRANGE(""https://docs.google.com/spreadsheets/d/1MeEWN-I1oV_STSDYn1IFDPWt_1FKiwhDph83XaGc0o0/edit?usp=sharing"",""งบพรบ!DB39"")"),0)</f>
        <v>0</v>
      </c>
      <c r="H39" s="77">
        <f ca="1">IFERROR(__xludf.DUMMYFUNCTION("IMPORTRANGE(""https://docs.google.com/spreadsheets/d/1MeEWN-I1oV_STSDYn1IFDPWt_1FKiwhDph83XaGc0o0/edit?usp=sharing"",""งบพรบ!DD39"")"),26900)</f>
        <v>26900</v>
      </c>
      <c r="I39" s="77">
        <f ca="1">IFERROR(__xludf.DUMMYFUNCTION("IMPORTRANGE(""https://docs.google.com/spreadsheets/d/1MeEWN-I1oV_STSDYn1IFDPWt_1FKiwhDph83XaGc0o0/edit?usp=sharing"",""งบพรบ!DE39"")"),0)</f>
        <v>0</v>
      </c>
      <c r="J39" s="77">
        <f t="shared" ca="1" si="3"/>
        <v>26900</v>
      </c>
      <c r="K39" s="78">
        <f t="shared" ca="1" si="4"/>
        <v>100</v>
      </c>
      <c r="L39" s="77">
        <f ca="1">IFERROR(__xludf.DUMMYFUNCTION("IMPORTRANGE(""https://docs.google.com/spreadsheets/d/1MeEWN-I1oV_STSDYn1IFDPWt_1FKiwhDph83XaGc0o0/edit?usp=sharing"",""งบพรบ!DF39"")"),26900)</f>
        <v>26900</v>
      </c>
      <c r="M39" s="79">
        <f t="shared" ca="1" si="5"/>
        <v>100</v>
      </c>
      <c r="N39" s="79">
        <f t="shared" ca="1" si="6"/>
        <v>100</v>
      </c>
      <c r="O39" s="80">
        <f ca="1">IFERROR(__xludf.DUMMYFUNCTION("IMPORTRANGE(""https://docs.google.com/spreadsheets/d/1MeEWN-I1oV_STSDYn1IFDPWt_1FKiwhDph83XaGc0o0/edit?usp=sharing"",""งบพรบ!DG39"")"),0)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IFERROR(__xludf.DUMMYFUNCTION("IMPORTRANGE(""https://docs.google.com/spreadsheets/d/19GOkiOqnzYbevLYWrMk4qFOXe3rX14BkSA8X-mq-a40/edit?usp=sharing"",""มหาสารคาม!I271"")"),22)</f>
        <v>22</v>
      </c>
      <c r="S39" s="81">
        <f ca="1">IFERROR(__xludf.DUMMYFUNCTION("IMPORTRANGE(""https://docs.google.com/spreadsheets/d/19GOkiOqnzYbevLYWrMk4qFOXe3rX14BkSA8X-mq-a40/edit?usp=sharing"",""มหาสารคาม!J271"")"),22)</f>
        <v>22</v>
      </c>
      <c r="T39" s="82">
        <f t="shared" ca="1" si="16"/>
        <v>100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26900</v>
      </c>
      <c r="D40" s="76">
        <f t="shared" ca="1" si="23"/>
        <v>26900</v>
      </c>
      <c r="E40" s="77">
        <f ca="1">IFERROR(__xludf.DUMMYFUNCTION("IMPORTRANGE(""https://docs.google.com/spreadsheets/d/1MeEWN-I1oV_STSDYn1IFDPWt_1FKiwhDph83XaGc0o0/edit?usp=sharing"",""งบพรบ!CZ40"")"),0)</f>
        <v>0</v>
      </c>
      <c r="F40" s="77">
        <f ca="1">IFERROR(__xludf.DUMMYFUNCTION("IMPORTRANGE(""https://docs.google.com/spreadsheets/d/1MeEWN-I1oV_STSDYn1IFDPWt_1FKiwhDph83XaGc0o0/edit?usp=sharing"",""งบพรบ!DA40"")"),26900)</f>
        <v>26900</v>
      </c>
      <c r="G40" s="77">
        <f ca="1">IFERROR(__xludf.DUMMYFUNCTION("IMPORTRANGE(""https://docs.google.com/spreadsheets/d/1MeEWN-I1oV_STSDYn1IFDPWt_1FKiwhDph83XaGc0o0/edit?usp=sharing"",""งบพรบ!DB40"")"),0)</f>
        <v>0</v>
      </c>
      <c r="H40" s="77">
        <f ca="1">IFERROR(__xludf.DUMMYFUNCTION("IMPORTRANGE(""https://docs.google.com/spreadsheets/d/1MeEWN-I1oV_STSDYn1IFDPWt_1FKiwhDph83XaGc0o0/edit?usp=sharing"",""งบพรบ!DD40"")"),26900)</f>
        <v>26900</v>
      </c>
      <c r="I40" s="77">
        <f ca="1">IFERROR(__xludf.DUMMYFUNCTION("IMPORTRANGE(""https://docs.google.com/spreadsheets/d/1MeEWN-I1oV_STSDYn1IFDPWt_1FKiwhDph83XaGc0o0/edit?usp=sharing"",""งบพรบ!DE40"")"),0)</f>
        <v>0</v>
      </c>
      <c r="J40" s="77">
        <f t="shared" ca="1" si="3"/>
        <v>26900</v>
      </c>
      <c r="K40" s="78">
        <f t="shared" ca="1" si="4"/>
        <v>100</v>
      </c>
      <c r="L40" s="77">
        <f ca="1">IFERROR(__xludf.DUMMYFUNCTION("IMPORTRANGE(""https://docs.google.com/spreadsheets/d/1MeEWN-I1oV_STSDYn1IFDPWt_1FKiwhDph83XaGc0o0/edit?usp=sharing"",""งบพรบ!DF40"")"),26900)</f>
        <v>26900</v>
      </c>
      <c r="M40" s="79">
        <f t="shared" ca="1" si="5"/>
        <v>100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IFERROR(__xludf.DUMMYFUNCTION("IMPORTRANGE(""https://docs.google.com/spreadsheets/d/1MeEWN-I1oV_STSDYn1IFDPWt_1FKiwhDph83XaGc0o0/edit?usp=sharing"",""งบพรบ!DG40"")"),0)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IFERROR(__xludf.DUMMYFUNCTION("IMPORTRANGE(""https://docs.google.com/spreadsheets/d/1uMKqWwuNQ-TCKboGA3Bb1qXb5uj2-faACNUINCz8PN4/edit?usp=sharing"",""มุกดาหาร!I271"")"),22)</f>
        <v>22</v>
      </c>
      <c r="S40" s="81">
        <f ca="1">IFERROR(__xludf.DUMMYFUNCTION("IMPORTRANGE(""https://docs.google.com/spreadsheets/d/1uMKqWwuNQ-TCKboGA3Bb1qXb5uj2-faACNUINCz8PN4/edit?usp=sharing"",""มุกดาหาร!J271"")"),22)</f>
        <v>22</v>
      </c>
      <c r="T40" s="82">
        <f t="shared" ca="1" si="16"/>
        <v>100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26900</v>
      </c>
      <c r="D41" s="76">
        <f t="shared" ca="1" si="23"/>
        <v>26900</v>
      </c>
      <c r="E41" s="77">
        <f ca="1">IFERROR(__xludf.DUMMYFUNCTION("IMPORTRANGE(""https://docs.google.com/spreadsheets/d/1MeEWN-I1oV_STSDYn1IFDPWt_1FKiwhDph83XaGc0o0/edit?usp=sharing"",""งบพรบ!CZ41"")"),0)</f>
        <v>0</v>
      </c>
      <c r="F41" s="77">
        <f ca="1">IFERROR(__xludf.DUMMYFUNCTION("IMPORTRANGE(""https://docs.google.com/spreadsheets/d/1MeEWN-I1oV_STSDYn1IFDPWt_1FKiwhDph83XaGc0o0/edit?usp=sharing"",""งบพรบ!DA41"")"),26900)</f>
        <v>26900</v>
      </c>
      <c r="G41" s="77">
        <f ca="1">IFERROR(__xludf.DUMMYFUNCTION("IMPORTRANGE(""https://docs.google.com/spreadsheets/d/1MeEWN-I1oV_STSDYn1IFDPWt_1FKiwhDph83XaGc0o0/edit?usp=sharing"",""งบพรบ!DB41"")"),0)</f>
        <v>0</v>
      </c>
      <c r="H41" s="77">
        <f ca="1">IFERROR(__xludf.DUMMYFUNCTION("IMPORTRANGE(""https://docs.google.com/spreadsheets/d/1MeEWN-I1oV_STSDYn1IFDPWt_1FKiwhDph83XaGc0o0/edit?usp=sharing"",""งบพรบ!DD41"")"),26900)</f>
        <v>26900</v>
      </c>
      <c r="I41" s="77">
        <f ca="1">IFERROR(__xludf.DUMMYFUNCTION("IMPORTRANGE(""https://docs.google.com/spreadsheets/d/1MeEWN-I1oV_STSDYn1IFDPWt_1FKiwhDph83XaGc0o0/edit?usp=sharing"",""งบพรบ!DE41"")"),0)</f>
        <v>0</v>
      </c>
      <c r="J41" s="77">
        <f t="shared" ca="1" si="3"/>
        <v>26900</v>
      </c>
      <c r="K41" s="78">
        <f t="shared" ca="1" si="4"/>
        <v>100</v>
      </c>
      <c r="L41" s="77">
        <f ca="1">IFERROR(__xludf.DUMMYFUNCTION("IMPORTRANGE(""https://docs.google.com/spreadsheets/d/1MeEWN-I1oV_STSDYn1IFDPWt_1FKiwhDph83XaGc0o0/edit?usp=sharing"",""งบพรบ!DF41"")"),26900)</f>
        <v>26900</v>
      </c>
      <c r="M41" s="79">
        <f t="shared" ca="1" si="5"/>
        <v>100</v>
      </c>
      <c r="N41" s="79">
        <f t="shared" ca="1" si="6"/>
        <v>100</v>
      </c>
      <c r="O41" s="80">
        <f ca="1">IFERROR(__xludf.DUMMYFUNCTION("IMPORTRANGE(""https://docs.google.com/spreadsheets/d/1MeEWN-I1oV_STSDYn1IFDPWt_1FKiwhDph83XaGc0o0/edit?usp=sharing"",""งบพรบ!DG41"")"),0)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IFERROR(__xludf.DUMMYFUNCTION("IMPORTRANGE(""https://docs.google.com/spreadsheets/d/1oKaccgDdQABndOzGr688Dbfxb_V3YcF67VqEPBtdzsc/edit?usp=sharing"",""ยโสธร!I271"")"),22)</f>
        <v>22</v>
      </c>
      <c r="S41" s="81">
        <f ca="1">IFERROR(__xludf.DUMMYFUNCTION("IMPORTRANGE(""https://docs.google.com/spreadsheets/d/1oKaccgDdQABndOzGr688Dbfxb_V3YcF67VqEPBtdzsc/edit?usp=sharing"",""ยโสธร!J271"")"),22)</f>
        <v>22</v>
      </c>
      <c r="T41" s="82">
        <f t="shared" ca="1" si="16"/>
        <v>100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30700</v>
      </c>
      <c r="D42" s="76">
        <f t="shared" ca="1" si="23"/>
        <v>30700</v>
      </c>
      <c r="E42" s="77">
        <f ca="1">IFERROR(__xludf.DUMMYFUNCTION("IMPORTRANGE(""https://docs.google.com/spreadsheets/d/1MeEWN-I1oV_STSDYn1IFDPWt_1FKiwhDph83XaGc0o0/edit?usp=sharing"",""งบพรบ!CZ42"")"),0)</f>
        <v>0</v>
      </c>
      <c r="F42" s="77">
        <f ca="1">IFERROR(__xludf.DUMMYFUNCTION("IMPORTRANGE(""https://docs.google.com/spreadsheets/d/1MeEWN-I1oV_STSDYn1IFDPWt_1FKiwhDph83XaGc0o0/edit?usp=sharing"",""งบพรบ!DA42"")"),30700)</f>
        <v>30700</v>
      </c>
      <c r="G42" s="77">
        <f ca="1">IFERROR(__xludf.DUMMYFUNCTION("IMPORTRANGE(""https://docs.google.com/spreadsheets/d/1MeEWN-I1oV_STSDYn1IFDPWt_1FKiwhDph83XaGc0o0/edit?usp=sharing"",""งบพรบ!DB42"")"),0)</f>
        <v>0</v>
      </c>
      <c r="H42" s="77">
        <f ca="1">IFERROR(__xludf.DUMMYFUNCTION("IMPORTRANGE(""https://docs.google.com/spreadsheets/d/1MeEWN-I1oV_STSDYn1IFDPWt_1FKiwhDph83XaGc0o0/edit?usp=sharing"",""งบพรบ!DD42"")"),30700)</f>
        <v>30700</v>
      </c>
      <c r="I42" s="77">
        <f ca="1">IFERROR(__xludf.DUMMYFUNCTION("IMPORTRANGE(""https://docs.google.com/spreadsheets/d/1MeEWN-I1oV_STSDYn1IFDPWt_1FKiwhDph83XaGc0o0/edit?usp=sharing"",""งบพรบ!DE42"")"),0)</f>
        <v>0</v>
      </c>
      <c r="J42" s="77">
        <f t="shared" ca="1" si="3"/>
        <v>30700</v>
      </c>
      <c r="K42" s="78">
        <f t="shared" ca="1" si="4"/>
        <v>100</v>
      </c>
      <c r="L42" s="77">
        <f ca="1">IFERROR(__xludf.DUMMYFUNCTION("IMPORTRANGE(""https://docs.google.com/spreadsheets/d/1MeEWN-I1oV_STSDYn1IFDPWt_1FKiwhDph83XaGc0o0/edit?usp=sharing"",""งบพรบ!DF42"")"),30700)</f>
        <v>30700</v>
      </c>
      <c r="M42" s="79">
        <f t="shared" ca="1" si="5"/>
        <v>100</v>
      </c>
      <c r="N42" s="79">
        <f t="shared" ca="1" si="6"/>
        <v>100</v>
      </c>
      <c r="O42" s="80">
        <f ca="1">IFERROR(__xludf.DUMMYFUNCTION("IMPORTRANGE(""https://docs.google.com/spreadsheets/d/1MeEWN-I1oV_STSDYn1IFDPWt_1FKiwhDph83XaGc0o0/edit?usp=sharing"",""งบพรบ!DG42"")"),0)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IFERROR(__xludf.DUMMYFUNCTION("IMPORTRANGE(""https://docs.google.com/spreadsheets/d/1BRgc8xKpxZ0PX-gauieMVkV_IOxKSotf0yW8MabGprQ/edit?usp=sharing"",""ร้อยเอ็ด!I271"")"),26)</f>
        <v>26</v>
      </c>
      <c r="S42" s="81">
        <f ca="1">IFERROR(__xludf.DUMMYFUNCTION("IMPORTRANGE(""https://docs.google.com/spreadsheets/d/1BRgc8xKpxZ0PX-gauieMVkV_IOxKSotf0yW8MabGprQ/edit?usp=sharing"",""ร้อยเอ็ด!J271"")"),26)</f>
        <v>26</v>
      </c>
      <c r="T42" s="82">
        <f t="shared" ca="1" si="16"/>
        <v>100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26900</v>
      </c>
      <c r="D43" s="76">
        <f t="shared" ca="1" si="23"/>
        <v>26900</v>
      </c>
      <c r="E43" s="77">
        <f ca="1">IFERROR(__xludf.DUMMYFUNCTION("IMPORTRANGE(""https://docs.google.com/spreadsheets/d/1MeEWN-I1oV_STSDYn1IFDPWt_1FKiwhDph83XaGc0o0/edit?usp=sharing"",""งบพรบ!CZ43"")"),0)</f>
        <v>0</v>
      </c>
      <c r="F43" s="77">
        <f ca="1">IFERROR(__xludf.DUMMYFUNCTION("IMPORTRANGE(""https://docs.google.com/spreadsheets/d/1MeEWN-I1oV_STSDYn1IFDPWt_1FKiwhDph83XaGc0o0/edit?usp=sharing"",""งบพรบ!DA43"")"),26900)</f>
        <v>26900</v>
      </c>
      <c r="G43" s="77">
        <f ca="1">IFERROR(__xludf.DUMMYFUNCTION("IMPORTRANGE(""https://docs.google.com/spreadsheets/d/1MeEWN-I1oV_STSDYn1IFDPWt_1FKiwhDph83XaGc0o0/edit?usp=sharing"",""งบพรบ!DB43"")"),0)</f>
        <v>0</v>
      </c>
      <c r="H43" s="77">
        <f ca="1">IFERROR(__xludf.DUMMYFUNCTION("IMPORTRANGE(""https://docs.google.com/spreadsheets/d/1MeEWN-I1oV_STSDYn1IFDPWt_1FKiwhDph83XaGc0o0/edit?usp=sharing"",""งบพรบ!DD43"")"),26900)</f>
        <v>26900</v>
      </c>
      <c r="I43" s="77">
        <f ca="1">IFERROR(__xludf.DUMMYFUNCTION("IMPORTRANGE(""https://docs.google.com/spreadsheets/d/1MeEWN-I1oV_STSDYn1IFDPWt_1FKiwhDph83XaGc0o0/edit?usp=sharing"",""งบพรบ!DE43"")"),0)</f>
        <v>0</v>
      </c>
      <c r="J43" s="77">
        <f t="shared" ca="1" si="3"/>
        <v>26900</v>
      </c>
      <c r="K43" s="78">
        <f t="shared" ca="1" si="4"/>
        <v>100</v>
      </c>
      <c r="L43" s="77">
        <f ca="1">IFERROR(__xludf.DUMMYFUNCTION("IMPORTRANGE(""https://docs.google.com/spreadsheets/d/1MeEWN-I1oV_STSDYn1IFDPWt_1FKiwhDph83XaGc0o0/edit?usp=sharing"",""งบพรบ!DF43"")"),26900)</f>
        <v>26900</v>
      </c>
      <c r="M43" s="79">
        <f t="shared" ca="1" si="5"/>
        <v>100</v>
      </c>
      <c r="N43" s="79">
        <f t="shared" ca="1" si="6"/>
        <v>100</v>
      </c>
      <c r="O43" s="80">
        <f ca="1">IFERROR(__xludf.DUMMYFUNCTION("IMPORTRANGE(""https://docs.google.com/spreadsheets/d/1MeEWN-I1oV_STSDYn1IFDPWt_1FKiwhDph83XaGc0o0/edit?usp=sharing"",""งบพรบ!DG43"")"),0)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IFERROR(__xludf.DUMMYFUNCTION("IMPORTRANGE(""https://docs.google.com/spreadsheets/d/1IdolZc-dfdgMwAm_KZxYJl1sUOcIgnbGQzbWOlddedo/edit?usp=sharing"",""เลย!I271"")"),22)</f>
        <v>22</v>
      </c>
      <c r="S43" s="81">
        <f ca="1">IFERROR(__xludf.DUMMYFUNCTION("IMPORTRANGE(""https://docs.google.com/spreadsheets/d/1IdolZc-dfdgMwAm_KZxYJl1sUOcIgnbGQzbWOlddedo/edit?usp=sharing"",""เลย!J271"")"),22)</f>
        <v>22</v>
      </c>
      <c r="T43" s="82">
        <f t="shared" ca="1" si="16"/>
        <v>100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26900</v>
      </c>
      <c r="D44" s="76">
        <f t="shared" ca="1" si="23"/>
        <v>26900</v>
      </c>
      <c r="E44" s="77">
        <f ca="1">IFERROR(__xludf.DUMMYFUNCTION("IMPORTRANGE(""https://docs.google.com/spreadsheets/d/1MeEWN-I1oV_STSDYn1IFDPWt_1FKiwhDph83XaGc0o0/edit?usp=sharing"",""งบพรบ!CZ44"")"),0)</f>
        <v>0</v>
      </c>
      <c r="F44" s="77">
        <f ca="1">IFERROR(__xludf.DUMMYFUNCTION("IMPORTRANGE(""https://docs.google.com/spreadsheets/d/1MeEWN-I1oV_STSDYn1IFDPWt_1FKiwhDph83XaGc0o0/edit?usp=sharing"",""งบพรบ!DA44"")"),26900)</f>
        <v>26900</v>
      </c>
      <c r="G44" s="77">
        <f ca="1">IFERROR(__xludf.DUMMYFUNCTION("IMPORTRANGE(""https://docs.google.com/spreadsheets/d/1MeEWN-I1oV_STSDYn1IFDPWt_1FKiwhDph83XaGc0o0/edit?usp=sharing"",""งบพรบ!DB44"")"),0)</f>
        <v>0</v>
      </c>
      <c r="H44" s="77">
        <f ca="1">IFERROR(__xludf.DUMMYFUNCTION("IMPORTRANGE(""https://docs.google.com/spreadsheets/d/1MeEWN-I1oV_STSDYn1IFDPWt_1FKiwhDph83XaGc0o0/edit?usp=sharing"",""งบพรบ!DD44"")"),26900)</f>
        <v>26900</v>
      </c>
      <c r="I44" s="77">
        <f ca="1">IFERROR(__xludf.DUMMYFUNCTION("IMPORTRANGE(""https://docs.google.com/spreadsheets/d/1MeEWN-I1oV_STSDYn1IFDPWt_1FKiwhDph83XaGc0o0/edit?usp=sharing"",""งบพรบ!DE44"")"),0)</f>
        <v>0</v>
      </c>
      <c r="J44" s="77">
        <f t="shared" ca="1" si="3"/>
        <v>26900</v>
      </c>
      <c r="K44" s="78">
        <f t="shared" ca="1" si="4"/>
        <v>100</v>
      </c>
      <c r="L44" s="77">
        <f ca="1">IFERROR(__xludf.DUMMYFUNCTION("IMPORTRANGE(""https://docs.google.com/spreadsheets/d/1MeEWN-I1oV_STSDYn1IFDPWt_1FKiwhDph83XaGc0o0/edit?usp=sharing"",""งบพรบ!DF44"")"),26900)</f>
        <v>26900</v>
      </c>
      <c r="M44" s="79">
        <f t="shared" ca="1" si="5"/>
        <v>100</v>
      </c>
      <c r="N44" s="79">
        <f t="shared" ca="1" si="6"/>
        <v>100</v>
      </c>
      <c r="O44" s="80">
        <f ca="1">IFERROR(__xludf.DUMMYFUNCTION("IMPORTRANGE(""https://docs.google.com/spreadsheets/d/1MeEWN-I1oV_STSDYn1IFDPWt_1FKiwhDph83XaGc0o0/edit?usp=sharing"",""งบพรบ!DG44"")"),0)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IFERROR(__xludf.DUMMYFUNCTION("IMPORTRANGE(""https://docs.google.com/spreadsheets/d/1tZ0nmtGuIRCaGAMXHlQU8EpR9LOAJvyKfc4f7EFmE34/edit?usp=sharing"",""ศรีสะเกษ!I271"")"),22)</f>
        <v>22</v>
      </c>
      <c r="S44" s="81">
        <f ca="1">IFERROR(__xludf.DUMMYFUNCTION("IMPORTRANGE(""https://docs.google.com/spreadsheets/d/1tZ0nmtGuIRCaGAMXHlQU8EpR9LOAJvyKfc4f7EFmE34/edit?usp=sharing"",""ศรีสะเกษ!J271"")"),22)</f>
        <v>22</v>
      </c>
      <c r="T44" s="82">
        <f t="shared" ca="1" si="16"/>
        <v>100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30700</v>
      </c>
      <c r="D45" s="76">
        <f t="shared" ca="1" si="23"/>
        <v>30700</v>
      </c>
      <c r="E45" s="77">
        <f ca="1">IFERROR(__xludf.DUMMYFUNCTION("IMPORTRANGE(""https://docs.google.com/spreadsheets/d/1MeEWN-I1oV_STSDYn1IFDPWt_1FKiwhDph83XaGc0o0/edit?usp=sharing"",""งบพรบ!CZ45"")"),0)</f>
        <v>0</v>
      </c>
      <c r="F45" s="77">
        <f ca="1">IFERROR(__xludf.DUMMYFUNCTION("IMPORTRANGE(""https://docs.google.com/spreadsheets/d/1MeEWN-I1oV_STSDYn1IFDPWt_1FKiwhDph83XaGc0o0/edit?usp=sharing"",""งบพรบ!DA45"")"),30700)</f>
        <v>30700</v>
      </c>
      <c r="G45" s="77">
        <f ca="1">IFERROR(__xludf.DUMMYFUNCTION("IMPORTRANGE(""https://docs.google.com/spreadsheets/d/1MeEWN-I1oV_STSDYn1IFDPWt_1FKiwhDph83XaGc0o0/edit?usp=sharing"",""งบพรบ!DB45"")"),0)</f>
        <v>0</v>
      </c>
      <c r="H45" s="77">
        <f ca="1">IFERROR(__xludf.DUMMYFUNCTION("IMPORTRANGE(""https://docs.google.com/spreadsheets/d/1MeEWN-I1oV_STSDYn1IFDPWt_1FKiwhDph83XaGc0o0/edit?usp=sharing"",""งบพรบ!DD45"")"),30700)</f>
        <v>30700</v>
      </c>
      <c r="I45" s="77">
        <f ca="1">IFERROR(__xludf.DUMMYFUNCTION("IMPORTRANGE(""https://docs.google.com/spreadsheets/d/1MeEWN-I1oV_STSDYn1IFDPWt_1FKiwhDph83XaGc0o0/edit?usp=sharing"",""งบพรบ!DE45"")"),0)</f>
        <v>0</v>
      </c>
      <c r="J45" s="77">
        <f t="shared" ca="1" si="3"/>
        <v>26192</v>
      </c>
      <c r="K45" s="78">
        <f t="shared" ca="1" si="4"/>
        <v>85.31596091205212</v>
      </c>
      <c r="L45" s="77">
        <f ca="1">IFERROR(__xludf.DUMMYFUNCTION("IMPORTRANGE(""https://docs.google.com/spreadsheets/d/1MeEWN-I1oV_STSDYn1IFDPWt_1FKiwhDph83XaGc0o0/edit?usp=sharing"",""งบพรบ!DF45"")"),26192)</f>
        <v>26192</v>
      </c>
      <c r="M45" s="79">
        <f t="shared" ca="1" si="5"/>
        <v>85.31596091205212</v>
      </c>
      <c r="N45" s="79">
        <f t="shared" ca="1" si="6"/>
        <v>85.31596091205212</v>
      </c>
      <c r="O45" s="80">
        <f ca="1">IFERROR(__xludf.DUMMYFUNCTION("IMPORTRANGE(""https://docs.google.com/spreadsheets/d/1MeEWN-I1oV_STSDYn1IFDPWt_1FKiwhDph83XaGc0o0/edit?usp=sharing"",""งบพรบ!DG45"")"),0)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IFERROR(__xludf.DUMMYFUNCTION("IMPORTRANGE(""https://docs.google.com/spreadsheets/d/1QC8psz9w0f9IVE9Xuc2FT_btkaOzZbbUSgYObpBuetM/edit?usp=sharing"",""สกลนคร!I271"")"),26)</f>
        <v>26</v>
      </c>
      <c r="S45" s="81">
        <f ca="1">IFERROR(__xludf.DUMMYFUNCTION("IMPORTRANGE(""https://docs.google.com/spreadsheets/d/1QC8psz9w0f9IVE9Xuc2FT_btkaOzZbbUSgYObpBuetM/edit?usp=sharing"",""สกลนคร!J271"")"),26)</f>
        <v>26</v>
      </c>
      <c r="T45" s="82">
        <f t="shared" ca="1" si="16"/>
        <v>100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26900</v>
      </c>
      <c r="D46" s="76">
        <f t="shared" ca="1" si="23"/>
        <v>26900</v>
      </c>
      <c r="E46" s="77">
        <f ca="1">IFERROR(__xludf.DUMMYFUNCTION("IMPORTRANGE(""https://docs.google.com/spreadsheets/d/1MeEWN-I1oV_STSDYn1IFDPWt_1FKiwhDph83XaGc0o0/edit?usp=sharing"",""งบพรบ!CZ46"")"),0)</f>
        <v>0</v>
      </c>
      <c r="F46" s="77">
        <f ca="1">IFERROR(__xludf.DUMMYFUNCTION("IMPORTRANGE(""https://docs.google.com/spreadsheets/d/1MeEWN-I1oV_STSDYn1IFDPWt_1FKiwhDph83XaGc0o0/edit?usp=sharing"",""งบพรบ!DA46"")"),26900)</f>
        <v>26900</v>
      </c>
      <c r="G46" s="77">
        <f ca="1">IFERROR(__xludf.DUMMYFUNCTION("IMPORTRANGE(""https://docs.google.com/spreadsheets/d/1MeEWN-I1oV_STSDYn1IFDPWt_1FKiwhDph83XaGc0o0/edit?usp=sharing"",""งบพรบ!DB46"")"),0)</f>
        <v>0</v>
      </c>
      <c r="H46" s="77">
        <f ca="1">IFERROR(__xludf.DUMMYFUNCTION("IMPORTRANGE(""https://docs.google.com/spreadsheets/d/1MeEWN-I1oV_STSDYn1IFDPWt_1FKiwhDph83XaGc0o0/edit?usp=sharing"",""งบพรบ!DD46"")"),26900)</f>
        <v>26900</v>
      </c>
      <c r="I46" s="77">
        <f ca="1">IFERROR(__xludf.DUMMYFUNCTION("IMPORTRANGE(""https://docs.google.com/spreadsheets/d/1MeEWN-I1oV_STSDYn1IFDPWt_1FKiwhDph83XaGc0o0/edit?usp=sharing"",""งบพรบ!DE46"")"),0)</f>
        <v>0</v>
      </c>
      <c r="J46" s="77">
        <f t="shared" ca="1" si="3"/>
        <v>26900</v>
      </c>
      <c r="K46" s="78">
        <f t="shared" ca="1" si="4"/>
        <v>100</v>
      </c>
      <c r="L46" s="77">
        <f ca="1">IFERROR(__xludf.DUMMYFUNCTION("IMPORTRANGE(""https://docs.google.com/spreadsheets/d/1MeEWN-I1oV_STSDYn1IFDPWt_1FKiwhDph83XaGc0o0/edit?usp=sharing"",""งบพรบ!DF46"")"),26900)</f>
        <v>26900</v>
      </c>
      <c r="M46" s="79">
        <f t="shared" ca="1" si="5"/>
        <v>100</v>
      </c>
      <c r="N46" s="79">
        <f t="shared" ca="1" si="6"/>
        <v>100</v>
      </c>
      <c r="O46" s="80">
        <f ca="1">IFERROR(__xludf.DUMMYFUNCTION("IMPORTRANGE(""https://docs.google.com/spreadsheets/d/1MeEWN-I1oV_STSDYn1IFDPWt_1FKiwhDph83XaGc0o0/edit?usp=sharing"",""งบพรบ!DG46"")"),0)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IFERROR(__xludf.DUMMYFUNCTION("IMPORTRANGE(""https://docs.google.com/spreadsheets/d/1wPdvRbu02d33MYVlbsCnyTiZpefEBs9NNktAnT1HZvw/edit?usp=sharing"",""สุรินทร์!I271"")"),22)</f>
        <v>22</v>
      </c>
      <c r="S46" s="81">
        <f ca="1">IFERROR(__xludf.DUMMYFUNCTION("IMPORTRANGE(""https://docs.google.com/spreadsheets/d/1wPdvRbu02d33MYVlbsCnyTiZpefEBs9NNktAnT1HZvw/edit?usp=sharing"",""สุรินทร์!J271"")"),22)</f>
        <v>22</v>
      </c>
      <c r="T46" s="82">
        <f t="shared" ca="1" si="16"/>
        <v>100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26900</v>
      </c>
      <c r="D47" s="76">
        <f t="shared" ca="1" si="23"/>
        <v>26900</v>
      </c>
      <c r="E47" s="77">
        <f ca="1">IFERROR(__xludf.DUMMYFUNCTION("IMPORTRANGE(""https://docs.google.com/spreadsheets/d/1MeEWN-I1oV_STSDYn1IFDPWt_1FKiwhDph83XaGc0o0/edit?usp=sharing"",""งบพรบ!CZ47"")"),0)</f>
        <v>0</v>
      </c>
      <c r="F47" s="77">
        <f ca="1">IFERROR(__xludf.DUMMYFUNCTION("IMPORTRANGE(""https://docs.google.com/spreadsheets/d/1MeEWN-I1oV_STSDYn1IFDPWt_1FKiwhDph83XaGc0o0/edit?usp=sharing"",""งบพรบ!DA47"")"),26900)</f>
        <v>26900</v>
      </c>
      <c r="G47" s="77">
        <f ca="1">IFERROR(__xludf.DUMMYFUNCTION("IMPORTRANGE(""https://docs.google.com/spreadsheets/d/1MeEWN-I1oV_STSDYn1IFDPWt_1FKiwhDph83XaGc0o0/edit?usp=sharing"",""งบพรบ!DB47"")"),0)</f>
        <v>0</v>
      </c>
      <c r="H47" s="77">
        <f ca="1">IFERROR(__xludf.DUMMYFUNCTION("IMPORTRANGE(""https://docs.google.com/spreadsheets/d/1MeEWN-I1oV_STSDYn1IFDPWt_1FKiwhDph83XaGc0o0/edit?usp=sharing"",""งบพรบ!DD47"")"),26900)</f>
        <v>26900</v>
      </c>
      <c r="I47" s="77">
        <f ca="1">IFERROR(__xludf.DUMMYFUNCTION("IMPORTRANGE(""https://docs.google.com/spreadsheets/d/1MeEWN-I1oV_STSDYn1IFDPWt_1FKiwhDph83XaGc0o0/edit?usp=sharing"",""งบพรบ!DE47"")"),0)</f>
        <v>0</v>
      </c>
      <c r="J47" s="77">
        <f t="shared" ca="1" si="3"/>
        <v>23900</v>
      </c>
      <c r="K47" s="78">
        <f t="shared" ca="1" si="4"/>
        <v>88.847583643122675</v>
      </c>
      <c r="L47" s="77">
        <f ca="1">IFERROR(__xludf.DUMMYFUNCTION("IMPORTRANGE(""https://docs.google.com/spreadsheets/d/1MeEWN-I1oV_STSDYn1IFDPWt_1FKiwhDph83XaGc0o0/edit?usp=sharing"",""งบพรบ!DF47"")"),23900)</f>
        <v>23900</v>
      </c>
      <c r="M47" s="79">
        <f t="shared" ca="1" si="5"/>
        <v>88.847583643122675</v>
      </c>
      <c r="N47" s="79">
        <f t="shared" ca="1" si="6"/>
        <v>88.847583643122675</v>
      </c>
      <c r="O47" s="80">
        <f ca="1">IFERROR(__xludf.DUMMYFUNCTION("IMPORTRANGE(""https://docs.google.com/spreadsheets/d/1MeEWN-I1oV_STSDYn1IFDPWt_1FKiwhDph83XaGc0o0/edit?usp=sharing"",""งบพรบ!DG47"")"),0)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IFERROR(__xludf.DUMMYFUNCTION("IMPORTRANGE(""https://docs.google.com/spreadsheets/d/1GVExpf-Exi_2gmuqTYH28fseTB9MoKPXWcXCbSt_YrM/edit?usp=sharing"",""หนองคาย!I271"")"),22)</f>
        <v>22</v>
      </c>
      <c r="S47" s="81">
        <f ca="1">IFERROR(__xludf.DUMMYFUNCTION("IMPORTRANGE(""https://docs.google.com/spreadsheets/d/1GVExpf-Exi_2gmuqTYH28fseTB9MoKPXWcXCbSt_YrM/edit?usp=sharing"",""หนองคาย!J271"")"),22)</f>
        <v>22</v>
      </c>
      <c r="T47" s="82">
        <f t="shared" ca="1" si="16"/>
        <v>100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26900</v>
      </c>
      <c r="D48" s="76">
        <f t="shared" ca="1" si="23"/>
        <v>26900</v>
      </c>
      <c r="E48" s="77">
        <f ca="1">IFERROR(__xludf.DUMMYFUNCTION("IMPORTRANGE(""https://docs.google.com/spreadsheets/d/1MeEWN-I1oV_STSDYn1IFDPWt_1FKiwhDph83XaGc0o0/edit?usp=sharing"",""งบพรบ!CZ48"")"),0)</f>
        <v>0</v>
      </c>
      <c r="F48" s="77">
        <f ca="1">IFERROR(__xludf.DUMMYFUNCTION("IMPORTRANGE(""https://docs.google.com/spreadsheets/d/1MeEWN-I1oV_STSDYn1IFDPWt_1FKiwhDph83XaGc0o0/edit?usp=sharing"",""งบพรบ!DA48"")"),26900)</f>
        <v>26900</v>
      </c>
      <c r="G48" s="77">
        <f ca="1">IFERROR(__xludf.DUMMYFUNCTION("IMPORTRANGE(""https://docs.google.com/spreadsheets/d/1MeEWN-I1oV_STSDYn1IFDPWt_1FKiwhDph83XaGc0o0/edit?usp=sharing"",""งบพรบ!DB48"")"),0)</f>
        <v>0</v>
      </c>
      <c r="H48" s="77">
        <f ca="1">IFERROR(__xludf.DUMMYFUNCTION("IMPORTRANGE(""https://docs.google.com/spreadsheets/d/1MeEWN-I1oV_STSDYn1IFDPWt_1FKiwhDph83XaGc0o0/edit?usp=sharing"",""งบพรบ!DD48"")"),26900)</f>
        <v>26900</v>
      </c>
      <c r="I48" s="77">
        <f ca="1">IFERROR(__xludf.DUMMYFUNCTION("IMPORTRANGE(""https://docs.google.com/spreadsheets/d/1MeEWN-I1oV_STSDYn1IFDPWt_1FKiwhDph83XaGc0o0/edit?usp=sharing"",""งบพรบ!DE48"")"),0)</f>
        <v>0</v>
      </c>
      <c r="J48" s="77">
        <f t="shared" ca="1" si="3"/>
        <v>26900</v>
      </c>
      <c r="K48" s="78">
        <f t="shared" ca="1" si="4"/>
        <v>100</v>
      </c>
      <c r="L48" s="77">
        <f ca="1">IFERROR(__xludf.DUMMYFUNCTION("IMPORTRANGE(""https://docs.google.com/spreadsheets/d/1MeEWN-I1oV_STSDYn1IFDPWt_1FKiwhDph83XaGc0o0/edit?usp=sharing"",""งบพรบ!DF48"")"),26900)</f>
        <v>26900</v>
      </c>
      <c r="M48" s="79">
        <f t="shared" ca="1" si="5"/>
        <v>100</v>
      </c>
      <c r="N48" s="79">
        <f t="shared" ca="1" si="6"/>
        <v>100</v>
      </c>
      <c r="O48" s="80">
        <f ca="1">IFERROR(__xludf.DUMMYFUNCTION("IMPORTRANGE(""https://docs.google.com/spreadsheets/d/1MeEWN-I1oV_STSDYn1IFDPWt_1FKiwhDph83XaGc0o0/edit?usp=sharing"",""งบพรบ!DG48"")"),0)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IFERROR(__xludf.DUMMYFUNCTION("IMPORTRANGE(""https://docs.google.com/spreadsheets/d/16UeMz0UgOB5BZcoxP75eYGcLFtGYRn9GoesD4OX9m5U/edit?usp=sharing"",""หนองบัวลำภู!I271"")"),22)</f>
        <v>22</v>
      </c>
      <c r="S48" s="81">
        <f ca="1">IFERROR(__xludf.DUMMYFUNCTION("IMPORTRANGE(""https://docs.google.com/spreadsheets/d/16UeMz0UgOB5BZcoxP75eYGcLFtGYRn9GoesD4OX9m5U/edit?usp=sharing"",""หนองบัวลำภู!J271"")"),22)</f>
        <v>22</v>
      </c>
      <c r="T48" s="82">
        <f t="shared" ca="1" si="16"/>
        <v>100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28800</v>
      </c>
      <c r="D49" s="76">
        <f t="shared" ca="1" si="23"/>
        <v>28800</v>
      </c>
      <c r="E49" s="77">
        <f ca="1">IFERROR(__xludf.DUMMYFUNCTION("IMPORTRANGE(""https://docs.google.com/spreadsheets/d/1MeEWN-I1oV_STSDYn1IFDPWt_1FKiwhDph83XaGc0o0/edit?usp=sharing"",""งบพรบ!CZ49"")"),0)</f>
        <v>0</v>
      </c>
      <c r="F49" s="77">
        <f ca="1">IFERROR(__xludf.DUMMYFUNCTION("IMPORTRANGE(""https://docs.google.com/spreadsheets/d/1MeEWN-I1oV_STSDYn1IFDPWt_1FKiwhDph83XaGc0o0/edit?usp=sharing"",""งบพรบ!DA49"")"),28800)</f>
        <v>28800</v>
      </c>
      <c r="G49" s="77">
        <f ca="1">IFERROR(__xludf.DUMMYFUNCTION("IMPORTRANGE(""https://docs.google.com/spreadsheets/d/1MeEWN-I1oV_STSDYn1IFDPWt_1FKiwhDph83XaGc0o0/edit?usp=sharing"",""งบพรบ!DB49"")"),0)</f>
        <v>0</v>
      </c>
      <c r="H49" s="77">
        <f ca="1">IFERROR(__xludf.DUMMYFUNCTION("IMPORTRANGE(""https://docs.google.com/spreadsheets/d/1MeEWN-I1oV_STSDYn1IFDPWt_1FKiwhDph83XaGc0o0/edit?usp=sharing"",""งบพรบ!DD49"")"),28800)</f>
        <v>28800</v>
      </c>
      <c r="I49" s="77">
        <f ca="1">IFERROR(__xludf.DUMMYFUNCTION("IMPORTRANGE(""https://docs.google.com/spreadsheets/d/1MeEWN-I1oV_STSDYn1IFDPWt_1FKiwhDph83XaGc0o0/edit?usp=sharing"",""งบพรบ!DE49"")"),0)</f>
        <v>0</v>
      </c>
      <c r="J49" s="77">
        <f t="shared" ca="1" si="3"/>
        <v>28800</v>
      </c>
      <c r="K49" s="78">
        <f t="shared" ca="1" si="4"/>
        <v>100</v>
      </c>
      <c r="L49" s="77">
        <f ca="1">IFERROR(__xludf.DUMMYFUNCTION("IMPORTRANGE(""https://docs.google.com/spreadsheets/d/1MeEWN-I1oV_STSDYn1IFDPWt_1FKiwhDph83XaGc0o0/edit?usp=sharing"",""งบพรบ!DF49"")"),28800)</f>
        <v>28800</v>
      </c>
      <c r="M49" s="79">
        <f t="shared" ca="1" si="5"/>
        <v>100</v>
      </c>
      <c r="N49" s="79">
        <f t="shared" ca="1" si="6"/>
        <v>100</v>
      </c>
      <c r="O49" s="80">
        <f ca="1">IFERROR(__xludf.DUMMYFUNCTION("IMPORTRANGE(""https://docs.google.com/spreadsheets/d/1MeEWN-I1oV_STSDYn1IFDPWt_1FKiwhDph83XaGc0o0/edit?usp=sharing"",""งบพรบ!DG49"")"),0)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IFERROR(__xludf.DUMMYFUNCTION("IMPORTRANGE(""https://docs.google.com/spreadsheets/d/1uUP8Zo1-qaJLuIkRU0qlwLSE3DHkbdrrj2JGJiWBQZE/edit?usp=sharing"",""อำนาจเจริญ!I271"")"),24)</f>
        <v>24</v>
      </c>
      <c r="S49" s="81">
        <f ca="1">IFERROR(__xludf.DUMMYFUNCTION("IMPORTRANGE(""https://docs.google.com/spreadsheets/d/1uUP8Zo1-qaJLuIkRU0qlwLSE3DHkbdrrj2JGJiWBQZE/edit?usp=sharing"",""อำนาจเจริญ!J271"")"),24)</f>
        <v>24</v>
      </c>
      <c r="T49" s="82">
        <f t="shared" ca="1" si="16"/>
        <v>100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25000</v>
      </c>
      <c r="D50" s="76">
        <f t="shared" ca="1" si="23"/>
        <v>25000</v>
      </c>
      <c r="E50" s="77">
        <f ca="1">IFERROR(__xludf.DUMMYFUNCTION("IMPORTRANGE(""https://docs.google.com/spreadsheets/d/1MeEWN-I1oV_STSDYn1IFDPWt_1FKiwhDph83XaGc0o0/edit?usp=sharing"",""งบพรบ!CZ50"")"),0)</f>
        <v>0</v>
      </c>
      <c r="F50" s="77">
        <f ca="1">IFERROR(__xludf.DUMMYFUNCTION("IMPORTRANGE(""https://docs.google.com/spreadsheets/d/1MeEWN-I1oV_STSDYn1IFDPWt_1FKiwhDph83XaGc0o0/edit?usp=sharing"",""งบพรบ!DA50"")"),25000)</f>
        <v>25000</v>
      </c>
      <c r="G50" s="77">
        <f ca="1">IFERROR(__xludf.DUMMYFUNCTION("IMPORTRANGE(""https://docs.google.com/spreadsheets/d/1MeEWN-I1oV_STSDYn1IFDPWt_1FKiwhDph83XaGc0o0/edit?usp=sharing"",""งบพรบ!DB50"")"),0)</f>
        <v>0</v>
      </c>
      <c r="H50" s="77">
        <f ca="1">IFERROR(__xludf.DUMMYFUNCTION("IMPORTRANGE(""https://docs.google.com/spreadsheets/d/1MeEWN-I1oV_STSDYn1IFDPWt_1FKiwhDph83XaGc0o0/edit?usp=sharing"",""งบพรบ!DD50"")"),25000)</f>
        <v>25000</v>
      </c>
      <c r="I50" s="77">
        <f ca="1">IFERROR(__xludf.DUMMYFUNCTION("IMPORTRANGE(""https://docs.google.com/spreadsheets/d/1MeEWN-I1oV_STSDYn1IFDPWt_1FKiwhDph83XaGc0o0/edit?usp=sharing"",""งบพรบ!DE50"")"),0)</f>
        <v>0</v>
      </c>
      <c r="J50" s="77">
        <f t="shared" ca="1" si="3"/>
        <v>22000</v>
      </c>
      <c r="K50" s="78">
        <f t="shared" ca="1" si="4"/>
        <v>88</v>
      </c>
      <c r="L50" s="77">
        <f ca="1">IFERROR(__xludf.DUMMYFUNCTION("IMPORTRANGE(""https://docs.google.com/spreadsheets/d/1MeEWN-I1oV_STSDYn1IFDPWt_1FKiwhDph83XaGc0o0/edit?usp=sharing"",""งบพรบ!DF50"")"),22000)</f>
        <v>22000</v>
      </c>
      <c r="M50" s="79">
        <f t="shared" ca="1" si="5"/>
        <v>88</v>
      </c>
      <c r="N50" s="79">
        <f t="shared" ca="1" si="6"/>
        <v>88</v>
      </c>
      <c r="O50" s="80">
        <f ca="1">IFERROR(__xludf.DUMMYFUNCTION("IMPORTRANGE(""https://docs.google.com/spreadsheets/d/1MeEWN-I1oV_STSDYn1IFDPWt_1FKiwhDph83XaGc0o0/edit?usp=sharing"",""งบพรบ!DG50"")"),0)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IFERROR(__xludf.DUMMYFUNCTION("IMPORTRANGE(""https://docs.google.com/spreadsheets/d/1hb_taSOHanzRjqfzWPiFo8yiT83VV1L7vvUCLhOiHKc/edit?usp=sharing"",""อุดรธานี!I271"")"),20)</f>
        <v>20</v>
      </c>
      <c r="S50" s="81">
        <f ca="1">IFERROR(__xludf.DUMMYFUNCTION("IMPORTRANGE(""https://docs.google.com/spreadsheets/d/1hb_taSOHanzRjqfzWPiFo8yiT83VV1L7vvUCLhOiHKc/edit?usp=sharing"",""อุดรธานี!J271"")"),20)</f>
        <v>20</v>
      </c>
      <c r="T50" s="82">
        <f t="shared" ca="1" si="16"/>
        <v>100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28800</v>
      </c>
      <c r="D51" s="87">
        <f t="shared" ca="1" si="23"/>
        <v>28800</v>
      </c>
      <c r="E51" s="88">
        <f ca="1">IFERROR(__xludf.DUMMYFUNCTION("IMPORTRANGE(""https://docs.google.com/spreadsheets/d/1MeEWN-I1oV_STSDYn1IFDPWt_1FKiwhDph83XaGc0o0/edit?usp=sharing"",""งบพรบ!CZ51"")"),0)</f>
        <v>0</v>
      </c>
      <c r="F51" s="88">
        <f ca="1">IFERROR(__xludf.DUMMYFUNCTION("IMPORTRANGE(""https://docs.google.com/spreadsheets/d/1MeEWN-I1oV_STSDYn1IFDPWt_1FKiwhDph83XaGc0o0/edit?usp=sharing"",""งบพรบ!DA51"")"),28800)</f>
        <v>28800</v>
      </c>
      <c r="G51" s="88">
        <f ca="1">IFERROR(__xludf.DUMMYFUNCTION("IMPORTRANGE(""https://docs.google.com/spreadsheets/d/1MeEWN-I1oV_STSDYn1IFDPWt_1FKiwhDph83XaGc0o0/edit?usp=sharing"",""งบพรบ!DB51"")"),0)</f>
        <v>0</v>
      </c>
      <c r="H51" s="88">
        <f ca="1">IFERROR(__xludf.DUMMYFUNCTION("IMPORTRANGE(""https://docs.google.com/spreadsheets/d/1MeEWN-I1oV_STSDYn1IFDPWt_1FKiwhDph83XaGc0o0/edit?usp=sharing"",""งบพรบ!DD51"")"),28800)</f>
        <v>28800</v>
      </c>
      <c r="I51" s="88">
        <f ca="1">IFERROR(__xludf.DUMMYFUNCTION("IMPORTRANGE(""https://docs.google.com/spreadsheets/d/1MeEWN-I1oV_STSDYn1IFDPWt_1FKiwhDph83XaGc0o0/edit?usp=sharing"",""งบพรบ!DE51"")"),0)</f>
        <v>0</v>
      </c>
      <c r="J51" s="88">
        <f t="shared" ca="1" si="3"/>
        <v>28800</v>
      </c>
      <c r="K51" s="89">
        <f t="shared" ca="1" si="4"/>
        <v>100</v>
      </c>
      <c r="L51" s="88">
        <f ca="1">IFERROR(__xludf.DUMMYFUNCTION("IMPORTRANGE(""https://docs.google.com/spreadsheets/d/1MeEWN-I1oV_STSDYn1IFDPWt_1FKiwhDph83XaGc0o0/edit?usp=sharing"",""งบพรบ!DF51"")"),28800)</f>
        <v>28800</v>
      </c>
      <c r="M51" s="90">
        <f t="shared" ca="1" si="5"/>
        <v>100</v>
      </c>
      <c r="N51" s="90">
        <f t="shared" ca="1" si="6"/>
        <v>100</v>
      </c>
      <c r="O51" s="91">
        <f ca="1">IFERROR(__xludf.DUMMYFUNCTION("IMPORTRANGE(""https://docs.google.com/spreadsheets/d/1MeEWN-I1oV_STSDYn1IFDPWt_1FKiwhDph83XaGc0o0/edit?usp=sharing"",""งบพรบ!DG51"")"),0)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IFERROR(__xludf.DUMMYFUNCTION("IMPORTRANGE(""https://docs.google.com/spreadsheets/d/17IOkEwkUd63EGNfyNDnM5de9YlZ7rwzTiW6-dokVjKI/edit?usp=sharing"",""อุบลราชธานี!I271"")"),24)</f>
        <v>24</v>
      </c>
      <c r="S51" s="92">
        <f ca="1">IFERROR(__xludf.DUMMYFUNCTION("IMPORTRANGE(""https://docs.google.com/spreadsheets/d/17IOkEwkUd63EGNfyNDnM5de9YlZ7rwzTiW6-dokVjKI/edit?usp=sharing"",""อุบลราชธานี!J271"")"),24)</f>
        <v>24</v>
      </c>
      <c r="T51" s="93">
        <f t="shared" ca="1" si="16"/>
        <v>100</v>
      </c>
    </row>
    <row r="52" spans="1:20" ht="21" customHeight="1" x14ac:dyDescent="0.2">
      <c r="A52" s="385" t="s">
        <v>74</v>
      </c>
      <c r="B52" s="384"/>
      <c r="C52" s="94">
        <f t="shared" ca="1" si="0"/>
        <v>830000</v>
      </c>
      <c r="D52" s="57">
        <f t="shared" ref="D52:I52" ca="1" si="24">SUM(D53:D73)</f>
        <v>830000</v>
      </c>
      <c r="E52" s="57">
        <f t="shared" ca="1" si="24"/>
        <v>286000</v>
      </c>
      <c r="F52" s="57">
        <f t="shared" ca="1" si="24"/>
        <v>544000</v>
      </c>
      <c r="G52" s="57">
        <f t="shared" ca="1" si="24"/>
        <v>0</v>
      </c>
      <c r="H52" s="57">
        <f t="shared" ca="1" si="24"/>
        <v>830000</v>
      </c>
      <c r="I52" s="57">
        <f t="shared" ca="1" si="24"/>
        <v>0</v>
      </c>
      <c r="J52" s="57">
        <f t="shared" ca="1" si="3"/>
        <v>782988.67999999993</v>
      </c>
      <c r="K52" s="95">
        <f t="shared" ca="1" si="4"/>
        <v>94.335985542168672</v>
      </c>
      <c r="L52" s="57">
        <f ca="1">SUM(L53:L73)</f>
        <v>782988.67999999993</v>
      </c>
      <c r="M52" s="96">
        <f t="shared" ca="1" si="5"/>
        <v>94.335985542168672</v>
      </c>
      <c r="N52" s="96">
        <f t="shared" ca="1" si="6"/>
        <v>94.335985542168672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440</v>
      </c>
      <c r="S52" s="57">
        <f t="shared" ca="1" si="25"/>
        <v>440</v>
      </c>
      <c r="T52" s="96">
        <f t="shared" ca="1" si="16"/>
        <v>100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32600</v>
      </c>
      <c r="D53" s="66">
        <f t="shared" ref="D53:D73" ca="1" si="26">+E53+F53</f>
        <v>32600</v>
      </c>
      <c r="E53" s="67">
        <f ca="1">IFERROR(__xludf.DUMMYFUNCTION("IMPORTRANGE(""https://docs.google.com/spreadsheets/d/1MeEWN-I1oV_STSDYn1IFDPWt_1FKiwhDph83XaGc0o0/edit?usp=sharing"",""งบพรบ!CZ53"")"),0)</f>
        <v>0</v>
      </c>
      <c r="F53" s="67">
        <f ca="1">IFERROR(__xludf.DUMMYFUNCTION("IMPORTRANGE(""https://docs.google.com/spreadsheets/d/1MeEWN-I1oV_STSDYn1IFDPWt_1FKiwhDph83XaGc0o0/edit?usp=sharing"",""งบพรบ!DA53"")"),32600)</f>
        <v>32600</v>
      </c>
      <c r="G53" s="68">
        <f ca="1">IFERROR(__xludf.DUMMYFUNCTION("IMPORTRANGE(""https://docs.google.com/spreadsheets/d/1MeEWN-I1oV_STSDYn1IFDPWt_1FKiwhDph83XaGc0o0/edit?usp=sharing"",""งบพรบ!DB53"")"),0)</f>
        <v>0</v>
      </c>
      <c r="H53" s="68">
        <f ca="1">IFERROR(__xludf.DUMMYFUNCTION("IMPORTRANGE(""https://docs.google.com/spreadsheets/d/1MeEWN-I1oV_STSDYn1IFDPWt_1FKiwhDph83XaGc0o0/edit?usp=sharing"",""งบพรบ!DD53"")"),32600)</f>
        <v>32600</v>
      </c>
      <c r="I53" s="68">
        <f ca="1">IFERROR(__xludf.DUMMYFUNCTION("IMPORTRANGE(""https://docs.google.com/spreadsheets/d/1MeEWN-I1oV_STSDYn1IFDPWt_1FKiwhDph83XaGc0o0/edit?usp=sharing"",""งบพรบ!DE53"")"),0)</f>
        <v>0</v>
      </c>
      <c r="J53" s="68">
        <f t="shared" ca="1" si="3"/>
        <v>31360</v>
      </c>
      <c r="K53" s="69">
        <f t="shared" ca="1" si="4"/>
        <v>96.196319018404907</v>
      </c>
      <c r="L53" s="68">
        <f ca="1">IFERROR(__xludf.DUMMYFUNCTION("IMPORTRANGE(""https://docs.google.com/spreadsheets/d/1MeEWN-I1oV_STSDYn1IFDPWt_1FKiwhDph83XaGc0o0/edit?usp=sharing"",""งบพรบ!DF53"")"),31360)</f>
        <v>31360</v>
      </c>
      <c r="M53" s="70">
        <f t="shared" ca="1" si="5"/>
        <v>96.196319018404907</v>
      </c>
      <c r="N53" s="70">
        <f t="shared" ca="1" si="6"/>
        <v>96.196319018404907</v>
      </c>
      <c r="O53" s="71">
        <f ca="1">IFERROR(__xludf.DUMMYFUNCTION("IMPORTRANGE(""https://docs.google.com/spreadsheets/d/1MeEWN-I1oV_STSDYn1IFDPWt_1FKiwhDph83XaGc0o0/edit?usp=sharing"",""งบพรบ!DG53"")"),0)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IFERROR(__xludf.DUMMYFUNCTION("IMPORTRANGE(""https://docs.google.com/spreadsheets/d/1hKO5uv94SSRZWOvrh72HRcpyoEQF9TsE_Cvxl77XNU4/edit?usp=sharing"",""กาญจนบุรี!I271"")"),28)</f>
        <v>28</v>
      </c>
      <c r="S53" s="68">
        <f ca="1">IFERROR(__xludf.DUMMYFUNCTION("IMPORTRANGE(""https://docs.google.com/spreadsheets/d/1hKO5uv94SSRZWOvrh72HRcpyoEQF9TsE_Cvxl77XNU4/edit?usp=sharing"",""กาญจนบุรี!J271"")"),28)</f>
        <v>28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26900</v>
      </c>
      <c r="D54" s="76">
        <f t="shared" ca="1" si="26"/>
        <v>26900</v>
      </c>
      <c r="E54" s="77">
        <f ca="1">IFERROR(__xludf.DUMMYFUNCTION("IMPORTRANGE(""https://docs.google.com/spreadsheets/d/1MeEWN-I1oV_STSDYn1IFDPWt_1FKiwhDph83XaGc0o0/edit?usp=sharing"",""งบพรบ!CZ54"")"),0)</f>
        <v>0</v>
      </c>
      <c r="F54" s="77">
        <f ca="1">IFERROR(__xludf.DUMMYFUNCTION("IMPORTRANGE(""https://docs.google.com/spreadsheets/d/1MeEWN-I1oV_STSDYn1IFDPWt_1FKiwhDph83XaGc0o0/edit?usp=sharing"",""งบพรบ!DA54"")"),26900)</f>
        <v>26900</v>
      </c>
      <c r="G54" s="77">
        <f ca="1">IFERROR(__xludf.DUMMYFUNCTION("IMPORTRANGE(""https://docs.google.com/spreadsheets/d/1MeEWN-I1oV_STSDYn1IFDPWt_1FKiwhDph83XaGc0o0/edit?usp=sharing"",""งบพรบ!DB54"")"),0)</f>
        <v>0</v>
      </c>
      <c r="H54" s="77">
        <f ca="1">IFERROR(__xludf.DUMMYFUNCTION("IMPORTRANGE(""https://docs.google.com/spreadsheets/d/1MeEWN-I1oV_STSDYn1IFDPWt_1FKiwhDph83XaGc0o0/edit?usp=sharing"",""งบพรบ!DD54"")"),26900)</f>
        <v>26900</v>
      </c>
      <c r="I54" s="77">
        <f ca="1">IFERROR(__xludf.DUMMYFUNCTION("IMPORTRANGE(""https://docs.google.com/spreadsheets/d/1MeEWN-I1oV_STSDYn1IFDPWt_1FKiwhDph83XaGc0o0/edit?usp=sharing"",""งบพรบ!DE54"")"),0)</f>
        <v>0</v>
      </c>
      <c r="J54" s="77">
        <f t="shared" ca="1" si="3"/>
        <v>23900</v>
      </c>
      <c r="K54" s="78">
        <f t="shared" ca="1" si="4"/>
        <v>88.847583643122675</v>
      </c>
      <c r="L54" s="77">
        <f ca="1">IFERROR(__xludf.DUMMYFUNCTION("IMPORTRANGE(""https://docs.google.com/spreadsheets/d/1MeEWN-I1oV_STSDYn1IFDPWt_1FKiwhDph83XaGc0o0/edit?usp=sharing"",""งบพรบ!DF54"")"),23900)</f>
        <v>23900</v>
      </c>
      <c r="M54" s="79">
        <f t="shared" ca="1" si="5"/>
        <v>88.847583643122675</v>
      </c>
      <c r="N54" s="79">
        <f t="shared" ca="1" si="6"/>
        <v>88.847583643122675</v>
      </c>
      <c r="O54" s="80">
        <f ca="1">IFERROR(__xludf.DUMMYFUNCTION("IMPORTRANGE(""https://docs.google.com/spreadsheets/d/1MeEWN-I1oV_STSDYn1IFDPWt_1FKiwhDph83XaGc0o0/edit?usp=sharing"",""งบพรบ!DG54"")"),0)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IFERROR(__xludf.DUMMYFUNCTION("IMPORTRANGE(""https://docs.google.com/spreadsheets/d/1njBaP_xXd-Uotvo2D9zb01TTCFkLJLDK97Tk1l9Qux0/edit?usp=sharing"",""จันทบุรี!I271"")"),22)</f>
        <v>22</v>
      </c>
      <c r="S54" s="81">
        <f ca="1">IFERROR(__xludf.DUMMYFUNCTION("IMPORTRANGE(""https://docs.google.com/spreadsheets/d/1njBaP_xXd-Uotvo2D9zb01TTCFkLJLDK97Tk1l9Qux0/edit?usp=sharing"",""จันทบุรี!J271"")"),22)</f>
        <v>22</v>
      </c>
      <c r="T54" s="82">
        <f t="shared" ca="1" si="16"/>
        <v>100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26900</v>
      </c>
      <c r="D55" s="76">
        <f t="shared" ca="1" si="26"/>
        <v>26900</v>
      </c>
      <c r="E55" s="77">
        <f ca="1">IFERROR(__xludf.DUMMYFUNCTION("IMPORTRANGE(""https://docs.google.com/spreadsheets/d/1MeEWN-I1oV_STSDYn1IFDPWt_1FKiwhDph83XaGc0o0/edit?usp=sharing"",""งบพรบ!CZ55"")"),0)</f>
        <v>0</v>
      </c>
      <c r="F55" s="77">
        <f ca="1">IFERROR(__xludf.DUMMYFUNCTION("IMPORTRANGE(""https://docs.google.com/spreadsheets/d/1MeEWN-I1oV_STSDYn1IFDPWt_1FKiwhDph83XaGc0o0/edit?usp=sharing"",""งบพรบ!DA55"")"),26900)</f>
        <v>26900</v>
      </c>
      <c r="G55" s="77">
        <f ca="1">IFERROR(__xludf.DUMMYFUNCTION("IMPORTRANGE(""https://docs.google.com/spreadsheets/d/1MeEWN-I1oV_STSDYn1IFDPWt_1FKiwhDph83XaGc0o0/edit?usp=sharing"",""งบพรบ!DB55"")"),0)</f>
        <v>0</v>
      </c>
      <c r="H55" s="77">
        <f ca="1">IFERROR(__xludf.DUMMYFUNCTION("IMPORTRANGE(""https://docs.google.com/spreadsheets/d/1MeEWN-I1oV_STSDYn1IFDPWt_1FKiwhDph83XaGc0o0/edit?usp=sharing"",""งบพรบ!DD55"")"),26900)</f>
        <v>26900</v>
      </c>
      <c r="I55" s="77">
        <f ca="1">IFERROR(__xludf.DUMMYFUNCTION("IMPORTRANGE(""https://docs.google.com/spreadsheets/d/1MeEWN-I1oV_STSDYn1IFDPWt_1FKiwhDph83XaGc0o0/edit?usp=sharing"",""งบพรบ!DE55"")"),0)</f>
        <v>0</v>
      </c>
      <c r="J55" s="77">
        <f t="shared" ca="1" si="3"/>
        <v>26900</v>
      </c>
      <c r="K55" s="78">
        <f t="shared" ca="1" si="4"/>
        <v>100</v>
      </c>
      <c r="L55" s="77">
        <f ca="1">IFERROR(__xludf.DUMMYFUNCTION("IMPORTRANGE(""https://docs.google.com/spreadsheets/d/1MeEWN-I1oV_STSDYn1IFDPWt_1FKiwhDph83XaGc0o0/edit?usp=sharing"",""งบพรบ!DF55"")"),26900)</f>
        <v>26900</v>
      </c>
      <c r="M55" s="79">
        <f t="shared" ca="1" si="5"/>
        <v>100</v>
      </c>
      <c r="N55" s="79">
        <f t="shared" ca="1" si="6"/>
        <v>100</v>
      </c>
      <c r="O55" s="80">
        <f ca="1">IFERROR(__xludf.DUMMYFUNCTION("IMPORTRANGE(""https://docs.google.com/spreadsheets/d/1MeEWN-I1oV_STSDYn1IFDPWt_1FKiwhDph83XaGc0o0/edit?usp=sharing"",""งบพรบ!DG55"")"),0)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IFERROR(__xludf.DUMMYFUNCTION("IMPORTRANGE(""https://docs.google.com/spreadsheets/d/14xp6qUzrGFnUk_qnc1eEmfiaNRd4_grkhpfQH_46fa8/edit?usp=sharing"",""ฉะเชิงเทรา!I271"")"),22)</f>
        <v>22</v>
      </c>
      <c r="S55" s="81">
        <f ca="1">IFERROR(__xludf.DUMMYFUNCTION("IMPORTRANGE(""https://docs.google.com/spreadsheets/d/14xp6qUzrGFnUk_qnc1eEmfiaNRd4_grkhpfQH_46fa8/edit?usp=sharing"",""ฉะเชิงเทรา!J271"")"),22)</f>
        <v>22</v>
      </c>
      <c r="T55" s="82">
        <f t="shared" ca="1" si="16"/>
        <v>100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25000</v>
      </c>
      <c r="D56" s="76">
        <f t="shared" ca="1" si="26"/>
        <v>25000</v>
      </c>
      <c r="E56" s="77">
        <f ca="1">IFERROR(__xludf.DUMMYFUNCTION("IMPORTRANGE(""https://docs.google.com/spreadsheets/d/1MeEWN-I1oV_STSDYn1IFDPWt_1FKiwhDph83XaGc0o0/edit?usp=sharing"",""งบพรบ!CZ56"")"),0)</f>
        <v>0</v>
      </c>
      <c r="F56" s="77">
        <f ca="1">IFERROR(__xludf.DUMMYFUNCTION("IMPORTRANGE(""https://docs.google.com/spreadsheets/d/1MeEWN-I1oV_STSDYn1IFDPWt_1FKiwhDph83XaGc0o0/edit?usp=sharing"",""งบพรบ!DA56"")"),25000)</f>
        <v>25000</v>
      </c>
      <c r="G56" s="77">
        <f ca="1">IFERROR(__xludf.DUMMYFUNCTION("IMPORTRANGE(""https://docs.google.com/spreadsheets/d/1MeEWN-I1oV_STSDYn1IFDPWt_1FKiwhDph83XaGc0o0/edit?usp=sharing"",""งบพรบ!DB56"")"),0)</f>
        <v>0</v>
      </c>
      <c r="H56" s="77">
        <f ca="1">IFERROR(__xludf.DUMMYFUNCTION("IMPORTRANGE(""https://docs.google.com/spreadsheets/d/1MeEWN-I1oV_STSDYn1IFDPWt_1FKiwhDph83XaGc0o0/edit?usp=sharing"",""งบพรบ!DD56"")"),25000)</f>
        <v>25000</v>
      </c>
      <c r="I56" s="77">
        <f ca="1">IFERROR(__xludf.DUMMYFUNCTION("IMPORTRANGE(""https://docs.google.com/spreadsheets/d/1MeEWN-I1oV_STSDYn1IFDPWt_1FKiwhDph83XaGc0o0/edit?usp=sharing"",""งบพรบ!DE56"")"),0)</f>
        <v>0</v>
      </c>
      <c r="J56" s="77">
        <f t="shared" ca="1" si="3"/>
        <v>25000</v>
      </c>
      <c r="K56" s="78">
        <f t="shared" ca="1" si="4"/>
        <v>100</v>
      </c>
      <c r="L56" s="77">
        <f ca="1">IFERROR(__xludf.DUMMYFUNCTION("IMPORTRANGE(""https://docs.google.com/spreadsheets/d/1MeEWN-I1oV_STSDYn1IFDPWt_1FKiwhDph83XaGc0o0/edit?usp=sharing"",""งบพรบ!DF56"")"),25000)</f>
        <v>25000</v>
      </c>
      <c r="M56" s="79">
        <f t="shared" ca="1" si="5"/>
        <v>100</v>
      </c>
      <c r="N56" s="79">
        <f t="shared" ca="1" si="6"/>
        <v>100</v>
      </c>
      <c r="O56" s="80">
        <f ca="1">IFERROR(__xludf.DUMMYFUNCTION("IMPORTRANGE(""https://docs.google.com/spreadsheets/d/1MeEWN-I1oV_STSDYn1IFDPWt_1FKiwhDph83XaGc0o0/edit?usp=sharing"",""งบพรบ!DG56"")"),0)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IFERROR(__xludf.DUMMYFUNCTION("IMPORTRANGE(""https://docs.google.com/spreadsheets/d/1_Zwps30dlVa-pZFsorjVf1Pil6WXwzCsJU0U2whO3NI/edit?usp=sharing"",""ชลบุรี!I271"")"),20)</f>
        <v>20</v>
      </c>
      <c r="S56" s="81">
        <f ca="1">IFERROR(__xludf.DUMMYFUNCTION("IMPORTRANGE(""https://docs.google.com/spreadsheets/d/1_Zwps30dlVa-pZFsorjVf1Pil6WXwzCsJU0U2whO3NI/edit?usp=sharing"",""ชลบุรี!J271"")"),20)</f>
        <v>20</v>
      </c>
      <c r="T56" s="82">
        <f t="shared" ca="1" si="16"/>
        <v>100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26900</v>
      </c>
      <c r="D57" s="76">
        <f t="shared" ca="1" si="26"/>
        <v>26900</v>
      </c>
      <c r="E57" s="77">
        <f ca="1">IFERROR(__xludf.DUMMYFUNCTION("IMPORTRANGE(""https://docs.google.com/spreadsheets/d/1MeEWN-I1oV_STSDYn1IFDPWt_1FKiwhDph83XaGc0o0/edit?usp=sharing"",""งบพรบ!CZ57"")"),0)</f>
        <v>0</v>
      </c>
      <c r="F57" s="77">
        <f ca="1">IFERROR(__xludf.DUMMYFUNCTION("IMPORTRANGE(""https://docs.google.com/spreadsheets/d/1MeEWN-I1oV_STSDYn1IFDPWt_1FKiwhDph83XaGc0o0/edit?usp=sharing"",""งบพรบ!DA57"")"),26900)</f>
        <v>26900</v>
      </c>
      <c r="G57" s="77">
        <f ca="1">IFERROR(__xludf.DUMMYFUNCTION("IMPORTRANGE(""https://docs.google.com/spreadsheets/d/1MeEWN-I1oV_STSDYn1IFDPWt_1FKiwhDph83XaGc0o0/edit?usp=sharing"",""งบพรบ!DB57"")"),0)</f>
        <v>0</v>
      </c>
      <c r="H57" s="77">
        <f ca="1">IFERROR(__xludf.DUMMYFUNCTION("IMPORTRANGE(""https://docs.google.com/spreadsheets/d/1MeEWN-I1oV_STSDYn1IFDPWt_1FKiwhDph83XaGc0o0/edit?usp=sharing"",""งบพรบ!DD57"")"),26900)</f>
        <v>26900</v>
      </c>
      <c r="I57" s="77">
        <f ca="1">IFERROR(__xludf.DUMMYFUNCTION("IMPORTRANGE(""https://docs.google.com/spreadsheets/d/1MeEWN-I1oV_STSDYn1IFDPWt_1FKiwhDph83XaGc0o0/edit?usp=sharing"",""งบพรบ!DE57"")"),0)</f>
        <v>0</v>
      </c>
      <c r="J57" s="77">
        <f t="shared" ca="1" si="3"/>
        <v>25650</v>
      </c>
      <c r="K57" s="78">
        <f t="shared" ca="1" si="4"/>
        <v>95.353159851301115</v>
      </c>
      <c r="L57" s="77">
        <f ca="1">IFERROR(__xludf.DUMMYFUNCTION("IMPORTRANGE(""https://docs.google.com/spreadsheets/d/1MeEWN-I1oV_STSDYn1IFDPWt_1FKiwhDph83XaGc0o0/edit?usp=sharing"",""งบพรบ!DF57"")"),25650)</f>
        <v>25650</v>
      </c>
      <c r="M57" s="79">
        <f t="shared" ca="1" si="5"/>
        <v>95.353159851301115</v>
      </c>
      <c r="N57" s="79">
        <f t="shared" ca="1" si="6"/>
        <v>95.353159851301115</v>
      </c>
      <c r="O57" s="80">
        <f ca="1">IFERROR(__xludf.DUMMYFUNCTION("IMPORTRANGE(""https://docs.google.com/spreadsheets/d/1MeEWN-I1oV_STSDYn1IFDPWt_1FKiwhDph83XaGc0o0/edit?usp=sharing"",""งบพรบ!DG57"")"),0)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IFERROR(__xludf.DUMMYFUNCTION("IMPORTRANGE(""https://docs.google.com/spreadsheets/d/1xAsT4sUbBlom7l0acStESh_15nvjZcXjZM7fK5uZSq8/edit?usp=sharing"",""ชัยนาท!I271"")"),22)</f>
        <v>22</v>
      </c>
      <c r="S57" s="81">
        <f ca="1">IFERROR(__xludf.DUMMYFUNCTION("IMPORTRANGE(""https://docs.google.com/spreadsheets/d/1xAsT4sUbBlom7l0acStESh_15nvjZcXjZM7fK5uZSq8/edit?usp=sharing"",""ชัยนาท!J271"")"),22)</f>
        <v>22</v>
      </c>
      <c r="T57" s="82">
        <f t="shared" ca="1" si="16"/>
        <v>100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26900</v>
      </c>
      <c r="D58" s="76">
        <f t="shared" ca="1" si="26"/>
        <v>26900</v>
      </c>
      <c r="E58" s="77">
        <f ca="1">IFERROR(__xludf.DUMMYFUNCTION("IMPORTRANGE(""https://docs.google.com/spreadsheets/d/1MeEWN-I1oV_STSDYn1IFDPWt_1FKiwhDph83XaGc0o0/edit?usp=sharing"",""งบพรบ!CZ58"")"),0)</f>
        <v>0</v>
      </c>
      <c r="F58" s="77">
        <f ca="1">IFERROR(__xludf.DUMMYFUNCTION("IMPORTRANGE(""https://docs.google.com/spreadsheets/d/1MeEWN-I1oV_STSDYn1IFDPWt_1FKiwhDph83XaGc0o0/edit?usp=sharing"",""งบพรบ!DA58"")"),26900)</f>
        <v>26900</v>
      </c>
      <c r="G58" s="77">
        <f ca="1">IFERROR(__xludf.DUMMYFUNCTION("IMPORTRANGE(""https://docs.google.com/spreadsheets/d/1MeEWN-I1oV_STSDYn1IFDPWt_1FKiwhDph83XaGc0o0/edit?usp=sharing"",""งบพรบ!DB58"")"),0)</f>
        <v>0</v>
      </c>
      <c r="H58" s="77">
        <f ca="1">IFERROR(__xludf.DUMMYFUNCTION("IMPORTRANGE(""https://docs.google.com/spreadsheets/d/1MeEWN-I1oV_STSDYn1IFDPWt_1FKiwhDph83XaGc0o0/edit?usp=sharing"",""งบพรบ!DD58"")"),26900)</f>
        <v>26900</v>
      </c>
      <c r="I58" s="77">
        <f ca="1">IFERROR(__xludf.DUMMYFUNCTION("IMPORTRANGE(""https://docs.google.com/spreadsheets/d/1MeEWN-I1oV_STSDYn1IFDPWt_1FKiwhDph83XaGc0o0/edit?usp=sharing"",""งบพรบ!DE58"")"),0)</f>
        <v>0</v>
      </c>
      <c r="J58" s="77">
        <f t="shared" ca="1" si="3"/>
        <v>26900</v>
      </c>
      <c r="K58" s="78">
        <f t="shared" ca="1" si="4"/>
        <v>100</v>
      </c>
      <c r="L58" s="77">
        <f ca="1">IFERROR(__xludf.DUMMYFUNCTION("IMPORTRANGE(""https://docs.google.com/spreadsheets/d/1MeEWN-I1oV_STSDYn1IFDPWt_1FKiwhDph83XaGc0o0/edit?usp=sharing"",""งบพรบ!DF58"")"),26900)</f>
        <v>26900</v>
      </c>
      <c r="M58" s="79">
        <f t="shared" ca="1" si="5"/>
        <v>100</v>
      </c>
      <c r="N58" s="79">
        <f t="shared" ca="1" si="6"/>
        <v>100</v>
      </c>
      <c r="O58" s="80">
        <f ca="1">IFERROR(__xludf.DUMMYFUNCTION("IMPORTRANGE(""https://docs.google.com/spreadsheets/d/1MeEWN-I1oV_STSDYn1IFDPWt_1FKiwhDph83XaGc0o0/edit?usp=sharing"",""งบพรบ!DG58"")"),0)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IFERROR(__xludf.DUMMYFUNCTION("IMPORTRANGE(""https://docs.google.com/spreadsheets/d/1vWPVBOAaZ6mHSI8yf95DNqHwTJ1cpeFsvqt6cxV34QA/edit?usp=sharing"",""ตราด!I271"")"),22)</f>
        <v>22</v>
      </c>
      <c r="S58" s="81">
        <f ca="1">IFERROR(__xludf.DUMMYFUNCTION("IMPORTRANGE(""https://docs.google.com/spreadsheets/d/1vWPVBOAaZ6mHSI8yf95DNqHwTJ1cpeFsvqt6cxV34QA/edit?usp=sharing"",""ตราด!J271"")"),22)</f>
        <v>22</v>
      </c>
      <c r="T58" s="82">
        <f t="shared" ca="1" si="16"/>
        <v>100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26900</v>
      </c>
      <c r="D59" s="76">
        <f t="shared" ca="1" si="26"/>
        <v>26900</v>
      </c>
      <c r="E59" s="77">
        <f ca="1">IFERROR(__xludf.DUMMYFUNCTION("IMPORTRANGE(""https://docs.google.com/spreadsheets/d/1MeEWN-I1oV_STSDYn1IFDPWt_1FKiwhDph83XaGc0o0/edit?usp=sharing"",""งบพรบ!CZ59"")"),0)</f>
        <v>0</v>
      </c>
      <c r="F59" s="77">
        <f ca="1">IFERROR(__xludf.DUMMYFUNCTION("IMPORTRANGE(""https://docs.google.com/spreadsheets/d/1MeEWN-I1oV_STSDYn1IFDPWt_1FKiwhDph83XaGc0o0/edit?usp=sharing"",""งบพรบ!DA59"")"),26900)</f>
        <v>26900</v>
      </c>
      <c r="G59" s="77">
        <f ca="1">IFERROR(__xludf.DUMMYFUNCTION("IMPORTRANGE(""https://docs.google.com/spreadsheets/d/1MeEWN-I1oV_STSDYn1IFDPWt_1FKiwhDph83XaGc0o0/edit?usp=sharing"",""งบพรบ!DB59"")"),0)</f>
        <v>0</v>
      </c>
      <c r="H59" s="77">
        <f ca="1">IFERROR(__xludf.DUMMYFUNCTION("IMPORTRANGE(""https://docs.google.com/spreadsheets/d/1MeEWN-I1oV_STSDYn1IFDPWt_1FKiwhDph83XaGc0o0/edit?usp=sharing"",""งบพรบ!DD59"")"),26900)</f>
        <v>26900</v>
      </c>
      <c r="I59" s="77">
        <f ca="1">IFERROR(__xludf.DUMMYFUNCTION("IMPORTRANGE(""https://docs.google.com/spreadsheets/d/1MeEWN-I1oV_STSDYn1IFDPWt_1FKiwhDph83XaGc0o0/edit?usp=sharing"",""งบพรบ!DE59"")"),0)</f>
        <v>0</v>
      </c>
      <c r="J59" s="77">
        <f t="shared" ca="1" si="3"/>
        <v>20908</v>
      </c>
      <c r="K59" s="78">
        <f t="shared" ca="1" si="4"/>
        <v>77.724907063197023</v>
      </c>
      <c r="L59" s="77">
        <f ca="1">IFERROR(__xludf.DUMMYFUNCTION("IMPORTRANGE(""https://docs.google.com/spreadsheets/d/1MeEWN-I1oV_STSDYn1IFDPWt_1FKiwhDph83XaGc0o0/edit?usp=sharing"",""งบพรบ!DF59"")"),20908)</f>
        <v>20908</v>
      </c>
      <c r="M59" s="79">
        <f t="shared" ca="1" si="5"/>
        <v>77.724907063197023</v>
      </c>
      <c r="N59" s="79">
        <f t="shared" ca="1" si="6"/>
        <v>77.724907063197023</v>
      </c>
      <c r="O59" s="80">
        <f ca="1">IFERROR(__xludf.DUMMYFUNCTION("IMPORTRANGE(""https://docs.google.com/spreadsheets/d/1MeEWN-I1oV_STSDYn1IFDPWt_1FKiwhDph83XaGc0o0/edit?usp=sharing"",""งบพรบ!DG59"")"),0)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IFERROR(__xludf.DUMMYFUNCTION("IMPORTRANGE(""https://docs.google.com/spreadsheets/d/1phaeSb9lTGgzDpbvVqI9hfmOQQzUom07-HEvpbARzEg/edit?usp=sharing"",""นครนายก!I271"")"),22)</f>
        <v>22</v>
      </c>
      <c r="S59" s="81">
        <f ca="1">IFERROR(__xludf.DUMMYFUNCTION("IMPORTRANGE(""https://docs.google.com/spreadsheets/d/1phaeSb9lTGgzDpbvVqI9hfmOQQzUom07-HEvpbARzEg/edit?usp=sharing"",""นครนายก!J271"")"),22)</f>
        <v>22</v>
      </c>
      <c r="T59" s="82">
        <f t="shared" ca="1" si="16"/>
        <v>100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25000</v>
      </c>
      <c r="D60" s="76">
        <f t="shared" ca="1" si="26"/>
        <v>25000</v>
      </c>
      <c r="E60" s="77">
        <f ca="1">IFERROR(__xludf.DUMMYFUNCTION("IMPORTRANGE(""https://docs.google.com/spreadsheets/d/1MeEWN-I1oV_STSDYn1IFDPWt_1FKiwhDph83XaGc0o0/edit?usp=sharing"",""งบพรบ!CZ60"")"),0)</f>
        <v>0</v>
      </c>
      <c r="F60" s="77">
        <f ca="1">IFERROR(__xludf.DUMMYFUNCTION("IMPORTRANGE(""https://docs.google.com/spreadsheets/d/1MeEWN-I1oV_STSDYn1IFDPWt_1FKiwhDph83XaGc0o0/edit?usp=sharing"",""งบพรบ!DA60"")"),25000)</f>
        <v>25000</v>
      </c>
      <c r="G60" s="77">
        <f ca="1">IFERROR(__xludf.DUMMYFUNCTION("IMPORTRANGE(""https://docs.google.com/spreadsheets/d/1MeEWN-I1oV_STSDYn1IFDPWt_1FKiwhDph83XaGc0o0/edit?usp=sharing"",""งบพรบ!DB60"")"),0)</f>
        <v>0</v>
      </c>
      <c r="H60" s="77">
        <f ca="1">IFERROR(__xludf.DUMMYFUNCTION("IMPORTRANGE(""https://docs.google.com/spreadsheets/d/1MeEWN-I1oV_STSDYn1IFDPWt_1FKiwhDph83XaGc0o0/edit?usp=sharing"",""งบพรบ!DD60"")"),25000)</f>
        <v>25000</v>
      </c>
      <c r="I60" s="77">
        <f ca="1">IFERROR(__xludf.DUMMYFUNCTION("IMPORTRANGE(""https://docs.google.com/spreadsheets/d/1MeEWN-I1oV_STSDYn1IFDPWt_1FKiwhDph83XaGc0o0/edit?usp=sharing"",""งบพรบ!DE60"")"),0)</f>
        <v>0</v>
      </c>
      <c r="J60" s="77">
        <f t="shared" ca="1" si="3"/>
        <v>24520</v>
      </c>
      <c r="K60" s="78">
        <f t="shared" ca="1" si="4"/>
        <v>98.08</v>
      </c>
      <c r="L60" s="77">
        <f ca="1">IFERROR(__xludf.DUMMYFUNCTION("IMPORTRANGE(""https://docs.google.com/spreadsheets/d/1MeEWN-I1oV_STSDYn1IFDPWt_1FKiwhDph83XaGc0o0/edit?usp=sharing"",""งบพรบ!DF60"")"),24520)</f>
        <v>24520</v>
      </c>
      <c r="M60" s="79">
        <f t="shared" ca="1" si="5"/>
        <v>98.08</v>
      </c>
      <c r="N60" s="79">
        <f t="shared" ca="1" si="6"/>
        <v>98.08</v>
      </c>
      <c r="O60" s="80">
        <f ca="1">IFERROR(__xludf.DUMMYFUNCTION("IMPORTRANGE(""https://docs.google.com/spreadsheets/d/1MeEWN-I1oV_STSDYn1IFDPWt_1FKiwhDph83XaGc0o0/edit?usp=sharing"",""งบพรบ!DG60"")"),0)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IFERROR(__xludf.DUMMYFUNCTION("IMPORTRANGE(""https://docs.google.com/spreadsheets/d/1tpwhWwkqkBeiSWCcfB5f2fbwPRbM9hHOEDSDHpl2MIc/edit?usp=sharing"",""นครปฐม!I271"")"),20)</f>
        <v>20</v>
      </c>
      <c r="S60" s="81">
        <f ca="1">IFERROR(__xludf.DUMMYFUNCTION("IMPORTRANGE(""https://docs.google.com/spreadsheets/d/1tpwhWwkqkBeiSWCcfB5f2fbwPRbM9hHOEDSDHpl2MIc/edit?usp=sharing"",""นครปฐม!J271"")"),20)</f>
        <v>20</v>
      </c>
      <c r="T60" s="82">
        <f t="shared" ca="1" si="16"/>
        <v>100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26900</v>
      </c>
      <c r="D61" s="76">
        <f t="shared" ca="1" si="26"/>
        <v>26900</v>
      </c>
      <c r="E61" s="77">
        <f ca="1">IFERROR(__xludf.DUMMYFUNCTION("IMPORTRANGE(""https://docs.google.com/spreadsheets/d/1MeEWN-I1oV_STSDYn1IFDPWt_1FKiwhDph83XaGc0o0/edit?usp=sharing"",""งบพรบ!CZ61"")"),0)</f>
        <v>0</v>
      </c>
      <c r="F61" s="77">
        <f ca="1">IFERROR(__xludf.DUMMYFUNCTION("IMPORTRANGE(""https://docs.google.com/spreadsheets/d/1MeEWN-I1oV_STSDYn1IFDPWt_1FKiwhDph83XaGc0o0/edit?usp=sharing"",""งบพรบ!DA61"")"),26900)</f>
        <v>26900</v>
      </c>
      <c r="G61" s="77">
        <f ca="1">IFERROR(__xludf.DUMMYFUNCTION("IMPORTRANGE(""https://docs.google.com/spreadsheets/d/1MeEWN-I1oV_STSDYn1IFDPWt_1FKiwhDph83XaGc0o0/edit?usp=sharing"",""งบพรบ!DB61"")"),0)</f>
        <v>0</v>
      </c>
      <c r="H61" s="77">
        <f ca="1">IFERROR(__xludf.DUMMYFUNCTION("IMPORTRANGE(""https://docs.google.com/spreadsheets/d/1MeEWN-I1oV_STSDYn1IFDPWt_1FKiwhDph83XaGc0o0/edit?usp=sharing"",""งบพรบ!DD61"")"),26900)</f>
        <v>26900</v>
      </c>
      <c r="I61" s="77">
        <f ca="1">IFERROR(__xludf.DUMMYFUNCTION("IMPORTRANGE(""https://docs.google.com/spreadsheets/d/1MeEWN-I1oV_STSDYn1IFDPWt_1FKiwhDph83XaGc0o0/edit?usp=sharing"",""งบพรบ!DE61"")"),0)</f>
        <v>0</v>
      </c>
      <c r="J61" s="77">
        <f t="shared" ca="1" si="3"/>
        <v>25000</v>
      </c>
      <c r="K61" s="78">
        <f t="shared" ca="1" si="4"/>
        <v>92.936802973977692</v>
      </c>
      <c r="L61" s="77">
        <f ca="1">IFERROR(__xludf.DUMMYFUNCTION("IMPORTRANGE(""https://docs.google.com/spreadsheets/d/1MeEWN-I1oV_STSDYn1IFDPWt_1FKiwhDph83XaGc0o0/edit?usp=sharing"",""งบพรบ!DF61"")"),25000)</f>
        <v>25000</v>
      </c>
      <c r="M61" s="79">
        <f t="shared" ca="1" si="5"/>
        <v>92.936802973977692</v>
      </c>
      <c r="N61" s="79">
        <f t="shared" ca="1" si="6"/>
        <v>92.936802973977692</v>
      </c>
      <c r="O61" s="80">
        <f ca="1">IFERROR(__xludf.DUMMYFUNCTION("IMPORTRANGE(""https://docs.google.com/spreadsheets/d/1MeEWN-I1oV_STSDYn1IFDPWt_1FKiwhDph83XaGc0o0/edit?usp=sharing"",""งบพรบ!DG61"")"),0)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IFERROR(__xludf.DUMMYFUNCTION("IMPORTRANGE(""https://docs.google.com/spreadsheets/d/1fJJCVBkBnhriyv0Cp5ZFMr0I_yrfdEITNpb4zILJgUQ/edit?usp=sharing"",""ปทุมธานี!I271"")"),22)</f>
        <v>22</v>
      </c>
      <c r="S61" s="81">
        <f ca="1">IFERROR(__xludf.DUMMYFUNCTION("IMPORTRANGE(""https://docs.google.com/spreadsheets/d/1fJJCVBkBnhriyv0Cp5ZFMr0I_yrfdEITNpb4zILJgUQ/edit?usp=sharing"",""ปทุมธานี!J271"")"),22)</f>
        <v>22</v>
      </c>
      <c r="T61" s="82">
        <f t="shared" ca="1" si="16"/>
        <v>100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26900</v>
      </c>
      <c r="D62" s="76">
        <f t="shared" ca="1" si="26"/>
        <v>26900</v>
      </c>
      <c r="E62" s="77">
        <f ca="1">IFERROR(__xludf.DUMMYFUNCTION("IMPORTRANGE(""https://docs.google.com/spreadsheets/d/1MeEWN-I1oV_STSDYn1IFDPWt_1FKiwhDph83XaGc0o0/edit?usp=sharing"",""งบพรบ!CZ62"")"),0)</f>
        <v>0</v>
      </c>
      <c r="F62" s="77">
        <f ca="1">IFERROR(__xludf.DUMMYFUNCTION("IMPORTRANGE(""https://docs.google.com/spreadsheets/d/1MeEWN-I1oV_STSDYn1IFDPWt_1FKiwhDph83XaGc0o0/edit?usp=sharing"",""งบพรบ!DA62"")"),26900)</f>
        <v>26900</v>
      </c>
      <c r="G62" s="77">
        <f ca="1">IFERROR(__xludf.DUMMYFUNCTION("IMPORTRANGE(""https://docs.google.com/spreadsheets/d/1MeEWN-I1oV_STSDYn1IFDPWt_1FKiwhDph83XaGc0o0/edit?usp=sharing"",""งบพรบ!DB62"")"),0)</f>
        <v>0</v>
      </c>
      <c r="H62" s="77">
        <f ca="1">IFERROR(__xludf.DUMMYFUNCTION("IMPORTRANGE(""https://docs.google.com/spreadsheets/d/1MeEWN-I1oV_STSDYn1IFDPWt_1FKiwhDph83XaGc0o0/edit?usp=sharing"",""งบพรบ!DD62"")"),26900)</f>
        <v>26900</v>
      </c>
      <c r="I62" s="77">
        <f ca="1">IFERROR(__xludf.DUMMYFUNCTION("IMPORTRANGE(""https://docs.google.com/spreadsheets/d/1MeEWN-I1oV_STSDYn1IFDPWt_1FKiwhDph83XaGc0o0/edit?usp=sharing"",""งบพรบ!DE62"")"),0)</f>
        <v>0</v>
      </c>
      <c r="J62" s="77">
        <f t="shared" ca="1" si="3"/>
        <v>22195</v>
      </c>
      <c r="K62" s="78">
        <f t="shared" ca="1" si="4"/>
        <v>82.509293680297404</v>
      </c>
      <c r="L62" s="77">
        <f ca="1">IFERROR(__xludf.DUMMYFUNCTION("IMPORTRANGE(""https://docs.google.com/spreadsheets/d/1MeEWN-I1oV_STSDYn1IFDPWt_1FKiwhDph83XaGc0o0/edit?usp=sharing"",""งบพรบ!DF62"")"),22195)</f>
        <v>22195</v>
      </c>
      <c r="M62" s="79">
        <f t="shared" ca="1" si="5"/>
        <v>82.509293680297404</v>
      </c>
      <c r="N62" s="79">
        <f t="shared" ca="1" si="6"/>
        <v>82.509293680297404</v>
      </c>
      <c r="O62" s="80">
        <f ca="1">IFERROR(__xludf.DUMMYFUNCTION("IMPORTRANGE(""https://docs.google.com/spreadsheets/d/1MeEWN-I1oV_STSDYn1IFDPWt_1FKiwhDph83XaGc0o0/edit?usp=sharing"",""งบพรบ!DG62"")"),0)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81">
        <f ca="1">IFERROR(__xludf.DUMMYFUNCTION("IMPORTRANGE(""https://docs.google.com/spreadsheets/d/1W5Jj_S0gYw6wSO7QcMI02YgyOBDKYgmm0NSUk-AQEac/edit?usp=sharing"",""ประจวบคีรีขันธ์!J271"")"),22)</f>
        <v>22</v>
      </c>
      <c r="T62" s="82">
        <f t="shared" ca="1" si="16"/>
        <v>100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26900</v>
      </c>
      <c r="D63" s="76">
        <f t="shared" ca="1" si="26"/>
        <v>26900</v>
      </c>
      <c r="E63" s="77">
        <f ca="1">IFERROR(__xludf.DUMMYFUNCTION("IMPORTRANGE(""https://docs.google.com/spreadsheets/d/1MeEWN-I1oV_STSDYn1IFDPWt_1FKiwhDph83XaGc0o0/edit?usp=sharing"",""งบพรบ!CZ63"")"),0)</f>
        <v>0</v>
      </c>
      <c r="F63" s="77">
        <f ca="1">IFERROR(__xludf.DUMMYFUNCTION("IMPORTRANGE(""https://docs.google.com/spreadsheets/d/1MeEWN-I1oV_STSDYn1IFDPWt_1FKiwhDph83XaGc0o0/edit?usp=sharing"",""งบพรบ!DA63"")"),26900)</f>
        <v>26900</v>
      </c>
      <c r="G63" s="77">
        <f ca="1">IFERROR(__xludf.DUMMYFUNCTION("IMPORTRANGE(""https://docs.google.com/spreadsheets/d/1MeEWN-I1oV_STSDYn1IFDPWt_1FKiwhDph83XaGc0o0/edit?usp=sharing"",""งบพรบ!DB63"")"),0)</f>
        <v>0</v>
      </c>
      <c r="H63" s="77">
        <f ca="1">IFERROR(__xludf.DUMMYFUNCTION("IMPORTRANGE(""https://docs.google.com/spreadsheets/d/1MeEWN-I1oV_STSDYn1IFDPWt_1FKiwhDph83XaGc0o0/edit?usp=sharing"",""งบพรบ!DD63"")"),26900)</f>
        <v>26900</v>
      </c>
      <c r="I63" s="77">
        <f ca="1">IFERROR(__xludf.DUMMYFUNCTION("IMPORTRANGE(""https://docs.google.com/spreadsheets/d/1MeEWN-I1oV_STSDYn1IFDPWt_1FKiwhDph83XaGc0o0/edit?usp=sharing"",""งบพรบ!DE63"")"),0)</f>
        <v>0</v>
      </c>
      <c r="J63" s="77">
        <f t="shared" ca="1" si="3"/>
        <v>26900</v>
      </c>
      <c r="K63" s="78">
        <f t="shared" ca="1" si="4"/>
        <v>100</v>
      </c>
      <c r="L63" s="77">
        <f ca="1">IFERROR(__xludf.DUMMYFUNCTION("IMPORTRANGE(""https://docs.google.com/spreadsheets/d/1MeEWN-I1oV_STSDYn1IFDPWt_1FKiwhDph83XaGc0o0/edit?usp=sharing"",""งบพรบ!DF63"")"),26900)</f>
        <v>26900</v>
      </c>
      <c r="M63" s="79">
        <f t="shared" ca="1" si="5"/>
        <v>100</v>
      </c>
      <c r="N63" s="79">
        <f t="shared" ca="1" si="6"/>
        <v>100</v>
      </c>
      <c r="O63" s="80">
        <f ca="1">IFERROR(__xludf.DUMMYFUNCTION("IMPORTRANGE(""https://docs.google.com/spreadsheets/d/1MeEWN-I1oV_STSDYn1IFDPWt_1FKiwhDph83XaGc0o0/edit?usp=sharing"",""งบพรบ!DG63"")"),0)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IFERROR(__xludf.DUMMYFUNCTION("IMPORTRANGE(""https://docs.google.com/spreadsheets/d/1nYxRXgnCfTXtqUY1otYuTlnrzE0Tn-Y0YRsW5pkRVqo/edit?usp=sharing"",""ปราจีนบุรี!I271"")"),22)</f>
        <v>22</v>
      </c>
      <c r="S63" s="81">
        <f ca="1">IFERROR(__xludf.DUMMYFUNCTION("IMPORTRANGE(""https://docs.google.com/spreadsheets/d/1nYxRXgnCfTXtqUY1otYuTlnrzE0Tn-Y0YRsW5pkRVqo/edit?usp=sharing"",""ปราจีนบุรี!J271"")"),22)</f>
        <v>22</v>
      </c>
      <c r="T63" s="82">
        <f t="shared" ca="1" si="16"/>
        <v>100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26900</v>
      </c>
      <c r="D64" s="76">
        <f t="shared" ca="1" si="26"/>
        <v>26900</v>
      </c>
      <c r="E64" s="77">
        <f ca="1">IFERROR(__xludf.DUMMYFUNCTION("IMPORTRANGE(""https://docs.google.com/spreadsheets/d/1MeEWN-I1oV_STSDYn1IFDPWt_1FKiwhDph83XaGc0o0/edit?usp=sharing"",""งบพรบ!CZ64"")"),0)</f>
        <v>0</v>
      </c>
      <c r="F64" s="77">
        <f ca="1">IFERROR(__xludf.DUMMYFUNCTION("IMPORTRANGE(""https://docs.google.com/spreadsheets/d/1MeEWN-I1oV_STSDYn1IFDPWt_1FKiwhDph83XaGc0o0/edit?usp=sharing"",""งบพรบ!DA64"")"),26900)</f>
        <v>26900</v>
      </c>
      <c r="G64" s="77">
        <f ca="1">IFERROR(__xludf.DUMMYFUNCTION("IMPORTRANGE(""https://docs.google.com/spreadsheets/d/1MeEWN-I1oV_STSDYn1IFDPWt_1FKiwhDph83XaGc0o0/edit?usp=sharing"",""งบพรบ!DB64"")"),0)</f>
        <v>0</v>
      </c>
      <c r="H64" s="77">
        <f ca="1">IFERROR(__xludf.DUMMYFUNCTION("IMPORTRANGE(""https://docs.google.com/spreadsheets/d/1MeEWN-I1oV_STSDYn1IFDPWt_1FKiwhDph83XaGc0o0/edit?usp=sharing"",""งบพรบ!DD64"")"),26900)</f>
        <v>26900</v>
      </c>
      <c r="I64" s="77">
        <f ca="1">IFERROR(__xludf.DUMMYFUNCTION("IMPORTRANGE(""https://docs.google.com/spreadsheets/d/1MeEWN-I1oV_STSDYn1IFDPWt_1FKiwhDph83XaGc0o0/edit?usp=sharing"",""งบพรบ!DE64"")"),0)</f>
        <v>0</v>
      </c>
      <c r="J64" s="77">
        <f t="shared" ca="1" si="3"/>
        <v>26900</v>
      </c>
      <c r="K64" s="78">
        <f t="shared" ca="1" si="4"/>
        <v>100</v>
      </c>
      <c r="L64" s="77">
        <f ca="1">IFERROR(__xludf.DUMMYFUNCTION("IMPORTRANGE(""https://docs.google.com/spreadsheets/d/1MeEWN-I1oV_STSDYn1IFDPWt_1FKiwhDph83XaGc0o0/edit?usp=sharing"",""งบพรบ!DF64"")"),26900)</f>
        <v>26900</v>
      </c>
      <c r="M64" s="79">
        <f t="shared" ca="1" si="5"/>
        <v>100</v>
      </c>
      <c r="N64" s="79">
        <f t="shared" ca="1" si="6"/>
        <v>100</v>
      </c>
      <c r="O64" s="80">
        <f ca="1">IFERROR(__xludf.DUMMYFUNCTION("IMPORTRANGE(""https://docs.google.com/spreadsheets/d/1MeEWN-I1oV_STSDYn1IFDPWt_1FKiwhDph83XaGc0o0/edit?usp=sharing"",""งบพรบ!DG64"")"),0)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81">
        <f ca="1">IFERROR(__xludf.DUMMYFUNCTION("IMPORTRANGE(""https://docs.google.com/spreadsheets/d/1nNHCLO8ZAXOMfQvxux7cf_hrzPAh8FAvaHq_ClKbZNo/edit?usp=sharing"",""พระนครศรีอยุธยา!J271"")"),22)</f>
        <v>22</v>
      </c>
      <c r="T64" s="82">
        <f t="shared" ca="1" si="16"/>
        <v>100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26900</v>
      </c>
      <c r="D65" s="76">
        <f t="shared" ca="1" si="26"/>
        <v>26900</v>
      </c>
      <c r="E65" s="77">
        <f ca="1">IFERROR(__xludf.DUMMYFUNCTION("IMPORTRANGE(""https://docs.google.com/spreadsheets/d/1MeEWN-I1oV_STSDYn1IFDPWt_1FKiwhDph83XaGc0o0/edit?usp=sharing"",""งบพรบ!CZ65"")"),0)</f>
        <v>0</v>
      </c>
      <c r="F65" s="77">
        <f ca="1">IFERROR(__xludf.DUMMYFUNCTION("IMPORTRANGE(""https://docs.google.com/spreadsheets/d/1MeEWN-I1oV_STSDYn1IFDPWt_1FKiwhDph83XaGc0o0/edit?usp=sharing"",""งบพรบ!DA65"")"),26900)</f>
        <v>26900</v>
      </c>
      <c r="G65" s="77">
        <f ca="1">IFERROR(__xludf.DUMMYFUNCTION("IMPORTRANGE(""https://docs.google.com/spreadsheets/d/1MeEWN-I1oV_STSDYn1IFDPWt_1FKiwhDph83XaGc0o0/edit?usp=sharing"",""งบพรบ!DB65"")"),0)</f>
        <v>0</v>
      </c>
      <c r="H65" s="77">
        <f ca="1">IFERROR(__xludf.DUMMYFUNCTION("IMPORTRANGE(""https://docs.google.com/spreadsheets/d/1MeEWN-I1oV_STSDYn1IFDPWt_1FKiwhDph83XaGc0o0/edit?usp=sharing"",""งบพรบ!DD65"")"),26900)</f>
        <v>26900</v>
      </c>
      <c r="I65" s="77">
        <f ca="1">IFERROR(__xludf.DUMMYFUNCTION("IMPORTRANGE(""https://docs.google.com/spreadsheets/d/1MeEWN-I1oV_STSDYn1IFDPWt_1FKiwhDph83XaGc0o0/edit?usp=sharing"",""งบพรบ!DE65"")"),0)</f>
        <v>0</v>
      </c>
      <c r="J65" s="77">
        <f t="shared" ca="1" si="3"/>
        <v>23755</v>
      </c>
      <c r="K65" s="78">
        <f t="shared" ca="1" si="4"/>
        <v>88.3085501858736</v>
      </c>
      <c r="L65" s="77">
        <f ca="1">IFERROR(__xludf.DUMMYFUNCTION("IMPORTRANGE(""https://docs.google.com/spreadsheets/d/1MeEWN-I1oV_STSDYn1IFDPWt_1FKiwhDph83XaGc0o0/edit?usp=sharing"",""งบพรบ!DF65"")"),23755)</f>
        <v>23755</v>
      </c>
      <c r="M65" s="79">
        <f t="shared" ca="1" si="5"/>
        <v>88.3085501858736</v>
      </c>
      <c r="N65" s="79">
        <f t="shared" ca="1" si="6"/>
        <v>88.3085501858736</v>
      </c>
      <c r="O65" s="80">
        <f ca="1">IFERROR(__xludf.DUMMYFUNCTION("IMPORTRANGE(""https://docs.google.com/spreadsheets/d/1MeEWN-I1oV_STSDYn1IFDPWt_1FKiwhDph83XaGc0o0/edit?usp=sharing"",""งบพรบ!DG65"")"),0)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IFERROR(__xludf.DUMMYFUNCTION("IMPORTRANGE(""https://docs.google.com/spreadsheets/d/1CdNicvf3i6yt4tJlCePe3V1Va76wYqW0QzMzTsaGRrA/edit?usp=sharing"",""เพชรบุรี!I271"")"),22)</f>
        <v>22</v>
      </c>
      <c r="S65" s="81">
        <f ca="1">IFERROR(__xludf.DUMMYFUNCTION("IMPORTRANGE(""https://docs.google.com/spreadsheets/d/1CdNicvf3i6yt4tJlCePe3V1Va76wYqW0QzMzTsaGRrA/edit?usp=sharing"",""เพชรบุรี!J271"")"),22)</f>
        <v>22</v>
      </c>
      <c r="T65" s="82">
        <f t="shared" ca="1" si="16"/>
        <v>100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26900</v>
      </c>
      <c r="D66" s="76">
        <f t="shared" ca="1" si="26"/>
        <v>26900</v>
      </c>
      <c r="E66" s="77">
        <f ca="1">IFERROR(__xludf.DUMMYFUNCTION("IMPORTRANGE(""https://docs.google.com/spreadsheets/d/1MeEWN-I1oV_STSDYn1IFDPWt_1FKiwhDph83XaGc0o0/edit?usp=sharing"",""งบพรบ!CZ66"")"),0)</f>
        <v>0</v>
      </c>
      <c r="F66" s="77">
        <f ca="1">IFERROR(__xludf.DUMMYFUNCTION("IMPORTRANGE(""https://docs.google.com/spreadsheets/d/1MeEWN-I1oV_STSDYn1IFDPWt_1FKiwhDph83XaGc0o0/edit?usp=sharing"",""งบพรบ!DA66"")"),26900)</f>
        <v>26900</v>
      </c>
      <c r="G66" s="77">
        <f ca="1">IFERROR(__xludf.DUMMYFUNCTION("IMPORTRANGE(""https://docs.google.com/spreadsheets/d/1MeEWN-I1oV_STSDYn1IFDPWt_1FKiwhDph83XaGc0o0/edit?usp=sharing"",""งบพรบ!DB66"")"),0)</f>
        <v>0</v>
      </c>
      <c r="H66" s="77">
        <f ca="1">IFERROR(__xludf.DUMMYFUNCTION("IMPORTRANGE(""https://docs.google.com/spreadsheets/d/1MeEWN-I1oV_STSDYn1IFDPWt_1FKiwhDph83XaGc0o0/edit?usp=sharing"",""งบพรบ!DD66"")"),26900)</f>
        <v>26900</v>
      </c>
      <c r="I66" s="77">
        <f ca="1">IFERROR(__xludf.DUMMYFUNCTION("IMPORTRANGE(""https://docs.google.com/spreadsheets/d/1MeEWN-I1oV_STSDYn1IFDPWt_1FKiwhDph83XaGc0o0/edit?usp=sharing"",""งบพรบ!DE66"")"),0)</f>
        <v>0</v>
      </c>
      <c r="J66" s="77">
        <f t="shared" ca="1" si="3"/>
        <v>26900</v>
      </c>
      <c r="K66" s="78">
        <f t="shared" ca="1" si="4"/>
        <v>100</v>
      </c>
      <c r="L66" s="77">
        <f ca="1">IFERROR(__xludf.DUMMYFUNCTION("IMPORTRANGE(""https://docs.google.com/spreadsheets/d/1MeEWN-I1oV_STSDYn1IFDPWt_1FKiwhDph83XaGc0o0/edit?usp=sharing"",""งบพรบ!DF66"")"),26900)</f>
        <v>26900</v>
      </c>
      <c r="M66" s="79">
        <f t="shared" ca="1" si="5"/>
        <v>100</v>
      </c>
      <c r="N66" s="79">
        <f t="shared" ca="1" si="6"/>
        <v>100</v>
      </c>
      <c r="O66" s="80">
        <f ca="1">IFERROR(__xludf.DUMMYFUNCTION("IMPORTRANGE(""https://docs.google.com/spreadsheets/d/1MeEWN-I1oV_STSDYn1IFDPWt_1FKiwhDph83XaGc0o0/edit?usp=sharing"",""งบพรบ!DG66"")"),0)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IFERROR(__xludf.DUMMYFUNCTION("IMPORTRANGE(""https://docs.google.com/spreadsheets/d/1XiF77UIVHV0Kjc6xbXuOuJ10WgJYxd4p_22ngKVV5oM/edit?usp=sharing"",""ระยอง!I271"")"),22)</f>
        <v>22</v>
      </c>
      <c r="S66" s="81">
        <f ca="1">IFERROR(__xludf.DUMMYFUNCTION("IMPORTRANGE(""https://docs.google.com/spreadsheets/d/1XiF77UIVHV0Kjc6xbXuOuJ10WgJYxd4p_22ngKVV5oM/edit?usp=sharing"",""ระยอง!J271"")"),22)</f>
        <v>22</v>
      </c>
      <c r="T66" s="82">
        <f t="shared" ca="1" si="16"/>
        <v>100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26900</v>
      </c>
      <c r="D67" s="76">
        <f t="shared" ca="1" si="26"/>
        <v>26900</v>
      </c>
      <c r="E67" s="77">
        <f ca="1">IFERROR(__xludf.DUMMYFUNCTION("IMPORTRANGE(""https://docs.google.com/spreadsheets/d/1MeEWN-I1oV_STSDYn1IFDPWt_1FKiwhDph83XaGc0o0/edit?usp=sharing"",""งบพรบ!CZ67"")"),0)</f>
        <v>0</v>
      </c>
      <c r="F67" s="77">
        <f ca="1">IFERROR(__xludf.DUMMYFUNCTION("IMPORTRANGE(""https://docs.google.com/spreadsheets/d/1MeEWN-I1oV_STSDYn1IFDPWt_1FKiwhDph83XaGc0o0/edit?usp=sharing"",""งบพรบ!DA67"")"),26900)</f>
        <v>26900</v>
      </c>
      <c r="G67" s="77">
        <f ca="1">IFERROR(__xludf.DUMMYFUNCTION("IMPORTRANGE(""https://docs.google.com/spreadsheets/d/1MeEWN-I1oV_STSDYn1IFDPWt_1FKiwhDph83XaGc0o0/edit?usp=sharing"",""งบพรบ!DB67"")"),0)</f>
        <v>0</v>
      </c>
      <c r="H67" s="77">
        <f ca="1">IFERROR(__xludf.DUMMYFUNCTION("IMPORTRANGE(""https://docs.google.com/spreadsheets/d/1MeEWN-I1oV_STSDYn1IFDPWt_1FKiwhDph83XaGc0o0/edit?usp=sharing"",""งบพรบ!DD67"")"),26900)</f>
        <v>26900</v>
      </c>
      <c r="I67" s="77">
        <f ca="1">IFERROR(__xludf.DUMMYFUNCTION("IMPORTRANGE(""https://docs.google.com/spreadsheets/d/1MeEWN-I1oV_STSDYn1IFDPWt_1FKiwhDph83XaGc0o0/edit?usp=sharing"",""งบพรบ!DE67"")"),0)</f>
        <v>0</v>
      </c>
      <c r="J67" s="77">
        <f t="shared" ca="1" si="3"/>
        <v>25369</v>
      </c>
      <c r="K67" s="78">
        <f t="shared" ca="1" si="4"/>
        <v>94.3085501858736</v>
      </c>
      <c r="L67" s="77">
        <f ca="1">IFERROR(__xludf.DUMMYFUNCTION("IMPORTRANGE(""https://docs.google.com/spreadsheets/d/1MeEWN-I1oV_STSDYn1IFDPWt_1FKiwhDph83XaGc0o0/edit?usp=sharing"",""งบพรบ!DF67"")"),25369)</f>
        <v>25369</v>
      </c>
      <c r="M67" s="79">
        <f t="shared" ca="1" si="5"/>
        <v>94.3085501858736</v>
      </c>
      <c r="N67" s="79">
        <f t="shared" ca="1" si="6"/>
        <v>94.3085501858736</v>
      </c>
      <c r="O67" s="80">
        <f ca="1">IFERROR(__xludf.DUMMYFUNCTION("IMPORTRANGE(""https://docs.google.com/spreadsheets/d/1MeEWN-I1oV_STSDYn1IFDPWt_1FKiwhDph83XaGc0o0/edit?usp=sharing"",""งบพรบ!DG67"")"),0)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IFERROR(__xludf.DUMMYFUNCTION("IMPORTRANGE(""https://docs.google.com/spreadsheets/d/1qU-W_9MCQD1pgIVXGEOjCFo9QqlmJywuebyGgaN92r8/edit?usp=sharing"",""ราชบุรี!I271"")"),22)</f>
        <v>22</v>
      </c>
      <c r="S67" s="81">
        <f ca="1">IFERROR(__xludf.DUMMYFUNCTION("IMPORTRANGE(""https://docs.google.com/spreadsheets/d/1qU-W_9MCQD1pgIVXGEOjCFo9QqlmJywuebyGgaN92r8/edit?usp=sharing"",""ราชบุรี!J271"")"),22)</f>
        <v>22</v>
      </c>
      <c r="T67" s="82">
        <f t="shared" ca="1" si="16"/>
        <v>100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26900</v>
      </c>
      <c r="D68" s="76">
        <f t="shared" ca="1" si="26"/>
        <v>26900</v>
      </c>
      <c r="E68" s="77">
        <f ca="1">IFERROR(__xludf.DUMMYFUNCTION("IMPORTRANGE(""https://docs.google.com/spreadsheets/d/1MeEWN-I1oV_STSDYn1IFDPWt_1FKiwhDph83XaGc0o0/edit?usp=sharing"",""งบพรบ!CZ68"")"),0)</f>
        <v>0</v>
      </c>
      <c r="F68" s="77">
        <f ca="1">IFERROR(__xludf.DUMMYFUNCTION("IMPORTRANGE(""https://docs.google.com/spreadsheets/d/1MeEWN-I1oV_STSDYn1IFDPWt_1FKiwhDph83XaGc0o0/edit?usp=sharing"",""งบพรบ!DA68"")"),26900)</f>
        <v>26900</v>
      </c>
      <c r="G68" s="77">
        <f ca="1">IFERROR(__xludf.DUMMYFUNCTION("IMPORTRANGE(""https://docs.google.com/spreadsheets/d/1MeEWN-I1oV_STSDYn1IFDPWt_1FKiwhDph83XaGc0o0/edit?usp=sharing"",""งบพรบ!DB68"")"),0)</f>
        <v>0</v>
      </c>
      <c r="H68" s="77">
        <f ca="1">IFERROR(__xludf.DUMMYFUNCTION("IMPORTRANGE(""https://docs.google.com/spreadsheets/d/1MeEWN-I1oV_STSDYn1IFDPWt_1FKiwhDph83XaGc0o0/edit?usp=sharing"",""งบพรบ!DD68"")"),26900)</f>
        <v>26900</v>
      </c>
      <c r="I68" s="77">
        <f ca="1">IFERROR(__xludf.DUMMYFUNCTION("IMPORTRANGE(""https://docs.google.com/spreadsheets/d/1MeEWN-I1oV_STSDYn1IFDPWt_1FKiwhDph83XaGc0o0/edit?usp=sharing"",""งบพรบ!DE68"")"),0)</f>
        <v>0</v>
      </c>
      <c r="J68" s="77">
        <f t="shared" ca="1" si="3"/>
        <v>22080</v>
      </c>
      <c r="K68" s="78">
        <f t="shared" ca="1" si="4"/>
        <v>82.081784386617102</v>
      </c>
      <c r="L68" s="77">
        <f ca="1">IFERROR(__xludf.DUMMYFUNCTION("IMPORTRANGE(""https://docs.google.com/spreadsheets/d/1MeEWN-I1oV_STSDYn1IFDPWt_1FKiwhDph83XaGc0o0/edit?usp=sharing"",""งบพรบ!DF68"")"),22080)</f>
        <v>22080</v>
      </c>
      <c r="M68" s="79">
        <f t="shared" ca="1" si="5"/>
        <v>82.081784386617102</v>
      </c>
      <c r="N68" s="79">
        <f t="shared" ca="1" si="6"/>
        <v>82.081784386617102</v>
      </c>
      <c r="O68" s="80">
        <f ca="1">IFERROR(__xludf.DUMMYFUNCTION("IMPORTRANGE(""https://docs.google.com/spreadsheets/d/1MeEWN-I1oV_STSDYn1IFDPWt_1FKiwhDph83XaGc0o0/edit?usp=sharing"",""งบพรบ!DG68"")"),0)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IFERROR(__xludf.DUMMYFUNCTION("IMPORTRANGE(""https://docs.google.com/spreadsheets/d/1xYFIxIM_CspAP5Q-5Zx_V0T_Ut3cjryrjd2hss28vGk/edit?usp=sharing"",""ลพบุรี!I271"")"),22)</f>
        <v>22</v>
      </c>
      <c r="S68" s="81">
        <f ca="1">IFERROR(__xludf.DUMMYFUNCTION("IMPORTRANGE(""https://docs.google.com/spreadsheets/d/1xYFIxIM_CspAP5Q-5Zx_V0T_Ut3cjryrjd2hss28vGk/edit?usp=sharing"",""ลพบุรี!J271"")"),22)</f>
        <v>22</v>
      </c>
      <c r="T68" s="82">
        <f t="shared" ca="1" si="16"/>
        <v>100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26900</v>
      </c>
      <c r="D69" s="76">
        <f t="shared" ca="1" si="26"/>
        <v>26900</v>
      </c>
      <c r="E69" s="77">
        <f ca="1">IFERROR(__xludf.DUMMYFUNCTION("IMPORTRANGE(""https://docs.google.com/spreadsheets/d/1MeEWN-I1oV_STSDYn1IFDPWt_1FKiwhDph83XaGc0o0/edit?usp=sharing"",""งบพรบ!CZ69"")"),0)</f>
        <v>0</v>
      </c>
      <c r="F69" s="77">
        <f ca="1">IFERROR(__xludf.DUMMYFUNCTION("IMPORTRANGE(""https://docs.google.com/spreadsheets/d/1MeEWN-I1oV_STSDYn1IFDPWt_1FKiwhDph83XaGc0o0/edit?usp=sharing"",""งบพรบ!DA69"")"),26900)</f>
        <v>26900</v>
      </c>
      <c r="G69" s="77">
        <f ca="1">IFERROR(__xludf.DUMMYFUNCTION("IMPORTRANGE(""https://docs.google.com/spreadsheets/d/1MeEWN-I1oV_STSDYn1IFDPWt_1FKiwhDph83XaGc0o0/edit?usp=sharing"",""งบพรบ!DB69"")"),0)</f>
        <v>0</v>
      </c>
      <c r="H69" s="77">
        <f ca="1">IFERROR(__xludf.DUMMYFUNCTION("IMPORTRANGE(""https://docs.google.com/spreadsheets/d/1MeEWN-I1oV_STSDYn1IFDPWt_1FKiwhDph83XaGc0o0/edit?usp=sharing"",""งบพรบ!DD69"")"),26900)</f>
        <v>26900</v>
      </c>
      <c r="I69" s="77">
        <f ca="1">IFERROR(__xludf.DUMMYFUNCTION("IMPORTRANGE(""https://docs.google.com/spreadsheets/d/1MeEWN-I1oV_STSDYn1IFDPWt_1FKiwhDph83XaGc0o0/edit?usp=sharing"",""งบพรบ!DE69"")"),0)</f>
        <v>0</v>
      </c>
      <c r="J69" s="77">
        <f t="shared" ca="1" si="3"/>
        <v>26900</v>
      </c>
      <c r="K69" s="78">
        <f t="shared" ca="1" si="4"/>
        <v>100</v>
      </c>
      <c r="L69" s="77">
        <f ca="1">IFERROR(__xludf.DUMMYFUNCTION("IMPORTRANGE(""https://docs.google.com/spreadsheets/d/1MeEWN-I1oV_STSDYn1IFDPWt_1FKiwhDph83XaGc0o0/edit?usp=sharing"",""งบพรบ!DF69"")"),26900)</f>
        <v>26900</v>
      </c>
      <c r="M69" s="79">
        <f t="shared" ca="1" si="5"/>
        <v>100</v>
      </c>
      <c r="N69" s="79">
        <f t="shared" ca="1" si="6"/>
        <v>100</v>
      </c>
      <c r="O69" s="80">
        <f ca="1">IFERROR(__xludf.DUMMYFUNCTION("IMPORTRANGE(""https://docs.google.com/spreadsheets/d/1MeEWN-I1oV_STSDYn1IFDPWt_1FKiwhDph83XaGc0o0/edit?usp=sharing"",""งบพรบ!DG69"")"),0)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IFERROR(__xludf.DUMMYFUNCTION("IMPORTRANGE(""https://docs.google.com/spreadsheets/d/11s9m3tKsCBdPWq6syhZm27eBGbKneDLZc75co106bio/edit?usp=sharing"",""สระแก้ว!I271"")"),22)</f>
        <v>22</v>
      </c>
      <c r="S69" s="81">
        <f ca="1">IFERROR(__xludf.DUMMYFUNCTION("IMPORTRANGE(""https://docs.google.com/spreadsheets/d/11s9m3tKsCBdPWq6syhZm27eBGbKneDLZc75co106bio/edit?usp=sharing"",""สระแก้ว!J271"")"),22)</f>
        <v>22</v>
      </c>
      <c r="T69" s="82">
        <f t="shared" ca="1" si="16"/>
        <v>100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26900</v>
      </c>
      <c r="D70" s="76">
        <f t="shared" ca="1" si="26"/>
        <v>26900</v>
      </c>
      <c r="E70" s="77">
        <f ca="1">IFERROR(__xludf.DUMMYFUNCTION("IMPORTRANGE(""https://docs.google.com/spreadsheets/d/1MeEWN-I1oV_STSDYn1IFDPWt_1FKiwhDph83XaGc0o0/edit?usp=sharing"",""งบพรบ!CZ70"")"),0)</f>
        <v>0</v>
      </c>
      <c r="F70" s="77">
        <f ca="1">IFERROR(__xludf.DUMMYFUNCTION("IMPORTRANGE(""https://docs.google.com/spreadsheets/d/1MeEWN-I1oV_STSDYn1IFDPWt_1FKiwhDph83XaGc0o0/edit?usp=sharing"",""งบพรบ!DA70"")"),26900)</f>
        <v>26900</v>
      </c>
      <c r="G70" s="77">
        <f ca="1">IFERROR(__xludf.DUMMYFUNCTION("IMPORTRANGE(""https://docs.google.com/spreadsheets/d/1MeEWN-I1oV_STSDYn1IFDPWt_1FKiwhDph83XaGc0o0/edit?usp=sharing"",""งบพรบ!DB70"")"),0)</f>
        <v>0</v>
      </c>
      <c r="H70" s="77">
        <f ca="1">IFERROR(__xludf.DUMMYFUNCTION("IMPORTRANGE(""https://docs.google.com/spreadsheets/d/1MeEWN-I1oV_STSDYn1IFDPWt_1FKiwhDph83XaGc0o0/edit?usp=sharing"",""งบพรบ!DD70"")"),26900)</f>
        <v>26900</v>
      </c>
      <c r="I70" s="77">
        <f ca="1">IFERROR(__xludf.DUMMYFUNCTION("IMPORTRANGE(""https://docs.google.com/spreadsheets/d/1MeEWN-I1oV_STSDYn1IFDPWt_1FKiwhDph83XaGc0o0/edit?usp=sharing"",""งบพรบ!DE70"")"),0)</f>
        <v>0</v>
      </c>
      <c r="J70" s="77">
        <f t="shared" ca="1" si="3"/>
        <v>24440</v>
      </c>
      <c r="K70" s="78">
        <f t="shared" ca="1" si="4"/>
        <v>90.85501858736059</v>
      </c>
      <c r="L70" s="77">
        <f ca="1">IFERROR(__xludf.DUMMYFUNCTION("IMPORTRANGE(""https://docs.google.com/spreadsheets/d/1MeEWN-I1oV_STSDYn1IFDPWt_1FKiwhDph83XaGc0o0/edit?usp=sharing"",""งบพรบ!DF70"")"),24440)</f>
        <v>24440</v>
      </c>
      <c r="M70" s="79">
        <f t="shared" ca="1" si="5"/>
        <v>90.85501858736059</v>
      </c>
      <c r="N70" s="79">
        <f t="shared" ca="1" si="6"/>
        <v>90.85501858736059</v>
      </c>
      <c r="O70" s="80">
        <f ca="1">IFERROR(__xludf.DUMMYFUNCTION("IMPORTRANGE(""https://docs.google.com/spreadsheets/d/1MeEWN-I1oV_STSDYn1IFDPWt_1FKiwhDph83XaGc0o0/edit?usp=sharing"",""งบพรบ!DG70"")"),0)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IFERROR(__xludf.DUMMYFUNCTION("IMPORTRANGE(""https://docs.google.com/spreadsheets/d/1Nn1EvsFPtXldgpgVb3Rcng2K2cls68LFQsBh2FyW0Bg/edit?usp=sharing"",""สระบุรี!I271"")"),22)</f>
        <v>22</v>
      </c>
      <c r="S70" s="81">
        <f ca="1">IFERROR(__xludf.DUMMYFUNCTION("IMPORTRANGE(""https://docs.google.com/spreadsheets/d/1Nn1EvsFPtXldgpgVb3Rcng2K2cls68LFQsBh2FyW0Bg/edit?usp=sharing"",""สระบุรี!J271"")"),22)</f>
        <v>22</v>
      </c>
      <c r="T70" s="82">
        <f t="shared" ca="1" si="16"/>
        <v>100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158500</v>
      </c>
      <c r="D71" s="76">
        <f t="shared" ca="1" si="26"/>
        <v>158500</v>
      </c>
      <c r="E71" s="77">
        <f ca="1">IFERROR(__xludf.DUMMYFUNCTION("IMPORTRANGE(""https://docs.google.com/spreadsheets/d/1MeEWN-I1oV_STSDYn1IFDPWt_1FKiwhDph83XaGc0o0/edit?usp=sharing"",""งบพรบ!CZ71"")"),143000)</f>
        <v>143000</v>
      </c>
      <c r="F71" s="77">
        <f ca="1">IFERROR(__xludf.DUMMYFUNCTION("IMPORTRANGE(""https://docs.google.com/spreadsheets/d/1MeEWN-I1oV_STSDYn1IFDPWt_1FKiwhDph83XaGc0o0/edit?usp=sharing"",""งบพรบ!DA71"")"),15500)</f>
        <v>15500</v>
      </c>
      <c r="G71" s="77">
        <f ca="1">IFERROR(__xludf.DUMMYFUNCTION("IMPORTRANGE(""https://docs.google.com/spreadsheets/d/1MeEWN-I1oV_STSDYn1IFDPWt_1FKiwhDph83XaGc0o0/edit?usp=sharing"",""งบพรบ!DB71"")"),0)</f>
        <v>0</v>
      </c>
      <c r="H71" s="77">
        <f ca="1">IFERROR(__xludf.DUMMYFUNCTION("IMPORTRANGE(""https://docs.google.com/spreadsheets/d/1MeEWN-I1oV_STSDYn1IFDPWt_1FKiwhDph83XaGc0o0/edit?usp=sharing"",""งบพรบ!DD71"")"),158500)</f>
        <v>158500</v>
      </c>
      <c r="I71" s="77">
        <f ca="1">IFERROR(__xludf.DUMMYFUNCTION("IMPORTRANGE(""https://docs.google.com/spreadsheets/d/1MeEWN-I1oV_STSDYn1IFDPWt_1FKiwhDph83XaGc0o0/edit?usp=sharing"",""งบพรบ!DE71"")"),0)</f>
        <v>0</v>
      </c>
      <c r="J71" s="77">
        <f t="shared" ca="1" si="3"/>
        <v>152011.68</v>
      </c>
      <c r="K71" s="78">
        <f t="shared" ca="1" si="4"/>
        <v>95.906422712933761</v>
      </c>
      <c r="L71" s="77">
        <f ca="1">IFERROR(__xludf.DUMMYFUNCTION("IMPORTRANGE(""https://docs.google.com/spreadsheets/d/1MeEWN-I1oV_STSDYn1IFDPWt_1FKiwhDph83XaGc0o0/edit?usp=sharing"",""งบพรบ!DF71"")"),152011.68)</f>
        <v>152011.68</v>
      </c>
      <c r="M71" s="79">
        <f t="shared" ca="1" si="5"/>
        <v>95.906422712933761</v>
      </c>
      <c r="N71" s="79">
        <f t="shared" ca="1" si="6"/>
        <v>95.906422712933761</v>
      </c>
      <c r="O71" s="80">
        <f ca="1">IFERROR(__xludf.DUMMYFUNCTION("IMPORTRANGE(""https://docs.google.com/spreadsheets/d/1MeEWN-I1oV_STSDYn1IFDPWt_1FKiwhDph83XaGc0o0/edit?usp=sharing"",""งบพรบ!DG71"")"),0)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IFERROR(__xludf.DUMMYFUNCTION("IMPORTRANGE(""https://docs.google.com/spreadsheets/d/149xufxukrnEciK3WPbNpHwUK8BKEJxp3UcBG3Al6dA4/edit?usp=sharing"",""สิงห์บุรี!I271"")"),10)</f>
        <v>10</v>
      </c>
      <c r="S71" s="81">
        <f ca="1">IFERROR(__xludf.DUMMYFUNCTION("IMPORTRANGE(""https://docs.google.com/spreadsheets/d/149xufxukrnEciK3WPbNpHwUK8BKEJxp3UcBG3Al6dA4/edit?usp=sharing"",""สิงห์บุรี!J271"")"),10)</f>
        <v>10</v>
      </c>
      <c r="T71" s="82">
        <f t="shared" ca="1" si="16"/>
        <v>100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26900</v>
      </c>
      <c r="D72" s="76">
        <f t="shared" ca="1" si="26"/>
        <v>26900</v>
      </c>
      <c r="E72" s="77">
        <f ca="1">IFERROR(__xludf.DUMMYFUNCTION("IMPORTRANGE(""https://docs.google.com/spreadsheets/d/1MeEWN-I1oV_STSDYn1IFDPWt_1FKiwhDph83XaGc0o0/edit?usp=sharing"",""งบพรบ!CZ72"")"),0)</f>
        <v>0</v>
      </c>
      <c r="F72" s="77">
        <f ca="1">IFERROR(__xludf.DUMMYFUNCTION("IMPORTRANGE(""https://docs.google.com/spreadsheets/d/1MeEWN-I1oV_STSDYn1IFDPWt_1FKiwhDph83XaGc0o0/edit?usp=sharing"",""งบพรบ!DA72"")"),26900)</f>
        <v>26900</v>
      </c>
      <c r="G72" s="77">
        <f ca="1">IFERROR(__xludf.DUMMYFUNCTION("IMPORTRANGE(""https://docs.google.com/spreadsheets/d/1MeEWN-I1oV_STSDYn1IFDPWt_1FKiwhDph83XaGc0o0/edit?usp=sharing"",""งบพรบ!DB72"")"),0)</f>
        <v>0</v>
      </c>
      <c r="H72" s="77">
        <f ca="1">IFERROR(__xludf.DUMMYFUNCTION("IMPORTRANGE(""https://docs.google.com/spreadsheets/d/1MeEWN-I1oV_STSDYn1IFDPWt_1FKiwhDph83XaGc0o0/edit?usp=sharing"",""งบพรบ!DD72"")"),26900)</f>
        <v>26900</v>
      </c>
      <c r="I72" s="77">
        <f ca="1">IFERROR(__xludf.DUMMYFUNCTION("IMPORTRANGE(""https://docs.google.com/spreadsheets/d/1MeEWN-I1oV_STSDYn1IFDPWt_1FKiwhDph83XaGc0o0/edit?usp=sharing"",""งบพรบ!DE72"")"),0)</f>
        <v>0</v>
      </c>
      <c r="J72" s="77">
        <f t="shared" ca="1" si="3"/>
        <v>26900</v>
      </c>
      <c r="K72" s="78">
        <f t="shared" ca="1" si="4"/>
        <v>100</v>
      </c>
      <c r="L72" s="77">
        <f ca="1">IFERROR(__xludf.DUMMYFUNCTION("IMPORTRANGE(""https://docs.google.com/spreadsheets/d/1MeEWN-I1oV_STSDYn1IFDPWt_1FKiwhDph83XaGc0o0/edit?usp=sharing"",""งบพรบ!DF72"")"),26900)</f>
        <v>26900</v>
      </c>
      <c r="M72" s="79">
        <f t="shared" ca="1" si="5"/>
        <v>100</v>
      </c>
      <c r="N72" s="79">
        <f t="shared" ca="1" si="6"/>
        <v>100</v>
      </c>
      <c r="O72" s="80">
        <f ca="1">IFERROR(__xludf.DUMMYFUNCTION("IMPORTRANGE(""https://docs.google.com/spreadsheets/d/1MeEWN-I1oV_STSDYn1IFDPWt_1FKiwhDph83XaGc0o0/edit?usp=sharing"",""งบพรบ!DG72"")"),0)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IFERROR(__xludf.DUMMYFUNCTION("IMPORTRANGE(""https://docs.google.com/spreadsheets/d/132g-zJpz2uMKimp17uOIx8A7o3w1Z25zwJyXnwsB56c/edit?usp=sharing"",""สุพรรณบุรี!I271"")"),22)</f>
        <v>22</v>
      </c>
      <c r="S72" s="81">
        <f ca="1">IFERROR(__xludf.DUMMYFUNCTION("IMPORTRANGE(""https://docs.google.com/spreadsheets/d/132g-zJpz2uMKimp17uOIx8A7o3w1Z25zwJyXnwsB56c/edit?usp=sharing"",""สุพรรณบุรี!J271"")"),22)</f>
        <v>22</v>
      </c>
      <c r="T72" s="82">
        <f t="shared" ca="1" si="16"/>
        <v>100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158500</v>
      </c>
      <c r="D73" s="87">
        <f t="shared" ca="1" si="26"/>
        <v>158500</v>
      </c>
      <c r="E73" s="88">
        <f ca="1">IFERROR(__xludf.DUMMYFUNCTION("IMPORTRANGE(""https://docs.google.com/spreadsheets/d/1MeEWN-I1oV_STSDYn1IFDPWt_1FKiwhDph83XaGc0o0/edit?usp=sharing"",""งบพรบ!CZ73"")"),143000)</f>
        <v>143000</v>
      </c>
      <c r="F73" s="88">
        <f ca="1">IFERROR(__xludf.DUMMYFUNCTION("IMPORTRANGE(""https://docs.google.com/spreadsheets/d/1MeEWN-I1oV_STSDYn1IFDPWt_1FKiwhDph83XaGc0o0/edit?usp=sharing"",""งบพรบ!DA73"")"),15500)</f>
        <v>15500</v>
      </c>
      <c r="G73" s="88">
        <f ca="1">IFERROR(__xludf.DUMMYFUNCTION("IMPORTRANGE(""https://docs.google.com/spreadsheets/d/1MeEWN-I1oV_STSDYn1IFDPWt_1FKiwhDph83XaGc0o0/edit?usp=sharing"",""งบพรบ!DB73"")"),0)</f>
        <v>0</v>
      </c>
      <c r="H73" s="88">
        <f ca="1">IFERROR(__xludf.DUMMYFUNCTION("IMPORTRANGE(""https://docs.google.com/spreadsheets/d/1MeEWN-I1oV_STSDYn1IFDPWt_1FKiwhDph83XaGc0o0/edit?usp=sharing"",""งบพรบ!DD73"")"),158500)</f>
        <v>158500</v>
      </c>
      <c r="I73" s="88">
        <f ca="1">IFERROR(__xludf.DUMMYFUNCTION("IMPORTRANGE(""https://docs.google.com/spreadsheets/d/1MeEWN-I1oV_STSDYn1IFDPWt_1FKiwhDph83XaGc0o0/edit?usp=sharing"",""งบพรบ!DE73"")"),0)</f>
        <v>0</v>
      </c>
      <c r="J73" s="88">
        <f t="shared" ca="1" si="3"/>
        <v>148500</v>
      </c>
      <c r="K73" s="89">
        <f t="shared" ca="1" si="4"/>
        <v>93.690851735015769</v>
      </c>
      <c r="L73" s="88">
        <f ca="1">IFERROR(__xludf.DUMMYFUNCTION("IMPORTRANGE(""https://docs.google.com/spreadsheets/d/1MeEWN-I1oV_STSDYn1IFDPWt_1FKiwhDph83XaGc0o0/edit?usp=sharing"",""งบพรบ!DF73"")"),148500)</f>
        <v>148500</v>
      </c>
      <c r="M73" s="90">
        <f t="shared" ca="1" si="5"/>
        <v>93.690851735015769</v>
      </c>
      <c r="N73" s="90">
        <f t="shared" ca="1" si="6"/>
        <v>93.690851735015769</v>
      </c>
      <c r="O73" s="91">
        <f ca="1">IFERROR(__xludf.DUMMYFUNCTION("IMPORTRANGE(""https://docs.google.com/spreadsheets/d/1MeEWN-I1oV_STSDYn1IFDPWt_1FKiwhDph83XaGc0o0/edit?usp=sharing"",""งบพรบ!DG73"")"),0)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IFERROR(__xludf.DUMMYFUNCTION("IMPORTRANGE(""https://docs.google.com/spreadsheets/d/12Q_U0nVnFdxDFwa0pej9xvx8ZvLC9Dpi_vRro_aiG5g/edit?usp=sharing"",""อ่างทอง!I271"")"),10)</f>
        <v>10</v>
      </c>
      <c r="S73" s="92">
        <f ca="1">IFERROR(__xludf.DUMMYFUNCTION("IMPORTRANGE(""https://docs.google.com/spreadsheets/d/12Q_U0nVnFdxDFwa0pej9xvx8ZvLC9Dpi_vRro_aiG5g/edit?usp=sharing"",""อ่างทอง!J271"")"),10)</f>
        <v>10</v>
      </c>
      <c r="T73" s="93">
        <f t="shared" ca="1" si="16"/>
        <v>100</v>
      </c>
    </row>
    <row r="74" spans="1:20" ht="21" customHeight="1" x14ac:dyDescent="0.2">
      <c r="A74" s="381" t="s">
        <v>96</v>
      </c>
      <c r="B74" s="370"/>
      <c r="C74" s="99">
        <f t="shared" ca="1" si="0"/>
        <v>641700</v>
      </c>
      <c r="D74" s="57">
        <f t="shared" ref="D74:I74" ca="1" si="27">SUM(D75:D88)</f>
        <v>641700</v>
      </c>
      <c r="E74" s="57">
        <f t="shared" ca="1" si="27"/>
        <v>286000</v>
      </c>
      <c r="F74" s="57">
        <f t="shared" ca="1" si="27"/>
        <v>355700</v>
      </c>
      <c r="G74" s="57">
        <f t="shared" ca="1" si="27"/>
        <v>0</v>
      </c>
      <c r="H74" s="57">
        <f t="shared" ca="1" si="27"/>
        <v>641700</v>
      </c>
      <c r="I74" s="57">
        <f t="shared" ca="1" si="27"/>
        <v>0</v>
      </c>
      <c r="J74" s="57">
        <f t="shared" ca="1" si="3"/>
        <v>578315.41999999993</v>
      </c>
      <c r="K74" s="95">
        <f t="shared" ca="1" si="4"/>
        <v>90.122396758609938</v>
      </c>
      <c r="L74" s="57">
        <f ca="1">SUM(L75:L88)</f>
        <v>578315.41999999993</v>
      </c>
      <c r="M74" s="96">
        <f t="shared" ca="1" si="5"/>
        <v>90.122396758609938</v>
      </c>
      <c r="N74" s="96">
        <f t="shared" ca="1" si="6"/>
        <v>90.122396758609938</v>
      </c>
      <c r="O74" s="97">
        <f ca="1">SUM(O75:O88)</f>
        <v>0</v>
      </c>
      <c r="P74" s="97">
        <f t="shared" ca="1" si="18"/>
        <v>0</v>
      </c>
      <c r="Q74" s="96">
        <f t="shared" ca="1" si="8"/>
        <v>0</v>
      </c>
      <c r="R74" s="57">
        <f t="shared" ref="R74:S74" ca="1" si="28">SUM(R75:R88)</f>
        <v>286</v>
      </c>
      <c r="S74" s="57">
        <f t="shared" ca="1" si="28"/>
        <v>286</v>
      </c>
      <c r="T74" s="96">
        <f t="shared" ca="1" si="16"/>
        <v>100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26900</v>
      </c>
      <c r="D75" s="66">
        <f t="shared" ref="D75:D88" ca="1" si="29">+E75+F75</f>
        <v>26900</v>
      </c>
      <c r="E75" s="67">
        <f ca="1">IFERROR(__xludf.DUMMYFUNCTION("IMPORTRANGE(""https://docs.google.com/spreadsheets/d/1MeEWN-I1oV_STSDYn1IFDPWt_1FKiwhDph83XaGc0o0/edit?usp=sharing"",""งบพรบ!CZ75"")"),0)</f>
        <v>0</v>
      </c>
      <c r="F75" s="67">
        <f ca="1">IFERROR(__xludf.DUMMYFUNCTION("IMPORTRANGE(""https://docs.google.com/spreadsheets/d/1MeEWN-I1oV_STSDYn1IFDPWt_1FKiwhDph83XaGc0o0/edit?usp=sharing"",""งบพรบ!DA75"")"),26900)</f>
        <v>26900</v>
      </c>
      <c r="G75" s="100">
        <f ca="1">IFERROR(__xludf.DUMMYFUNCTION("IMPORTRANGE(""https://docs.google.com/spreadsheets/d/1MeEWN-I1oV_STSDYn1IFDPWt_1FKiwhDph83XaGc0o0/edit?usp=sharing"",""งบพรบ!DB75"")"),0)</f>
        <v>0</v>
      </c>
      <c r="H75" s="100">
        <f ca="1">IFERROR(__xludf.DUMMYFUNCTION("IMPORTRANGE(""https://docs.google.com/spreadsheets/d/1MeEWN-I1oV_STSDYn1IFDPWt_1FKiwhDph83XaGc0o0/edit?usp=sharing"",""งบพรบ!DD75"")"),26900)</f>
        <v>26900</v>
      </c>
      <c r="I75" s="100">
        <f ca="1">IFERROR(__xludf.DUMMYFUNCTION("IMPORTRANGE(""https://docs.google.com/spreadsheets/d/1MeEWN-I1oV_STSDYn1IFDPWt_1FKiwhDph83XaGc0o0/edit?usp=sharing"",""งบพรบ!DE75"")"),0)</f>
        <v>0</v>
      </c>
      <c r="J75" s="100">
        <f t="shared" ca="1" si="3"/>
        <v>26900</v>
      </c>
      <c r="K75" s="101">
        <f t="shared" ca="1" si="4"/>
        <v>100</v>
      </c>
      <c r="L75" s="77">
        <f ca="1">IFERROR(__xludf.DUMMYFUNCTION("IMPORTRANGE(""https://docs.google.com/spreadsheets/d/1MeEWN-I1oV_STSDYn1IFDPWt_1FKiwhDph83XaGc0o0/edit?usp=sharing"",""งบพรบ!DF75"")"),26900)</f>
        <v>26900</v>
      </c>
      <c r="M75" s="70">
        <f t="shared" ca="1" si="5"/>
        <v>100</v>
      </c>
      <c r="N75" s="70">
        <f t="shared" ca="1" si="6"/>
        <v>100</v>
      </c>
      <c r="O75" s="71">
        <f ca="1">IFERROR(__xludf.DUMMYFUNCTION("IMPORTRANGE(""https://docs.google.com/spreadsheets/d/1MeEWN-I1oV_STSDYn1IFDPWt_1FKiwhDph83XaGc0o0/edit?usp=sharing"",""งบพรบ!DG75"")"),0)</f>
        <v>0</v>
      </c>
      <c r="P75" s="71">
        <f t="shared" ca="1" si="1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IFERROR(__xludf.DUMMYFUNCTION("IMPORTRANGE(""https://docs.google.com/spreadsheets/d/1kC41EOXpGBFOW658Fs3oD8beYlym0-zO54WY-2Qnp9I/edit?usp=sharing"",""กระบี่!I271"")"),22)</f>
        <v>22</v>
      </c>
      <c r="S75" s="68">
        <f ca="1">IFERROR(__xludf.DUMMYFUNCTION("IMPORTRANGE(""https://docs.google.com/spreadsheets/d/1kC41EOXpGBFOW658Fs3oD8beYlym0-zO54WY-2Qnp9I/edit?usp=sharing"",""กระบี่!J271"")"),22)</f>
        <v>22</v>
      </c>
      <c r="T75" s="72">
        <f t="shared" ca="1" si="16"/>
        <v>100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28800</v>
      </c>
      <c r="D76" s="76">
        <f t="shared" ca="1" si="29"/>
        <v>28800</v>
      </c>
      <c r="E76" s="77">
        <f ca="1">IFERROR(__xludf.DUMMYFUNCTION("IMPORTRANGE(""https://docs.google.com/spreadsheets/d/1MeEWN-I1oV_STSDYn1IFDPWt_1FKiwhDph83XaGc0o0/edit?usp=sharing"",""งบพรบ!CZ76"")"),0)</f>
        <v>0</v>
      </c>
      <c r="F76" s="77">
        <f ca="1">IFERROR(__xludf.DUMMYFUNCTION("IMPORTRANGE(""https://docs.google.com/spreadsheets/d/1MeEWN-I1oV_STSDYn1IFDPWt_1FKiwhDph83XaGc0o0/edit?usp=sharing"",""งบพรบ!DA76"")"),28800)</f>
        <v>28800</v>
      </c>
      <c r="G76" s="77">
        <f ca="1">IFERROR(__xludf.DUMMYFUNCTION("IMPORTRANGE(""https://docs.google.com/spreadsheets/d/1MeEWN-I1oV_STSDYn1IFDPWt_1FKiwhDph83XaGc0o0/edit?usp=sharing"",""งบพรบ!DB76"")"),0)</f>
        <v>0</v>
      </c>
      <c r="H76" s="77">
        <f ca="1">IFERROR(__xludf.DUMMYFUNCTION("IMPORTRANGE(""https://docs.google.com/spreadsheets/d/1MeEWN-I1oV_STSDYn1IFDPWt_1FKiwhDph83XaGc0o0/edit?usp=sharing"",""งบพรบ!DD76"")"),28800)</f>
        <v>28800</v>
      </c>
      <c r="I76" s="77">
        <f ca="1">IFERROR(__xludf.DUMMYFUNCTION("IMPORTRANGE(""https://docs.google.com/spreadsheets/d/1MeEWN-I1oV_STSDYn1IFDPWt_1FKiwhDph83XaGc0o0/edit?usp=sharing"",""งบพรบ!DE76"")"),0)</f>
        <v>0</v>
      </c>
      <c r="J76" s="77">
        <f t="shared" ca="1" si="3"/>
        <v>28800</v>
      </c>
      <c r="K76" s="78">
        <f t="shared" ca="1" si="4"/>
        <v>100</v>
      </c>
      <c r="L76" s="77">
        <f ca="1">IFERROR(__xludf.DUMMYFUNCTION("IMPORTRANGE(""https://docs.google.com/spreadsheets/d/1MeEWN-I1oV_STSDYn1IFDPWt_1FKiwhDph83XaGc0o0/edit?usp=sharing"",""งบพรบ!DF76"")"),28800)</f>
        <v>28800</v>
      </c>
      <c r="M76" s="79">
        <f t="shared" ca="1" si="5"/>
        <v>100</v>
      </c>
      <c r="N76" s="79">
        <f t="shared" ca="1" si="6"/>
        <v>100</v>
      </c>
      <c r="O76" s="80">
        <f ca="1">IFERROR(__xludf.DUMMYFUNCTION("IMPORTRANGE(""https://docs.google.com/spreadsheets/d/1MeEWN-I1oV_STSDYn1IFDPWt_1FKiwhDph83XaGc0o0/edit?usp=sharing"",""งบพรบ!DG76"")"),0)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IFERROR(__xludf.DUMMYFUNCTION("IMPORTRANGE(""https://docs.google.com/spreadsheets/d/1FbzMZY_f3MDiEuK7RpCQKrilJ_kpX0Wm7QBZ1L7EjIU/edit?usp=sharing"",""ชุมพร!I271"")"),24)</f>
        <v>24</v>
      </c>
      <c r="S76" s="81">
        <f ca="1">IFERROR(__xludf.DUMMYFUNCTION("IMPORTRANGE(""https://docs.google.com/spreadsheets/d/1FbzMZY_f3MDiEuK7RpCQKrilJ_kpX0Wm7QBZ1L7EjIU/edit?usp=sharing"",""ชุมพร!J271"")"),24)</f>
        <v>24</v>
      </c>
      <c r="T76" s="82">
        <f t="shared" ca="1" si="16"/>
        <v>100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26900</v>
      </c>
      <c r="D77" s="76">
        <f t="shared" ca="1" si="29"/>
        <v>26900</v>
      </c>
      <c r="E77" s="77">
        <f ca="1">IFERROR(__xludf.DUMMYFUNCTION("IMPORTRANGE(""https://docs.google.com/spreadsheets/d/1MeEWN-I1oV_STSDYn1IFDPWt_1FKiwhDph83XaGc0o0/edit?usp=sharing"",""งบพรบ!CZ77"")"),0)</f>
        <v>0</v>
      </c>
      <c r="F77" s="77">
        <f ca="1">IFERROR(__xludf.DUMMYFUNCTION("IMPORTRANGE(""https://docs.google.com/spreadsheets/d/1MeEWN-I1oV_STSDYn1IFDPWt_1FKiwhDph83XaGc0o0/edit?usp=sharing"",""งบพรบ!DA77"")"),26900)</f>
        <v>26900</v>
      </c>
      <c r="G77" s="77">
        <f ca="1">IFERROR(__xludf.DUMMYFUNCTION("IMPORTRANGE(""https://docs.google.com/spreadsheets/d/1MeEWN-I1oV_STSDYn1IFDPWt_1FKiwhDph83XaGc0o0/edit?usp=sharing"",""งบพรบ!DB77"")"),0)</f>
        <v>0</v>
      </c>
      <c r="H77" s="77">
        <f ca="1">IFERROR(__xludf.DUMMYFUNCTION("IMPORTRANGE(""https://docs.google.com/spreadsheets/d/1MeEWN-I1oV_STSDYn1IFDPWt_1FKiwhDph83XaGc0o0/edit?usp=sharing"",""งบพรบ!DD77"")"),26900)</f>
        <v>26900</v>
      </c>
      <c r="I77" s="77">
        <f ca="1">IFERROR(__xludf.DUMMYFUNCTION("IMPORTRANGE(""https://docs.google.com/spreadsheets/d/1MeEWN-I1oV_STSDYn1IFDPWt_1FKiwhDph83XaGc0o0/edit?usp=sharing"",""งบพรบ!DE77"")"),0)</f>
        <v>0</v>
      </c>
      <c r="J77" s="77">
        <f t="shared" ca="1" si="3"/>
        <v>20900</v>
      </c>
      <c r="K77" s="78">
        <f t="shared" ca="1" si="4"/>
        <v>77.695167286245351</v>
      </c>
      <c r="L77" s="77">
        <f ca="1">IFERROR(__xludf.DUMMYFUNCTION("IMPORTRANGE(""https://docs.google.com/spreadsheets/d/1MeEWN-I1oV_STSDYn1IFDPWt_1FKiwhDph83XaGc0o0/edit?usp=sharing"",""งบพรบ!DF77"")"),20900)</f>
        <v>20900</v>
      </c>
      <c r="M77" s="79">
        <f t="shared" ca="1" si="5"/>
        <v>77.695167286245351</v>
      </c>
      <c r="N77" s="79">
        <f t="shared" ca="1" si="6"/>
        <v>77.695167286245351</v>
      </c>
      <c r="O77" s="80">
        <f ca="1">IFERROR(__xludf.DUMMYFUNCTION("IMPORTRANGE(""https://docs.google.com/spreadsheets/d/1MeEWN-I1oV_STSDYn1IFDPWt_1FKiwhDph83XaGc0o0/edit?usp=sharing"",""งบพรบ!DG77"")"),0)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IFERROR(__xludf.DUMMYFUNCTION("IMPORTRANGE(""https://docs.google.com/spreadsheets/d/1v5sN-00LrXuhBxw4dkh2GrG_z4l5oAqOdJRBCsUyMaM/edit?usp=sharing"",""ตรัง!I271"")"),22)</f>
        <v>22</v>
      </c>
      <c r="S77" s="81">
        <f ca="1">IFERROR(__xludf.DUMMYFUNCTION("IMPORTRANGE(""https://docs.google.com/spreadsheets/d/1v5sN-00LrXuhBxw4dkh2GrG_z4l5oAqOdJRBCsUyMaM/edit?usp=sharing"",""ตรัง!J271"")"),22)</f>
        <v>22</v>
      </c>
      <c r="T77" s="82">
        <f t="shared" ca="1" si="16"/>
        <v>100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173700</v>
      </c>
      <c r="D78" s="76">
        <f t="shared" ca="1" si="29"/>
        <v>173700</v>
      </c>
      <c r="E78" s="77">
        <f ca="1">IFERROR(__xludf.DUMMYFUNCTION("IMPORTRANGE(""https://docs.google.com/spreadsheets/d/1MeEWN-I1oV_STSDYn1IFDPWt_1FKiwhDph83XaGc0o0/edit?usp=sharing"",""งบพรบ!CZ78"")"),143000)</f>
        <v>143000</v>
      </c>
      <c r="F78" s="77">
        <f ca="1">IFERROR(__xludf.DUMMYFUNCTION("IMPORTRANGE(""https://docs.google.com/spreadsheets/d/1MeEWN-I1oV_STSDYn1IFDPWt_1FKiwhDph83XaGc0o0/edit?usp=sharing"",""งบพรบ!DA78"")"),30700)</f>
        <v>30700</v>
      </c>
      <c r="G78" s="77">
        <f ca="1">IFERROR(__xludf.DUMMYFUNCTION("IMPORTRANGE(""https://docs.google.com/spreadsheets/d/1MeEWN-I1oV_STSDYn1IFDPWt_1FKiwhDph83XaGc0o0/edit?usp=sharing"",""งบพรบ!DB78"")"),0)</f>
        <v>0</v>
      </c>
      <c r="H78" s="77">
        <f ca="1">IFERROR(__xludf.DUMMYFUNCTION("IMPORTRANGE(""https://docs.google.com/spreadsheets/d/1MeEWN-I1oV_STSDYn1IFDPWt_1FKiwhDph83XaGc0o0/edit?usp=sharing"",""งบพรบ!DD78"")"),173700)</f>
        <v>173700</v>
      </c>
      <c r="I78" s="77">
        <f ca="1">IFERROR(__xludf.DUMMYFUNCTION("IMPORTRANGE(""https://docs.google.com/spreadsheets/d/1MeEWN-I1oV_STSDYn1IFDPWt_1FKiwhDph83XaGc0o0/edit?usp=sharing"",""งบพรบ!DE78"")"),0)</f>
        <v>0</v>
      </c>
      <c r="J78" s="77">
        <f t="shared" ca="1" si="3"/>
        <v>171033.61</v>
      </c>
      <c r="K78" s="78">
        <f t="shared" ca="1" si="4"/>
        <v>98.464945308002299</v>
      </c>
      <c r="L78" s="77">
        <f ca="1">IFERROR(__xludf.DUMMYFUNCTION("IMPORTRANGE(""https://docs.google.com/spreadsheets/d/1MeEWN-I1oV_STSDYn1IFDPWt_1FKiwhDph83XaGc0o0/edit?usp=sharing"",""งบพรบ!DF78"")"),171033.61)</f>
        <v>171033.61</v>
      </c>
      <c r="M78" s="79">
        <f t="shared" ca="1" si="5"/>
        <v>98.464945308002299</v>
      </c>
      <c r="N78" s="79">
        <f t="shared" ca="1" si="6"/>
        <v>98.464945308002299</v>
      </c>
      <c r="O78" s="80">
        <f ca="1">IFERROR(__xludf.DUMMYFUNCTION("IMPORTRANGE(""https://docs.google.com/spreadsheets/d/1MeEWN-I1oV_STSDYn1IFDPWt_1FKiwhDph83XaGc0o0/edit?usp=sharing"",""งบพรบ!DG78"")"),0)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IFERROR(__xludf.DUMMYFUNCTION("IMPORTRANGE(""https://docs.google.com/spreadsheets/d/1T5rRTzFc79aSIvqnzkZNvwPstq829QYz_xALlO1Z0s8/edit?usp=sharing"",""นครศรีธรรมราช!I271"")"),26)</f>
        <v>26</v>
      </c>
      <c r="S78" s="81">
        <f ca="1">IFERROR(__xludf.DUMMYFUNCTION("IMPORTRANGE(""https://docs.google.com/spreadsheets/d/1T5rRTzFc79aSIvqnzkZNvwPstq829QYz_xALlO1Z0s8/edit?usp=sharing"",""นครศรีธรรมราช!J271"")"),26)</f>
        <v>26</v>
      </c>
      <c r="T78" s="82">
        <f t="shared" ca="1" si="16"/>
        <v>100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21200</v>
      </c>
      <c r="D79" s="76">
        <f t="shared" ca="1" si="29"/>
        <v>21200</v>
      </c>
      <c r="E79" s="77">
        <f ca="1">IFERROR(__xludf.DUMMYFUNCTION("IMPORTRANGE(""https://docs.google.com/spreadsheets/d/1MeEWN-I1oV_STSDYn1IFDPWt_1FKiwhDph83XaGc0o0/edit?usp=sharing"",""งบพรบ!CZ79"")"),0)</f>
        <v>0</v>
      </c>
      <c r="F79" s="77">
        <f ca="1">IFERROR(__xludf.DUMMYFUNCTION("IMPORTRANGE(""https://docs.google.com/spreadsheets/d/1MeEWN-I1oV_STSDYn1IFDPWt_1FKiwhDph83XaGc0o0/edit?usp=sharing"",""งบพรบ!DA79"")"),21200)</f>
        <v>21200</v>
      </c>
      <c r="G79" s="77">
        <f ca="1">IFERROR(__xludf.DUMMYFUNCTION("IMPORTRANGE(""https://docs.google.com/spreadsheets/d/1MeEWN-I1oV_STSDYn1IFDPWt_1FKiwhDph83XaGc0o0/edit?usp=sharing"",""งบพรบ!DB79"")"),0)</f>
        <v>0</v>
      </c>
      <c r="H79" s="77">
        <f ca="1">IFERROR(__xludf.DUMMYFUNCTION("IMPORTRANGE(""https://docs.google.com/spreadsheets/d/1MeEWN-I1oV_STSDYn1IFDPWt_1FKiwhDph83XaGc0o0/edit?usp=sharing"",""งบพรบ!DD79"")"),21200)</f>
        <v>21200</v>
      </c>
      <c r="I79" s="77">
        <f ca="1">IFERROR(__xludf.DUMMYFUNCTION("IMPORTRANGE(""https://docs.google.com/spreadsheets/d/1MeEWN-I1oV_STSDYn1IFDPWt_1FKiwhDph83XaGc0o0/edit?usp=sharing"",""งบพรบ!DE79"")"),0)</f>
        <v>0</v>
      </c>
      <c r="J79" s="77">
        <f t="shared" ca="1" si="3"/>
        <v>21200</v>
      </c>
      <c r="K79" s="78">
        <f t="shared" ca="1" si="4"/>
        <v>100</v>
      </c>
      <c r="L79" s="77">
        <f ca="1">IFERROR(__xludf.DUMMYFUNCTION("IMPORTRANGE(""https://docs.google.com/spreadsheets/d/1MeEWN-I1oV_STSDYn1IFDPWt_1FKiwhDph83XaGc0o0/edit?usp=sharing"",""งบพรบ!DF79"")"),21200)</f>
        <v>21200</v>
      </c>
      <c r="M79" s="79">
        <f t="shared" ca="1" si="5"/>
        <v>100</v>
      </c>
      <c r="N79" s="79">
        <f t="shared" ca="1" si="6"/>
        <v>100</v>
      </c>
      <c r="O79" s="80">
        <f ca="1">IFERROR(__xludf.DUMMYFUNCTION("IMPORTRANGE(""https://docs.google.com/spreadsheets/d/1MeEWN-I1oV_STSDYn1IFDPWt_1FKiwhDph83XaGc0o0/edit?usp=sharing"",""งบพรบ!DG79"")"),0)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IFERROR(__xludf.DUMMYFUNCTION("IMPORTRANGE(""https://docs.google.com/spreadsheets/d/1BeghqumK0IvCmRd2QOy6_afsZq7ZtAGrSnVJy2u7WmY/edit?usp=sharing"",""นราธิวาส!I271"")"),16)</f>
        <v>16</v>
      </c>
      <c r="S79" s="81">
        <f ca="1">IFERROR(__xludf.DUMMYFUNCTION("IMPORTRANGE(""https://docs.google.com/spreadsheets/d/1BeghqumK0IvCmRd2QOy6_afsZq7ZtAGrSnVJy2u7WmY/edit?usp=sharing"",""นราธิวาส!J271"")"),16)</f>
        <v>16</v>
      </c>
      <c r="T79" s="82">
        <f t="shared" ca="1" si="16"/>
        <v>100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25000</v>
      </c>
      <c r="D80" s="76">
        <f t="shared" ca="1" si="29"/>
        <v>25000</v>
      </c>
      <c r="E80" s="77">
        <f ca="1">IFERROR(__xludf.DUMMYFUNCTION("IMPORTRANGE(""https://docs.google.com/spreadsheets/d/1MeEWN-I1oV_STSDYn1IFDPWt_1FKiwhDph83XaGc0o0/edit?usp=sharing"",""งบพรบ!CZ80"")"),0)</f>
        <v>0</v>
      </c>
      <c r="F80" s="77">
        <f ca="1">IFERROR(__xludf.DUMMYFUNCTION("IMPORTRANGE(""https://docs.google.com/spreadsheets/d/1MeEWN-I1oV_STSDYn1IFDPWt_1FKiwhDph83XaGc0o0/edit?usp=sharing"",""งบพรบ!DA80"")"),25000)</f>
        <v>25000</v>
      </c>
      <c r="G80" s="77">
        <f ca="1">IFERROR(__xludf.DUMMYFUNCTION("IMPORTRANGE(""https://docs.google.com/spreadsheets/d/1MeEWN-I1oV_STSDYn1IFDPWt_1FKiwhDph83XaGc0o0/edit?usp=sharing"",""งบพรบ!DB80"")"),0)</f>
        <v>0</v>
      </c>
      <c r="H80" s="77">
        <f ca="1">IFERROR(__xludf.DUMMYFUNCTION("IMPORTRANGE(""https://docs.google.com/spreadsheets/d/1MeEWN-I1oV_STSDYn1IFDPWt_1FKiwhDph83XaGc0o0/edit?usp=sharing"",""งบพรบ!DD80"")"),25000)</f>
        <v>25000</v>
      </c>
      <c r="I80" s="77">
        <f ca="1">IFERROR(__xludf.DUMMYFUNCTION("IMPORTRANGE(""https://docs.google.com/spreadsheets/d/1MeEWN-I1oV_STSDYn1IFDPWt_1FKiwhDph83XaGc0o0/edit?usp=sharing"",""งบพรบ!DE80"")"),0)</f>
        <v>0</v>
      </c>
      <c r="J80" s="77">
        <f t="shared" ca="1" si="3"/>
        <v>22300</v>
      </c>
      <c r="K80" s="78">
        <f t="shared" ca="1" si="4"/>
        <v>89.2</v>
      </c>
      <c r="L80" s="77">
        <f ca="1">IFERROR(__xludf.DUMMYFUNCTION("IMPORTRANGE(""https://docs.google.com/spreadsheets/d/1MeEWN-I1oV_STSDYn1IFDPWt_1FKiwhDph83XaGc0o0/edit?usp=sharing"",""งบพรบ!DF80"")"),22300)</f>
        <v>22300</v>
      </c>
      <c r="M80" s="79">
        <f t="shared" ca="1" si="5"/>
        <v>89.2</v>
      </c>
      <c r="N80" s="79">
        <f t="shared" ca="1" si="6"/>
        <v>89.2</v>
      </c>
      <c r="O80" s="80">
        <f ca="1">IFERROR(__xludf.DUMMYFUNCTION("IMPORTRANGE(""https://docs.google.com/spreadsheets/d/1MeEWN-I1oV_STSDYn1IFDPWt_1FKiwhDph83XaGc0o0/edit?usp=sharing"",""งบพรบ!DG80"")"),0)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IFERROR(__xludf.DUMMYFUNCTION("IMPORTRANGE(""https://docs.google.com/spreadsheets/d/1IwnW3-jjRf74MCLW-6PiFwMUffRQXZwZA7YM609NmRc/edit?usp=sharing"",""ปัตตานี!I271"")"),20)</f>
        <v>20</v>
      </c>
      <c r="S80" s="81">
        <f ca="1">IFERROR(__xludf.DUMMYFUNCTION("IMPORTRANGE(""https://docs.google.com/spreadsheets/d/1IwnW3-jjRf74MCLW-6PiFwMUffRQXZwZA7YM609NmRc/edit?usp=sharing"",""ปัตตานี!J271"")"),20)</f>
        <v>20</v>
      </c>
      <c r="T80" s="82">
        <f t="shared" ca="1" si="16"/>
        <v>100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26900</v>
      </c>
      <c r="D81" s="76">
        <f t="shared" ca="1" si="29"/>
        <v>26900</v>
      </c>
      <c r="E81" s="77">
        <f ca="1">IFERROR(__xludf.DUMMYFUNCTION("IMPORTRANGE(""https://docs.google.com/spreadsheets/d/1MeEWN-I1oV_STSDYn1IFDPWt_1FKiwhDph83XaGc0o0/edit?usp=sharing"",""งบพรบ!CZ81"")"),0)</f>
        <v>0</v>
      </c>
      <c r="F81" s="77">
        <f ca="1">IFERROR(__xludf.DUMMYFUNCTION("IMPORTRANGE(""https://docs.google.com/spreadsheets/d/1MeEWN-I1oV_STSDYn1IFDPWt_1FKiwhDph83XaGc0o0/edit?usp=sharing"",""งบพรบ!DA81"")"),26900)</f>
        <v>26900</v>
      </c>
      <c r="G81" s="77">
        <f ca="1">IFERROR(__xludf.DUMMYFUNCTION("IMPORTRANGE(""https://docs.google.com/spreadsheets/d/1MeEWN-I1oV_STSDYn1IFDPWt_1FKiwhDph83XaGc0o0/edit?usp=sharing"",""งบพรบ!DB81"")"),0)</f>
        <v>0</v>
      </c>
      <c r="H81" s="77">
        <f ca="1">IFERROR(__xludf.DUMMYFUNCTION("IMPORTRANGE(""https://docs.google.com/spreadsheets/d/1MeEWN-I1oV_STSDYn1IFDPWt_1FKiwhDph83XaGc0o0/edit?usp=sharing"",""งบพรบ!DD81"")"),26900)</f>
        <v>26900</v>
      </c>
      <c r="I81" s="77">
        <f ca="1">IFERROR(__xludf.DUMMYFUNCTION("IMPORTRANGE(""https://docs.google.com/spreadsheets/d/1MeEWN-I1oV_STSDYn1IFDPWt_1FKiwhDph83XaGc0o0/edit?usp=sharing"",""งบพรบ!DE81"")"),0)</f>
        <v>0</v>
      </c>
      <c r="J81" s="77">
        <f t="shared" ca="1" si="3"/>
        <v>12720</v>
      </c>
      <c r="K81" s="78">
        <f t="shared" ca="1" si="4"/>
        <v>47.286245353159849</v>
      </c>
      <c r="L81" s="77">
        <f ca="1">IFERROR(__xludf.DUMMYFUNCTION("IMPORTRANGE(""https://docs.google.com/spreadsheets/d/1MeEWN-I1oV_STSDYn1IFDPWt_1FKiwhDph83XaGc0o0/edit?usp=sharing"",""งบพรบ!DF81"")"),12720)</f>
        <v>12720</v>
      </c>
      <c r="M81" s="79">
        <f t="shared" ca="1" si="5"/>
        <v>47.286245353159849</v>
      </c>
      <c r="N81" s="79">
        <f t="shared" ca="1" si="6"/>
        <v>47.286245353159849</v>
      </c>
      <c r="O81" s="80">
        <f ca="1">IFERROR(__xludf.DUMMYFUNCTION("IMPORTRANGE(""https://docs.google.com/spreadsheets/d/1MeEWN-I1oV_STSDYn1IFDPWt_1FKiwhDph83XaGc0o0/edit?usp=sharing"",""งบพรบ!DG81"")"),0)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IFERROR(__xludf.DUMMYFUNCTION("IMPORTRANGE(""https://docs.google.com/spreadsheets/d/1vl4QWbWdFruual5o_wdo6ZSqXZ_it806oja4CctTLKs/edit?usp=sharing"",""พังงา!I271"")"),22)</f>
        <v>22</v>
      </c>
      <c r="S81" s="81">
        <f ca="1">IFERROR(__xludf.DUMMYFUNCTION("IMPORTRANGE(""https://docs.google.com/spreadsheets/d/1vl4QWbWdFruual5o_wdo6ZSqXZ_it806oja4CctTLKs/edit?usp=sharing"",""พังงา!J271"")"),22)</f>
        <v>22</v>
      </c>
      <c r="T81" s="82">
        <f t="shared" ca="1" si="16"/>
        <v>100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25000</v>
      </c>
      <c r="D82" s="76">
        <f t="shared" ca="1" si="29"/>
        <v>25000</v>
      </c>
      <c r="E82" s="77">
        <f ca="1">IFERROR(__xludf.DUMMYFUNCTION("IMPORTRANGE(""https://docs.google.com/spreadsheets/d/1MeEWN-I1oV_STSDYn1IFDPWt_1FKiwhDph83XaGc0o0/edit?usp=sharing"",""งบพรบ!CZ82"")"),0)</f>
        <v>0</v>
      </c>
      <c r="F82" s="77">
        <f ca="1">IFERROR(__xludf.DUMMYFUNCTION("IMPORTRANGE(""https://docs.google.com/spreadsheets/d/1MeEWN-I1oV_STSDYn1IFDPWt_1FKiwhDph83XaGc0o0/edit?usp=sharing"",""งบพรบ!DA82"")"),25000)</f>
        <v>25000</v>
      </c>
      <c r="G82" s="77">
        <f ca="1">IFERROR(__xludf.DUMMYFUNCTION("IMPORTRANGE(""https://docs.google.com/spreadsheets/d/1MeEWN-I1oV_STSDYn1IFDPWt_1FKiwhDph83XaGc0o0/edit?usp=sharing"",""งบพรบ!DB82"")"),0)</f>
        <v>0</v>
      </c>
      <c r="H82" s="77">
        <f ca="1">IFERROR(__xludf.DUMMYFUNCTION("IMPORTRANGE(""https://docs.google.com/spreadsheets/d/1MeEWN-I1oV_STSDYn1IFDPWt_1FKiwhDph83XaGc0o0/edit?usp=sharing"",""งบพรบ!DD82"")"),25000)</f>
        <v>25000</v>
      </c>
      <c r="I82" s="77">
        <f ca="1">IFERROR(__xludf.DUMMYFUNCTION("IMPORTRANGE(""https://docs.google.com/spreadsheets/d/1MeEWN-I1oV_STSDYn1IFDPWt_1FKiwhDph83XaGc0o0/edit?usp=sharing"",""งบพรบ!DE82"")"),0)</f>
        <v>0</v>
      </c>
      <c r="J82" s="77">
        <f t="shared" ca="1" si="3"/>
        <v>23860</v>
      </c>
      <c r="K82" s="78">
        <f t="shared" ca="1" si="4"/>
        <v>95.44</v>
      </c>
      <c r="L82" s="77">
        <f ca="1">IFERROR(__xludf.DUMMYFUNCTION("IMPORTRANGE(""https://docs.google.com/spreadsheets/d/1MeEWN-I1oV_STSDYn1IFDPWt_1FKiwhDph83XaGc0o0/edit?usp=sharing"",""งบพรบ!DF82"")"),23860)</f>
        <v>23860</v>
      </c>
      <c r="M82" s="79">
        <f t="shared" ca="1" si="5"/>
        <v>95.44</v>
      </c>
      <c r="N82" s="79">
        <f t="shared" ca="1" si="6"/>
        <v>95.44</v>
      </c>
      <c r="O82" s="80">
        <f ca="1">IFERROR(__xludf.DUMMYFUNCTION("IMPORTRANGE(""https://docs.google.com/spreadsheets/d/1MeEWN-I1oV_STSDYn1IFDPWt_1FKiwhDph83XaGc0o0/edit?usp=sharing"",""งบพรบ!DG82"")"),0)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IFERROR(__xludf.DUMMYFUNCTION("IMPORTRANGE(""https://docs.google.com/spreadsheets/d/1b6QssHQp2FoAPSMKHOy273KNzAomaIKhtdlvuZ_zDNE/edit?usp=sharing"",""พัทลุง!I271"")"),20)</f>
        <v>20</v>
      </c>
      <c r="S82" s="81">
        <f ca="1">IFERROR(__xludf.DUMMYFUNCTION("IMPORTRANGE(""https://docs.google.com/spreadsheets/d/1b6QssHQp2FoAPSMKHOy273KNzAomaIKhtdlvuZ_zDNE/edit?usp=sharing"",""พัทลุง!J271"")"),20)</f>
        <v>20</v>
      </c>
      <c r="T82" s="82">
        <f t="shared" ca="1" si="16"/>
        <v>100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25000</v>
      </c>
      <c r="D83" s="76">
        <f t="shared" ca="1" si="29"/>
        <v>25000</v>
      </c>
      <c r="E83" s="77">
        <f ca="1">IFERROR(__xludf.DUMMYFUNCTION("IMPORTRANGE(""https://docs.google.com/spreadsheets/d/1MeEWN-I1oV_STSDYn1IFDPWt_1FKiwhDph83XaGc0o0/edit?usp=sharing"",""งบพรบ!CZ83"")"),0)</f>
        <v>0</v>
      </c>
      <c r="F83" s="77">
        <f ca="1">IFERROR(__xludf.DUMMYFUNCTION("IMPORTRANGE(""https://docs.google.com/spreadsheets/d/1MeEWN-I1oV_STSDYn1IFDPWt_1FKiwhDph83XaGc0o0/edit?usp=sharing"",""งบพรบ!DA83"")"),25000)</f>
        <v>25000</v>
      </c>
      <c r="G83" s="77">
        <f ca="1">IFERROR(__xludf.DUMMYFUNCTION("IMPORTRANGE(""https://docs.google.com/spreadsheets/d/1MeEWN-I1oV_STSDYn1IFDPWt_1FKiwhDph83XaGc0o0/edit?usp=sharing"",""งบพรบ!DB83"")"),0)</f>
        <v>0</v>
      </c>
      <c r="H83" s="77">
        <f ca="1">IFERROR(__xludf.DUMMYFUNCTION("IMPORTRANGE(""https://docs.google.com/spreadsheets/d/1MeEWN-I1oV_STSDYn1IFDPWt_1FKiwhDph83XaGc0o0/edit?usp=sharing"",""งบพรบ!DD83"")"),25000)</f>
        <v>25000</v>
      </c>
      <c r="I83" s="77">
        <f ca="1">IFERROR(__xludf.DUMMYFUNCTION("IMPORTRANGE(""https://docs.google.com/spreadsheets/d/1MeEWN-I1oV_STSDYn1IFDPWt_1FKiwhDph83XaGc0o0/edit?usp=sharing"",""งบพรบ!DE83"")"),0)</f>
        <v>0</v>
      </c>
      <c r="J83" s="77">
        <f t="shared" ca="1" si="3"/>
        <v>24280</v>
      </c>
      <c r="K83" s="78">
        <f t="shared" ca="1" si="4"/>
        <v>97.12</v>
      </c>
      <c r="L83" s="77">
        <f ca="1">IFERROR(__xludf.DUMMYFUNCTION("IMPORTRANGE(""https://docs.google.com/spreadsheets/d/1MeEWN-I1oV_STSDYn1IFDPWt_1FKiwhDph83XaGc0o0/edit?usp=sharing"",""งบพรบ!DF83"")"),24280)</f>
        <v>24280</v>
      </c>
      <c r="M83" s="79">
        <f t="shared" ca="1" si="5"/>
        <v>97.12</v>
      </c>
      <c r="N83" s="79">
        <f t="shared" ca="1" si="6"/>
        <v>97.12</v>
      </c>
      <c r="O83" s="80">
        <f ca="1">IFERROR(__xludf.DUMMYFUNCTION("IMPORTRANGE(""https://docs.google.com/spreadsheets/d/1MeEWN-I1oV_STSDYn1IFDPWt_1FKiwhDph83XaGc0o0/edit?usp=sharing"",""งบพรบ!DG83"")"),0)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IFERROR(__xludf.DUMMYFUNCTION("IMPORTRANGE(""https://docs.google.com/spreadsheets/d/1o7UZe4_OqlqtLDHrj01Z2YFRSZDf1DMy1n3XViHaxRc/edit?usp=sharing"",""ภูเก็ต!I271"")"),20)</f>
        <v>20</v>
      </c>
      <c r="S83" s="81">
        <f ca="1">IFERROR(__xludf.DUMMYFUNCTION("IMPORTRANGE(""https://docs.google.com/spreadsheets/d/1o7UZe4_OqlqtLDHrj01Z2YFRSZDf1DMy1n3XViHaxRc/edit?usp=sharing"",""ภูเก็ต!J271"")"),20)</f>
        <v>20</v>
      </c>
      <c r="T83" s="82">
        <f t="shared" ca="1" si="16"/>
        <v>100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164200</v>
      </c>
      <c r="D84" s="76">
        <f t="shared" ca="1" si="29"/>
        <v>164200</v>
      </c>
      <c r="E84" s="77">
        <f ca="1">IFERROR(__xludf.DUMMYFUNCTION("IMPORTRANGE(""https://docs.google.com/spreadsheets/d/1MeEWN-I1oV_STSDYn1IFDPWt_1FKiwhDph83XaGc0o0/edit?usp=sharing"",""งบพรบ!CZ84"")"),143000)</f>
        <v>143000</v>
      </c>
      <c r="F84" s="77">
        <f ca="1">IFERROR(__xludf.DUMMYFUNCTION("IMPORTRANGE(""https://docs.google.com/spreadsheets/d/1MeEWN-I1oV_STSDYn1IFDPWt_1FKiwhDph83XaGc0o0/edit?usp=sharing"",""งบพรบ!DA84"")"),21200)</f>
        <v>21200</v>
      </c>
      <c r="G84" s="77">
        <f ca="1">IFERROR(__xludf.DUMMYFUNCTION("IMPORTRANGE(""https://docs.google.com/spreadsheets/d/1MeEWN-I1oV_STSDYn1IFDPWt_1FKiwhDph83XaGc0o0/edit?usp=sharing"",""งบพรบ!DB84"")"),0)</f>
        <v>0</v>
      </c>
      <c r="H84" s="77">
        <f ca="1">IFERROR(__xludf.DUMMYFUNCTION("IMPORTRANGE(""https://docs.google.com/spreadsheets/d/1MeEWN-I1oV_STSDYn1IFDPWt_1FKiwhDph83XaGc0o0/edit?usp=sharing"",""งบพรบ!DD84"")"),164200)</f>
        <v>164200</v>
      </c>
      <c r="I84" s="77">
        <f ca="1">IFERROR(__xludf.DUMMYFUNCTION("IMPORTRANGE(""https://docs.google.com/spreadsheets/d/1MeEWN-I1oV_STSDYn1IFDPWt_1FKiwhDph83XaGc0o0/edit?usp=sharing"",""งบพรบ!DE84"")"),0)</f>
        <v>0</v>
      </c>
      <c r="J84" s="77">
        <f t="shared" ca="1" si="3"/>
        <v>132311.81</v>
      </c>
      <c r="K84" s="78">
        <f t="shared" ca="1" si="4"/>
        <v>80.579665042630936</v>
      </c>
      <c r="L84" s="77">
        <f ca="1">IFERROR(__xludf.DUMMYFUNCTION("IMPORTRANGE(""https://docs.google.com/spreadsheets/d/1MeEWN-I1oV_STSDYn1IFDPWt_1FKiwhDph83XaGc0o0/edit?usp=sharing"",""งบพรบ!DF84"")"),132311.81)</f>
        <v>132311.81</v>
      </c>
      <c r="M84" s="79">
        <f t="shared" ca="1" si="5"/>
        <v>80.579665042630936</v>
      </c>
      <c r="N84" s="79">
        <f t="shared" ca="1" si="6"/>
        <v>80.579665042630936</v>
      </c>
      <c r="O84" s="80">
        <f ca="1">IFERROR(__xludf.DUMMYFUNCTION("IMPORTRANGE(""https://docs.google.com/spreadsheets/d/1MeEWN-I1oV_STSDYn1IFDPWt_1FKiwhDph83XaGc0o0/edit?usp=sharing"",""งบพรบ!DG84"")"),0)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IFERROR(__xludf.DUMMYFUNCTION("IMPORTRANGE(""https://docs.google.com/spreadsheets/d/1ctPm1vUzcUCPuOj9-eoHUD85PqINFqUB0TjdSWmR5-c/edit?usp=sharing"",""ยะลา!I271"")"),16)</f>
        <v>16</v>
      </c>
      <c r="S84" s="81">
        <f ca="1">IFERROR(__xludf.DUMMYFUNCTION("IMPORTRANGE(""https://docs.google.com/spreadsheets/d/1ctPm1vUzcUCPuOj9-eoHUD85PqINFqUB0TjdSWmR5-c/edit?usp=sharing"",""ยะลา!J271"")"),16)</f>
        <v>16</v>
      </c>
      <c r="T84" s="82">
        <f t="shared" ca="1" si="16"/>
        <v>100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23100</v>
      </c>
      <c r="D85" s="76">
        <f t="shared" ca="1" si="29"/>
        <v>23100</v>
      </c>
      <c r="E85" s="77">
        <f ca="1">IFERROR(__xludf.DUMMYFUNCTION("IMPORTRANGE(""https://docs.google.com/spreadsheets/d/1MeEWN-I1oV_STSDYn1IFDPWt_1FKiwhDph83XaGc0o0/edit?usp=sharing"",""งบพรบ!CZ85"")"),0)</f>
        <v>0</v>
      </c>
      <c r="F85" s="77">
        <f ca="1">IFERROR(__xludf.DUMMYFUNCTION("IMPORTRANGE(""https://docs.google.com/spreadsheets/d/1MeEWN-I1oV_STSDYn1IFDPWt_1FKiwhDph83XaGc0o0/edit?usp=sharing"",""งบพรบ!DA85"")"),23100)</f>
        <v>23100</v>
      </c>
      <c r="G85" s="77">
        <f ca="1">IFERROR(__xludf.DUMMYFUNCTION("IMPORTRANGE(""https://docs.google.com/spreadsheets/d/1MeEWN-I1oV_STSDYn1IFDPWt_1FKiwhDph83XaGc0o0/edit?usp=sharing"",""งบพรบ!DB85"")"),0)</f>
        <v>0</v>
      </c>
      <c r="H85" s="77">
        <f ca="1">IFERROR(__xludf.DUMMYFUNCTION("IMPORTRANGE(""https://docs.google.com/spreadsheets/d/1MeEWN-I1oV_STSDYn1IFDPWt_1FKiwhDph83XaGc0o0/edit?usp=sharing"",""งบพรบ!DD85"")"),23100)</f>
        <v>23100</v>
      </c>
      <c r="I85" s="77">
        <f ca="1">IFERROR(__xludf.DUMMYFUNCTION("IMPORTRANGE(""https://docs.google.com/spreadsheets/d/1MeEWN-I1oV_STSDYn1IFDPWt_1FKiwhDph83XaGc0o0/edit?usp=sharing"",""งบพรบ!DE85"")"),0)</f>
        <v>0</v>
      </c>
      <c r="J85" s="77">
        <f t="shared" ca="1" si="3"/>
        <v>23100</v>
      </c>
      <c r="K85" s="78">
        <f t="shared" ca="1" si="4"/>
        <v>100</v>
      </c>
      <c r="L85" s="77">
        <f ca="1">IFERROR(__xludf.DUMMYFUNCTION("IMPORTRANGE(""https://docs.google.com/spreadsheets/d/1MeEWN-I1oV_STSDYn1IFDPWt_1FKiwhDph83XaGc0o0/edit?usp=sharing"",""งบพรบ!DF85"")"),23100)</f>
        <v>23100</v>
      </c>
      <c r="M85" s="79">
        <f t="shared" ca="1" si="5"/>
        <v>100</v>
      </c>
      <c r="N85" s="79">
        <f t="shared" ca="1" si="6"/>
        <v>100</v>
      </c>
      <c r="O85" s="80">
        <f ca="1">IFERROR(__xludf.DUMMYFUNCTION("IMPORTRANGE(""https://docs.google.com/spreadsheets/d/1MeEWN-I1oV_STSDYn1IFDPWt_1FKiwhDph83XaGc0o0/edit?usp=sharing"",""งบพรบ!DG85"")"),0)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IFERROR(__xludf.DUMMYFUNCTION("IMPORTRANGE(""https://docs.google.com/spreadsheets/d/1YiDIE7Klmt8osgdapRqYWNr7iPGFSsiJqq46S7PYRE0/edit?usp=sharing"",""ระนอง!I271"")"),18)</f>
        <v>18</v>
      </c>
      <c r="S85" s="81">
        <f ca="1">IFERROR(__xludf.DUMMYFUNCTION("IMPORTRANGE(""https://docs.google.com/spreadsheets/d/1YiDIE7Klmt8osgdapRqYWNr7iPGFSsiJqq46S7PYRE0/edit?usp=sharing"",""ระนอง!J271"")"),18)</f>
        <v>18</v>
      </c>
      <c r="T85" s="82">
        <f t="shared" ca="1" si="16"/>
        <v>100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25000</v>
      </c>
      <c r="D86" s="76">
        <f t="shared" ca="1" si="29"/>
        <v>25000</v>
      </c>
      <c r="E86" s="77">
        <f ca="1">IFERROR(__xludf.DUMMYFUNCTION("IMPORTRANGE(""https://docs.google.com/spreadsheets/d/1MeEWN-I1oV_STSDYn1IFDPWt_1FKiwhDph83XaGc0o0/edit?usp=sharing"",""งบพรบ!CZ86"")"),0)</f>
        <v>0</v>
      </c>
      <c r="F86" s="77">
        <f ca="1">IFERROR(__xludf.DUMMYFUNCTION("IMPORTRANGE(""https://docs.google.com/spreadsheets/d/1MeEWN-I1oV_STSDYn1IFDPWt_1FKiwhDph83XaGc0o0/edit?usp=sharing"",""งบพรบ!DA86"")"),25000)</f>
        <v>25000</v>
      </c>
      <c r="G86" s="77">
        <f ca="1">IFERROR(__xludf.DUMMYFUNCTION("IMPORTRANGE(""https://docs.google.com/spreadsheets/d/1MeEWN-I1oV_STSDYn1IFDPWt_1FKiwhDph83XaGc0o0/edit?usp=sharing"",""งบพรบ!DB86"")"),0)</f>
        <v>0</v>
      </c>
      <c r="H86" s="77">
        <f ca="1">IFERROR(__xludf.DUMMYFUNCTION("IMPORTRANGE(""https://docs.google.com/spreadsheets/d/1MeEWN-I1oV_STSDYn1IFDPWt_1FKiwhDph83XaGc0o0/edit?usp=sharing"",""งบพรบ!DD86"")"),25000)</f>
        <v>25000</v>
      </c>
      <c r="I86" s="77">
        <f ca="1">IFERROR(__xludf.DUMMYFUNCTION("IMPORTRANGE(""https://docs.google.com/spreadsheets/d/1MeEWN-I1oV_STSDYn1IFDPWt_1FKiwhDph83XaGc0o0/edit?usp=sharing"",""งบพรบ!DE86"")"),0)</f>
        <v>0</v>
      </c>
      <c r="J86" s="77">
        <f t="shared" ca="1" si="3"/>
        <v>20910</v>
      </c>
      <c r="K86" s="78">
        <f t="shared" ca="1" si="4"/>
        <v>83.64</v>
      </c>
      <c r="L86" s="77">
        <f ca="1">IFERROR(__xludf.DUMMYFUNCTION("IMPORTRANGE(""https://docs.google.com/spreadsheets/d/1MeEWN-I1oV_STSDYn1IFDPWt_1FKiwhDph83XaGc0o0/edit?usp=sharing"",""งบพรบ!DF86"")"),20910)</f>
        <v>20910</v>
      </c>
      <c r="M86" s="79">
        <f t="shared" ca="1" si="5"/>
        <v>83.64</v>
      </c>
      <c r="N86" s="79">
        <f t="shared" ca="1" si="6"/>
        <v>83.64</v>
      </c>
      <c r="O86" s="80">
        <f ca="1">IFERROR(__xludf.DUMMYFUNCTION("IMPORTRANGE(""https://docs.google.com/spreadsheets/d/1MeEWN-I1oV_STSDYn1IFDPWt_1FKiwhDph83XaGc0o0/edit?usp=sharing"",""งบพรบ!DG86"")"),0)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IFERROR(__xludf.DUMMYFUNCTION("IMPORTRANGE(""https://docs.google.com/spreadsheets/d/16o_4B-V7AWw_6E93bSpXj_XxVv1oVQctk-B6z1dNEWU/edit?usp=sharing"",""สงขลา!I271"")"),20)</f>
        <v>20</v>
      </c>
      <c r="S86" s="81">
        <f ca="1">IFERROR(__xludf.DUMMYFUNCTION("IMPORTRANGE(""https://docs.google.com/spreadsheets/d/16o_4B-V7AWw_6E93bSpXj_XxVv1oVQctk-B6z1dNEWU/edit?usp=sharing"",""สงขลา!J271"")"),20)</f>
        <v>20</v>
      </c>
      <c r="T86" s="82">
        <f t="shared" ca="1" si="16"/>
        <v>100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25000</v>
      </c>
      <c r="D87" s="76">
        <f t="shared" ca="1" si="29"/>
        <v>25000</v>
      </c>
      <c r="E87" s="77">
        <f ca="1">IFERROR(__xludf.DUMMYFUNCTION("IMPORTRANGE(""https://docs.google.com/spreadsheets/d/1MeEWN-I1oV_STSDYn1IFDPWt_1FKiwhDph83XaGc0o0/edit?usp=sharing"",""งบพรบ!CZ87"")"),0)</f>
        <v>0</v>
      </c>
      <c r="F87" s="77">
        <f ca="1">IFERROR(__xludf.DUMMYFUNCTION("IMPORTRANGE(""https://docs.google.com/spreadsheets/d/1MeEWN-I1oV_STSDYn1IFDPWt_1FKiwhDph83XaGc0o0/edit?usp=sharing"",""งบพรบ!DA87"")"),25000)</f>
        <v>25000</v>
      </c>
      <c r="G87" s="77">
        <f ca="1">IFERROR(__xludf.DUMMYFUNCTION("IMPORTRANGE(""https://docs.google.com/spreadsheets/d/1MeEWN-I1oV_STSDYn1IFDPWt_1FKiwhDph83XaGc0o0/edit?usp=sharing"",""งบพรบ!DB87"")"),0)</f>
        <v>0</v>
      </c>
      <c r="H87" s="77">
        <f ca="1">IFERROR(__xludf.DUMMYFUNCTION("IMPORTRANGE(""https://docs.google.com/spreadsheets/d/1MeEWN-I1oV_STSDYn1IFDPWt_1FKiwhDph83XaGc0o0/edit?usp=sharing"",""งบพรบ!DD87"")"),25000)</f>
        <v>25000</v>
      </c>
      <c r="I87" s="77">
        <f ca="1">IFERROR(__xludf.DUMMYFUNCTION("IMPORTRANGE(""https://docs.google.com/spreadsheets/d/1MeEWN-I1oV_STSDYn1IFDPWt_1FKiwhDph83XaGc0o0/edit?usp=sharing"",""งบพรบ!DE87"")"),0)</f>
        <v>0</v>
      </c>
      <c r="J87" s="77">
        <f t="shared" ca="1" si="3"/>
        <v>25000</v>
      </c>
      <c r="K87" s="78">
        <f t="shared" ca="1" si="4"/>
        <v>100</v>
      </c>
      <c r="L87" s="77">
        <f ca="1">IFERROR(__xludf.DUMMYFUNCTION("IMPORTRANGE(""https://docs.google.com/spreadsheets/d/1MeEWN-I1oV_STSDYn1IFDPWt_1FKiwhDph83XaGc0o0/edit?usp=sharing"",""งบพรบ!DF87"")"),25000)</f>
        <v>25000</v>
      </c>
      <c r="M87" s="79">
        <f t="shared" ca="1" si="5"/>
        <v>100</v>
      </c>
      <c r="N87" s="79">
        <f t="shared" ca="1" si="6"/>
        <v>100</v>
      </c>
      <c r="O87" s="80">
        <f ca="1">IFERROR(__xludf.DUMMYFUNCTION("IMPORTRANGE(""https://docs.google.com/spreadsheets/d/1MeEWN-I1oV_STSDYn1IFDPWt_1FKiwhDph83XaGc0o0/edit?usp=sharing"",""งบพรบ!DG87"")"),0)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IFERROR(__xludf.DUMMYFUNCTION("IMPORTRANGE(""https://docs.google.com/spreadsheets/d/16cywr71Fj4fA5OGRHsZh30ZG2gwJhMAQv69oVBzYHv0/edit?usp=sharing"",""สตูล!I271"")"),20)</f>
        <v>20</v>
      </c>
      <c r="S87" s="81">
        <f ca="1">IFERROR(__xludf.DUMMYFUNCTION("IMPORTRANGE(""https://docs.google.com/spreadsheets/d/16cywr71Fj4fA5OGRHsZh30ZG2gwJhMAQv69oVBzYHv0/edit?usp=sharing"",""สตูล!J271"")"),20)</f>
        <v>20</v>
      </c>
      <c r="T87" s="82">
        <f t="shared" ca="1" si="16"/>
        <v>100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25000</v>
      </c>
      <c r="D88" s="87">
        <f t="shared" ca="1" si="29"/>
        <v>25000</v>
      </c>
      <c r="E88" s="88">
        <f ca="1">IFERROR(__xludf.DUMMYFUNCTION("IMPORTRANGE(""https://docs.google.com/spreadsheets/d/1MeEWN-I1oV_STSDYn1IFDPWt_1FKiwhDph83XaGc0o0/edit?usp=sharing"",""งบพรบ!CZ88"")"),0)</f>
        <v>0</v>
      </c>
      <c r="F88" s="88">
        <f ca="1">IFERROR(__xludf.DUMMYFUNCTION("IMPORTRANGE(""https://docs.google.com/spreadsheets/d/1MeEWN-I1oV_STSDYn1IFDPWt_1FKiwhDph83XaGc0o0/edit?usp=sharing"",""งบพรบ!DA88"")"),25000)</f>
        <v>25000</v>
      </c>
      <c r="G88" s="88">
        <f ca="1">IFERROR(__xludf.DUMMYFUNCTION("IMPORTRANGE(""https://docs.google.com/spreadsheets/d/1MeEWN-I1oV_STSDYn1IFDPWt_1FKiwhDph83XaGc0o0/edit?usp=sharing"",""งบพรบ!DB88"")"),0)</f>
        <v>0</v>
      </c>
      <c r="H88" s="88">
        <f ca="1">IFERROR(__xludf.DUMMYFUNCTION("IMPORTRANGE(""https://docs.google.com/spreadsheets/d/1MeEWN-I1oV_STSDYn1IFDPWt_1FKiwhDph83XaGc0o0/edit?usp=sharing"",""งบพรบ!DD88"")"),25000)</f>
        <v>25000</v>
      </c>
      <c r="I88" s="88">
        <f ca="1">IFERROR(__xludf.DUMMYFUNCTION("IMPORTRANGE(""https://docs.google.com/spreadsheets/d/1MeEWN-I1oV_STSDYn1IFDPWt_1FKiwhDph83XaGc0o0/edit?usp=sharing"",""งบพรบ!DE88"")"),0)</f>
        <v>0</v>
      </c>
      <c r="J88" s="88">
        <f t="shared" ca="1" si="3"/>
        <v>25000</v>
      </c>
      <c r="K88" s="89">
        <f t="shared" ca="1" si="4"/>
        <v>100</v>
      </c>
      <c r="L88" s="88">
        <f ca="1">IFERROR(__xludf.DUMMYFUNCTION("IMPORTRANGE(""https://docs.google.com/spreadsheets/d/1MeEWN-I1oV_STSDYn1IFDPWt_1FKiwhDph83XaGc0o0/edit?usp=sharing"",""งบพรบ!DF88"")"),25000)</f>
        <v>25000</v>
      </c>
      <c r="M88" s="90">
        <f t="shared" ca="1" si="5"/>
        <v>100</v>
      </c>
      <c r="N88" s="90">
        <f t="shared" ca="1" si="6"/>
        <v>100</v>
      </c>
      <c r="O88" s="91">
        <f ca="1">IFERROR(__xludf.DUMMYFUNCTION("IMPORTRANGE(""https://docs.google.com/spreadsheets/d/1MeEWN-I1oV_STSDYn1IFDPWt_1FKiwhDph83XaGc0o0/edit?usp=sharing"",""งบพรบ!DG88"")"),0)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IFERROR(__xludf.DUMMYFUNCTION("IMPORTRANGE(""https://docs.google.com/spreadsheets/d/1vO9Sws6kMtrVtyvrAJptINXjK8TFBoX9xLYOVK_C8bQ/edit?usp=sharing"",""สุราษฎร์ธานี!I271"")"),20)</f>
        <v>20</v>
      </c>
      <c r="S88" s="92">
        <f ca="1">IFERROR(__xludf.DUMMYFUNCTION("IMPORTRANGE(""https://docs.google.com/spreadsheets/d/1vO9Sws6kMtrVtyvrAJptINXjK8TFBoX9xLYOVK_C8bQ/edit?usp=sharing"",""สุราษฎร์ธานี!J271"")"),20)</f>
        <v>20</v>
      </c>
      <c r="T88" s="93">
        <f t="shared" ca="1" si="16"/>
        <v>100</v>
      </c>
    </row>
    <row r="89" spans="1:20" ht="21" hidden="1" customHeight="1" x14ac:dyDescent="0.2">
      <c r="A89" s="369" t="s">
        <v>111</v>
      </c>
      <c r="B89" s="370"/>
      <c r="C89" s="102">
        <f t="shared" ca="1" si="0"/>
        <v>372200</v>
      </c>
      <c r="D89" s="41">
        <f t="shared" ref="D89:I89" ca="1" si="30">+D90+D91+D92+D93+D94+D95+D96+D97+D98+D99+D100+D101+D102+D103</f>
        <v>372200</v>
      </c>
      <c r="E89" s="41">
        <f t="shared" ca="1" si="30"/>
        <v>100000</v>
      </c>
      <c r="F89" s="41">
        <f t="shared" ca="1" si="30"/>
        <v>272200</v>
      </c>
      <c r="G89" s="41">
        <f t="shared" ca="1" si="30"/>
        <v>0</v>
      </c>
      <c r="H89" s="41">
        <f t="shared" ca="1" si="30"/>
        <v>460900</v>
      </c>
      <c r="I89" s="41">
        <f t="shared" ca="1" si="30"/>
        <v>0</v>
      </c>
      <c r="J89" s="41">
        <f t="shared" ca="1" si="3"/>
        <v>367196.68</v>
      </c>
      <c r="K89" s="43">
        <f t="shared" ca="1" si="4"/>
        <v>98.655744223535734</v>
      </c>
      <c r="L89" s="41">
        <f ca="1">+L90+L91+L92+L93+L94+L95+L96+L97+L98+L99+L100+L101+L102+L103</f>
        <v>367196.68</v>
      </c>
      <c r="M89" s="44">
        <f t="shared" ca="1" si="5"/>
        <v>98.655744223535734</v>
      </c>
      <c r="N89" s="44">
        <f t="shared" ca="1" si="6"/>
        <v>79.669490128010409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IFERROR(__xludf.DUMMYFUNCTION("IMPORTRANGE(""https://docs.google.com/spreadsheets/d/1MeEWN-I1oV_STSDYn1IFDPWt_1FKiwhDph83XaGc0o0/edit?usp=sharing"",""งบพรบ!CZ90"")"),0)</f>
        <v>0</v>
      </c>
      <c r="F90" s="67">
        <f ca="1">IFERROR(__xludf.DUMMYFUNCTION("IMPORTRANGE(""https://docs.google.com/spreadsheets/d/1MeEWN-I1oV_STSDYn1IFDPWt_1FKiwhDph83XaGc0o0/edit?usp=sharing"",""งบพรบ!DA90"")"),0)</f>
        <v>0</v>
      </c>
      <c r="G90" s="67">
        <f ca="1">IFERROR(__xludf.DUMMYFUNCTION("IMPORTRANGE(""https://docs.google.com/spreadsheets/d/1MeEWN-I1oV_STSDYn1IFDPWt_1FKiwhDph83XaGc0o0/edit?usp=sharing"",""งบพรบ!DB90"")"),0)</f>
        <v>0</v>
      </c>
      <c r="H90" s="67">
        <f ca="1">IFERROR(__xludf.DUMMYFUNCTION("IMPORTRANGE(""https://docs.google.com/spreadsheets/d/1MeEWN-I1oV_STSDYn1IFDPWt_1FKiwhDph83XaGc0o0/edit?usp=sharing"",""งบพรบ!DD90"")"),0)</f>
        <v>0</v>
      </c>
      <c r="I90" s="67">
        <f ca="1">IFERROR(__xludf.DUMMYFUNCTION("IMPORTRANGE(""https://docs.google.com/spreadsheets/d/1MeEWN-I1oV_STSDYn1IFDPWt_1FKiwhDph83XaGc0o0/edit?usp=sharing"",""งบพรบ!DE90"")"),0)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IFERROR(__xludf.DUMMYFUNCTION("IMPORTRANGE(""https://docs.google.com/spreadsheets/d/1MeEWN-I1oV_STSDYn1IFDPWt_1FKiwhDph83XaGc0o0/edit?usp=sharing"",""งบพรบ!DF90"")"),0)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IFERROR(__xludf.DUMMYFUNCTION("IMPORTRANGE(""https://docs.google.com/spreadsheets/d/1MeEWN-I1oV_STSDYn1IFDPWt_1FKiwhDph83XaGc0o0/edit?usp=sharing"",""งบพรบ!DG90"")"),0)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IFERROR(__xludf.DUMMYFUNCTION("IMPORTRANGE(""https://docs.google.com/spreadsheets/d/1MeEWN-I1oV_STSDYn1IFDPWt_1FKiwhDph83XaGc0o0/edit?usp=sharing"",""งบพรบ!CZ91"")"),0)</f>
        <v>0</v>
      </c>
      <c r="F91" s="77">
        <f ca="1">IFERROR(__xludf.DUMMYFUNCTION("IMPORTRANGE(""https://docs.google.com/spreadsheets/d/1MeEWN-I1oV_STSDYn1IFDPWt_1FKiwhDph83XaGc0o0/edit?usp=sharing"",""งบพรบ!DA91"")"),0)</f>
        <v>0</v>
      </c>
      <c r="G91" s="77">
        <f ca="1">IFERROR(__xludf.DUMMYFUNCTION("IMPORTRANGE(""https://docs.google.com/spreadsheets/d/1MeEWN-I1oV_STSDYn1IFDPWt_1FKiwhDph83XaGc0o0/edit?usp=sharing"",""งบพรบ!DB91"")"),0)</f>
        <v>0</v>
      </c>
      <c r="H91" s="77">
        <f ca="1">IFERROR(__xludf.DUMMYFUNCTION("IMPORTRANGE(""https://docs.google.com/spreadsheets/d/1MeEWN-I1oV_STSDYn1IFDPWt_1FKiwhDph83XaGc0o0/edit?usp=sharing"",""งบพรบ!DD91"")"),0)</f>
        <v>0</v>
      </c>
      <c r="I91" s="77">
        <f ca="1">IFERROR(__xludf.DUMMYFUNCTION("IMPORTRANGE(""https://docs.google.com/spreadsheets/d/1MeEWN-I1oV_STSDYn1IFDPWt_1FKiwhDph83XaGc0o0/edit?usp=sharing"",""งบพรบ!DE91"")"),0)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IFERROR(__xludf.DUMMYFUNCTION("IMPORTRANGE(""https://docs.google.com/spreadsheets/d/1MeEWN-I1oV_STSDYn1IFDPWt_1FKiwhDph83XaGc0o0/edit?usp=sharing"",""งบพรบ!DF91"")"),0)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IFERROR(__xludf.DUMMYFUNCTION("IMPORTRANGE(""https://docs.google.com/spreadsheets/d/1MeEWN-I1oV_STSDYn1IFDPWt_1FKiwhDph83XaGc0o0/edit?usp=sharing"",""งบพรบ!DG91"")"),0)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100000</v>
      </c>
      <c r="D92" s="76">
        <f t="shared" ca="1" si="31"/>
        <v>100000</v>
      </c>
      <c r="E92" s="77">
        <f ca="1">IFERROR(__xludf.DUMMYFUNCTION("IMPORTRANGE(""https://docs.google.com/spreadsheets/d/1MeEWN-I1oV_STSDYn1IFDPWt_1FKiwhDph83XaGc0o0/edit?usp=sharing"",""งบพรบ!CZ92"")"),100000)</f>
        <v>100000</v>
      </c>
      <c r="F92" s="77">
        <f ca="1">IFERROR(__xludf.DUMMYFUNCTION("IMPORTRANGE(""https://docs.google.com/spreadsheets/d/1MeEWN-I1oV_STSDYn1IFDPWt_1FKiwhDph83XaGc0o0/edit?usp=sharing"",""งบพรบ!DA92"")"),0)</f>
        <v>0</v>
      </c>
      <c r="G92" s="77">
        <f ca="1">IFERROR(__xludf.DUMMYFUNCTION("IMPORTRANGE(""https://docs.google.com/spreadsheets/d/1MeEWN-I1oV_STSDYn1IFDPWt_1FKiwhDph83XaGc0o0/edit?usp=sharing"",""งบพรบ!DB92"")"),0)</f>
        <v>0</v>
      </c>
      <c r="H92" s="77">
        <f ca="1">IFERROR(__xludf.DUMMYFUNCTION("IMPORTRANGE(""https://docs.google.com/spreadsheets/d/1MeEWN-I1oV_STSDYn1IFDPWt_1FKiwhDph83XaGc0o0/edit?usp=sharing"",""งบพรบ!DD92"")"),188700)</f>
        <v>188700</v>
      </c>
      <c r="I92" s="77">
        <f ca="1">IFERROR(__xludf.DUMMYFUNCTION("IMPORTRANGE(""https://docs.google.com/spreadsheets/d/1MeEWN-I1oV_STSDYn1IFDPWt_1FKiwhDph83XaGc0o0/edit?usp=sharing"",""งบพรบ!DE92"")"),0)</f>
        <v>0</v>
      </c>
      <c r="J92" s="77">
        <f t="shared" ca="1" si="3"/>
        <v>205800</v>
      </c>
      <c r="K92" s="78">
        <f t="shared" ca="1" si="4"/>
        <v>205.8</v>
      </c>
      <c r="L92" s="77">
        <f ca="1">IFERROR(__xludf.DUMMYFUNCTION("IMPORTRANGE(""https://docs.google.com/spreadsheets/d/1MeEWN-I1oV_STSDYn1IFDPWt_1FKiwhDph83XaGc0o0/edit?usp=sharing"",""งบพรบ!DF92"")"),205800)</f>
        <v>205800</v>
      </c>
      <c r="M92" s="79">
        <f t="shared" ca="1" si="5"/>
        <v>205.8</v>
      </c>
      <c r="N92" s="79">
        <f t="shared" ca="1" si="6"/>
        <v>109.06200317965023</v>
      </c>
      <c r="O92" s="80">
        <f ca="1">IFERROR(__xludf.DUMMYFUNCTION("IMPORTRANGE(""https://docs.google.com/spreadsheets/d/1MeEWN-I1oV_STSDYn1IFDPWt_1FKiwhDph83XaGc0o0/edit?usp=sharing"",""งบพรบ!DG92"")"),0)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IFERROR(__xludf.DUMMYFUNCTION("IMPORTRANGE(""https://docs.google.com/spreadsheets/d/1MeEWN-I1oV_STSDYn1IFDPWt_1FKiwhDph83XaGc0o0/edit?usp=sharing"",""งบพรบ!CZ93"")"),0)</f>
        <v>0</v>
      </c>
      <c r="F93" s="77">
        <f ca="1">IFERROR(__xludf.DUMMYFUNCTION("IMPORTRANGE(""https://docs.google.com/spreadsheets/d/1MeEWN-I1oV_STSDYn1IFDPWt_1FKiwhDph83XaGc0o0/edit?usp=sharing"",""งบพรบ!DA93"")"),0)</f>
        <v>0</v>
      </c>
      <c r="G93" s="77">
        <f ca="1">IFERROR(__xludf.DUMMYFUNCTION("IMPORTRANGE(""https://docs.google.com/spreadsheets/d/1MeEWN-I1oV_STSDYn1IFDPWt_1FKiwhDph83XaGc0o0/edit?usp=sharing"",""งบพรบ!DB93"")"),0)</f>
        <v>0</v>
      </c>
      <c r="H93" s="77">
        <f ca="1">IFERROR(__xludf.DUMMYFUNCTION("IMPORTRANGE(""https://docs.google.com/spreadsheets/d/1MeEWN-I1oV_STSDYn1IFDPWt_1FKiwhDph83XaGc0o0/edit?usp=sharing"",""งบพรบ!DD93"")"),0)</f>
        <v>0</v>
      </c>
      <c r="I93" s="77">
        <f ca="1">IFERROR(__xludf.DUMMYFUNCTION("IMPORTRANGE(""https://docs.google.com/spreadsheets/d/1MeEWN-I1oV_STSDYn1IFDPWt_1FKiwhDph83XaGc0o0/edit?usp=sharing"",""งบพรบ!DE93"")"),0)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IFERROR(__xludf.DUMMYFUNCTION("IMPORTRANGE(""https://docs.google.com/spreadsheets/d/1MeEWN-I1oV_STSDYn1IFDPWt_1FKiwhDph83XaGc0o0/edit?usp=sharing"",""งบพรบ!DF93"")"),0)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IFERROR(__xludf.DUMMYFUNCTION("IMPORTRANGE(""https://docs.google.com/spreadsheets/d/1MeEWN-I1oV_STSDYn1IFDPWt_1FKiwhDph83XaGc0o0/edit?usp=sharing"",""งบพรบ!DG93"")"),0)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IFERROR(__xludf.DUMMYFUNCTION("IMPORTRANGE(""https://docs.google.com/spreadsheets/d/1MeEWN-I1oV_STSDYn1IFDPWt_1FKiwhDph83XaGc0o0/edit?usp=sharing"",""งบพรบ!CZ94"")"),0)</f>
        <v>0</v>
      </c>
      <c r="F94" s="77">
        <f ca="1">IFERROR(__xludf.DUMMYFUNCTION("IMPORTRANGE(""https://docs.google.com/spreadsheets/d/1MeEWN-I1oV_STSDYn1IFDPWt_1FKiwhDph83XaGc0o0/edit?usp=sharing"",""งบพรบ!DA94"")"),0)</f>
        <v>0</v>
      </c>
      <c r="G94" s="77">
        <f ca="1">IFERROR(__xludf.DUMMYFUNCTION("IMPORTRANGE(""https://docs.google.com/spreadsheets/d/1MeEWN-I1oV_STSDYn1IFDPWt_1FKiwhDph83XaGc0o0/edit?usp=sharing"",""งบพรบ!DB94"")"),0)</f>
        <v>0</v>
      </c>
      <c r="H94" s="77">
        <f ca="1">IFERROR(__xludf.DUMMYFUNCTION("IMPORTRANGE(""https://docs.google.com/spreadsheets/d/1MeEWN-I1oV_STSDYn1IFDPWt_1FKiwhDph83XaGc0o0/edit?usp=sharing"",""งบพรบ!DD94"")"),0)</f>
        <v>0</v>
      </c>
      <c r="I94" s="77">
        <f ca="1">IFERROR(__xludf.DUMMYFUNCTION("IMPORTRANGE(""https://docs.google.com/spreadsheets/d/1MeEWN-I1oV_STSDYn1IFDPWt_1FKiwhDph83XaGc0o0/edit?usp=sharing"",""งบพรบ!DE94"")"),0)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IFERROR(__xludf.DUMMYFUNCTION("IMPORTRANGE(""https://docs.google.com/spreadsheets/d/1MeEWN-I1oV_STSDYn1IFDPWt_1FKiwhDph83XaGc0o0/edit?usp=sharing"",""งบพรบ!DF94"")"),0)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IFERROR(__xludf.DUMMYFUNCTION("IMPORTRANGE(""https://docs.google.com/spreadsheets/d/1MeEWN-I1oV_STSDYn1IFDPWt_1FKiwhDph83XaGc0o0/edit?usp=sharing"",""งบพรบ!DG94"")"),0)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0</v>
      </c>
      <c r="D95" s="76">
        <f t="shared" ca="1" si="31"/>
        <v>0</v>
      </c>
      <c r="E95" s="77">
        <f ca="1">IFERROR(__xludf.DUMMYFUNCTION("IMPORTRANGE(""https://docs.google.com/spreadsheets/d/1MeEWN-I1oV_STSDYn1IFDPWt_1FKiwhDph83XaGc0o0/edit?usp=sharing"",""งบพรบ!CZ95"")"),0)</f>
        <v>0</v>
      </c>
      <c r="F95" s="77">
        <f ca="1">IFERROR(__xludf.DUMMYFUNCTION("IMPORTRANGE(""https://docs.google.com/spreadsheets/d/1MeEWN-I1oV_STSDYn1IFDPWt_1FKiwhDph83XaGc0o0/edit?usp=sharing"",""งบพรบ!DA95"")"),0)</f>
        <v>0</v>
      </c>
      <c r="G95" s="77">
        <f ca="1">IFERROR(__xludf.DUMMYFUNCTION("IMPORTRANGE(""https://docs.google.com/spreadsheets/d/1MeEWN-I1oV_STSDYn1IFDPWt_1FKiwhDph83XaGc0o0/edit?usp=sharing"",""งบพรบ!DB95"")"),0)</f>
        <v>0</v>
      </c>
      <c r="H95" s="77">
        <f ca="1">IFERROR(__xludf.DUMMYFUNCTION("IMPORTRANGE(""https://docs.google.com/spreadsheets/d/1MeEWN-I1oV_STSDYn1IFDPWt_1FKiwhDph83XaGc0o0/edit?usp=sharing"",""งบพรบ!DD95"")"),0)</f>
        <v>0</v>
      </c>
      <c r="I95" s="77">
        <f ca="1">IFERROR(__xludf.DUMMYFUNCTION("IMPORTRANGE(""https://docs.google.com/spreadsheets/d/1MeEWN-I1oV_STSDYn1IFDPWt_1FKiwhDph83XaGc0o0/edit?usp=sharing"",""งบพรบ!DE95"")"),0)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IFERROR(__xludf.DUMMYFUNCTION("IMPORTRANGE(""https://docs.google.com/spreadsheets/d/1MeEWN-I1oV_STSDYn1IFDPWt_1FKiwhDph83XaGc0o0/edit?usp=sharing"",""งบพรบ!DF95"")"),0)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IFERROR(__xludf.DUMMYFUNCTION("IMPORTRANGE(""https://docs.google.com/spreadsheets/d/1MeEWN-I1oV_STSDYn1IFDPWt_1FKiwhDph83XaGc0o0/edit?usp=sharing"",""งบพรบ!DG95"")"),0)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272200</v>
      </c>
      <c r="D96" s="76">
        <f t="shared" ca="1" si="31"/>
        <v>272200</v>
      </c>
      <c r="E96" s="77">
        <f ca="1">IFERROR(__xludf.DUMMYFUNCTION("IMPORTRANGE(""https://docs.google.com/spreadsheets/d/1MeEWN-I1oV_STSDYn1IFDPWt_1FKiwhDph83XaGc0o0/edit?usp=sharing"",""งบพรบ!CZ96"")"),0)</f>
        <v>0</v>
      </c>
      <c r="F96" s="77">
        <f ca="1">IFERROR(__xludf.DUMMYFUNCTION("IMPORTRANGE(""https://docs.google.com/spreadsheets/d/1MeEWN-I1oV_STSDYn1IFDPWt_1FKiwhDph83XaGc0o0/edit?usp=sharing"",""งบพรบ!DA96"")"),272200)</f>
        <v>272200</v>
      </c>
      <c r="G96" s="77">
        <f ca="1">IFERROR(__xludf.DUMMYFUNCTION("IMPORTRANGE(""https://docs.google.com/spreadsheets/d/1MeEWN-I1oV_STSDYn1IFDPWt_1FKiwhDph83XaGc0o0/edit?usp=sharing"",""งบพรบ!DB96"")"),0)</f>
        <v>0</v>
      </c>
      <c r="H96" s="77">
        <f ca="1">IFERROR(__xludf.DUMMYFUNCTION("IMPORTRANGE(""https://docs.google.com/spreadsheets/d/1MeEWN-I1oV_STSDYn1IFDPWt_1FKiwhDph83XaGc0o0/edit?usp=sharing"",""งบพรบ!DD96"")"),272200)</f>
        <v>272200</v>
      </c>
      <c r="I96" s="77">
        <f ca="1">IFERROR(__xludf.DUMMYFUNCTION("IMPORTRANGE(""https://docs.google.com/spreadsheets/d/1MeEWN-I1oV_STSDYn1IFDPWt_1FKiwhDph83XaGc0o0/edit?usp=sharing"",""งบพรบ!DE96"")"),0)</f>
        <v>0</v>
      </c>
      <c r="J96" s="77">
        <f t="shared" ca="1" si="3"/>
        <v>161396.68</v>
      </c>
      <c r="K96" s="78">
        <f t="shared" ca="1" si="4"/>
        <v>59.29341660543718</v>
      </c>
      <c r="L96" s="77">
        <f ca="1">IFERROR(__xludf.DUMMYFUNCTION("IMPORTRANGE(""https://docs.google.com/spreadsheets/d/1MeEWN-I1oV_STSDYn1IFDPWt_1FKiwhDph83XaGc0o0/edit?usp=sharing"",""งบพรบ!DF96"")"),161396.68)</f>
        <v>161396.68</v>
      </c>
      <c r="M96" s="79">
        <f t="shared" ca="1" si="5"/>
        <v>59.29341660543718</v>
      </c>
      <c r="N96" s="79">
        <f t="shared" ca="1" si="6"/>
        <v>59.29341660543718</v>
      </c>
      <c r="O96" s="80">
        <f ca="1">IFERROR(__xludf.DUMMYFUNCTION("IMPORTRANGE(""https://docs.google.com/spreadsheets/d/1MeEWN-I1oV_STSDYn1IFDPWt_1FKiwhDph83XaGc0o0/edit?usp=sharing"",""งบพรบ!DG96"")"),0)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0</v>
      </c>
      <c r="D97" s="76">
        <f t="shared" ca="1" si="31"/>
        <v>0</v>
      </c>
      <c r="E97" s="77">
        <f ca="1">IFERROR(__xludf.DUMMYFUNCTION("IMPORTRANGE(""https://docs.google.com/spreadsheets/d/1MeEWN-I1oV_STSDYn1IFDPWt_1FKiwhDph83XaGc0o0/edit?usp=sharing"",""งบพรบ!CZ97"")"),0)</f>
        <v>0</v>
      </c>
      <c r="F97" s="77">
        <f ca="1">IFERROR(__xludf.DUMMYFUNCTION("IMPORTRANGE(""https://docs.google.com/spreadsheets/d/1MeEWN-I1oV_STSDYn1IFDPWt_1FKiwhDph83XaGc0o0/edit?usp=sharing"",""งบพรบ!DA97"")"),0)</f>
        <v>0</v>
      </c>
      <c r="G97" s="77">
        <f ca="1">IFERROR(__xludf.DUMMYFUNCTION("IMPORTRANGE(""https://docs.google.com/spreadsheets/d/1MeEWN-I1oV_STSDYn1IFDPWt_1FKiwhDph83XaGc0o0/edit?usp=sharing"",""งบพรบ!DB97"")"),0)</f>
        <v>0</v>
      </c>
      <c r="H97" s="77">
        <f ca="1">IFERROR(__xludf.DUMMYFUNCTION("IMPORTRANGE(""https://docs.google.com/spreadsheets/d/1MeEWN-I1oV_STSDYn1IFDPWt_1FKiwhDph83XaGc0o0/edit?usp=sharing"",""งบพรบ!DD97"")"),0)</f>
        <v>0</v>
      </c>
      <c r="I97" s="77">
        <f ca="1">IFERROR(__xludf.DUMMYFUNCTION("IMPORTRANGE(""https://docs.google.com/spreadsheets/d/1MeEWN-I1oV_STSDYn1IFDPWt_1FKiwhDph83XaGc0o0/edit?usp=sharing"",""งบพรบ!DE97"")"),0)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IFERROR(__xludf.DUMMYFUNCTION("IMPORTRANGE(""https://docs.google.com/spreadsheets/d/1MeEWN-I1oV_STSDYn1IFDPWt_1FKiwhDph83XaGc0o0/edit?usp=sharing"",""งบพรบ!DF97"")"),0)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IFERROR(__xludf.DUMMYFUNCTION("IMPORTRANGE(""https://docs.google.com/spreadsheets/d/1MeEWN-I1oV_STSDYn1IFDPWt_1FKiwhDph83XaGc0o0/edit?usp=sharing"",""งบพรบ!DG97"")"),0)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IFERROR(__xludf.DUMMYFUNCTION("IMPORTRANGE(""https://docs.google.com/spreadsheets/d/1MeEWN-I1oV_STSDYn1IFDPWt_1FKiwhDph83XaGc0o0/edit?usp=sharing"",""งบพรบ!CZ98"")"),0)</f>
        <v>0</v>
      </c>
      <c r="F98" s="77">
        <f ca="1">IFERROR(__xludf.DUMMYFUNCTION("IMPORTRANGE(""https://docs.google.com/spreadsheets/d/1MeEWN-I1oV_STSDYn1IFDPWt_1FKiwhDph83XaGc0o0/edit?usp=sharing"",""งบพรบ!DA98"")"),0)</f>
        <v>0</v>
      </c>
      <c r="G98" s="77">
        <f ca="1">IFERROR(__xludf.DUMMYFUNCTION("IMPORTRANGE(""https://docs.google.com/spreadsheets/d/1MeEWN-I1oV_STSDYn1IFDPWt_1FKiwhDph83XaGc0o0/edit?usp=sharing"",""งบพรบ!DB98"")"),0)</f>
        <v>0</v>
      </c>
      <c r="H98" s="77">
        <f ca="1">IFERROR(__xludf.DUMMYFUNCTION("IMPORTRANGE(""https://docs.google.com/spreadsheets/d/1MeEWN-I1oV_STSDYn1IFDPWt_1FKiwhDph83XaGc0o0/edit?usp=sharing"",""งบพรบ!DD98"")"),0)</f>
        <v>0</v>
      </c>
      <c r="I98" s="77">
        <f ca="1">IFERROR(__xludf.DUMMYFUNCTION("IMPORTRANGE(""https://docs.google.com/spreadsheets/d/1MeEWN-I1oV_STSDYn1IFDPWt_1FKiwhDph83XaGc0o0/edit?usp=sharing"",""งบพรบ!DE98"")"),0)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IFERROR(__xludf.DUMMYFUNCTION("IMPORTRANGE(""https://docs.google.com/spreadsheets/d/1MeEWN-I1oV_STSDYn1IFDPWt_1FKiwhDph83XaGc0o0/edit?usp=sharing"",""งบพรบ!DF98"")"),0)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IFERROR(__xludf.DUMMYFUNCTION("IMPORTRANGE(""https://docs.google.com/spreadsheets/d/1MeEWN-I1oV_STSDYn1IFDPWt_1FKiwhDph83XaGc0o0/edit?usp=sharing"",""งบพรบ!DG98"")"),0)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IFERROR(__xludf.DUMMYFUNCTION("IMPORTRANGE(""https://docs.google.com/spreadsheets/d/1MeEWN-I1oV_STSDYn1IFDPWt_1FKiwhDph83XaGc0o0/edit?usp=sharing"",""งบพรบ!CZ99"")"),0)</f>
        <v>0</v>
      </c>
      <c r="F99" s="77">
        <f ca="1">IFERROR(__xludf.DUMMYFUNCTION("IMPORTRANGE(""https://docs.google.com/spreadsheets/d/1MeEWN-I1oV_STSDYn1IFDPWt_1FKiwhDph83XaGc0o0/edit?usp=sharing"",""งบพรบ!DA99"")"),0)</f>
        <v>0</v>
      </c>
      <c r="G99" s="77">
        <f ca="1">IFERROR(__xludf.DUMMYFUNCTION("IMPORTRANGE(""https://docs.google.com/spreadsheets/d/1MeEWN-I1oV_STSDYn1IFDPWt_1FKiwhDph83XaGc0o0/edit?usp=sharing"",""งบพรบ!DB99"")"),0)</f>
        <v>0</v>
      </c>
      <c r="H99" s="77">
        <f ca="1">IFERROR(__xludf.DUMMYFUNCTION("IMPORTRANGE(""https://docs.google.com/spreadsheets/d/1MeEWN-I1oV_STSDYn1IFDPWt_1FKiwhDph83XaGc0o0/edit?usp=sharing"",""งบพรบ!DD99"")"),0)</f>
        <v>0</v>
      </c>
      <c r="I99" s="77">
        <f ca="1">IFERROR(__xludf.DUMMYFUNCTION("IMPORTRANGE(""https://docs.google.com/spreadsheets/d/1MeEWN-I1oV_STSDYn1IFDPWt_1FKiwhDph83XaGc0o0/edit?usp=sharing"",""งบพรบ!DE99"")"),0)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IFERROR(__xludf.DUMMYFUNCTION("IMPORTRANGE(""https://docs.google.com/spreadsheets/d/1MeEWN-I1oV_STSDYn1IFDPWt_1FKiwhDph83XaGc0o0/edit?usp=sharing"",""งบพรบ!DF99"")"),0)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IFERROR(__xludf.DUMMYFUNCTION("IMPORTRANGE(""https://docs.google.com/spreadsheets/d/1MeEWN-I1oV_STSDYn1IFDPWt_1FKiwhDph83XaGc0o0/edit?usp=sharing"",""งบพรบ!DG99"")"),0)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IFERROR(__xludf.DUMMYFUNCTION("IMPORTRANGE(""https://docs.google.com/spreadsheets/d/1MeEWN-I1oV_STSDYn1IFDPWt_1FKiwhDph83XaGc0o0/edit?usp=sharing"",""งบพรบ!CZ100"")"),0)</f>
        <v>0</v>
      </c>
      <c r="F100" s="77">
        <f ca="1">IFERROR(__xludf.DUMMYFUNCTION("IMPORTRANGE(""https://docs.google.com/spreadsheets/d/1MeEWN-I1oV_STSDYn1IFDPWt_1FKiwhDph83XaGc0o0/edit?usp=sharing"",""งบพรบ!DA100"")"),0)</f>
        <v>0</v>
      </c>
      <c r="G100" s="77">
        <f ca="1">IFERROR(__xludf.DUMMYFUNCTION("IMPORTRANGE(""https://docs.google.com/spreadsheets/d/1MeEWN-I1oV_STSDYn1IFDPWt_1FKiwhDph83XaGc0o0/edit?usp=sharing"",""งบพรบ!DB100"")"),0)</f>
        <v>0</v>
      </c>
      <c r="H100" s="77">
        <f ca="1">IFERROR(__xludf.DUMMYFUNCTION("IMPORTRANGE(""https://docs.google.com/spreadsheets/d/1MeEWN-I1oV_STSDYn1IFDPWt_1FKiwhDph83XaGc0o0/edit?usp=sharing"",""งบพรบ!DD100"")"),0)</f>
        <v>0</v>
      </c>
      <c r="I100" s="77">
        <f ca="1">IFERROR(__xludf.DUMMYFUNCTION("IMPORTRANGE(""https://docs.google.com/spreadsheets/d/1MeEWN-I1oV_STSDYn1IFDPWt_1FKiwhDph83XaGc0o0/edit?usp=sharing"",""งบพรบ!DE100"")"),0)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IFERROR(__xludf.DUMMYFUNCTION("IMPORTRANGE(""https://docs.google.com/spreadsheets/d/1MeEWN-I1oV_STSDYn1IFDPWt_1FKiwhDph83XaGc0o0/edit?usp=sharing"",""งบพรบ!DF100"")"),0)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IFERROR(__xludf.DUMMYFUNCTION("IMPORTRANGE(""https://docs.google.com/spreadsheets/d/1MeEWN-I1oV_STSDYn1IFDPWt_1FKiwhDph83XaGc0o0/edit?usp=sharing"",""งบพรบ!DG100"")"),0)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IFERROR(__xludf.DUMMYFUNCTION("IMPORTRANGE(""https://docs.google.com/spreadsheets/d/1MeEWN-I1oV_STSDYn1IFDPWt_1FKiwhDph83XaGc0o0/edit?usp=sharing"",""งบพรบ!CZ101"")"),0)</f>
        <v>0</v>
      </c>
      <c r="F101" s="77">
        <f ca="1">IFERROR(__xludf.DUMMYFUNCTION("IMPORTRANGE(""https://docs.google.com/spreadsheets/d/1MeEWN-I1oV_STSDYn1IFDPWt_1FKiwhDph83XaGc0o0/edit?usp=sharing"",""งบพรบ!DA101"")"),0)</f>
        <v>0</v>
      </c>
      <c r="G101" s="77">
        <f ca="1">IFERROR(__xludf.DUMMYFUNCTION("IMPORTRANGE(""https://docs.google.com/spreadsheets/d/1MeEWN-I1oV_STSDYn1IFDPWt_1FKiwhDph83XaGc0o0/edit?usp=sharing"",""งบพรบ!DB101"")"),0)</f>
        <v>0</v>
      </c>
      <c r="H101" s="77">
        <f ca="1">IFERROR(__xludf.DUMMYFUNCTION("IMPORTRANGE(""https://docs.google.com/spreadsheets/d/1MeEWN-I1oV_STSDYn1IFDPWt_1FKiwhDph83XaGc0o0/edit?usp=sharing"",""งบพรบ!DD101"")"),0)</f>
        <v>0</v>
      </c>
      <c r="I101" s="77">
        <f ca="1">IFERROR(__xludf.DUMMYFUNCTION("IMPORTRANGE(""https://docs.google.com/spreadsheets/d/1MeEWN-I1oV_STSDYn1IFDPWt_1FKiwhDph83XaGc0o0/edit?usp=sharing"",""งบพรบ!DE101"")"),0)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IFERROR(__xludf.DUMMYFUNCTION("IMPORTRANGE(""https://docs.google.com/spreadsheets/d/1MeEWN-I1oV_STSDYn1IFDPWt_1FKiwhDph83XaGc0o0/edit?usp=sharing"",""งบพรบ!DF101"")"),0)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IFERROR(__xludf.DUMMYFUNCTION("IMPORTRANGE(""https://docs.google.com/spreadsheets/d/1MeEWN-I1oV_STSDYn1IFDPWt_1FKiwhDph83XaGc0o0/edit?usp=sharing"",""งบพรบ!DG101"")"),0)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IFERROR(__xludf.DUMMYFUNCTION("IMPORTRANGE(""https://docs.google.com/spreadsheets/d/1MeEWN-I1oV_STSDYn1IFDPWt_1FKiwhDph83XaGc0o0/edit?usp=sharing"",""งบพรบ!CZ102"")"),0)</f>
        <v>0</v>
      </c>
      <c r="F102" s="77">
        <f ca="1">IFERROR(__xludf.DUMMYFUNCTION("IMPORTRANGE(""https://docs.google.com/spreadsheets/d/1MeEWN-I1oV_STSDYn1IFDPWt_1FKiwhDph83XaGc0o0/edit?usp=sharing"",""งบพรบ!DA102"")"),0)</f>
        <v>0</v>
      </c>
      <c r="G102" s="77">
        <f ca="1">IFERROR(__xludf.DUMMYFUNCTION("IMPORTRANGE(""https://docs.google.com/spreadsheets/d/1MeEWN-I1oV_STSDYn1IFDPWt_1FKiwhDph83XaGc0o0/edit?usp=sharing"",""งบพรบ!DB102"")"),0)</f>
        <v>0</v>
      </c>
      <c r="H102" s="77">
        <f ca="1">IFERROR(__xludf.DUMMYFUNCTION("IMPORTRANGE(""https://docs.google.com/spreadsheets/d/1MeEWN-I1oV_STSDYn1IFDPWt_1FKiwhDph83XaGc0o0/edit?usp=sharing"",""งบพรบ!DD102"")"),0)</f>
        <v>0</v>
      </c>
      <c r="I102" s="77">
        <f ca="1">IFERROR(__xludf.DUMMYFUNCTION("IMPORTRANGE(""https://docs.google.com/spreadsheets/d/1MeEWN-I1oV_STSDYn1IFDPWt_1FKiwhDph83XaGc0o0/edit?usp=sharing"",""งบพรบ!DE102"")"),0)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IFERROR(__xludf.DUMMYFUNCTION("IMPORTRANGE(""https://docs.google.com/spreadsheets/d/1MeEWN-I1oV_STSDYn1IFDPWt_1FKiwhDph83XaGc0o0/edit?usp=sharing"",""งบพรบ!DF102"")"),0)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IFERROR(__xludf.DUMMYFUNCTION("IMPORTRANGE(""https://docs.google.com/spreadsheets/d/1MeEWN-I1oV_STSDYn1IFDPWt_1FKiwhDph83XaGc0o0/edit?usp=sharing"",""งบพรบ!DG102"")"),0)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IFERROR(__xludf.DUMMYFUNCTION("IMPORTRANGE(""https://docs.google.com/spreadsheets/d/1MeEWN-I1oV_STSDYn1IFDPWt_1FKiwhDph83XaGc0o0/edit?usp=sharing"",""งบพรบ!CZ103"")"),0)</f>
        <v>0</v>
      </c>
      <c r="F103" s="88">
        <f ca="1">IFERROR(__xludf.DUMMYFUNCTION("IMPORTRANGE(""https://docs.google.com/spreadsheets/d/1MeEWN-I1oV_STSDYn1IFDPWt_1FKiwhDph83XaGc0o0/edit?usp=sharing"",""งบพรบ!DA103"")"),0)</f>
        <v>0</v>
      </c>
      <c r="G103" s="88">
        <f ca="1">IFERROR(__xludf.DUMMYFUNCTION("IMPORTRANGE(""https://docs.google.com/spreadsheets/d/1MeEWN-I1oV_STSDYn1IFDPWt_1FKiwhDph83XaGc0o0/edit?usp=sharing"",""งบพรบ!DB103"")"),0)</f>
        <v>0</v>
      </c>
      <c r="H103" s="88">
        <f ca="1">IFERROR(__xludf.DUMMYFUNCTION("IMPORTRANGE(""https://docs.google.com/spreadsheets/d/1MeEWN-I1oV_STSDYn1IFDPWt_1FKiwhDph83XaGc0o0/edit?usp=sharing"",""งบพรบ!DD103"")"),0)</f>
        <v>0</v>
      </c>
      <c r="I103" s="88">
        <f ca="1">IFERROR(__xludf.DUMMYFUNCTION("IMPORTRANGE(""https://docs.google.com/spreadsheets/d/1MeEWN-I1oV_STSDYn1IFDPWt_1FKiwhDph83XaGc0o0/edit?usp=sharing"",""งบพรบ!DE103"")"),0)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IFERROR(__xludf.DUMMYFUNCTION("IMPORTRANGE(""https://docs.google.com/spreadsheets/d/1MeEWN-I1oV_STSDYn1IFDPWt_1FKiwhDph83XaGc0o0/edit?usp=sharing"",""งบพรบ!DF103"")"),0)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IFERROR(__xludf.DUMMYFUNCTION("IMPORTRANGE(""https://docs.google.com/spreadsheets/d/1MeEWN-I1oV_STSDYn1IFDPWt_1FKiwhDph83XaGc0o0/edit?usp=sharing"",""งบพรบ!DG103"")"),0)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69" t="s">
        <v>126</v>
      </c>
      <c r="B104" s="370"/>
      <c r="C104" s="102">
        <f t="shared" ca="1" si="0"/>
        <v>134300</v>
      </c>
      <c r="D104" s="41">
        <f ca="1">SUM(D105:D116)</f>
        <v>134300</v>
      </c>
      <c r="E104" s="41">
        <f ca="1">IFERROR(__xludf.DUMMYFUNCTION("IMPORTRANGE(""https://docs.google.com/spreadsheets/d/1MeEWN-I1oV_STSDYn1IFDPWt_1FKiwhDph83XaGc0o0/edit?usp=sharing"",""งบพรบ!CZ104"")"),134300)</f>
        <v>134300</v>
      </c>
      <c r="F104" s="41">
        <f ca="1">IFERROR(__xludf.DUMMYFUNCTION("IMPORTRANGE(""https://docs.google.com/spreadsheets/d/1MeEWN-I1oV_STSDYn1IFDPWt_1FKiwhDph83XaGc0o0/edit?usp=sharing"",""งบพรบ!DA104"")"),0)</f>
        <v>0</v>
      </c>
      <c r="G104" s="41">
        <f ca="1">IFERROR(__xludf.DUMMYFUNCTION("IMPORTRANGE(""https://docs.google.com/spreadsheets/d/1MeEWN-I1oV_STSDYn1IFDPWt_1FKiwhDph83XaGc0o0/edit?usp=sharing"",""งบพรบ!DB104"")"),0)</f>
        <v>0</v>
      </c>
      <c r="H104" s="41">
        <f ca="1">IFERROR(__xludf.DUMMYFUNCTION("IMPORTRANGE(""https://docs.google.com/spreadsheets/d/1MeEWN-I1oV_STSDYn1IFDPWt_1FKiwhDph83XaGc0o0/edit?usp=sharing"",""งบพรบ!DD104"")"),45600)</f>
        <v>45600</v>
      </c>
      <c r="I104" s="41">
        <f ca="1">IFERROR(__xludf.DUMMYFUNCTION("IMPORTRANGE(""https://docs.google.com/spreadsheets/d/1MeEWN-I1oV_STSDYn1IFDPWt_1FKiwhDph83XaGc0o0/edit?usp=sharing"",""งบพรบ!DE104"")"),0)</f>
        <v>0</v>
      </c>
      <c r="J104" s="41">
        <f t="shared" ca="1" si="3"/>
        <v>28500</v>
      </c>
      <c r="K104" s="43">
        <f t="shared" ca="1" si="4"/>
        <v>21.221146686522712</v>
      </c>
      <c r="L104" s="41">
        <f ca="1">IFERROR(__xludf.DUMMYFUNCTION("IMPORTRANGE(""https://docs.google.com/spreadsheets/d/1MeEWN-I1oV_STSDYn1IFDPWt_1FKiwhDph83XaGc0o0/edit?usp=sharing"",""งบพรบ!DF104"")"),28500)</f>
        <v>28500</v>
      </c>
      <c r="M104" s="43">
        <f t="shared" ca="1" si="5"/>
        <v>21.221146686522712</v>
      </c>
      <c r="N104" s="43">
        <f t="shared" ca="1" si="6"/>
        <v>62.5</v>
      </c>
      <c r="O104" s="41">
        <f ca="1">IFERROR(__xludf.DUMMYFUNCTION("IMPORTRANGE(""https://docs.google.com/spreadsheets/d/1MeEWN-I1oV_STSDYn1IFDPWt_1FKiwhDph83XaGc0o0/edit?usp=sharing"",""งบพรบ!DG104"")"),0)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134300</v>
      </c>
      <c r="D105" s="66">
        <f t="shared" ref="D105:D116" ca="1" si="33">+E105+F105</f>
        <v>134300</v>
      </c>
      <c r="E105" s="67">
        <f ca="1">IFERROR(__xludf.DUMMYFUNCTION("IMPORTRANGE(""https://docs.google.com/spreadsheets/d/1MeEWN-I1oV_STSDYn1IFDPWt_1FKiwhDph83XaGc0o0/edit?usp=sharing"",""งบพรบ!CZ105"")"),134300)</f>
        <v>134300</v>
      </c>
      <c r="F105" s="67">
        <f ca="1">IFERROR(__xludf.DUMMYFUNCTION("IMPORTRANGE(""https://docs.google.com/spreadsheets/d/1MeEWN-I1oV_STSDYn1IFDPWt_1FKiwhDph83XaGc0o0/edit?usp=sharing"",""งบพรบ!DA105"")"),0)</f>
        <v>0</v>
      </c>
      <c r="G105" s="67">
        <f ca="1">IFERROR(__xludf.DUMMYFUNCTION("IMPORTRANGE(""https://docs.google.com/spreadsheets/d/1MeEWN-I1oV_STSDYn1IFDPWt_1FKiwhDph83XaGc0o0/edit?usp=sharing"",""งบพรบ!DB105"")"),0)</f>
        <v>0</v>
      </c>
      <c r="H105" s="67">
        <f ca="1">IFERROR(__xludf.DUMMYFUNCTION("IMPORTRANGE(""https://docs.google.com/spreadsheets/d/1MeEWN-I1oV_STSDYn1IFDPWt_1FKiwhDph83XaGc0o0/edit?usp=sharing"",""งบพรบ!DD105"")"),17100)</f>
        <v>17100</v>
      </c>
      <c r="I105" s="67">
        <f ca="1">IFERROR(__xludf.DUMMYFUNCTION("IMPORTRANGE(""https://docs.google.com/spreadsheets/d/1MeEWN-I1oV_STSDYn1IFDPWt_1FKiwhDph83XaGc0o0/edit?usp=sharing"",""งบพรบ!DE105"")"),0)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IFERROR(__xludf.DUMMYFUNCTION("IMPORTRANGE(""https://docs.google.com/spreadsheets/d/1MeEWN-I1oV_STSDYn1IFDPWt_1FKiwhDph83XaGc0o0/edit?usp=sharing"",""งบพรบ!DF105"")"),0)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IFERROR(__xludf.DUMMYFUNCTION("IMPORTRANGE(""https://docs.google.com/spreadsheets/d/1MeEWN-I1oV_STSDYn1IFDPWt_1FKiwhDph83XaGc0o0/edit?usp=sharing"",""งบพรบ!DG105"")"),0)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33"/>
        <v>0</v>
      </c>
      <c r="E106" s="77">
        <f ca="1">IFERROR(__xludf.DUMMYFUNCTION("IMPORTRANGE(""https://docs.google.com/spreadsheets/d/1MeEWN-I1oV_STSDYn1IFDPWt_1FKiwhDph83XaGc0o0/edit?usp=sharing"",""งบพรบ!CZ106"")"),0)</f>
        <v>0</v>
      </c>
      <c r="F106" s="77">
        <f ca="1">IFERROR(__xludf.DUMMYFUNCTION("IMPORTRANGE(""https://docs.google.com/spreadsheets/d/1MeEWN-I1oV_STSDYn1IFDPWt_1FKiwhDph83XaGc0o0/edit?usp=sharing"",""งบพรบ!DA106"")"),0)</f>
        <v>0</v>
      </c>
      <c r="G106" s="77">
        <f ca="1">IFERROR(__xludf.DUMMYFUNCTION("IMPORTRANGE(""https://docs.google.com/spreadsheets/d/1MeEWN-I1oV_STSDYn1IFDPWt_1FKiwhDph83XaGc0o0/edit?usp=sharing"",""งบพรบ!DB106"")"),0)</f>
        <v>0</v>
      </c>
      <c r="H106" s="77">
        <f ca="1">IFERROR(__xludf.DUMMYFUNCTION("IMPORTRANGE(""https://docs.google.com/spreadsheets/d/1MeEWN-I1oV_STSDYn1IFDPWt_1FKiwhDph83XaGc0o0/edit?usp=sharing"",""งบพรบ!DD106"")"),0)</f>
        <v>0</v>
      </c>
      <c r="I106" s="77">
        <f ca="1">IFERROR(__xludf.DUMMYFUNCTION("IMPORTRANGE(""https://docs.google.com/spreadsheets/d/1MeEWN-I1oV_STSDYn1IFDPWt_1FKiwhDph83XaGc0o0/edit?usp=sharing"",""งบพรบ!DE106"")"),0)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IFERROR(__xludf.DUMMYFUNCTION("IMPORTRANGE(""https://docs.google.com/spreadsheets/d/1MeEWN-I1oV_STSDYn1IFDPWt_1FKiwhDph83XaGc0o0/edit?usp=sharing"",""งบพรบ!DF106"")"),0)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IFERROR(__xludf.DUMMYFUNCTION("IMPORTRANGE(""https://docs.google.com/spreadsheets/d/1MeEWN-I1oV_STSDYn1IFDPWt_1FKiwhDph83XaGc0o0/edit?usp=sharing"",""งบพรบ!DG106"")"),0)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IFERROR(__xludf.DUMMYFUNCTION("IMPORTRANGE(""https://docs.google.com/spreadsheets/d/1MeEWN-I1oV_STSDYn1IFDPWt_1FKiwhDph83XaGc0o0/edit?usp=sharing"",""งบพรบ!CZ107"")"),0)</f>
        <v>0</v>
      </c>
      <c r="F107" s="77">
        <f ca="1">IFERROR(__xludf.DUMMYFUNCTION("IMPORTRANGE(""https://docs.google.com/spreadsheets/d/1MeEWN-I1oV_STSDYn1IFDPWt_1FKiwhDph83XaGc0o0/edit?usp=sharing"",""งบพรบ!DA107"")"),0)</f>
        <v>0</v>
      </c>
      <c r="G107" s="77">
        <f ca="1">IFERROR(__xludf.DUMMYFUNCTION("IMPORTRANGE(""https://docs.google.com/spreadsheets/d/1MeEWN-I1oV_STSDYn1IFDPWt_1FKiwhDph83XaGc0o0/edit?usp=sharing"",""งบพรบ!DB107"")"),0)</f>
        <v>0</v>
      </c>
      <c r="H107" s="77">
        <f ca="1">IFERROR(__xludf.DUMMYFUNCTION("IMPORTRANGE(""https://docs.google.com/spreadsheets/d/1MeEWN-I1oV_STSDYn1IFDPWt_1FKiwhDph83XaGc0o0/edit?usp=sharing"",""งบพรบ!DD107"")"),0)</f>
        <v>0</v>
      </c>
      <c r="I107" s="77">
        <f ca="1">IFERROR(__xludf.DUMMYFUNCTION("IMPORTRANGE(""https://docs.google.com/spreadsheets/d/1MeEWN-I1oV_STSDYn1IFDPWt_1FKiwhDph83XaGc0o0/edit?usp=sharing"",""งบพรบ!DE107"")"),0)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IFERROR(__xludf.DUMMYFUNCTION("IMPORTRANGE(""https://docs.google.com/spreadsheets/d/1MeEWN-I1oV_STSDYn1IFDPWt_1FKiwhDph83XaGc0o0/edit?usp=sharing"",""งบพรบ!DF107"")"),0)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IFERROR(__xludf.DUMMYFUNCTION("IMPORTRANGE(""https://docs.google.com/spreadsheets/d/1MeEWN-I1oV_STSDYn1IFDPWt_1FKiwhDph83XaGc0o0/edit?usp=sharing"",""งบพรบ!DG107"")"),0)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IFERROR(__xludf.DUMMYFUNCTION("IMPORTRANGE(""https://docs.google.com/spreadsheets/d/1MeEWN-I1oV_STSDYn1IFDPWt_1FKiwhDph83XaGc0o0/edit?usp=sharing"",""งบพรบ!CZ108"")"),0)</f>
        <v>0</v>
      </c>
      <c r="F108" s="77">
        <f ca="1">IFERROR(__xludf.DUMMYFUNCTION("IMPORTRANGE(""https://docs.google.com/spreadsheets/d/1MeEWN-I1oV_STSDYn1IFDPWt_1FKiwhDph83XaGc0o0/edit?usp=sharing"",""งบพรบ!DA108"")"),0)</f>
        <v>0</v>
      </c>
      <c r="G108" s="77">
        <f ca="1">IFERROR(__xludf.DUMMYFUNCTION("IMPORTRANGE(""https://docs.google.com/spreadsheets/d/1MeEWN-I1oV_STSDYn1IFDPWt_1FKiwhDph83XaGc0o0/edit?usp=sharing"",""งบพรบ!DB108"")"),0)</f>
        <v>0</v>
      </c>
      <c r="H108" s="77">
        <f ca="1">IFERROR(__xludf.DUMMYFUNCTION("IMPORTRANGE(""https://docs.google.com/spreadsheets/d/1MeEWN-I1oV_STSDYn1IFDPWt_1FKiwhDph83XaGc0o0/edit?usp=sharing"",""งบพรบ!DD108"")"),0)</f>
        <v>0</v>
      </c>
      <c r="I108" s="77">
        <f ca="1">IFERROR(__xludf.DUMMYFUNCTION("IMPORTRANGE(""https://docs.google.com/spreadsheets/d/1MeEWN-I1oV_STSDYn1IFDPWt_1FKiwhDph83XaGc0o0/edit?usp=sharing"",""งบพรบ!DE108"")"),0)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IFERROR(__xludf.DUMMYFUNCTION("IMPORTRANGE(""https://docs.google.com/spreadsheets/d/1MeEWN-I1oV_STSDYn1IFDPWt_1FKiwhDph83XaGc0o0/edit?usp=sharing"",""งบพรบ!DF108"")"),0)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IFERROR(__xludf.DUMMYFUNCTION("IMPORTRANGE(""https://docs.google.com/spreadsheets/d/1MeEWN-I1oV_STSDYn1IFDPWt_1FKiwhDph83XaGc0o0/edit?usp=sharing"",""งบพรบ!DG108"")"),0)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IFERROR(__xludf.DUMMYFUNCTION("IMPORTRANGE(""https://docs.google.com/spreadsheets/d/1MeEWN-I1oV_STSDYn1IFDPWt_1FKiwhDph83XaGc0o0/edit?usp=sharing"",""งบพรบ!CZ109"")"),0)</f>
        <v>0</v>
      </c>
      <c r="F109" s="77">
        <f ca="1">IFERROR(__xludf.DUMMYFUNCTION("IMPORTRANGE(""https://docs.google.com/spreadsheets/d/1MeEWN-I1oV_STSDYn1IFDPWt_1FKiwhDph83XaGc0o0/edit?usp=sharing"",""งบพรบ!DA109"")"),0)</f>
        <v>0</v>
      </c>
      <c r="G109" s="77">
        <f ca="1">IFERROR(__xludf.DUMMYFUNCTION("IMPORTRANGE(""https://docs.google.com/spreadsheets/d/1MeEWN-I1oV_STSDYn1IFDPWt_1FKiwhDph83XaGc0o0/edit?usp=sharing"",""งบพรบ!DB109"")"),0)</f>
        <v>0</v>
      </c>
      <c r="H109" s="77">
        <f ca="1">IFERROR(__xludf.DUMMYFUNCTION("IMPORTRANGE(""https://docs.google.com/spreadsheets/d/1MeEWN-I1oV_STSDYn1IFDPWt_1FKiwhDph83XaGc0o0/edit?usp=sharing"",""งบพรบ!DD109"")"),0)</f>
        <v>0</v>
      </c>
      <c r="I109" s="77">
        <f ca="1">IFERROR(__xludf.DUMMYFUNCTION("IMPORTRANGE(""https://docs.google.com/spreadsheets/d/1MeEWN-I1oV_STSDYn1IFDPWt_1FKiwhDph83XaGc0o0/edit?usp=sharing"",""งบพรบ!DE109"")"),0)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IFERROR(__xludf.DUMMYFUNCTION("IMPORTRANGE(""https://docs.google.com/spreadsheets/d/1MeEWN-I1oV_STSDYn1IFDPWt_1FKiwhDph83XaGc0o0/edit?usp=sharing"",""งบพรบ!DF109"")"),0)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IFERROR(__xludf.DUMMYFUNCTION("IMPORTRANGE(""https://docs.google.com/spreadsheets/d/1MeEWN-I1oV_STSDYn1IFDPWt_1FKiwhDph83XaGc0o0/edit?usp=sharing"",""งบพรบ!DG109"")"),0)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IFERROR(__xludf.DUMMYFUNCTION("IMPORTRANGE(""https://docs.google.com/spreadsheets/d/1MeEWN-I1oV_STSDYn1IFDPWt_1FKiwhDph83XaGc0o0/edit?usp=sharing"",""งบพรบ!CZ110"")"),0)</f>
        <v>0</v>
      </c>
      <c r="F110" s="77">
        <f ca="1">IFERROR(__xludf.DUMMYFUNCTION("IMPORTRANGE(""https://docs.google.com/spreadsheets/d/1MeEWN-I1oV_STSDYn1IFDPWt_1FKiwhDph83XaGc0o0/edit?usp=sharing"",""งบพรบ!DA110"")"),0)</f>
        <v>0</v>
      </c>
      <c r="G110" s="77">
        <f ca="1">IFERROR(__xludf.DUMMYFUNCTION("IMPORTRANGE(""https://docs.google.com/spreadsheets/d/1MeEWN-I1oV_STSDYn1IFDPWt_1FKiwhDph83XaGc0o0/edit?usp=sharing"",""งบพรบ!DB110"")"),0)</f>
        <v>0</v>
      </c>
      <c r="H110" s="77">
        <f ca="1">IFERROR(__xludf.DUMMYFUNCTION("IMPORTRANGE(""https://docs.google.com/spreadsheets/d/1MeEWN-I1oV_STSDYn1IFDPWt_1FKiwhDph83XaGc0o0/edit?usp=sharing"",""งบพรบ!DD110"")"),0)</f>
        <v>0</v>
      </c>
      <c r="I110" s="77">
        <f ca="1">IFERROR(__xludf.DUMMYFUNCTION("IMPORTRANGE(""https://docs.google.com/spreadsheets/d/1MeEWN-I1oV_STSDYn1IFDPWt_1FKiwhDph83XaGc0o0/edit?usp=sharing"",""งบพรบ!DE110"")"),0)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IFERROR(__xludf.DUMMYFUNCTION("IMPORTRANGE(""https://docs.google.com/spreadsheets/d/1MeEWN-I1oV_STSDYn1IFDPWt_1FKiwhDph83XaGc0o0/edit?usp=sharing"",""งบพรบ!DF110"")"),0)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IFERROR(__xludf.DUMMYFUNCTION("IMPORTRANGE(""https://docs.google.com/spreadsheets/d/1MeEWN-I1oV_STSDYn1IFDPWt_1FKiwhDph83XaGc0o0/edit?usp=sharing"",""งบพรบ!DG110"")"),0)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IFERROR(__xludf.DUMMYFUNCTION("IMPORTRANGE(""https://docs.google.com/spreadsheets/d/1MeEWN-I1oV_STSDYn1IFDPWt_1FKiwhDph83XaGc0o0/edit?usp=sharing"",""งบพรบ!CZ111"")"),0)</f>
        <v>0</v>
      </c>
      <c r="F111" s="77">
        <f ca="1">IFERROR(__xludf.DUMMYFUNCTION("IMPORTRANGE(""https://docs.google.com/spreadsheets/d/1MeEWN-I1oV_STSDYn1IFDPWt_1FKiwhDph83XaGc0o0/edit?usp=sharing"",""งบพรบ!DA111"")"),0)</f>
        <v>0</v>
      </c>
      <c r="G111" s="77">
        <f ca="1">IFERROR(__xludf.DUMMYFUNCTION("IMPORTRANGE(""https://docs.google.com/spreadsheets/d/1MeEWN-I1oV_STSDYn1IFDPWt_1FKiwhDph83XaGc0o0/edit?usp=sharing"",""งบพรบ!DB111"")"),0)</f>
        <v>0</v>
      </c>
      <c r="H111" s="77">
        <f ca="1">IFERROR(__xludf.DUMMYFUNCTION("IMPORTRANGE(""https://docs.google.com/spreadsheets/d/1MeEWN-I1oV_STSDYn1IFDPWt_1FKiwhDph83XaGc0o0/edit?usp=sharing"",""งบพรบ!DD111"")"),28500)</f>
        <v>28500</v>
      </c>
      <c r="I111" s="77">
        <f ca="1">IFERROR(__xludf.DUMMYFUNCTION("IMPORTRANGE(""https://docs.google.com/spreadsheets/d/1MeEWN-I1oV_STSDYn1IFDPWt_1FKiwhDph83XaGc0o0/edit?usp=sharing"",""งบพรบ!DE111"")"),0)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IFERROR(__xludf.DUMMYFUNCTION("IMPORTRANGE(""https://docs.google.com/spreadsheets/d/1MeEWN-I1oV_STSDYn1IFDPWt_1FKiwhDph83XaGc0o0/edit?usp=sharing"",""งบพรบ!DF111"")"),0)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IFERROR(__xludf.DUMMYFUNCTION("IMPORTRANGE(""https://docs.google.com/spreadsheets/d/1MeEWN-I1oV_STSDYn1IFDPWt_1FKiwhDph83XaGc0o0/edit?usp=sharing"",""งบพรบ!DG111"")"),0)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IFERROR(__xludf.DUMMYFUNCTION("IMPORTRANGE(""https://docs.google.com/spreadsheets/d/1MeEWN-I1oV_STSDYn1IFDPWt_1FKiwhDph83XaGc0o0/edit?usp=sharing"",""งบพรบ!CZ112"")"),0)</f>
        <v>0</v>
      </c>
      <c r="F112" s="77">
        <f ca="1">IFERROR(__xludf.DUMMYFUNCTION("IMPORTRANGE(""https://docs.google.com/spreadsheets/d/1MeEWN-I1oV_STSDYn1IFDPWt_1FKiwhDph83XaGc0o0/edit?usp=sharing"",""งบพรบ!DA112"")"),0)</f>
        <v>0</v>
      </c>
      <c r="G112" s="77">
        <f ca="1">IFERROR(__xludf.DUMMYFUNCTION("IMPORTRANGE(""https://docs.google.com/spreadsheets/d/1MeEWN-I1oV_STSDYn1IFDPWt_1FKiwhDph83XaGc0o0/edit?usp=sharing"",""งบพรบ!DB112"")"),0)</f>
        <v>0</v>
      </c>
      <c r="H112" s="77">
        <f ca="1">IFERROR(__xludf.DUMMYFUNCTION("IMPORTRANGE(""https://docs.google.com/spreadsheets/d/1MeEWN-I1oV_STSDYn1IFDPWt_1FKiwhDph83XaGc0o0/edit?usp=sharing"",""งบพรบ!DD112"")"),0)</f>
        <v>0</v>
      </c>
      <c r="I112" s="77">
        <f ca="1">IFERROR(__xludf.DUMMYFUNCTION("IMPORTRANGE(""https://docs.google.com/spreadsheets/d/1MeEWN-I1oV_STSDYn1IFDPWt_1FKiwhDph83XaGc0o0/edit?usp=sharing"",""งบพรบ!DE112"")"),0)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IFERROR(__xludf.DUMMYFUNCTION("IMPORTRANGE(""https://docs.google.com/spreadsheets/d/1MeEWN-I1oV_STSDYn1IFDPWt_1FKiwhDph83XaGc0o0/edit?usp=sharing"",""งบพรบ!DF112"")"),0)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IFERROR(__xludf.DUMMYFUNCTION("IMPORTRANGE(""https://docs.google.com/spreadsheets/d/1MeEWN-I1oV_STSDYn1IFDPWt_1FKiwhDph83XaGc0o0/edit?usp=sharing"",""งบพรบ!DG112"")"),0)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IFERROR(__xludf.DUMMYFUNCTION("IMPORTRANGE(""https://docs.google.com/spreadsheets/d/1MeEWN-I1oV_STSDYn1IFDPWt_1FKiwhDph83XaGc0o0/edit?usp=sharing"",""งบพรบ!CZ113"")"),0)</f>
        <v>0</v>
      </c>
      <c r="F113" s="77">
        <f ca="1">IFERROR(__xludf.DUMMYFUNCTION("IMPORTRANGE(""https://docs.google.com/spreadsheets/d/1MeEWN-I1oV_STSDYn1IFDPWt_1FKiwhDph83XaGc0o0/edit?usp=sharing"",""งบพรบ!DA113"")"),0)</f>
        <v>0</v>
      </c>
      <c r="G113" s="77">
        <f ca="1">IFERROR(__xludf.DUMMYFUNCTION("IMPORTRANGE(""https://docs.google.com/spreadsheets/d/1MeEWN-I1oV_STSDYn1IFDPWt_1FKiwhDph83XaGc0o0/edit?usp=sharing"",""งบพรบ!DB113"")"),0)</f>
        <v>0</v>
      </c>
      <c r="H113" s="77">
        <f ca="1">IFERROR(__xludf.DUMMYFUNCTION("IMPORTRANGE(""https://docs.google.com/spreadsheets/d/1MeEWN-I1oV_STSDYn1IFDPWt_1FKiwhDph83XaGc0o0/edit?usp=sharing"",""งบพรบ!DD113"")"),0)</f>
        <v>0</v>
      </c>
      <c r="I113" s="77">
        <f ca="1">IFERROR(__xludf.DUMMYFUNCTION("IMPORTRANGE(""https://docs.google.com/spreadsheets/d/1MeEWN-I1oV_STSDYn1IFDPWt_1FKiwhDph83XaGc0o0/edit?usp=sharing"",""งบพรบ!DE113"")"),0)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IFERROR(__xludf.DUMMYFUNCTION("IMPORTRANGE(""https://docs.google.com/spreadsheets/d/1MeEWN-I1oV_STSDYn1IFDPWt_1FKiwhDph83XaGc0o0/edit?usp=sharing"",""งบพรบ!DF113"")"),0)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IFERROR(__xludf.DUMMYFUNCTION("IMPORTRANGE(""https://docs.google.com/spreadsheets/d/1MeEWN-I1oV_STSDYn1IFDPWt_1FKiwhDph83XaGc0o0/edit?usp=sharing"",""งบพรบ!DG113"")"),0)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IFERROR(__xludf.DUMMYFUNCTION("IMPORTRANGE(""https://docs.google.com/spreadsheets/d/1MeEWN-I1oV_STSDYn1IFDPWt_1FKiwhDph83XaGc0o0/edit?usp=sharing"",""งบพรบ!CZ114"")"),0)</f>
        <v>0</v>
      </c>
      <c r="F114" s="77">
        <f ca="1">IFERROR(__xludf.DUMMYFUNCTION("IMPORTRANGE(""https://docs.google.com/spreadsheets/d/1MeEWN-I1oV_STSDYn1IFDPWt_1FKiwhDph83XaGc0o0/edit?usp=sharing"",""งบพรบ!DA114"")"),0)</f>
        <v>0</v>
      </c>
      <c r="G114" s="77">
        <f ca="1">IFERROR(__xludf.DUMMYFUNCTION("IMPORTRANGE(""https://docs.google.com/spreadsheets/d/1MeEWN-I1oV_STSDYn1IFDPWt_1FKiwhDph83XaGc0o0/edit?usp=sharing"",""งบพรบ!DB114"")"),0)</f>
        <v>0</v>
      </c>
      <c r="H114" s="77">
        <f ca="1">IFERROR(__xludf.DUMMYFUNCTION("IMPORTRANGE(""https://docs.google.com/spreadsheets/d/1MeEWN-I1oV_STSDYn1IFDPWt_1FKiwhDph83XaGc0o0/edit?usp=sharing"",""งบพรบ!DD114"")"),0)</f>
        <v>0</v>
      </c>
      <c r="I114" s="77">
        <f ca="1">IFERROR(__xludf.DUMMYFUNCTION("IMPORTRANGE(""https://docs.google.com/spreadsheets/d/1MeEWN-I1oV_STSDYn1IFDPWt_1FKiwhDph83XaGc0o0/edit?usp=sharing"",""งบพรบ!DE114"")"),0)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IFERROR(__xludf.DUMMYFUNCTION("IMPORTRANGE(""https://docs.google.com/spreadsheets/d/1MeEWN-I1oV_STSDYn1IFDPWt_1FKiwhDph83XaGc0o0/edit?usp=sharing"",""งบพรบ!DF114"")"),0)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IFERROR(__xludf.DUMMYFUNCTION("IMPORTRANGE(""https://docs.google.com/spreadsheets/d/1MeEWN-I1oV_STSDYn1IFDPWt_1FKiwhDph83XaGc0o0/edit?usp=sharing"",""งบพรบ!DG114"")"),0)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IFERROR(__xludf.DUMMYFUNCTION("IMPORTRANGE(""https://docs.google.com/spreadsheets/d/1MeEWN-I1oV_STSDYn1IFDPWt_1FKiwhDph83XaGc0o0/edit?usp=sharing"",""งบพรบ!CZ115"")"),0)</f>
        <v>0</v>
      </c>
      <c r="F115" s="77">
        <f ca="1">IFERROR(__xludf.DUMMYFUNCTION("IMPORTRANGE(""https://docs.google.com/spreadsheets/d/1MeEWN-I1oV_STSDYn1IFDPWt_1FKiwhDph83XaGc0o0/edit?usp=sharing"",""งบพรบ!DA115"")"),0)</f>
        <v>0</v>
      </c>
      <c r="G115" s="77">
        <f ca="1">IFERROR(__xludf.DUMMYFUNCTION("IMPORTRANGE(""https://docs.google.com/spreadsheets/d/1MeEWN-I1oV_STSDYn1IFDPWt_1FKiwhDph83XaGc0o0/edit?usp=sharing"",""งบพรบ!DB115"")"),0)</f>
        <v>0</v>
      </c>
      <c r="H115" s="77">
        <f ca="1">IFERROR(__xludf.DUMMYFUNCTION("IMPORTRANGE(""https://docs.google.com/spreadsheets/d/1MeEWN-I1oV_STSDYn1IFDPWt_1FKiwhDph83XaGc0o0/edit?usp=sharing"",""งบพรบ!DD115"")"),0)</f>
        <v>0</v>
      </c>
      <c r="I115" s="77">
        <f ca="1">IFERROR(__xludf.DUMMYFUNCTION("IMPORTRANGE(""https://docs.google.com/spreadsheets/d/1MeEWN-I1oV_STSDYn1IFDPWt_1FKiwhDph83XaGc0o0/edit?usp=sharing"",""งบพรบ!DE115"")"),0)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IFERROR(__xludf.DUMMYFUNCTION("IMPORTRANGE(""https://docs.google.com/spreadsheets/d/1MeEWN-I1oV_STSDYn1IFDPWt_1FKiwhDph83XaGc0o0/edit?usp=sharing"",""งบพรบ!DF115"")"),0)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IFERROR(__xludf.DUMMYFUNCTION("IMPORTRANGE(""https://docs.google.com/spreadsheets/d/1MeEWN-I1oV_STSDYn1IFDPWt_1FKiwhDph83XaGc0o0/edit?usp=sharing"",""งบพรบ!DG115"")"),0)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IFERROR(__xludf.DUMMYFUNCTION("IMPORTRANGE(""https://docs.google.com/spreadsheets/d/1MeEWN-I1oV_STSDYn1IFDPWt_1FKiwhDph83XaGc0o0/edit?usp=sharing"",""งบพรบ!CZ116"")"),0)</f>
        <v>0</v>
      </c>
      <c r="F116" s="77">
        <f ca="1">IFERROR(__xludf.DUMMYFUNCTION("IMPORTRANGE(""https://docs.google.com/spreadsheets/d/1MeEWN-I1oV_STSDYn1IFDPWt_1FKiwhDph83XaGc0o0/edit?usp=sharing"",""งบพรบ!DA116"")"),0)</f>
        <v>0</v>
      </c>
      <c r="G116" s="77">
        <f ca="1">IFERROR(__xludf.DUMMYFUNCTION("IMPORTRANGE(""https://docs.google.com/spreadsheets/d/1MeEWN-I1oV_STSDYn1IFDPWt_1FKiwhDph83XaGc0o0/edit?usp=sharing"",""งบพรบ!DB116"")"),0)</f>
        <v>0</v>
      </c>
      <c r="H116" s="77">
        <f ca="1">IFERROR(__xludf.DUMMYFUNCTION("IMPORTRANGE(""https://docs.google.com/spreadsheets/d/1MeEWN-I1oV_STSDYn1IFDPWt_1FKiwhDph83XaGc0o0/edit?usp=sharing"",""งบพรบ!DD116"")"),0)</f>
        <v>0</v>
      </c>
      <c r="I116" s="77">
        <f ca="1">IFERROR(__xludf.DUMMYFUNCTION("IMPORTRANGE(""https://docs.google.com/spreadsheets/d/1MeEWN-I1oV_STSDYn1IFDPWt_1FKiwhDph83XaGc0o0/edit?usp=sharing"",""งบพรบ!DE116"")"),0)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IFERROR(__xludf.DUMMYFUNCTION("IMPORTRANGE(""https://docs.google.com/spreadsheets/d/1MeEWN-I1oV_STSDYn1IFDPWt_1FKiwhDph83XaGc0o0/edit?usp=sharing"",""งบพรบ!DF116"")"),0)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IFERROR(__xludf.DUMMYFUNCTION("IMPORTRANGE(""https://docs.google.com/spreadsheets/d/1MeEWN-I1oV_STSDYn1IFDPWt_1FKiwhDph83XaGc0o0/edit?usp=sharing"",""งบพรบ!DG116"")"),0)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9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60" zoomScaleNormal="10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301"/>
      <c r="S1" s="301"/>
      <c r="T1" s="301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</row>
    <row r="2" spans="1:33" ht="24" customHeight="1" x14ac:dyDescent="0.2">
      <c r="A2" s="371" t="s">
        <v>1</v>
      </c>
      <c r="B2" s="372"/>
      <c r="C2" s="400" t="s">
        <v>201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  <c r="AC2" s="401"/>
      <c r="AD2" s="401"/>
      <c r="AE2" s="401"/>
      <c r="AF2" s="401"/>
      <c r="AG2" s="402"/>
    </row>
    <row r="3" spans="1:33" ht="30" customHeight="1" x14ac:dyDescent="0.2">
      <c r="A3" s="373"/>
      <c r="B3" s="374"/>
      <c r="C3" s="40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70"/>
      <c r="R3" s="461" t="s">
        <v>202</v>
      </c>
      <c r="S3" s="406"/>
      <c r="T3" s="407"/>
      <c r="U3" s="461" t="s">
        <v>203</v>
      </c>
      <c r="V3" s="406"/>
      <c r="W3" s="407"/>
      <c r="X3" s="461" t="s">
        <v>204</v>
      </c>
      <c r="Y3" s="406"/>
      <c r="Z3" s="406"/>
      <c r="AA3" s="406"/>
      <c r="AB3" s="407"/>
      <c r="AC3" s="461" t="s">
        <v>205</v>
      </c>
      <c r="AD3" s="406"/>
      <c r="AE3" s="406"/>
      <c r="AF3" s="406"/>
      <c r="AG3" s="407"/>
    </row>
    <row r="4" spans="1:33" ht="30" customHeight="1" x14ac:dyDescent="0.2">
      <c r="A4" s="373"/>
      <c r="B4" s="374"/>
      <c r="C4" s="409" t="s">
        <v>6</v>
      </c>
      <c r="D4" s="388"/>
      <c r="E4" s="388"/>
      <c r="F4" s="388"/>
      <c r="G4" s="382"/>
      <c r="H4" s="410" t="s">
        <v>7</v>
      </c>
      <c r="I4" s="382"/>
      <c r="J4" s="387" t="s">
        <v>8</v>
      </c>
      <c r="K4" s="388"/>
      <c r="L4" s="388"/>
      <c r="M4" s="388"/>
      <c r="N4" s="388"/>
      <c r="O4" s="388"/>
      <c r="P4" s="388"/>
      <c r="Q4" s="382"/>
      <c r="R4" s="416"/>
      <c r="S4" s="421"/>
      <c r="T4" s="393"/>
      <c r="U4" s="417"/>
      <c r="V4" s="395"/>
      <c r="W4" s="396"/>
      <c r="X4" s="417"/>
      <c r="Y4" s="395"/>
      <c r="Z4" s="395"/>
      <c r="AA4" s="395"/>
      <c r="AB4" s="396"/>
      <c r="AC4" s="417"/>
      <c r="AD4" s="395"/>
      <c r="AE4" s="395"/>
      <c r="AF4" s="395"/>
      <c r="AG4" s="396"/>
    </row>
    <row r="5" spans="1:33" ht="45" customHeight="1" x14ac:dyDescent="0.2">
      <c r="A5" s="373"/>
      <c r="B5" s="374"/>
      <c r="C5" s="377" t="s">
        <v>13</v>
      </c>
      <c r="D5" s="379" t="s">
        <v>14</v>
      </c>
      <c r="E5" s="380" t="s">
        <v>15</v>
      </c>
      <c r="F5" s="364" t="s">
        <v>16</v>
      </c>
      <c r="G5" s="366" t="s">
        <v>17</v>
      </c>
      <c r="H5" s="6" t="s">
        <v>18</v>
      </c>
      <c r="I5" s="6" t="s">
        <v>19</v>
      </c>
      <c r="J5" s="392" t="s">
        <v>20</v>
      </c>
      <c r="K5" s="393"/>
      <c r="L5" s="394" t="s">
        <v>18</v>
      </c>
      <c r="M5" s="395"/>
      <c r="N5" s="396"/>
      <c r="O5" s="397" t="s">
        <v>19</v>
      </c>
      <c r="P5" s="395"/>
      <c r="Q5" s="396"/>
      <c r="R5" s="303" t="s">
        <v>21</v>
      </c>
      <c r="S5" s="459" t="s">
        <v>22</v>
      </c>
      <c r="T5" s="382"/>
      <c r="U5" s="303" t="s">
        <v>21</v>
      </c>
      <c r="V5" s="460" t="s">
        <v>22</v>
      </c>
      <c r="W5" s="382"/>
      <c r="X5" s="303" t="s">
        <v>21</v>
      </c>
      <c r="Y5" s="457" t="s">
        <v>206</v>
      </c>
      <c r="Z5" s="382"/>
      <c r="AA5" s="458" t="s">
        <v>207</v>
      </c>
      <c r="AB5" s="421"/>
      <c r="AC5" s="303" t="s">
        <v>21</v>
      </c>
      <c r="AD5" s="457" t="s">
        <v>208</v>
      </c>
      <c r="AE5" s="382"/>
      <c r="AF5" s="458" t="s">
        <v>209</v>
      </c>
      <c r="AG5" s="421"/>
    </row>
    <row r="6" spans="1:33" ht="41.25" customHeight="1" x14ac:dyDescent="0.2">
      <c r="A6" s="375"/>
      <c r="B6" s="376"/>
      <c r="C6" s="378"/>
      <c r="D6" s="365"/>
      <c r="E6" s="365"/>
      <c r="F6" s="365"/>
      <c r="G6" s="365"/>
      <c r="H6" s="6"/>
      <c r="I6" s="6"/>
      <c r="J6" s="355" t="s">
        <v>23</v>
      </c>
      <c r="K6" s="356" t="s">
        <v>24</v>
      </c>
      <c r="L6" s="355" t="s">
        <v>23</v>
      </c>
      <c r="M6" s="357" t="s">
        <v>25</v>
      </c>
      <c r="N6" s="358" t="s">
        <v>26</v>
      </c>
      <c r="O6" s="359" t="s">
        <v>23</v>
      </c>
      <c r="P6" s="357" t="s">
        <v>25</v>
      </c>
      <c r="Q6" s="358" t="s">
        <v>26</v>
      </c>
      <c r="R6" s="304" t="s">
        <v>146</v>
      </c>
      <c r="S6" s="305" t="s">
        <v>146</v>
      </c>
      <c r="T6" s="306" t="s">
        <v>24</v>
      </c>
      <c r="U6" s="307" t="s">
        <v>28</v>
      </c>
      <c r="V6" s="308" t="s">
        <v>28</v>
      </c>
      <c r="W6" s="309" t="s">
        <v>24</v>
      </c>
      <c r="X6" s="307" t="s">
        <v>28</v>
      </c>
      <c r="Y6" s="308" t="s">
        <v>28</v>
      </c>
      <c r="Z6" s="309" t="s">
        <v>24</v>
      </c>
      <c r="AA6" s="308" t="s">
        <v>28</v>
      </c>
      <c r="AB6" s="309" t="s">
        <v>24</v>
      </c>
      <c r="AC6" s="307" t="s">
        <v>28</v>
      </c>
      <c r="AD6" s="308" t="s">
        <v>28</v>
      </c>
      <c r="AE6" s="309" t="s">
        <v>24</v>
      </c>
      <c r="AF6" s="308" t="s">
        <v>28</v>
      </c>
      <c r="AG6" s="309" t="s">
        <v>24</v>
      </c>
    </row>
    <row r="7" spans="1:33" ht="24" customHeight="1" x14ac:dyDescent="0.2">
      <c r="A7" s="367" t="s">
        <v>239</v>
      </c>
      <c r="B7" s="368"/>
      <c r="C7" s="283">
        <f t="shared" ref="C7:C116" ca="1" si="0">D7+G7</f>
        <v>7094200</v>
      </c>
      <c r="D7" s="284">
        <f t="shared" ref="D7:E7" ca="1" si="1">D8+D9+D12</f>
        <v>7094200</v>
      </c>
      <c r="E7" s="18">
        <f t="shared" ca="1" si="1"/>
        <v>3192400</v>
      </c>
      <c r="F7" s="19">
        <f ca="1">F8+F9</f>
        <v>3901800</v>
      </c>
      <c r="G7" s="20">
        <f t="shared" ref="G7:I7" ca="1" si="2">G8+G9+G12</f>
        <v>0</v>
      </c>
      <c r="H7" s="21">
        <f t="shared" ca="1" si="2"/>
        <v>7094200</v>
      </c>
      <c r="I7" s="21">
        <f t="shared" ca="1" si="2"/>
        <v>0</v>
      </c>
      <c r="J7" s="22">
        <f t="shared" ref="J7:J116" ca="1" si="3">L7+O7</f>
        <v>6417375.8300000001</v>
      </c>
      <c r="K7" s="23">
        <f t="shared" ref="K7:K116" ca="1" si="4">IF(C7&gt;0,J7*100/C7,0)</f>
        <v>90.459471540131375</v>
      </c>
      <c r="L7" s="22">
        <f ca="1">L8+L9+L12</f>
        <v>6417375.8300000001</v>
      </c>
      <c r="M7" s="24">
        <f t="shared" ref="M7:M116" ca="1" si="5">IF(D7&gt;0,L7*100/D7,0)</f>
        <v>90.459471540131375</v>
      </c>
      <c r="N7" s="24">
        <f t="shared" ref="N7:N116" ca="1" si="6">IF(H7&gt;0,L7*100/H7,0)</f>
        <v>90.459471540131375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310">
        <f t="shared" ref="R7:S7" ca="1" si="9">R8</f>
        <v>10000</v>
      </c>
      <c r="S7" s="311">
        <f t="shared" ca="1" si="9"/>
        <v>10013</v>
      </c>
      <c r="T7" s="312">
        <f t="shared" ref="T7:T8" ca="1" si="10">IF(R7&gt;0,S7*100/R7,0)</f>
        <v>100.13</v>
      </c>
      <c r="U7" s="310">
        <f t="shared" ref="U7:V7" ca="1" si="11">U8</f>
        <v>1000</v>
      </c>
      <c r="V7" s="311">
        <f t="shared" ca="1" si="11"/>
        <v>975</v>
      </c>
      <c r="W7" s="312">
        <f t="shared" ref="W7:W8" ca="1" si="12">IF(U7&gt;0,V7*100/U7,0)</f>
        <v>97.5</v>
      </c>
      <c r="X7" s="310">
        <f t="shared" ref="X7:Y7" ca="1" si="13">X8</f>
        <v>1000</v>
      </c>
      <c r="Y7" s="311">
        <f t="shared" ca="1" si="13"/>
        <v>995</v>
      </c>
      <c r="Z7" s="312">
        <f t="shared" ref="Z7:Z8" ca="1" si="14">IF(X7&gt;0,Y7*100/X7,0)</f>
        <v>99.5</v>
      </c>
      <c r="AA7" s="311">
        <f ca="1">AA8</f>
        <v>995</v>
      </c>
      <c r="AB7" s="312">
        <f t="shared" ref="AB7:AB88" ca="1" si="15">IF(X7&gt;0,AA7*100/X7,0)</f>
        <v>99.5</v>
      </c>
      <c r="AC7" s="310">
        <f t="shared" ref="AC7:AD7" ca="1" si="16">AC8</f>
        <v>1000</v>
      </c>
      <c r="AD7" s="311">
        <f t="shared" ca="1" si="16"/>
        <v>1005</v>
      </c>
      <c r="AE7" s="312">
        <f t="shared" ref="AE7:AE8" ca="1" si="17">IF(AC7&gt;0,AD7*100/AC7,0)</f>
        <v>100.5</v>
      </c>
      <c r="AF7" s="311">
        <f ca="1">AF8</f>
        <v>985</v>
      </c>
      <c r="AG7" s="312">
        <f t="shared" ref="AG7:AG88" ca="1" si="18">IF(AC7&gt;0,AF7*100/AC7,0)</f>
        <v>98.5</v>
      </c>
    </row>
    <row r="8" spans="1:33" ht="28.5" customHeight="1" x14ac:dyDescent="0.2">
      <c r="A8" s="29" t="s">
        <v>31</v>
      </c>
      <c r="B8" s="30"/>
      <c r="C8" s="31">
        <f t="shared" ca="1" si="0"/>
        <v>6678950</v>
      </c>
      <c r="D8" s="32">
        <f t="shared" ref="D8:I8" ca="1" si="19">+D13+D31+D52+D74</f>
        <v>6678950</v>
      </c>
      <c r="E8" s="33">
        <f t="shared" ca="1" si="19"/>
        <v>2910300</v>
      </c>
      <c r="F8" s="33">
        <f t="shared" ca="1" si="19"/>
        <v>3768650</v>
      </c>
      <c r="G8" s="33">
        <f t="shared" ca="1" si="19"/>
        <v>0</v>
      </c>
      <c r="H8" s="33">
        <f t="shared" ca="1" si="19"/>
        <v>6570730</v>
      </c>
      <c r="I8" s="33">
        <f t="shared" ca="1" si="19"/>
        <v>0</v>
      </c>
      <c r="J8" s="33">
        <f t="shared" ca="1" si="3"/>
        <v>6039136.75</v>
      </c>
      <c r="K8" s="34">
        <f t="shared" ca="1" si="4"/>
        <v>90.420451567985992</v>
      </c>
      <c r="L8" s="33">
        <f ca="1">+L13+L31+L52+L74</f>
        <v>6039136.75</v>
      </c>
      <c r="M8" s="35">
        <f t="shared" ca="1" si="5"/>
        <v>90.420451567985992</v>
      </c>
      <c r="N8" s="35">
        <f t="shared" ca="1" si="6"/>
        <v>91.909677463539055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13">
        <f t="shared" ref="R8:S8" ca="1" si="20">+R13+R31+R52+R74</f>
        <v>10000</v>
      </c>
      <c r="S8" s="313">
        <f t="shared" ca="1" si="20"/>
        <v>10013</v>
      </c>
      <c r="T8" s="314">
        <f t="shared" ca="1" si="10"/>
        <v>100.13</v>
      </c>
      <c r="U8" s="313">
        <f t="shared" ref="U8:V8" ca="1" si="21">+U13+U31+U52+U74</f>
        <v>1000</v>
      </c>
      <c r="V8" s="313">
        <f t="shared" ca="1" si="21"/>
        <v>975</v>
      </c>
      <c r="W8" s="314">
        <f t="shared" ca="1" si="12"/>
        <v>97.5</v>
      </c>
      <c r="X8" s="313">
        <f t="shared" ref="X8:Y8" ca="1" si="22">+X13+X31+X52+X74</f>
        <v>1000</v>
      </c>
      <c r="Y8" s="313">
        <f t="shared" ca="1" si="22"/>
        <v>995</v>
      </c>
      <c r="Z8" s="314">
        <f t="shared" ca="1" si="14"/>
        <v>99.5</v>
      </c>
      <c r="AA8" s="313">
        <f ca="1">+AA13+AA31+AA52+AA74</f>
        <v>995</v>
      </c>
      <c r="AB8" s="314">
        <f t="shared" ca="1" si="15"/>
        <v>99.5</v>
      </c>
      <c r="AC8" s="313">
        <f t="shared" ref="AC8:AD8" ca="1" si="23">+AC13+AC31+AC52+AC74</f>
        <v>1000</v>
      </c>
      <c r="AD8" s="313">
        <f t="shared" ca="1" si="23"/>
        <v>1005</v>
      </c>
      <c r="AE8" s="314">
        <f t="shared" ca="1" si="17"/>
        <v>100.5</v>
      </c>
      <c r="AF8" s="313">
        <f ca="1">+AF13+AF31+AF52+AF74</f>
        <v>985</v>
      </c>
      <c r="AG8" s="314">
        <f t="shared" ca="1" si="18"/>
        <v>98.5</v>
      </c>
    </row>
    <row r="9" spans="1:33" ht="28.5" customHeight="1" x14ac:dyDescent="0.2">
      <c r="A9" s="39" t="s">
        <v>240</v>
      </c>
      <c r="B9" s="40"/>
      <c r="C9" s="41">
        <f t="shared" ca="1" si="0"/>
        <v>415250</v>
      </c>
      <c r="D9" s="42">
        <f t="shared" ref="D9:I9" ca="1" si="24">+D10+D11</f>
        <v>415250</v>
      </c>
      <c r="E9" s="41">
        <f t="shared" ca="1" si="24"/>
        <v>282100</v>
      </c>
      <c r="F9" s="41">
        <f t="shared" ca="1" si="24"/>
        <v>133150</v>
      </c>
      <c r="G9" s="41">
        <f t="shared" ca="1" si="24"/>
        <v>0</v>
      </c>
      <c r="H9" s="41">
        <f t="shared" ca="1" si="24"/>
        <v>523470</v>
      </c>
      <c r="I9" s="41">
        <f t="shared" ca="1" si="24"/>
        <v>0</v>
      </c>
      <c r="J9" s="41">
        <f t="shared" ca="1" si="3"/>
        <v>378239.08</v>
      </c>
      <c r="K9" s="43">
        <f t="shared" ca="1" si="4"/>
        <v>91.087075255869962</v>
      </c>
      <c r="L9" s="41">
        <f ca="1">+L10+L11</f>
        <v>378239.08</v>
      </c>
      <c r="M9" s="44">
        <f t="shared" ca="1" si="5"/>
        <v>91.087075255869962</v>
      </c>
      <c r="N9" s="44">
        <f t="shared" ca="1" si="6"/>
        <v>72.25611400844366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315"/>
      <c r="S9" s="315"/>
      <c r="T9" s="316"/>
      <c r="U9" s="315"/>
      <c r="V9" s="315"/>
      <c r="W9" s="316"/>
      <c r="X9" s="315"/>
      <c r="Y9" s="315"/>
      <c r="Z9" s="316"/>
      <c r="AA9" s="315"/>
      <c r="AB9" s="316">
        <f t="shared" si="15"/>
        <v>0</v>
      </c>
      <c r="AC9" s="315"/>
      <c r="AD9" s="315"/>
      <c r="AE9" s="316"/>
      <c r="AF9" s="315"/>
      <c r="AG9" s="316">
        <f t="shared" si="18"/>
        <v>0</v>
      </c>
    </row>
    <row r="10" spans="1:33" ht="28.5" hidden="1" customHeight="1" x14ac:dyDescent="0.2">
      <c r="A10" s="39" t="s">
        <v>32</v>
      </c>
      <c r="B10" s="40"/>
      <c r="C10" s="41">
        <f t="shared" ca="1" si="0"/>
        <v>333950</v>
      </c>
      <c r="D10" s="42">
        <f t="shared" ref="D10:I10" ca="1" si="25">+D89</f>
        <v>333950</v>
      </c>
      <c r="E10" s="41">
        <f t="shared" ca="1" si="25"/>
        <v>200800</v>
      </c>
      <c r="F10" s="41">
        <f t="shared" ca="1" si="25"/>
        <v>133150</v>
      </c>
      <c r="G10" s="41">
        <f t="shared" ca="1" si="25"/>
        <v>0</v>
      </c>
      <c r="H10" s="41">
        <f t="shared" ca="1" si="25"/>
        <v>344100</v>
      </c>
      <c r="I10" s="41">
        <f t="shared" ca="1" si="25"/>
        <v>0</v>
      </c>
      <c r="J10" s="41">
        <f t="shared" ca="1" si="3"/>
        <v>316089.08</v>
      </c>
      <c r="K10" s="43">
        <f t="shared" ca="1" si="4"/>
        <v>94.651618505764333</v>
      </c>
      <c r="L10" s="41">
        <f ca="1">+L89</f>
        <v>316089.08</v>
      </c>
      <c r="M10" s="44">
        <f t="shared" ca="1" si="5"/>
        <v>94.651618505764333</v>
      </c>
      <c r="N10" s="44">
        <f t="shared" ca="1" si="6"/>
        <v>91.859657076431276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315"/>
      <c r="S10" s="315"/>
      <c r="T10" s="316"/>
      <c r="U10" s="315"/>
      <c r="V10" s="315"/>
      <c r="W10" s="316"/>
      <c r="X10" s="315"/>
      <c r="Y10" s="315"/>
      <c r="Z10" s="316"/>
      <c r="AA10" s="315"/>
      <c r="AB10" s="316">
        <f t="shared" si="15"/>
        <v>0</v>
      </c>
      <c r="AC10" s="315"/>
      <c r="AD10" s="315"/>
      <c r="AE10" s="316"/>
      <c r="AF10" s="315"/>
      <c r="AG10" s="316">
        <f t="shared" si="18"/>
        <v>0</v>
      </c>
    </row>
    <row r="11" spans="1:33" ht="28.5" hidden="1" customHeight="1" x14ac:dyDescent="0.2">
      <c r="A11" s="48" t="s">
        <v>33</v>
      </c>
      <c r="B11" s="40"/>
      <c r="C11" s="41">
        <f t="shared" ca="1" si="0"/>
        <v>81300</v>
      </c>
      <c r="D11" s="42">
        <f t="shared" ref="D11:I11" ca="1" si="26">+D104</f>
        <v>81300</v>
      </c>
      <c r="E11" s="41">
        <f t="shared" ca="1" si="26"/>
        <v>81300</v>
      </c>
      <c r="F11" s="41">
        <f t="shared" ca="1" si="26"/>
        <v>0</v>
      </c>
      <c r="G11" s="41">
        <f t="shared" ca="1" si="26"/>
        <v>0</v>
      </c>
      <c r="H11" s="41">
        <f t="shared" ca="1" si="26"/>
        <v>179370</v>
      </c>
      <c r="I11" s="41">
        <f t="shared" ca="1" si="26"/>
        <v>0</v>
      </c>
      <c r="J11" s="41">
        <f t="shared" ca="1" si="3"/>
        <v>62150</v>
      </c>
      <c r="K11" s="43">
        <f t="shared" ca="1" si="4"/>
        <v>76.445264452644523</v>
      </c>
      <c r="L11" s="41">
        <f ca="1">+L104</f>
        <v>62150</v>
      </c>
      <c r="M11" s="44">
        <f t="shared" ca="1" si="5"/>
        <v>76.445264452644523</v>
      </c>
      <c r="N11" s="44">
        <f t="shared" ca="1" si="6"/>
        <v>34.64904945085577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315"/>
      <c r="S11" s="315"/>
      <c r="T11" s="316"/>
      <c r="U11" s="315"/>
      <c r="V11" s="315"/>
      <c r="W11" s="316"/>
      <c r="X11" s="315"/>
      <c r="Y11" s="315"/>
      <c r="Z11" s="316"/>
      <c r="AA11" s="315"/>
      <c r="AB11" s="316">
        <f t="shared" si="15"/>
        <v>0</v>
      </c>
      <c r="AC11" s="315"/>
      <c r="AD11" s="315"/>
      <c r="AE11" s="316"/>
      <c r="AF11" s="315"/>
      <c r="AG11" s="316">
        <f t="shared" si="18"/>
        <v>0</v>
      </c>
    </row>
    <row r="12" spans="1:33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317">
        <v>0</v>
      </c>
      <c r="S12" s="317">
        <v>0</v>
      </c>
      <c r="T12" s="318">
        <f t="shared" ref="T12:T88" si="27">IF(R12&gt;0,S12*100/R12,0)</f>
        <v>0</v>
      </c>
      <c r="U12" s="317">
        <v>0</v>
      </c>
      <c r="V12" s="317">
        <v>0</v>
      </c>
      <c r="W12" s="318">
        <f t="shared" ref="W12:W88" si="28">IF(U12&gt;0,V12*100/U12,0)</f>
        <v>0</v>
      </c>
      <c r="X12" s="317">
        <v>0</v>
      </c>
      <c r="Y12" s="317">
        <v>0</v>
      </c>
      <c r="Z12" s="318">
        <f t="shared" ref="Z12:Z88" si="29">IF(X12&gt;0,Y12*100/X12,0)</f>
        <v>0</v>
      </c>
      <c r="AA12" s="317">
        <v>0</v>
      </c>
      <c r="AB12" s="318">
        <f t="shared" si="15"/>
        <v>0</v>
      </c>
      <c r="AC12" s="317">
        <v>0</v>
      </c>
      <c r="AD12" s="317">
        <v>0</v>
      </c>
      <c r="AE12" s="318">
        <f t="shared" ref="AE12:AE88" si="30">IF(AC12&gt;0,AD12*100/AC12,0)</f>
        <v>0</v>
      </c>
      <c r="AF12" s="317">
        <v>0</v>
      </c>
      <c r="AG12" s="318">
        <f t="shared" si="18"/>
        <v>0</v>
      </c>
    </row>
    <row r="13" spans="1:33" ht="28.5" customHeight="1" x14ac:dyDescent="0.2">
      <c r="A13" s="381" t="s">
        <v>35</v>
      </c>
      <c r="B13" s="382"/>
      <c r="C13" s="57">
        <f t="shared" ca="1" si="0"/>
        <v>2886050</v>
      </c>
      <c r="D13" s="58">
        <f t="shared" ref="D13:I13" ca="1" si="31">SUM(D14:D30)</f>
        <v>2886050</v>
      </c>
      <c r="E13" s="59">
        <f t="shared" ca="1" si="31"/>
        <v>1409500</v>
      </c>
      <c r="F13" s="59">
        <f t="shared" ca="1" si="31"/>
        <v>1476550</v>
      </c>
      <c r="G13" s="59">
        <f t="shared" ca="1" si="31"/>
        <v>0</v>
      </c>
      <c r="H13" s="59">
        <f t="shared" ca="1" si="31"/>
        <v>2886050</v>
      </c>
      <c r="I13" s="59">
        <f t="shared" ca="1" si="31"/>
        <v>0</v>
      </c>
      <c r="J13" s="59">
        <f t="shared" ca="1" si="3"/>
        <v>2671634.2400000002</v>
      </c>
      <c r="K13" s="60">
        <f t="shared" ca="1" si="4"/>
        <v>92.570615200706854</v>
      </c>
      <c r="L13" s="59">
        <f ca="1">SUM(L14:L30)</f>
        <v>2671634.2400000002</v>
      </c>
      <c r="M13" s="61">
        <f t="shared" ca="1" si="5"/>
        <v>92.570615200706854</v>
      </c>
      <c r="N13" s="61">
        <f t="shared" ca="1" si="6"/>
        <v>92.570615200706854</v>
      </c>
      <c r="O13" s="62">
        <f ca="1">SUM(O14:O30)</f>
        <v>0</v>
      </c>
      <c r="P13" s="62">
        <f t="shared" ref="P13:P116" ca="1" si="32">IF(G13&gt;0,O13*100/G13,0)</f>
        <v>0</v>
      </c>
      <c r="Q13" s="61">
        <f t="shared" ca="1" si="8"/>
        <v>0</v>
      </c>
      <c r="R13" s="319">
        <f t="shared" ref="R13:S13" ca="1" si="33">SUM(R14:R30)</f>
        <v>3950</v>
      </c>
      <c r="S13" s="319">
        <f t="shared" ca="1" si="33"/>
        <v>3963</v>
      </c>
      <c r="T13" s="320">
        <f t="shared" ca="1" si="27"/>
        <v>100.32911392405063</v>
      </c>
      <c r="U13" s="319">
        <f t="shared" ref="U13:V13" ca="1" si="34">SUM(U14:U30)</f>
        <v>395</v>
      </c>
      <c r="V13" s="319">
        <f t="shared" ca="1" si="34"/>
        <v>385</v>
      </c>
      <c r="W13" s="320">
        <f t="shared" ca="1" si="28"/>
        <v>97.468354430379748</v>
      </c>
      <c r="X13" s="319">
        <f t="shared" ref="X13:Y13" ca="1" si="35">SUM(X14:X30)</f>
        <v>395</v>
      </c>
      <c r="Y13" s="319">
        <f t="shared" ca="1" si="35"/>
        <v>385</v>
      </c>
      <c r="Z13" s="320">
        <f t="shared" ca="1" si="29"/>
        <v>97.468354430379748</v>
      </c>
      <c r="AA13" s="319">
        <f ca="1">SUM(AA14:AA30)</f>
        <v>385</v>
      </c>
      <c r="AB13" s="320">
        <f t="shared" ca="1" si="15"/>
        <v>97.468354430379748</v>
      </c>
      <c r="AC13" s="319">
        <f t="shared" ref="AC13:AD13" ca="1" si="36">SUM(AC14:AC30)</f>
        <v>395</v>
      </c>
      <c r="AD13" s="319">
        <f t="shared" ca="1" si="36"/>
        <v>395</v>
      </c>
      <c r="AE13" s="320">
        <f t="shared" ca="1" si="30"/>
        <v>100</v>
      </c>
      <c r="AF13" s="319">
        <f ca="1">SUM(AF14:AF30)</f>
        <v>395</v>
      </c>
      <c r="AG13" s="320">
        <f t="shared" ca="1" si="18"/>
        <v>100</v>
      </c>
    </row>
    <row r="14" spans="1:33" ht="24" customHeight="1" x14ac:dyDescent="0.2">
      <c r="A14" s="63">
        <v>1</v>
      </c>
      <c r="B14" s="64" t="s">
        <v>36</v>
      </c>
      <c r="C14" s="65">
        <f t="shared" ca="1" si="0"/>
        <v>343610</v>
      </c>
      <c r="D14" s="66">
        <f t="shared" ref="D14:D30" ca="1" si="37">+E14+F14</f>
        <v>343610</v>
      </c>
      <c r="E14" s="67">
        <f ca="1">IFERROR(__xludf.DUMMYFUNCTION("IMPORTRANGE(""https://docs.google.com/spreadsheets/d/1MeEWN-I1oV_STSDYn1IFDPWt_1FKiwhDph83XaGc0o0/edit?usp=sharing"",""งบพรบ!DJ14"")"),162200)</f>
        <v>162200</v>
      </c>
      <c r="F14" s="67">
        <f ca="1">IFERROR(__xludf.DUMMYFUNCTION("IMPORTRANGE(""https://docs.google.com/spreadsheets/d/1MeEWN-I1oV_STSDYn1IFDPWt_1FKiwhDph83XaGc0o0/edit?usp=sharing"",""งบพรบ!DK14"")"),181410)</f>
        <v>181410</v>
      </c>
      <c r="G14" s="68">
        <f ca="1">IFERROR(__xludf.DUMMYFUNCTION("IMPORTRANGE(""https://docs.google.com/spreadsheets/d/1MeEWN-I1oV_STSDYn1IFDPWt_1FKiwhDph83XaGc0o0/edit?usp=sharing"",""งบพรบ!DL14"")"),0)</f>
        <v>0</v>
      </c>
      <c r="H14" s="68">
        <f ca="1">IFERROR(__xludf.DUMMYFUNCTION("IMPORTRANGE(""https://docs.google.com/spreadsheets/d/1MeEWN-I1oV_STSDYn1IFDPWt_1FKiwhDph83XaGc0o0/edit?usp=sharing"",""งบพรบ!DN14"")"),343610)</f>
        <v>343610</v>
      </c>
      <c r="I14" s="68">
        <f ca="1">IFERROR(__xludf.DUMMYFUNCTION("IMPORTRANGE(""https://docs.google.com/spreadsheets/d/1MeEWN-I1oV_STSDYn1IFDPWt_1FKiwhDph83XaGc0o0/edit?usp=sharing"",""งบพรบ!DO14"")"),0)</f>
        <v>0</v>
      </c>
      <c r="J14" s="68">
        <f t="shared" ca="1" si="3"/>
        <v>304595</v>
      </c>
      <c r="K14" s="69">
        <f t="shared" ca="1" si="4"/>
        <v>88.645557463403279</v>
      </c>
      <c r="L14" s="68">
        <f ca="1">IFERROR(__xludf.DUMMYFUNCTION("IMPORTRANGE(""https://docs.google.com/spreadsheets/d/1MeEWN-I1oV_STSDYn1IFDPWt_1FKiwhDph83XaGc0o0/edit?usp=sharing"",""งบพรบ!DP14"")"),304595)</f>
        <v>304595</v>
      </c>
      <c r="M14" s="70">
        <f t="shared" ca="1" si="5"/>
        <v>88.645557463403279</v>
      </c>
      <c r="N14" s="70">
        <f t="shared" ca="1" si="6"/>
        <v>88.645557463403279</v>
      </c>
      <c r="O14" s="71">
        <f ca="1">IFERROR(__xludf.DUMMYFUNCTION("IMPORTRANGE(""https://docs.google.com/spreadsheets/d/1MeEWN-I1oV_STSDYn1IFDPWt_1FKiwhDph83XaGc0o0/edit?usp=sharing"",""งบพรบ!DQ14"")"),0)</f>
        <v>0</v>
      </c>
      <c r="P14" s="71">
        <f t="shared" ca="1" si="32"/>
        <v>0</v>
      </c>
      <c r="Q14" s="70">
        <f t="shared" ca="1" si="8"/>
        <v>0</v>
      </c>
      <c r="R14" s="321">
        <f ca="1">IFERROR(__xludf.DUMMYFUNCTION("IMPORTRANGE(""https://docs.google.com/spreadsheets/d/1KxicF4apzSqm0-jIpmueT4kyZtE-Cwn5zskl7GD4loQ/edit?usp=sharing"",""กำแพงเพชร!I287"")"),500)</f>
        <v>500</v>
      </c>
      <c r="S14" s="321">
        <f ca="1">IFERROR(__xludf.DUMMYFUNCTION("IMPORTRANGE(""https://docs.google.com/spreadsheets/d/1KxicF4apzSqm0-jIpmueT4kyZtE-Cwn5zskl7GD4loQ/edit?usp=sharing"",""กำแพงเพชร!J287"")"),500)</f>
        <v>500</v>
      </c>
      <c r="T14" s="322">
        <f t="shared" ca="1" si="27"/>
        <v>100</v>
      </c>
      <c r="U14" s="321">
        <f ca="1">IFERROR(__xludf.DUMMYFUNCTION("IMPORTRANGE(""https://docs.google.com/spreadsheets/d/1KxicF4apzSqm0-jIpmueT4kyZtE-Cwn5zskl7GD4loQ/edit?usp=sharing"",""กำแพงเพชร!I288"")"),50)</f>
        <v>50</v>
      </c>
      <c r="V14" s="321">
        <f ca="1">IFERROR(__xludf.DUMMYFUNCTION("IMPORTRANGE(""https://docs.google.com/spreadsheets/d/1KxicF4apzSqm0-jIpmueT4kyZtE-Cwn5zskl7GD4loQ/edit?usp=sharing"",""กำแพงเพชร!J288"")"),50)</f>
        <v>50</v>
      </c>
      <c r="W14" s="322">
        <f t="shared" ca="1" si="28"/>
        <v>100</v>
      </c>
      <c r="X14" s="321">
        <f ca="1">IFERROR(__xludf.DUMMYFUNCTION("IMPORTRANGE(""https://docs.google.com/spreadsheets/d/1KxicF4apzSqm0-jIpmueT4kyZtE-Cwn5zskl7GD4loQ/edit?usp=sharing"",""กำแพงเพชร!I290"")"),50)</f>
        <v>50</v>
      </c>
      <c r="Y14" s="321">
        <f ca="1">IFERROR(__xludf.DUMMYFUNCTION("IMPORTRANGE(""https://docs.google.com/spreadsheets/d/1KxicF4apzSqm0-jIpmueT4kyZtE-Cwn5zskl7GD4loQ/edit?usp=sharing"",""กำแพงเพชร!J290"")"),50)</f>
        <v>50</v>
      </c>
      <c r="Z14" s="322">
        <f t="shared" ca="1" si="29"/>
        <v>100</v>
      </c>
      <c r="AA14" s="321">
        <f ca="1">IFERROR(__xludf.DUMMYFUNCTION("IMPORTRANGE(""https://docs.google.com/spreadsheets/d/1KxicF4apzSqm0-jIpmueT4kyZtE-Cwn5zskl7GD4loQ/edit?usp=sharing"",""กำแพงเพชร!J291"")"),50)</f>
        <v>50</v>
      </c>
      <c r="AB14" s="322">
        <f t="shared" ca="1" si="15"/>
        <v>100</v>
      </c>
      <c r="AC14" s="321">
        <f ca="1">IFERROR(__xludf.DUMMYFUNCTION("IMPORTRANGE(""https://docs.google.com/spreadsheets/d/1KxicF4apzSqm0-jIpmueT4kyZtE-Cwn5zskl7GD4loQ/edit?usp=sharing"",""กำแพงเพชร!I293"")"),50)</f>
        <v>50</v>
      </c>
      <c r="AD14" s="321">
        <f ca="1">IFERROR(__xludf.DUMMYFUNCTION("IMPORTRANGE(""https://docs.google.com/spreadsheets/d/1KxicF4apzSqm0-jIpmueT4kyZtE-Cwn5zskl7GD4loQ/edit?usp=sharing"",""กำแพงเพชร!J293"")"),50)</f>
        <v>50</v>
      </c>
      <c r="AE14" s="322">
        <f t="shared" ca="1" si="30"/>
        <v>100</v>
      </c>
      <c r="AF14" s="321">
        <f ca="1">IFERROR(__xludf.DUMMYFUNCTION("IMPORTRANGE(""https://docs.google.com/spreadsheets/d/1KxicF4apzSqm0-jIpmueT4kyZtE-Cwn5zskl7GD4loQ/edit?usp=sharing"",""กำแพงเพชร!J294"")"),50)</f>
        <v>50</v>
      </c>
      <c r="AG14" s="322">
        <f t="shared" ca="1" si="18"/>
        <v>100</v>
      </c>
    </row>
    <row r="15" spans="1:33" ht="24" customHeight="1" x14ac:dyDescent="0.2">
      <c r="A15" s="73">
        <v>2</v>
      </c>
      <c r="B15" s="74" t="s">
        <v>37</v>
      </c>
      <c r="C15" s="75">
        <f t="shared" ca="1" si="0"/>
        <v>75640</v>
      </c>
      <c r="D15" s="76">
        <f t="shared" ca="1" si="37"/>
        <v>75640</v>
      </c>
      <c r="E15" s="77">
        <f ca="1">IFERROR(__xludf.DUMMYFUNCTION("IMPORTRANGE(""https://docs.google.com/spreadsheets/d/1MeEWN-I1oV_STSDYn1IFDPWt_1FKiwhDph83XaGc0o0/edit?usp=sharing"",""งบพรบ!DJ15"")"),0)</f>
        <v>0</v>
      </c>
      <c r="F15" s="77">
        <f ca="1">IFERROR(__xludf.DUMMYFUNCTION("IMPORTRANGE(""https://docs.google.com/spreadsheets/d/1MeEWN-I1oV_STSDYn1IFDPWt_1FKiwhDph83XaGc0o0/edit?usp=sharing"",""งบพรบ!DK15"")"),75640)</f>
        <v>75640</v>
      </c>
      <c r="G15" s="77">
        <f ca="1">IFERROR(__xludf.DUMMYFUNCTION("IMPORTRANGE(""https://docs.google.com/spreadsheets/d/1MeEWN-I1oV_STSDYn1IFDPWt_1FKiwhDph83XaGc0o0/edit?usp=sharing"",""งบพรบ!DL15"")"),0)</f>
        <v>0</v>
      </c>
      <c r="H15" s="77">
        <f ca="1">IFERROR(__xludf.DUMMYFUNCTION("IMPORTRANGE(""https://docs.google.com/spreadsheets/d/1MeEWN-I1oV_STSDYn1IFDPWt_1FKiwhDph83XaGc0o0/edit?usp=sharing"",""งบพรบ!DN15"")"),75640)</f>
        <v>75640</v>
      </c>
      <c r="I15" s="77">
        <f ca="1">IFERROR(__xludf.DUMMYFUNCTION("IMPORTRANGE(""https://docs.google.com/spreadsheets/d/1MeEWN-I1oV_STSDYn1IFDPWt_1FKiwhDph83XaGc0o0/edit?usp=sharing"",""งบพรบ!DO15"")"),0)</f>
        <v>0</v>
      </c>
      <c r="J15" s="77">
        <f t="shared" ca="1" si="3"/>
        <v>43631</v>
      </c>
      <c r="K15" s="78">
        <f t="shared" ca="1" si="4"/>
        <v>57.682443151771551</v>
      </c>
      <c r="L15" s="77">
        <f ca="1">IFERROR(__xludf.DUMMYFUNCTION("IMPORTRANGE(""https://docs.google.com/spreadsheets/d/1MeEWN-I1oV_STSDYn1IFDPWt_1FKiwhDph83XaGc0o0/edit?usp=sharing"",""งบพรบ!DP15"")"),43631)</f>
        <v>43631</v>
      </c>
      <c r="M15" s="79">
        <f t="shared" ca="1" si="5"/>
        <v>57.682443151771551</v>
      </c>
      <c r="N15" s="79">
        <f t="shared" ca="1" si="6"/>
        <v>57.682443151771551</v>
      </c>
      <c r="O15" s="80">
        <f ca="1">IFERROR(__xludf.DUMMYFUNCTION("IMPORTRANGE(""https://docs.google.com/spreadsheets/d/1MeEWN-I1oV_STSDYn1IFDPWt_1FKiwhDph83XaGc0o0/edit?usp=sharing"",""งบพรบ!DQ15"")"),0)</f>
        <v>0</v>
      </c>
      <c r="P15" s="80">
        <f t="shared" ca="1" si="32"/>
        <v>0</v>
      </c>
      <c r="Q15" s="79">
        <f t="shared" ca="1" si="8"/>
        <v>0</v>
      </c>
      <c r="R15" s="323">
        <f ca="1">IFERROR(__xludf.DUMMYFUNCTION("IMPORTRANGE(""https://docs.google.com/spreadsheets/d/1ZNYWeiFoFA1K1U4xKWqRX29MBvEyRHXORjo734Gnq_c/edit?usp=sharing"",""เชียงราย!I287"")"),200)</f>
        <v>200</v>
      </c>
      <c r="S15" s="323">
        <f ca="1">IFERROR(__xludf.DUMMYFUNCTION("IMPORTRANGE(""https://docs.google.com/spreadsheets/d/1ZNYWeiFoFA1K1U4xKWqRX29MBvEyRHXORjo734Gnq_c/edit?usp=sharing"",""เชียงราย!J287"")"),200)</f>
        <v>200</v>
      </c>
      <c r="T15" s="324">
        <f t="shared" ca="1" si="27"/>
        <v>100</v>
      </c>
      <c r="U15" s="323">
        <f ca="1">IFERROR(__xludf.DUMMYFUNCTION("IMPORTRANGE(""https://docs.google.com/spreadsheets/d/1ZNYWeiFoFA1K1U4xKWqRX29MBvEyRHXORjo734Gnq_c/edit?usp=sharing"",""เชียงราย!I288"")"),20)</f>
        <v>20</v>
      </c>
      <c r="V15" s="323">
        <f ca="1">IFERROR(__xludf.DUMMYFUNCTION("IMPORTRANGE(""https://docs.google.com/spreadsheets/d/1ZNYWeiFoFA1K1U4xKWqRX29MBvEyRHXORjo734Gnq_c/edit?usp=sharing"",""เชียงราย!J288"")"),20)</f>
        <v>20</v>
      </c>
      <c r="W15" s="324">
        <f t="shared" ca="1" si="28"/>
        <v>100</v>
      </c>
      <c r="X15" s="323">
        <f ca="1">IFERROR(__xludf.DUMMYFUNCTION("IMPORTRANGE(""https://docs.google.com/spreadsheets/d/1ZNYWeiFoFA1K1U4xKWqRX29MBvEyRHXORjo734Gnq_c/edit?usp=sharing"",""เชียงราย!I290"")"),20)</f>
        <v>20</v>
      </c>
      <c r="Y15" s="323">
        <f ca="1">IFERROR(__xludf.DUMMYFUNCTION("IMPORTRANGE(""https://docs.google.com/spreadsheets/d/1ZNYWeiFoFA1K1U4xKWqRX29MBvEyRHXORjo734Gnq_c/edit?usp=sharing"",""เชียงราย!J290"")"),20)</f>
        <v>20</v>
      </c>
      <c r="Z15" s="324">
        <f t="shared" ca="1" si="29"/>
        <v>100</v>
      </c>
      <c r="AA15" s="323">
        <f ca="1">IFERROR(__xludf.DUMMYFUNCTION("IMPORTRANGE(""https://docs.google.com/spreadsheets/d/1ZNYWeiFoFA1K1U4xKWqRX29MBvEyRHXORjo734Gnq_c/edit?usp=sharing"",""เชียงราย!J291"")"),20)</f>
        <v>20</v>
      </c>
      <c r="AB15" s="324">
        <f t="shared" ca="1" si="15"/>
        <v>100</v>
      </c>
      <c r="AC15" s="323">
        <f ca="1">IFERROR(__xludf.DUMMYFUNCTION("IMPORTRANGE(""https://docs.google.com/spreadsheets/d/1ZNYWeiFoFA1K1U4xKWqRX29MBvEyRHXORjo734Gnq_c/edit?usp=sharing"",""เชียงราย!I293"")"),20)</f>
        <v>20</v>
      </c>
      <c r="AD15" s="323">
        <f ca="1">IFERROR(__xludf.DUMMYFUNCTION("IMPORTRANGE(""https://docs.google.com/spreadsheets/d/1ZNYWeiFoFA1K1U4xKWqRX29MBvEyRHXORjo734Gnq_c/edit?usp=sharing"",""เชียงราย!J293"")"),20)</f>
        <v>20</v>
      </c>
      <c r="AE15" s="324">
        <f t="shared" ca="1" si="30"/>
        <v>100</v>
      </c>
      <c r="AF15" s="323">
        <f ca="1">IFERROR(__xludf.DUMMYFUNCTION("IMPORTRANGE(""https://docs.google.com/spreadsheets/d/1ZNYWeiFoFA1K1U4xKWqRX29MBvEyRHXORjo734Gnq_c/edit?usp=sharing"",""เชียงราย!J294"")"),20)</f>
        <v>20</v>
      </c>
      <c r="AG15" s="324">
        <f t="shared" ca="1" si="18"/>
        <v>100</v>
      </c>
    </row>
    <row r="16" spans="1:33" ht="24" customHeight="1" x14ac:dyDescent="0.2">
      <c r="A16" s="73">
        <v>3</v>
      </c>
      <c r="B16" s="74" t="s">
        <v>38</v>
      </c>
      <c r="C16" s="75">
        <f t="shared" ca="1" si="0"/>
        <v>111710</v>
      </c>
      <c r="D16" s="76">
        <f t="shared" ca="1" si="37"/>
        <v>111710</v>
      </c>
      <c r="E16" s="77">
        <f ca="1">IFERROR(__xludf.DUMMYFUNCTION("IMPORTRANGE(""https://docs.google.com/spreadsheets/d/1MeEWN-I1oV_STSDYn1IFDPWt_1FKiwhDph83XaGc0o0/edit?usp=sharing"",""งบพรบ!DJ16"")"),0)</f>
        <v>0</v>
      </c>
      <c r="F16" s="77">
        <f ca="1">IFERROR(__xludf.DUMMYFUNCTION("IMPORTRANGE(""https://docs.google.com/spreadsheets/d/1MeEWN-I1oV_STSDYn1IFDPWt_1FKiwhDph83XaGc0o0/edit?usp=sharing"",""งบพรบ!DK16"")"),111710)</f>
        <v>111710</v>
      </c>
      <c r="G16" s="77">
        <f ca="1">IFERROR(__xludf.DUMMYFUNCTION("IMPORTRANGE(""https://docs.google.com/spreadsheets/d/1MeEWN-I1oV_STSDYn1IFDPWt_1FKiwhDph83XaGc0o0/edit?usp=sharing"",""งบพรบ!DL16"")"),0)</f>
        <v>0</v>
      </c>
      <c r="H16" s="77">
        <f ca="1">IFERROR(__xludf.DUMMYFUNCTION("IMPORTRANGE(""https://docs.google.com/spreadsheets/d/1MeEWN-I1oV_STSDYn1IFDPWt_1FKiwhDph83XaGc0o0/edit?usp=sharing"",""งบพรบ!DN16"")"),111710)</f>
        <v>111710</v>
      </c>
      <c r="I16" s="77">
        <f ca="1">IFERROR(__xludf.DUMMYFUNCTION("IMPORTRANGE(""https://docs.google.com/spreadsheets/d/1MeEWN-I1oV_STSDYn1IFDPWt_1FKiwhDph83XaGc0o0/edit?usp=sharing"",""งบพรบ!DO16"")"),0)</f>
        <v>0</v>
      </c>
      <c r="J16" s="77">
        <f t="shared" ca="1" si="3"/>
        <v>110610</v>
      </c>
      <c r="K16" s="78">
        <f t="shared" ca="1" si="4"/>
        <v>99.015307492614809</v>
      </c>
      <c r="L16" s="77">
        <f ca="1">IFERROR(__xludf.DUMMYFUNCTION("IMPORTRANGE(""https://docs.google.com/spreadsheets/d/1MeEWN-I1oV_STSDYn1IFDPWt_1FKiwhDph83XaGc0o0/edit?usp=sharing"",""งบพรบ!DP16"")"),110610)</f>
        <v>110610</v>
      </c>
      <c r="M16" s="79">
        <f t="shared" ca="1" si="5"/>
        <v>99.015307492614809</v>
      </c>
      <c r="N16" s="79">
        <f t="shared" ca="1" si="6"/>
        <v>99.015307492614809</v>
      </c>
      <c r="O16" s="80">
        <f ca="1">IFERROR(__xludf.DUMMYFUNCTION("IMPORTRANGE(""https://docs.google.com/spreadsheets/d/1MeEWN-I1oV_STSDYn1IFDPWt_1FKiwhDph83XaGc0o0/edit?usp=sharing"",""งบพรบ!DQ16"")"),0)</f>
        <v>0</v>
      </c>
      <c r="P16" s="80">
        <f t="shared" ca="1" si="32"/>
        <v>0</v>
      </c>
      <c r="Q16" s="79">
        <f t="shared" ca="1" si="8"/>
        <v>0</v>
      </c>
      <c r="R16" s="323">
        <f ca="1">IFERROR(__xludf.DUMMYFUNCTION("IMPORTRANGE(""https://docs.google.com/spreadsheets/d/1Jgv0Y7YlHDtsiDawwp-uvifEJ8HVaSn0k2aGHG8-hwM/edit?usp=sharing"",""เชียงใหม่!I287"")"),300)</f>
        <v>300</v>
      </c>
      <c r="S16" s="323">
        <f ca="1">IFERROR(__xludf.DUMMYFUNCTION("IMPORTRANGE(""https://docs.google.com/spreadsheets/d/1Jgv0Y7YlHDtsiDawwp-uvifEJ8HVaSn0k2aGHG8-hwM/edit?usp=sharing"",""เชียงใหม่!J287"")"),300)</f>
        <v>300</v>
      </c>
      <c r="T16" s="324">
        <f t="shared" ca="1" si="27"/>
        <v>100</v>
      </c>
      <c r="U16" s="323">
        <f ca="1">IFERROR(__xludf.DUMMYFUNCTION("IMPORTRANGE(""https://docs.google.com/spreadsheets/d/1Jgv0Y7YlHDtsiDawwp-uvifEJ8HVaSn0k2aGHG8-hwM/edit?usp=sharing"",""เชียงใหม่!I288"")"),30)</f>
        <v>30</v>
      </c>
      <c r="V16" s="323">
        <f ca="1">IFERROR(__xludf.DUMMYFUNCTION("IMPORTRANGE(""https://docs.google.com/spreadsheets/d/1Jgv0Y7YlHDtsiDawwp-uvifEJ8HVaSn0k2aGHG8-hwM/edit?usp=sharing"",""เชียงใหม่!J288"")"),30)</f>
        <v>30</v>
      </c>
      <c r="W16" s="324">
        <f t="shared" ca="1" si="28"/>
        <v>100</v>
      </c>
      <c r="X16" s="323">
        <f ca="1">IFERROR(__xludf.DUMMYFUNCTION("IMPORTRANGE(""https://docs.google.com/spreadsheets/d/1Jgv0Y7YlHDtsiDawwp-uvifEJ8HVaSn0k2aGHG8-hwM/edit?usp=sharing"",""เชียงใหม่!I290"")"),30)</f>
        <v>30</v>
      </c>
      <c r="Y16" s="323">
        <f ca="1">IFERROR(__xludf.DUMMYFUNCTION("IMPORTRANGE(""https://docs.google.com/spreadsheets/d/1Jgv0Y7YlHDtsiDawwp-uvifEJ8HVaSn0k2aGHG8-hwM/edit?usp=sharing"",""เชียงใหม่!J290"")"),30)</f>
        <v>30</v>
      </c>
      <c r="Z16" s="324">
        <f t="shared" ca="1" si="29"/>
        <v>100</v>
      </c>
      <c r="AA16" s="323">
        <f ca="1">IFERROR(__xludf.DUMMYFUNCTION("IMPORTRANGE(""https://docs.google.com/spreadsheets/d/1Jgv0Y7YlHDtsiDawwp-uvifEJ8HVaSn0k2aGHG8-hwM/edit?usp=sharing"",""เชียงใหม่!J291"")"),30)</f>
        <v>30</v>
      </c>
      <c r="AB16" s="324">
        <f t="shared" ca="1" si="15"/>
        <v>100</v>
      </c>
      <c r="AC16" s="323">
        <f ca="1">IFERROR(__xludf.DUMMYFUNCTION("IMPORTRANGE(""https://docs.google.com/spreadsheets/d/1Jgv0Y7YlHDtsiDawwp-uvifEJ8HVaSn0k2aGHG8-hwM/edit?usp=sharing"",""เชียงใหม่!I293"")"),30)</f>
        <v>30</v>
      </c>
      <c r="AD16" s="323">
        <f ca="1">IFERROR(__xludf.DUMMYFUNCTION("IMPORTRANGE(""https://docs.google.com/spreadsheets/d/1Jgv0Y7YlHDtsiDawwp-uvifEJ8HVaSn0k2aGHG8-hwM/edit?usp=sharing"",""เชียงใหม่!J293"")"),30)</f>
        <v>30</v>
      </c>
      <c r="AE16" s="324">
        <f t="shared" ca="1" si="30"/>
        <v>100</v>
      </c>
      <c r="AF16" s="323">
        <f ca="1">IFERROR(__xludf.DUMMYFUNCTION("IMPORTRANGE(""https://docs.google.com/spreadsheets/d/1Jgv0Y7YlHDtsiDawwp-uvifEJ8HVaSn0k2aGHG8-hwM/edit?usp=sharing"",""เชียงใหม่!J294"")"),30)</f>
        <v>30</v>
      </c>
      <c r="AG16" s="324">
        <f t="shared" ca="1" si="18"/>
        <v>100</v>
      </c>
    </row>
    <row r="17" spans="1:33" ht="24" customHeight="1" x14ac:dyDescent="0.2">
      <c r="A17" s="73">
        <v>4</v>
      </c>
      <c r="B17" s="74" t="s">
        <v>39</v>
      </c>
      <c r="C17" s="75">
        <f t="shared" ca="1" si="0"/>
        <v>257420</v>
      </c>
      <c r="D17" s="76">
        <f t="shared" ca="1" si="37"/>
        <v>257420</v>
      </c>
      <c r="E17" s="77">
        <f ca="1">IFERROR(__xludf.DUMMYFUNCTION("IMPORTRANGE(""https://docs.google.com/spreadsheets/d/1MeEWN-I1oV_STSDYn1IFDPWt_1FKiwhDph83XaGc0o0/edit?usp=sharing"",""งบพรบ!DJ17"")"),163400)</f>
        <v>163400</v>
      </c>
      <c r="F17" s="77">
        <f ca="1">IFERROR(__xludf.DUMMYFUNCTION("IMPORTRANGE(""https://docs.google.com/spreadsheets/d/1MeEWN-I1oV_STSDYn1IFDPWt_1FKiwhDph83XaGc0o0/edit?usp=sharing"",""งบพรบ!DK17"")"),94020)</f>
        <v>94020</v>
      </c>
      <c r="G17" s="77">
        <f ca="1">IFERROR(__xludf.DUMMYFUNCTION("IMPORTRANGE(""https://docs.google.com/spreadsheets/d/1MeEWN-I1oV_STSDYn1IFDPWt_1FKiwhDph83XaGc0o0/edit?usp=sharing"",""งบพรบ!DL17"")"),0)</f>
        <v>0</v>
      </c>
      <c r="H17" s="77">
        <f ca="1">IFERROR(__xludf.DUMMYFUNCTION("IMPORTRANGE(""https://docs.google.com/spreadsheets/d/1MeEWN-I1oV_STSDYn1IFDPWt_1FKiwhDph83XaGc0o0/edit?usp=sharing"",""งบพรบ!DN17"")"),257420)</f>
        <v>257420</v>
      </c>
      <c r="I17" s="77">
        <f ca="1">IFERROR(__xludf.DUMMYFUNCTION("IMPORTRANGE(""https://docs.google.com/spreadsheets/d/1MeEWN-I1oV_STSDYn1IFDPWt_1FKiwhDph83XaGc0o0/edit?usp=sharing"",""งบพรบ!DO17"")"),0)</f>
        <v>0</v>
      </c>
      <c r="J17" s="77">
        <f t="shared" ca="1" si="3"/>
        <v>256748.14</v>
      </c>
      <c r="K17" s="78">
        <f t="shared" ca="1" si="4"/>
        <v>99.739002408515262</v>
      </c>
      <c r="L17" s="77">
        <f ca="1">IFERROR(__xludf.DUMMYFUNCTION("IMPORTRANGE(""https://docs.google.com/spreadsheets/d/1MeEWN-I1oV_STSDYn1IFDPWt_1FKiwhDph83XaGc0o0/edit?usp=sharing"",""งบพรบ!DP17"")"),256748.14)</f>
        <v>256748.14</v>
      </c>
      <c r="M17" s="79">
        <f t="shared" ca="1" si="5"/>
        <v>99.739002408515262</v>
      </c>
      <c r="N17" s="79">
        <f t="shared" ca="1" si="6"/>
        <v>99.739002408515262</v>
      </c>
      <c r="O17" s="80">
        <f ca="1">IFERROR(__xludf.DUMMYFUNCTION("IMPORTRANGE(""https://docs.google.com/spreadsheets/d/1MeEWN-I1oV_STSDYn1IFDPWt_1FKiwhDph83XaGc0o0/edit?usp=sharing"",""งบพรบ!DQ17"")"),0)</f>
        <v>0</v>
      </c>
      <c r="P17" s="80">
        <f t="shared" ca="1" si="32"/>
        <v>0</v>
      </c>
      <c r="Q17" s="79">
        <f t="shared" ca="1" si="8"/>
        <v>0</v>
      </c>
      <c r="R17" s="323">
        <f ca="1">IFERROR(__xludf.DUMMYFUNCTION("IMPORTRANGE(""https://docs.google.com/spreadsheets/d/1JWG2rZePOz9pe-f-ObA-yDr0VoOX2kSb0qIix2mTUo8/edit?usp=sharing"",""ตาก!I287"")"),250)</f>
        <v>250</v>
      </c>
      <c r="S17" s="323">
        <f ca="1">IFERROR(__xludf.DUMMYFUNCTION("IMPORTRANGE(""https://docs.google.com/spreadsheets/d/1JWG2rZePOz9pe-f-ObA-yDr0VoOX2kSb0qIix2mTUo8/edit?usp=sharing"",""ตาก!J287"")"),250)</f>
        <v>250</v>
      </c>
      <c r="T17" s="324">
        <f t="shared" ca="1" si="27"/>
        <v>100</v>
      </c>
      <c r="U17" s="323">
        <f ca="1">IFERROR(__xludf.DUMMYFUNCTION("IMPORTRANGE(""https://docs.google.com/spreadsheets/d/1JWG2rZePOz9pe-f-ObA-yDr0VoOX2kSb0qIix2mTUo8/edit?usp=sharing"",""ตาก!I288"")"),25)</f>
        <v>25</v>
      </c>
      <c r="V17" s="323">
        <f ca="1">IFERROR(__xludf.DUMMYFUNCTION("IMPORTRANGE(""https://docs.google.com/spreadsheets/d/1JWG2rZePOz9pe-f-ObA-yDr0VoOX2kSb0qIix2mTUo8/edit?usp=sharing"",""ตาก!J288"")"),25)</f>
        <v>25</v>
      </c>
      <c r="W17" s="324">
        <f t="shared" ca="1" si="28"/>
        <v>100</v>
      </c>
      <c r="X17" s="323">
        <f ca="1">IFERROR(__xludf.DUMMYFUNCTION("IMPORTRANGE(""https://docs.google.com/spreadsheets/d/1JWG2rZePOz9pe-f-ObA-yDr0VoOX2kSb0qIix2mTUo8/edit?usp=sharing"",""ตาก!I290"")"),25)</f>
        <v>25</v>
      </c>
      <c r="Y17" s="323">
        <f ca="1">IFERROR(__xludf.DUMMYFUNCTION("IMPORTRANGE(""https://docs.google.com/spreadsheets/d/1JWG2rZePOz9pe-f-ObA-yDr0VoOX2kSb0qIix2mTUo8/edit?usp=sharing"",""ตาก!J290"")"),25)</f>
        <v>25</v>
      </c>
      <c r="Z17" s="324">
        <f t="shared" ca="1" si="29"/>
        <v>100</v>
      </c>
      <c r="AA17" s="323">
        <f ca="1">IFERROR(__xludf.DUMMYFUNCTION("IMPORTRANGE(""https://docs.google.com/spreadsheets/d/1JWG2rZePOz9pe-f-ObA-yDr0VoOX2kSb0qIix2mTUo8/edit?usp=sharing"",""ตาก!J291"")"),25)</f>
        <v>25</v>
      </c>
      <c r="AB17" s="324">
        <f t="shared" ca="1" si="15"/>
        <v>100</v>
      </c>
      <c r="AC17" s="323">
        <f ca="1">IFERROR(__xludf.DUMMYFUNCTION("IMPORTRANGE(""https://docs.google.com/spreadsheets/d/1JWG2rZePOz9pe-f-ObA-yDr0VoOX2kSb0qIix2mTUo8/edit?usp=sharing"",""ตาก!I293"")"),25)</f>
        <v>25</v>
      </c>
      <c r="AD17" s="323">
        <f ca="1">IFERROR(__xludf.DUMMYFUNCTION("IMPORTRANGE(""https://docs.google.com/spreadsheets/d/1JWG2rZePOz9pe-f-ObA-yDr0VoOX2kSb0qIix2mTUo8/edit?usp=sharing"",""ตาก!J293"")"),25)</f>
        <v>25</v>
      </c>
      <c r="AE17" s="324">
        <f t="shared" ca="1" si="30"/>
        <v>100</v>
      </c>
      <c r="AF17" s="323">
        <f ca="1">IFERROR(__xludf.DUMMYFUNCTION("IMPORTRANGE(""https://docs.google.com/spreadsheets/d/1JWG2rZePOz9pe-f-ObA-yDr0VoOX2kSb0qIix2mTUo8/edit?usp=sharing"",""ตาก!J294"")"),25)</f>
        <v>25</v>
      </c>
      <c r="AG17" s="324">
        <f t="shared" ca="1" si="18"/>
        <v>100</v>
      </c>
    </row>
    <row r="18" spans="1:33" ht="24" customHeight="1" x14ac:dyDescent="0.2">
      <c r="A18" s="73">
        <v>5</v>
      </c>
      <c r="B18" s="74" t="s">
        <v>40</v>
      </c>
      <c r="C18" s="75">
        <f t="shared" ca="1" si="0"/>
        <v>335110</v>
      </c>
      <c r="D18" s="76">
        <f t="shared" ca="1" si="37"/>
        <v>335110</v>
      </c>
      <c r="E18" s="77">
        <f ca="1">IFERROR(__xludf.DUMMYFUNCTION("IMPORTRANGE(""https://docs.google.com/spreadsheets/d/1MeEWN-I1oV_STSDYn1IFDPWt_1FKiwhDph83XaGc0o0/edit?usp=sharing"",""งบพรบ!DJ18"")"),153700)</f>
        <v>153700</v>
      </c>
      <c r="F18" s="77">
        <f ca="1">IFERROR(__xludf.DUMMYFUNCTION("IMPORTRANGE(""https://docs.google.com/spreadsheets/d/1MeEWN-I1oV_STSDYn1IFDPWt_1FKiwhDph83XaGc0o0/edit?usp=sharing"",""งบพรบ!DK18"")"),181410)</f>
        <v>181410</v>
      </c>
      <c r="G18" s="77">
        <f ca="1">IFERROR(__xludf.DUMMYFUNCTION("IMPORTRANGE(""https://docs.google.com/spreadsheets/d/1MeEWN-I1oV_STSDYn1IFDPWt_1FKiwhDph83XaGc0o0/edit?usp=sharing"",""งบพรบ!DL18"")"),0)</f>
        <v>0</v>
      </c>
      <c r="H18" s="77">
        <f ca="1">IFERROR(__xludf.DUMMYFUNCTION("IMPORTRANGE(""https://docs.google.com/spreadsheets/d/1MeEWN-I1oV_STSDYn1IFDPWt_1FKiwhDph83XaGc0o0/edit?usp=sharing"",""งบพรบ!DN18"")"),335110)</f>
        <v>335110</v>
      </c>
      <c r="I18" s="77">
        <f ca="1">IFERROR(__xludf.DUMMYFUNCTION("IMPORTRANGE(""https://docs.google.com/spreadsheets/d/1MeEWN-I1oV_STSDYn1IFDPWt_1FKiwhDph83XaGc0o0/edit?usp=sharing"",""งบพรบ!DO18"")"),0)</f>
        <v>0</v>
      </c>
      <c r="J18" s="77">
        <f t="shared" ca="1" si="3"/>
        <v>278986.59999999998</v>
      </c>
      <c r="K18" s="78">
        <f t="shared" ca="1" si="4"/>
        <v>83.252245531318067</v>
      </c>
      <c r="L18" s="77">
        <f ca="1">IFERROR(__xludf.DUMMYFUNCTION("IMPORTRANGE(""https://docs.google.com/spreadsheets/d/1MeEWN-I1oV_STSDYn1IFDPWt_1FKiwhDph83XaGc0o0/edit?usp=sharing"",""งบพรบ!DP18"")"),278986.6)</f>
        <v>278986.59999999998</v>
      </c>
      <c r="M18" s="79">
        <f t="shared" ca="1" si="5"/>
        <v>83.252245531318067</v>
      </c>
      <c r="N18" s="79">
        <f t="shared" ca="1" si="6"/>
        <v>83.252245531318067</v>
      </c>
      <c r="O18" s="80">
        <f ca="1">IFERROR(__xludf.DUMMYFUNCTION("IMPORTRANGE(""https://docs.google.com/spreadsheets/d/1MeEWN-I1oV_STSDYn1IFDPWt_1FKiwhDph83XaGc0o0/edit?usp=sharing"",""งบพรบ!DQ18"")"),0)</f>
        <v>0</v>
      </c>
      <c r="P18" s="80">
        <f t="shared" ca="1" si="32"/>
        <v>0</v>
      </c>
      <c r="Q18" s="79">
        <f t="shared" ca="1" si="8"/>
        <v>0</v>
      </c>
      <c r="R18" s="323">
        <f ca="1">IFERROR(__xludf.DUMMYFUNCTION("IMPORTRANGE(""https://docs.google.com/spreadsheets/d/10nSRjK08hx8Y6HgSOQKNw81lyY46Zc7U_Cj72hBMp9U/edit?usp=sharing"",""นครสวรรค์!I287"")"),500)</f>
        <v>500</v>
      </c>
      <c r="S18" s="323">
        <f ca="1">IFERROR(__xludf.DUMMYFUNCTION("IMPORTRANGE(""https://docs.google.com/spreadsheets/d/10nSRjK08hx8Y6HgSOQKNw81lyY46Zc7U_Cj72hBMp9U/edit?usp=sharing"",""นครสวรรค์!J287"")"),500)</f>
        <v>500</v>
      </c>
      <c r="T18" s="324">
        <f t="shared" ca="1" si="27"/>
        <v>100</v>
      </c>
      <c r="U18" s="323">
        <f ca="1">IFERROR(__xludf.DUMMYFUNCTION("IMPORTRANGE(""https://docs.google.com/spreadsheets/d/10nSRjK08hx8Y6HgSOQKNw81lyY46Zc7U_Cj72hBMp9U/edit?usp=sharing"",""นครสวรรค์!I288"")"),50)</f>
        <v>50</v>
      </c>
      <c r="V18" s="323">
        <f ca="1">IFERROR(__xludf.DUMMYFUNCTION("IMPORTRANGE(""https://docs.google.com/spreadsheets/d/10nSRjK08hx8Y6HgSOQKNw81lyY46Zc7U_Cj72hBMp9U/edit?usp=sharing"",""นครสวรรค์!J288"")"),50)</f>
        <v>50</v>
      </c>
      <c r="W18" s="324">
        <f t="shared" ca="1" si="28"/>
        <v>100</v>
      </c>
      <c r="X18" s="323">
        <f ca="1">IFERROR(__xludf.DUMMYFUNCTION("IMPORTRANGE(""https://docs.google.com/spreadsheets/d/10nSRjK08hx8Y6HgSOQKNw81lyY46Zc7U_Cj72hBMp9U/edit?usp=sharing"",""นครสวรรค์!I290"")"),50)</f>
        <v>50</v>
      </c>
      <c r="Y18" s="323">
        <f ca="1">IFERROR(__xludf.DUMMYFUNCTION("IMPORTRANGE(""https://docs.google.com/spreadsheets/d/10nSRjK08hx8Y6HgSOQKNw81lyY46Zc7U_Cj72hBMp9U/edit?usp=sharing"",""นครสวรรค์!J290"")"),50)</f>
        <v>50</v>
      </c>
      <c r="Z18" s="324">
        <f t="shared" ca="1" si="29"/>
        <v>100</v>
      </c>
      <c r="AA18" s="323">
        <f ca="1">IFERROR(__xludf.DUMMYFUNCTION("IMPORTRANGE(""https://docs.google.com/spreadsheets/d/10nSRjK08hx8Y6HgSOQKNw81lyY46Zc7U_Cj72hBMp9U/edit?usp=sharing"",""นครสวรรค์!J291"")"),50)</f>
        <v>50</v>
      </c>
      <c r="AB18" s="324">
        <f t="shared" ca="1" si="15"/>
        <v>100</v>
      </c>
      <c r="AC18" s="323">
        <f ca="1">IFERROR(__xludf.DUMMYFUNCTION("IMPORTRANGE(""https://docs.google.com/spreadsheets/d/10nSRjK08hx8Y6HgSOQKNw81lyY46Zc7U_Cj72hBMp9U/edit?usp=sharing"",""นครสวรรค์!I293"")"),50)</f>
        <v>50</v>
      </c>
      <c r="AD18" s="323">
        <f ca="1">IFERROR(__xludf.DUMMYFUNCTION("IMPORTRANGE(""https://docs.google.com/spreadsheets/d/10nSRjK08hx8Y6HgSOQKNw81lyY46Zc7U_Cj72hBMp9U/edit?usp=sharing"",""นครสวรรค์!J293"")"),50)</f>
        <v>50</v>
      </c>
      <c r="AE18" s="324">
        <f t="shared" ca="1" si="30"/>
        <v>100</v>
      </c>
      <c r="AF18" s="323">
        <f ca="1">IFERROR(__xludf.DUMMYFUNCTION("IMPORTRANGE(""https://docs.google.com/spreadsheets/d/10nSRjK08hx8Y6HgSOQKNw81lyY46Zc7U_Cj72hBMp9U/edit?usp=sharing"",""นครสวรรค์!J294"")"),50)</f>
        <v>50</v>
      </c>
      <c r="AG18" s="324">
        <f t="shared" ca="1" si="18"/>
        <v>100</v>
      </c>
    </row>
    <row r="19" spans="1:33" ht="24" customHeight="1" x14ac:dyDescent="0.2">
      <c r="A19" s="73">
        <v>6</v>
      </c>
      <c r="B19" s="74" t="s">
        <v>41</v>
      </c>
      <c r="C19" s="75">
        <f t="shared" ca="1" si="0"/>
        <v>24630</v>
      </c>
      <c r="D19" s="76">
        <f t="shared" ca="1" si="37"/>
        <v>24630</v>
      </c>
      <c r="E19" s="77">
        <f ca="1">IFERROR(__xludf.DUMMYFUNCTION("IMPORTRANGE(""https://docs.google.com/spreadsheets/d/1MeEWN-I1oV_STSDYn1IFDPWt_1FKiwhDph83XaGc0o0/edit?usp=sharing"",""งบพรบ!DJ19"")"),0)</f>
        <v>0</v>
      </c>
      <c r="F19" s="77">
        <f ca="1">IFERROR(__xludf.DUMMYFUNCTION("IMPORTRANGE(""https://docs.google.com/spreadsheets/d/1MeEWN-I1oV_STSDYn1IFDPWt_1FKiwhDph83XaGc0o0/edit?usp=sharing"",""งบพรบ!DK19"")"),24630)</f>
        <v>24630</v>
      </c>
      <c r="G19" s="77">
        <f ca="1">IFERROR(__xludf.DUMMYFUNCTION("IMPORTRANGE(""https://docs.google.com/spreadsheets/d/1MeEWN-I1oV_STSDYn1IFDPWt_1FKiwhDph83XaGc0o0/edit?usp=sharing"",""งบพรบ!DL19"")"),0)</f>
        <v>0</v>
      </c>
      <c r="H19" s="77">
        <f ca="1">IFERROR(__xludf.DUMMYFUNCTION("IMPORTRANGE(""https://docs.google.com/spreadsheets/d/1MeEWN-I1oV_STSDYn1IFDPWt_1FKiwhDph83XaGc0o0/edit?usp=sharing"",""งบพรบ!DN19"")"),24630)</f>
        <v>24630</v>
      </c>
      <c r="I19" s="77">
        <f ca="1">IFERROR(__xludf.DUMMYFUNCTION("IMPORTRANGE(""https://docs.google.com/spreadsheets/d/1MeEWN-I1oV_STSDYn1IFDPWt_1FKiwhDph83XaGc0o0/edit?usp=sharing"",""งบพรบ!DO19"")"),0)</f>
        <v>0</v>
      </c>
      <c r="J19" s="77">
        <f t="shared" ca="1" si="3"/>
        <v>23240</v>
      </c>
      <c r="K19" s="78">
        <f t="shared" ca="1" si="4"/>
        <v>94.356475842468541</v>
      </c>
      <c r="L19" s="77">
        <f ca="1">IFERROR(__xludf.DUMMYFUNCTION("IMPORTRANGE(""https://docs.google.com/spreadsheets/d/1MeEWN-I1oV_STSDYn1IFDPWt_1FKiwhDph83XaGc0o0/edit?usp=sharing"",""งบพรบ!DP19"")"),23240)</f>
        <v>23240</v>
      </c>
      <c r="M19" s="79">
        <f t="shared" ca="1" si="5"/>
        <v>94.356475842468541</v>
      </c>
      <c r="N19" s="79">
        <f t="shared" ca="1" si="6"/>
        <v>94.356475842468541</v>
      </c>
      <c r="O19" s="80">
        <f ca="1">IFERROR(__xludf.DUMMYFUNCTION("IMPORTRANGE(""https://docs.google.com/spreadsheets/d/1MeEWN-I1oV_STSDYn1IFDPWt_1FKiwhDph83XaGc0o0/edit?usp=sharing"",""งบพรบ!DQ19"")"),0)</f>
        <v>0</v>
      </c>
      <c r="P19" s="80">
        <f t="shared" ca="1" si="32"/>
        <v>0</v>
      </c>
      <c r="Q19" s="79">
        <f t="shared" ca="1" si="8"/>
        <v>0</v>
      </c>
      <c r="R19" s="323">
        <f ca="1">IFERROR(__xludf.DUMMYFUNCTION("IMPORTRANGE(""https://docs.google.com/spreadsheets/d/1gFVb7qd7amutrIxAAoM7lcy35hllxznovot8lyOfvDo/edit?usp=sharing"",""น่าน!I287"")"),50)</f>
        <v>50</v>
      </c>
      <c r="S19" s="323">
        <f ca="1">IFERROR(__xludf.DUMMYFUNCTION("IMPORTRANGE(""https://docs.google.com/spreadsheets/d/1gFVb7qd7amutrIxAAoM7lcy35hllxznovot8lyOfvDo/edit?usp=sharing"",""น่าน!J287"")"),50)</f>
        <v>50</v>
      </c>
      <c r="T19" s="324">
        <f t="shared" ca="1" si="27"/>
        <v>100</v>
      </c>
      <c r="U19" s="323">
        <f ca="1">IFERROR(__xludf.DUMMYFUNCTION("IMPORTRANGE(""https://docs.google.com/spreadsheets/d/1gFVb7qd7amutrIxAAoM7lcy35hllxznovot8lyOfvDo/edit?usp=sharing"",""น่าน!I288"")"),5)</f>
        <v>5</v>
      </c>
      <c r="V19" s="323">
        <f ca="1">IFERROR(__xludf.DUMMYFUNCTION("IMPORTRANGE(""https://docs.google.com/spreadsheets/d/1gFVb7qd7amutrIxAAoM7lcy35hllxznovot8lyOfvDo/edit?usp=sharing"",""น่าน!J288"")"),5)</f>
        <v>5</v>
      </c>
      <c r="W19" s="324">
        <f t="shared" ca="1" si="28"/>
        <v>100</v>
      </c>
      <c r="X19" s="323">
        <f ca="1">IFERROR(__xludf.DUMMYFUNCTION("IMPORTRANGE(""https://docs.google.com/spreadsheets/d/1gFVb7qd7amutrIxAAoM7lcy35hllxznovot8lyOfvDo/edit?usp=sharing"",""น่าน!I290"")"),5)</f>
        <v>5</v>
      </c>
      <c r="Y19" s="323">
        <f ca="1">IFERROR(__xludf.DUMMYFUNCTION("IMPORTRANGE(""https://docs.google.com/spreadsheets/d/1gFVb7qd7amutrIxAAoM7lcy35hllxznovot8lyOfvDo/edit?usp=sharing"",""น่าน!J290"")"),5)</f>
        <v>5</v>
      </c>
      <c r="Z19" s="324">
        <f t="shared" ca="1" si="29"/>
        <v>100</v>
      </c>
      <c r="AA19" s="323">
        <f ca="1">IFERROR(__xludf.DUMMYFUNCTION("IMPORTRANGE(""https://docs.google.com/spreadsheets/d/1gFVb7qd7amutrIxAAoM7lcy35hllxznovot8lyOfvDo/edit?usp=sharing"",""น่าน!J291"")"),5)</f>
        <v>5</v>
      </c>
      <c r="AB19" s="324">
        <f t="shared" ca="1" si="15"/>
        <v>100</v>
      </c>
      <c r="AC19" s="323">
        <f ca="1">IFERROR(__xludf.DUMMYFUNCTION("IMPORTRANGE(""https://docs.google.com/spreadsheets/d/1gFVb7qd7amutrIxAAoM7lcy35hllxznovot8lyOfvDo/edit?usp=sharing"",""น่าน!I293"")"),5)</f>
        <v>5</v>
      </c>
      <c r="AD19" s="323">
        <f ca="1">IFERROR(__xludf.DUMMYFUNCTION("IMPORTRANGE(""https://docs.google.com/spreadsheets/d/1gFVb7qd7amutrIxAAoM7lcy35hllxznovot8lyOfvDo/edit?usp=sharing"",""น่าน!J293"")"),5)</f>
        <v>5</v>
      </c>
      <c r="AE19" s="324">
        <f t="shared" ca="1" si="30"/>
        <v>100</v>
      </c>
      <c r="AF19" s="323">
        <f ca="1">IFERROR(__xludf.DUMMYFUNCTION("IMPORTRANGE(""https://docs.google.com/spreadsheets/d/1gFVb7qd7amutrIxAAoM7lcy35hllxznovot8lyOfvDo/edit?usp=sharing"",""น่าน!J294"")"),5)</f>
        <v>5</v>
      </c>
      <c r="AG19" s="324">
        <f t="shared" ca="1" si="18"/>
        <v>100</v>
      </c>
    </row>
    <row r="20" spans="1:33" ht="24" customHeight="1" x14ac:dyDescent="0.2">
      <c r="A20" s="73">
        <v>7</v>
      </c>
      <c r="B20" s="74" t="s">
        <v>42</v>
      </c>
      <c r="C20" s="75">
        <f t="shared" ca="1" si="0"/>
        <v>41010</v>
      </c>
      <c r="D20" s="76">
        <f t="shared" ca="1" si="37"/>
        <v>41010</v>
      </c>
      <c r="E20" s="77">
        <f ca="1">IFERROR(__xludf.DUMMYFUNCTION("IMPORTRANGE(""https://docs.google.com/spreadsheets/d/1MeEWN-I1oV_STSDYn1IFDPWt_1FKiwhDph83XaGc0o0/edit?usp=sharing"",""งบพรบ!DJ20"")"),0)</f>
        <v>0</v>
      </c>
      <c r="F20" s="77">
        <f ca="1">IFERROR(__xludf.DUMMYFUNCTION("IMPORTRANGE(""https://docs.google.com/spreadsheets/d/1MeEWN-I1oV_STSDYn1IFDPWt_1FKiwhDph83XaGc0o0/edit?usp=sharing"",""งบพรบ!DK20"")"),41010)</f>
        <v>41010</v>
      </c>
      <c r="G20" s="77">
        <f ca="1">IFERROR(__xludf.DUMMYFUNCTION("IMPORTRANGE(""https://docs.google.com/spreadsheets/d/1MeEWN-I1oV_STSDYn1IFDPWt_1FKiwhDph83XaGc0o0/edit?usp=sharing"",""งบพรบ!DL20"")"),0)</f>
        <v>0</v>
      </c>
      <c r="H20" s="77">
        <f ca="1">IFERROR(__xludf.DUMMYFUNCTION("IMPORTRANGE(""https://docs.google.com/spreadsheets/d/1MeEWN-I1oV_STSDYn1IFDPWt_1FKiwhDph83XaGc0o0/edit?usp=sharing"",""งบพรบ!DN20"")"),41010)</f>
        <v>41010</v>
      </c>
      <c r="I20" s="77">
        <f ca="1">IFERROR(__xludf.DUMMYFUNCTION("IMPORTRANGE(""https://docs.google.com/spreadsheets/d/1MeEWN-I1oV_STSDYn1IFDPWt_1FKiwhDph83XaGc0o0/edit?usp=sharing"",""งบพรบ!DO20"")"),0)</f>
        <v>0</v>
      </c>
      <c r="J20" s="77">
        <f t="shared" ca="1" si="3"/>
        <v>37740</v>
      </c>
      <c r="K20" s="78">
        <f t="shared" ca="1" si="4"/>
        <v>92.026335040234088</v>
      </c>
      <c r="L20" s="77">
        <f ca="1">IFERROR(__xludf.DUMMYFUNCTION("IMPORTRANGE(""https://docs.google.com/spreadsheets/d/1MeEWN-I1oV_STSDYn1IFDPWt_1FKiwhDph83XaGc0o0/edit?usp=sharing"",""งบพรบ!DP20"")"),37740)</f>
        <v>37740</v>
      </c>
      <c r="M20" s="79">
        <f t="shared" ca="1" si="5"/>
        <v>92.026335040234088</v>
      </c>
      <c r="N20" s="79">
        <f t="shared" ca="1" si="6"/>
        <v>92.026335040234088</v>
      </c>
      <c r="O20" s="80">
        <f ca="1">IFERROR(__xludf.DUMMYFUNCTION("IMPORTRANGE(""https://docs.google.com/spreadsheets/d/1MeEWN-I1oV_STSDYn1IFDPWt_1FKiwhDph83XaGc0o0/edit?usp=sharing"",""งบพรบ!DQ20"")"),0)</f>
        <v>0</v>
      </c>
      <c r="P20" s="80">
        <f t="shared" ca="1" si="32"/>
        <v>0</v>
      </c>
      <c r="Q20" s="79">
        <f t="shared" ca="1" si="8"/>
        <v>0</v>
      </c>
      <c r="R20" s="323">
        <f ca="1">IFERROR(__xludf.DUMMYFUNCTION("IMPORTRANGE(""https://docs.google.com/spreadsheets/d/1K0Aa9s-6EuHE5M0FG1F9aHLXRCOV917xvycTdLdct0w/edit?usp=sharing"",""พะเยา!I287"")"),100)</f>
        <v>100</v>
      </c>
      <c r="S20" s="323">
        <f ca="1">IFERROR(__xludf.DUMMYFUNCTION("IMPORTRANGE(""https://docs.google.com/spreadsheets/d/1K0Aa9s-6EuHE5M0FG1F9aHLXRCOV917xvycTdLdct0w/edit?usp=sharing"",""พะเยา!J287"")"),113)</f>
        <v>113</v>
      </c>
      <c r="T20" s="324">
        <f t="shared" ca="1" si="27"/>
        <v>113</v>
      </c>
      <c r="U20" s="323">
        <f ca="1">IFERROR(__xludf.DUMMYFUNCTION("IMPORTRANGE(""https://docs.google.com/spreadsheets/d/1K0Aa9s-6EuHE5M0FG1F9aHLXRCOV917xvycTdLdct0w/edit?usp=sharing"",""พะเยา!I288"")"),10)</f>
        <v>10</v>
      </c>
      <c r="V20" s="323">
        <f ca="1">IFERROR(__xludf.DUMMYFUNCTION("IMPORTRANGE(""https://docs.google.com/spreadsheets/d/1K0Aa9s-6EuHE5M0FG1F9aHLXRCOV917xvycTdLdct0w/edit?usp=sharing"",""พะเยา!J288"")"),10)</f>
        <v>10</v>
      </c>
      <c r="W20" s="324">
        <f t="shared" ca="1" si="28"/>
        <v>100</v>
      </c>
      <c r="X20" s="323">
        <f ca="1">IFERROR(__xludf.DUMMYFUNCTION("IMPORTRANGE(""https://docs.google.com/spreadsheets/d/1K0Aa9s-6EuHE5M0FG1F9aHLXRCOV917xvycTdLdct0w/edit?usp=sharing"",""พะเยา!I290"")"),10)</f>
        <v>10</v>
      </c>
      <c r="Y20" s="323">
        <f ca="1">IFERROR(__xludf.DUMMYFUNCTION("IMPORTRANGE(""https://docs.google.com/spreadsheets/d/1K0Aa9s-6EuHE5M0FG1F9aHLXRCOV917xvycTdLdct0w/edit?usp=sharing"",""พะเยา!J290"")"),10)</f>
        <v>10</v>
      </c>
      <c r="Z20" s="324">
        <f t="shared" ca="1" si="29"/>
        <v>100</v>
      </c>
      <c r="AA20" s="323">
        <f ca="1">IFERROR(__xludf.DUMMYFUNCTION("IMPORTRANGE(""https://docs.google.com/spreadsheets/d/1K0Aa9s-6EuHE5M0FG1F9aHLXRCOV917xvycTdLdct0w/edit?usp=sharing"",""พะเยา!J291"")"),10)</f>
        <v>10</v>
      </c>
      <c r="AB20" s="324">
        <f t="shared" ca="1" si="15"/>
        <v>100</v>
      </c>
      <c r="AC20" s="323">
        <f ca="1">IFERROR(__xludf.DUMMYFUNCTION("IMPORTRANGE(""https://docs.google.com/spreadsheets/d/1K0Aa9s-6EuHE5M0FG1F9aHLXRCOV917xvycTdLdct0w/edit?usp=sharing"",""พะเยา!I293"")"),10)</f>
        <v>10</v>
      </c>
      <c r="AD20" s="323">
        <f ca="1">IFERROR(__xludf.DUMMYFUNCTION("IMPORTRANGE(""https://docs.google.com/spreadsheets/d/1K0Aa9s-6EuHE5M0FG1F9aHLXRCOV917xvycTdLdct0w/edit?usp=sharing"",""พะเยา!J293"")"),10)</f>
        <v>10</v>
      </c>
      <c r="AE20" s="324">
        <f t="shared" ca="1" si="30"/>
        <v>100</v>
      </c>
      <c r="AF20" s="323">
        <f ca="1">IFERROR(__xludf.DUMMYFUNCTION("IMPORTRANGE(""https://docs.google.com/spreadsheets/d/1K0Aa9s-6EuHE5M0FG1F9aHLXRCOV917xvycTdLdct0w/edit?usp=sharing"",""พะเยา!J294"")"),10)</f>
        <v>10</v>
      </c>
      <c r="AG20" s="324">
        <f t="shared" ca="1" si="18"/>
        <v>100</v>
      </c>
    </row>
    <row r="21" spans="1:33" ht="24" customHeight="1" x14ac:dyDescent="0.2">
      <c r="A21" s="73">
        <v>8</v>
      </c>
      <c r="B21" s="74" t="s">
        <v>43</v>
      </c>
      <c r="C21" s="75">
        <f t="shared" ca="1" si="0"/>
        <v>189110</v>
      </c>
      <c r="D21" s="76">
        <f t="shared" ca="1" si="37"/>
        <v>189110</v>
      </c>
      <c r="E21" s="77">
        <f ca="1">IFERROR(__xludf.DUMMYFUNCTION("IMPORTRANGE(""https://docs.google.com/spreadsheets/d/1MeEWN-I1oV_STSDYn1IFDPWt_1FKiwhDph83XaGc0o0/edit?usp=sharing"",""งบพรบ!DJ21"")"),148100)</f>
        <v>148100</v>
      </c>
      <c r="F21" s="77">
        <f ca="1">IFERROR(__xludf.DUMMYFUNCTION("IMPORTRANGE(""https://docs.google.com/spreadsheets/d/1MeEWN-I1oV_STSDYn1IFDPWt_1FKiwhDph83XaGc0o0/edit?usp=sharing"",""งบพรบ!DK21"")"),41010)</f>
        <v>41010</v>
      </c>
      <c r="G21" s="77">
        <f ca="1">IFERROR(__xludf.DUMMYFUNCTION("IMPORTRANGE(""https://docs.google.com/spreadsheets/d/1MeEWN-I1oV_STSDYn1IFDPWt_1FKiwhDph83XaGc0o0/edit?usp=sharing"",""งบพรบ!DL21"")"),0)</f>
        <v>0</v>
      </c>
      <c r="H21" s="77">
        <f ca="1">IFERROR(__xludf.DUMMYFUNCTION("IMPORTRANGE(""https://docs.google.com/spreadsheets/d/1MeEWN-I1oV_STSDYn1IFDPWt_1FKiwhDph83XaGc0o0/edit?usp=sharing"",""งบพรบ!DN21"")"),189110)</f>
        <v>189110</v>
      </c>
      <c r="I21" s="77">
        <f ca="1">IFERROR(__xludf.DUMMYFUNCTION("IMPORTRANGE(""https://docs.google.com/spreadsheets/d/1MeEWN-I1oV_STSDYn1IFDPWt_1FKiwhDph83XaGc0o0/edit?usp=sharing"",""งบพรบ!DO21"")"),0)</f>
        <v>0</v>
      </c>
      <c r="J21" s="77">
        <f t="shared" ca="1" si="3"/>
        <v>157095.1</v>
      </c>
      <c r="K21" s="78">
        <f t="shared" ca="1" si="4"/>
        <v>83.070752472106179</v>
      </c>
      <c r="L21" s="77">
        <f ca="1">IFERROR(__xludf.DUMMYFUNCTION("IMPORTRANGE(""https://docs.google.com/spreadsheets/d/1MeEWN-I1oV_STSDYn1IFDPWt_1FKiwhDph83XaGc0o0/edit?usp=sharing"",""งบพรบ!DP21"")"),157095.1)</f>
        <v>157095.1</v>
      </c>
      <c r="M21" s="79">
        <f t="shared" ca="1" si="5"/>
        <v>83.070752472106179</v>
      </c>
      <c r="N21" s="79">
        <f t="shared" ca="1" si="6"/>
        <v>83.070752472106179</v>
      </c>
      <c r="O21" s="80">
        <f ca="1">IFERROR(__xludf.DUMMYFUNCTION("IMPORTRANGE(""https://docs.google.com/spreadsheets/d/1MeEWN-I1oV_STSDYn1IFDPWt_1FKiwhDph83XaGc0o0/edit?usp=sharing"",""งบพรบ!DQ21"")"),0)</f>
        <v>0</v>
      </c>
      <c r="P21" s="80">
        <f t="shared" ca="1" si="32"/>
        <v>0</v>
      </c>
      <c r="Q21" s="79">
        <f t="shared" ca="1" si="8"/>
        <v>0</v>
      </c>
      <c r="R21" s="323">
        <f ca="1">IFERROR(__xludf.DUMMYFUNCTION("IMPORTRANGE(""https://docs.google.com/spreadsheets/d/1Y9LPKx95PyL5OKy09d-KbKJSuuEZCFdkhYjwC0XQjBA/edit?usp=sharing"",""พิจิตร!I287"")"),100)</f>
        <v>100</v>
      </c>
      <c r="S21" s="323">
        <f ca="1">IFERROR(__xludf.DUMMYFUNCTION("IMPORTRANGE(""https://docs.google.com/spreadsheets/d/1Y9LPKx95PyL5OKy09d-KbKJSuuEZCFdkhYjwC0XQjBA/edit?usp=sharing"",""พิจิตร!J287"")"),100)</f>
        <v>100</v>
      </c>
      <c r="T21" s="324">
        <f t="shared" ca="1" si="27"/>
        <v>100</v>
      </c>
      <c r="U21" s="323">
        <f ca="1">IFERROR(__xludf.DUMMYFUNCTION("IMPORTRANGE(""https://docs.google.com/spreadsheets/d/1Y9LPKx95PyL5OKy09d-KbKJSuuEZCFdkhYjwC0XQjBA/edit?usp=sharing"",""พิจิตร!I288"")"),10)</f>
        <v>10</v>
      </c>
      <c r="V21" s="323">
        <f ca="1">IFERROR(__xludf.DUMMYFUNCTION("IMPORTRANGE(""https://docs.google.com/spreadsheets/d/1Y9LPKx95PyL5OKy09d-KbKJSuuEZCFdkhYjwC0XQjBA/edit?usp=sharing"",""พิจิตร!J288"")"),10)</f>
        <v>10</v>
      </c>
      <c r="W21" s="324">
        <f t="shared" ca="1" si="28"/>
        <v>100</v>
      </c>
      <c r="X21" s="323">
        <f ca="1">IFERROR(__xludf.DUMMYFUNCTION("IMPORTRANGE(""https://docs.google.com/spreadsheets/d/1Y9LPKx95PyL5OKy09d-KbKJSuuEZCFdkhYjwC0XQjBA/edit?usp=sharing"",""พิจิตร!I290"")"),10)</f>
        <v>10</v>
      </c>
      <c r="Y21" s="323">
        <f ca="1">IFERROR(__xludf.DUMMYFUNCTION("IMPORTRANGE(""https://docs.google.com/spreadsheets/d/1Y9LPKx95PyL5OKy09d-KbKJSuuEZCFdkhYjwC0XQjBA/edit?usp=sharing"",""พิจิตร!J290"")"),10)</f>
        <v>10</v>
      </c>
      <c r="Z21" s="324">
        <f t="shared" ca="1" si="29"/>
        <v>100</v>
      </c>
      <c r="AA21" s="323">
        <f ca="1">IFERROR(__xludf.DUMMYFUNCTION("IMPORTRANGE(""https://docs.google.com/spreadsheets/d/1Y9LPKx95PyL5OKy09d-KbKJSuuEZCFdkhYjwC0XQjBA/edit?usp=sharing"",""พิจิตร!J291"")"),10)</f>
        <v>10</v>
      </c>
      <c r="AB21" s="324">
        <f t="shared" ca="1" si="15"/>
        <v>100</v>
      </c>
      <c r="AC21" s="323">
        <f ca="1">IFERROR(__xludf.DUMMYFUNCTION("IMPORTRANGE(""https://docs.google.com/spreadsheets/d/1Y9LPKx95PyL5OKy09d-KbKJSuuEZCFdkhYjwC0XQjBA/edit?usp=sharing"",""พิจิตร!I293"")"),10)</f>
        <v>10</v>
      </c>
      <c r="AD21" s="323">
        <f ca="1">IFERROR(__xludf.DUMMYFUNCTION("IMPORTRANGE(""https://docs.google.com/spreadsheets/d/1Y9LPKx95PyL5OKy09d-KbKJSuuEZCFdkhYjwC0XQjBA/edit?usp=sharing"",""พิจิตร!J293"")"),10)</f>
        <v>10</v>
      </c>
      <c r="AE21" s="324">
        <f t="shared" ca="1" si="30"/>
        <v>100</v>
      </c>
      <c r="AF21" s="323">
        <f ca="1">IFERROR(__xludf.DUMMYFUNCTION("IMPORTRANGE(""https://docs.google.com/spreadsheets/d/1Y9LPKx95PyL5OKy09d-KbKJSuuEZCFdkhYjwC0XQjBA/edit?usp=sharing"",""พิจิตร!J294"")"),10)</f>
        <v>10</v>
      </c>
      <c r="AG21" s="324">
        <f t="shared" ca="1" si="18"/>
        <v>100</v>
      </c>
    </row>
    <row r="22" spans="1:33" ht="24" customHeight="1" x14ac:dyDescent="0.2">
      <c r="A22" s="73">
        <v>9</v>
      </c>
      <c r="B22" s="74" t="s">
        <v>44</v>
      </c>
      <c r="C22" s="75">
        <f t="shared" ca="1" si="0"/>
        <v>41010</v>
      </c>
      <c r="D22" s="76">
        <f t="shared" ca="1" si="37"/>
        <v>41010</v>
      </c>
      <c r="E22" s="77">
        <f ca="1">IFERROR(__xludf.DUMMYFUNCTION("IMPORTRANGE(""https://docs.google.com/spreadsheets/d/1MeEWN-I1oV_STSDYn1IFDPWt_1FKiwhDph83XaGc0o0/edit?usp=sharing"",""งบพรบ!DJ22"")"),0)</f>
        <v>0</v>
      </c>
      <c r="F22" s="77">
        <f ca="1">IFERROR(__xludf.DUMMYFUNCTION("IMPORTRANGE(""https://docs.google.com/spreadsheets/d/1MeEWN-I1oV_STSDYn1IFDPWt_1FKiwhDph83XaGc0o0/edit?usp=sharing"",""งบพรบ!DK22"")"),41010)</f>
        <v>41010</v>
      </c>
      <c r="G22" s="77">
        <f ca="1">IFERROR(__xludf.DUMMYFUNCTION("IMPORTRANGE(""https://docs.google.com/spreadsheets/d/1MeEWN-I1oV_STSDYn1IFDPWt_1FKiwhDph83XaGc0o0/edit?usp=sharing"",""งบพรบ!DL22"")"),0)</f>
        <v>0</v>
      </c>
      <c r="H22" s="77">
        <f ca="1">IFERROR(__xludf.DUMMYFUNCTION("IMPORTRANGE(""https://docs.google.com/spreadsheets/d/1MeEWN-I1oV_STSDYn1IFDPWt_1FKiwhDph83XaGc0o0/edit?usp=sharing"",""งบพรบ!DN22"")"),41010)</f>
        <v>41010</v>
      </c>
      <c r="I22" s="77">
        <f ca="1">IFERROR(__xludf.DUMMYFUNCTION("IMPORTRANGE(""https://docs.google.com/spreadsheets/d/1MeEWN-I1oV_STSDYn1IFDPWt_1FKiwhDph83XaGc0o0/edit?usp=sharing"",""งบพรบ!DO22"")"),0)</f>
        <v>0</v>
      </c>
      <c r="J22" s="77">
        <f t="shared" ca="1" si="3"/>
        <v>39480</v>
      </c>
      <c r="K22" s="78">
        <f t="shared" ca="1" si="4"/>
        <v>96.269202633504023</v>
      </c>
      <c r="L22" s="77">
        <f ca="1">IFERROR(__xludf.DUMMYFUNCTION("IMPORTRANGE(""https://docs.google.com/spreadsheets/d/1MeEWN-I1oV_STSDYn1IFDPWt_1FKiwhDph83XaGc0o0/edit?usp=sharing"",""งบพรบ!DP22"")"),39480)</f>
        <v>39480</v>
      </c>
      <c r="M22" s="79">
        <f t="shared" ca="1" si="5"/>
        <v>96.269202633504023</v>
      </c>
      <c r="N22" s="79">
        <f t="shared" ca="1" si="6"/>
        <v>96.269202633504023</v>
      </c>
      <c r="O22" s="80">
        <f ca="1">IFERROR(__xludf.DUMMYFUNCTION("IMPORTRANGE(""https://docs.google.com/spreadsheets/d/1MeEWN-I1oV_STSDYn1IFDPWt_1FKiwhDph83XaGc0o0/edit?usp=sharing"",""งบพรบ!DQ22"")"),0)</f>
        <v>0</v>
      </c>
      <c r="P22" s="80">
        <f t="shared" ca="1" si="32"/>
        <v>0</v>
      </c>
      <c r="Q22" s="79">
        <f t="shared" ca="1" si="8"/>
        <v>0</v>
      </c>
      <c r="R22" s="323">
        <f ca="1">IFERROR(__xludf.DUMMYFUNCTION("IMPORTRANGE(""https://docs.google.com/spreadsheets/d/16OMuOwy2eVqZcYWOouQtTpa8X1L23h4660uVHc0C8os/edit?usp=sharing"",""พิษณุโลก!I287"")"),100)</f>
        <v>100</v>
      </c>
      <c r="S22" s="323">
        <f ca="1">IFERROR(__xludf.DUMMYFUNCTION("IMPORTRANGE(""https://docs.google.com/spreadsheets/d/16OMuOwy2eVqZcYWOouQtTpa8X1L23h4660uVHc0C8os/edit?usp=sharing"",""พิษณุโลก!J287"")"),100)</f>
        <v>100</v>
      </c>
      <c r="T22" s="324">
        <f t="shared" ca="1" si="27"/>
        <v>100</v>
      </c>
      <c r="U22" s="323">
        <f ca="1">IFERROR(__xludf.DUMMYFUNCTION("IMPORTRANGE(""https://docs.google.com/spreadsheets/d/16OMuOwy2eVqZcYWOouQtTpa8X1L23h4660uVHc0C8os/edit?usp=sharing"",""พิษณุโลก!I288"")"),10)</f>
        <v>10</v>
      </c>
      <c r="V22" s="323">
        <f ca="1">IFERROR(__xludf.DUMMYFUNCTION("IMPORTRANGE(""https://docs.google.com/spreadsheets/d/16OMuOwy2eVqZcYWOouQtTpa8X1L23h4660uVHc0C8os/edit?usp=sharing"",""พิษณุโลก!J288"")"),0)</f>
        <v>0</v>
      </c>
      <c r="W22" s="324">
        <f t="shared" ca="1" si="28"/>
        <v>0</v>
      </c>
      <c r="X22" s="323">
        <f ca="1">IFERROR(__xludf.DUMMYFUNCTION("IMPORTRANGE(""https://docs.google.com/spreadsheets/d/16OMuOwy2eVqZcYWOouQtTpa8X1L23h4660uVHc0C8os/edit?usp=sharing"",""พิษณุโลก!I290"")"),10)</f>
        <v>10</v>
      </c>
      <c r="Y22" s="323">
        <f ca="1">IFERROR(__xludf.DUMMYFUNCTION("IMPORTRANGE(""https://docs.google.com/spreadsheets/d/16OMuOwy2eVqZcYWOouQtTpa8X1L23h4660uVHc0C8os/edit?usp=sharing"",""พิษณุโลก!J290"")"),0)</f>
        <v>0</v>
      </c>
      <c r="Z22" s="324">
        <f t="shared" ca="1" si="29"/>
        <v>0</v>
      </c>
      <c r="AA22" s="323">
        <f ca="1">IFERROR(__xludf.DUMMYFUNCTION("IMPORTRANGE(""https://docs.google.com/spreadsheets/d/16OMuOwy2eVqZcYWOouQtTpa8X1L23h4660uVHc0C8os/edit?usp=sharing"",""พิษณุโลก!J291"")"),0)</f>
        <v>0</v>
      </c>
      <c r="AB22" s="324">
        <f t="shared" ca="1" si="15"/>
        <v>0</v>
      </c>
      <c r="AC22" s="323">
        <f ca="1">IFERROR(__xludf.DUMMYFUNCTION("IMPORTRANGE(""https://docs.google.com/spreadsheets/d/16OMuOwy2eVqZcYWOouQtTpa8X1L23h4660uVHc0C8os/edit?usp=sharing"",""พิษณุโลก!I293"")"),10)</f>
        <v>10</v>
      </c>
      <c r="AD22" s="323">
        <f ca="1">IFERROR(__xludf.DUMMYFUNCTION("IMPORTRANGE(""https://docs.google.com/spreadsheets/d/16OMuOwy2eVqZcYWOouQtTpa8X1L23h4660uVHc0C8os/edit?usp=sharing"",""พิษณุโลก!J293"")"),10)</f>
        <v>10</v>
      </c>
      <c r="AE22" s="324">
        <f t="shared" ca="1" si="30"/>
        <v>100</v>
      </c>
      <c r="AF22" s="323">
        <f ca="1">IFERROR(__xludf.DUMMYFUNCTION("IMPORTRANGE(""https://docs.google.com/spreadsheets/d/16OMuOwy2eVqZcYWOouQtTpa8X1L23h4660uVHc0C8os/edit?usp=sharing"",""พิษณุโลก!J294"")"),10)</f>
        <v>10</v>
      </c>
      <c r="AG22" s="324">
        <f t="shared" ca="1" si="18"/>
        <v>100</v>
      </c>
    </row>
    <row r="23" spans="1:33" ht="24" customHeight="1" x14ac:dyDescent="0.2">
      <c r="A23" s="73">
        <v>10</v>
      </c>
      <c r="B23" s="74" t="s">
        <v>45</v>
      </c>
      <c r="C23" s="75">
        <f t="shared" ca="1" si="0"/>
        <v>286680</v>
      </c>
      <c r="D23" s="76">
        <f t="shared" ca="1" si="37"/>
        <v>286680</v>
      </c>
      <c r="E23" s="77">
        <f ca="1">IFERROR(__xludf.DUMMYFUNCTION("IMPORTRANGE(""https://docs.google.com/spreadsheets/d/1MeEWN-I1oV_STSDYn1IFDPWt_1FKiwhDph83XaGc0o0/edit?usp=sharing"",""งบพรบ!DJ23"")"),0)</f>
        <v>0</v>
      </c>
      <c r="F23" s="77">
        <f ca="1">IFERROR(__xludf.DUMMYFUNCTION("IMPORTRANGE(""https://docs.google.com/spreadsheets/d/1MeEWN-I1oV_STSDYn1IFDPWt_1FKiwhDph83XaGc0o0/edit?usp=sharing"",""งบพรบ!DK23"")"),286680)</f>
        <v>286680</v>
      </c>
      <c r="G23" s="77">
        <f ca="1">IFERROR(__xludf.DUMMYFUNCTION("IMPORTRANGE(""https://docs.google.com/spreadsheets/d/1MeEWN-I1oV_STSDYn1IFDPWt_1FKiwhDph83XaGc0o0/edit?usp=sharing"",""งบพรบ!DL23"")"),0)</f>
        <v>0</v>
      </c>
      <c r="H23" s="77">
        <f ca="1">IFERROR(__xludf.DUMMYFUNCTION("IMPORTRANGE(""https://docs.google.com/spreadsheets/d/1MeEWN-I1oV_STSDYn1IFDPWt_1FKiwhDph83XaGc0o0/edit?usp=sharing"",""งบพรบ!DN23"")"),286680)</f>
        <v>286680</v>
      </c>
      <c r="I23" s="77">
        <f ca="1">IFERROR(__xludf.DUMMYFUNCTION("IMPORTRANGE(""https://docs.google.com/spreadsheets/d/1MeEWN-I1oV_STSDYn1IFDPWt_1FKiwhDph83XaGc0o0/edit?usp=sharing"",""งบพรบ!DO23"")"),0)</f>
        <v>0</v>
      </c>
      <c r="J23" s="77">
        <f t="shared" ca="1" si="3"/>
        <v>286680</v>
      </c>
      <c r="K23" s="78">
        <f t="shared" ca="1" si="4"/>
        <v>100</v>
      </c>
      <c r="L23" s="77">
        <f ca="1">IFERROR(__xludf.DUMMYFUNCTION("IMPORTRANGE(""https://docs.google.com/spreadsheets/d/1MeEWN-I1oV_STSDYn1IFDPWt_1FKiwhDph83XaGc0o0/edit?usp=sharing"",""งบพรบ!DP23"")"),286680)</f>
        <v>286680</v>
      </c>
      <c r="M23" s="79">
        <f t="shared" ca="1" si="5"/>
        <v>100</v>
      </c>
      <c r="N23" s="79">
        <f t="shared" ca="1" si="6"/>
        <v>100</v>
      </c>
      <c r="O23" s="80">
        <f ca="1">IFERROR(__xludf.DUMMYFUNCTION("IMPORTRANGE(""https://docs.google.com/spreadsheets/d/1MeEWN-I1oV_STSDYn1IFDPWt_1FKiwhDph83XaGc0o0/edit?usp=sharing"",""งบพรบ!DQ23"")"),0)</f>
        <v>0</v>
      </c>
      <c r="P23" s="80">
        <f t="shared" ca="1" si="32"/>
        <v>0</v>
      </c>
      <c r="Q23" s="79">
        <f t="shared" ca="1" si="8"/>
        <v>0</v>
      </c>
      <c r="R23" s="323">
        <f ca="1">IFERROR(__xludf.DUMMYFUNCTION("IMPORTRANGE(""https://docs.google.com/spreadsheets/d/1GfgTldLG6k77HXaMQzaafODklYuucJZQNs_GAPEfZyY/edit?usp=sharing"",""เพชรบูรณ์!I287"")"),800)</f>
        <v>800</v>
      </c>
      <c r="S23" s="323">
        <f ca="1">IFERROR(__xludf.DUMMYFUNCTION("IMPORTRANGE(""https://docs.google.com/spreadsheets/d/1GfgTldLG6k77HXaMQzaafODklYuucJZQNs_GAPEfZyY/edit?usp=sharing"",""เพชรบูรณ์!J287"")"),800)</f>
        <v>800</v>
      </c>
      <c r="T23" s="324">
        <f t="shared" ca="1" si="27"/>
        <v>100</v>
      </c>
      <c r="U23" s="323">
        <f ca="1">IFERROR(__xludf.DUMMYFUNCTION("IMPORTRANGE(""https://docs.google.com/spreadsheets/d/1GfgTldLG6k77HXaMQzaafODklYuucJZQNs_GAPEfZyY/edit?usp=sharing"",""เพชรบูรณ์!I288"")"),80)</f>
        <v>80</v>
      </c>
      <c r="V23" s="323">
        <f ca="1">IFERROR(__xludf.DUMMYFUNCTION("IMPORTRANGE(""https://docs.google.com/spreadsheets/d/1GfgTldLG6k77HXaMQzaafODklYuucJZQNs_GAPEfZyY/edit?usp=sharing"",""เพชรบูรณ์!J288"")"),80)</f>
        <v>80</v>
      </c>
      <c r="W23" s="324">
        <f t="shared" ca="1" si="28"/>
        <v>100</v>
      </c>
      <c r="X23" s="323">
        <f ca="1">IFERROR(__xludf.DUMMYFUNCTION("IMPORTRANGE(""https://docs.google.com/spreadsheets/d/1GfgTldLG6k77HXaMQzaafODklYuucJZQNs_GAPEfZyY/edit?usp=sharing"",""เพชรบูรณ์!I290"")"),80)</f>
        <v>80</v>
      </c>
      <c r="Y23" s="323">
        <f ca="1">IFERROR(__xludf.DUMMYFUNCTION("IMPORTRANGE(""https://docs.google.com/spreadsheets/d/1GfgTldLG6k77HXaMQzaafODklYuucJZQNs_GAPEfZyY/edit?usp=sharing"",""เพชรบูรณ์!J290"")"),80)</f>
        <v>80</v>
      </c>
      <c r="Z23" s="324">
        <f t="shared" ca="1" si="29"/>
        <v>100</v>
      </c>
      <c r="AA23" s="323">
        <f ca="1">IFERROR(__xludf.DUMMYFUNCTION("IMPORTRANGE(""https://docs.google.com/spreadsheets/d/1GfgTldLG6k77HXaMQzaafODklYuucJZQNs_GAPEfZyY/edit?usp=sharing"",""เพชรบูรณ์!J291"")"),80)</f>
        <v>80</v>
      </c>
      <c r="AB23" s="324">
        <f t="shared" ca="1" si="15"/>
        <v>100</v>
      </c>
      <c r="AC23" s="323">
        <f ca="1">IFERROR(__xludf.DUMMYFUNCTION("IMPORTRANGE(""https://docs.google.com/spreadsheets/d/1GfgTldLG6k77HXaMQzaafODklYuucJZQNs_GAPEfZyY/edit?usp=sharing"",""เพชรบูรณ์!I293"")"),80)</f>
        <v>80</v>
      </c>
      <c r="AD23" s="323">
        <f ca="1">IFERROR(__xludf.DUMMYFUNCTION("IMPORTRANGE(""https://docs.google.com/spreadsheets/d/1GfgTldLG6k77HXaMQzaafODklYuucJZQNs_GAPEfZyY/edit?usp=sharing"",""เพชรบูรณ์!J293"")"),80)</f>
        <v>80</v>
      </c>
      <c r="AE23" s="324">
        <f t="shared" ca="1" si="30"/>
        <v>100</v>
      </c>
      <c r="AF23" s="323">
        <f ca="1">IFERROR(__xludf.DUMMYFUNCTION("IMPORTRANGE(""https://docs.google.com/spreadsheets/d/1GfgTldLG6k77HXaMQzaafODklYuucJZQNs_GAPEfZyY/edit?usp=sharing"",""เพชรบูรณ์!J294"")"),80)</f>
        <v>80</v>
      </c>
      <c r="AG23" s="324">
        <f t="shared" ca="1" si="18"/>
        <v>100</v>
      </c>
    </row>
    <row r="24" spans="1:33" ht="24" customHeight="1" x14ac:dyDescent="0.2">
      <c r="A24" s="73">
        <v>11</v>
      </c>
      <c r="B24" s="74" t="s">
        <v>46</v>
      </c>
      <c r="C24" s="75">
        <f t="shared" ca="1" si="0"/>
        <v>199610</v>
      </c>
      <c r="D24" s="76">
        <f t="shared" ca="1" si="37"/>
        <v>199610</v>
      </c>
      <c r="E24" s="77">
        <f ca="1">IFERROR(__xludf.DUMMYFUNCTION("IMPORTRANGE(""https://docs.google.com/spreadsheets/d/1MeEWN-I1oV_STSDYn1IFDPWt_1FKiwhDph83XaGc0o0/edit?usp=sharing"",""งบพรบ!DJ24"")"),158600)</f>
        <v>158600</v>
      </c>
      <c r="F24" s="77">
        <f ca="1">IFERROR(__xludf.DUMMYFUNCTION("IMPORTRANGE(""https://docs.google.com/spreadsheets/d/1MeEWN-I1oV_STSDYn1IFDPWt_1FKiwhDph83XaGc0o0/edit?usp=sharing"",""งบพรบ!DK24"")"),41010)</f>
        <v>41010</v>
      </c>
      <c r="G24" s="77">
        <f ca="1">IFERROR(__xludf.DUMMYFUNCTION("IMPORTRANGE(""https://docs.google.com/spreadsheets/d/1MeEWN-I1oV_STSDYn1IFDPWt_1FKiwhDph83XaGc0o0/edit?usp=sharing"",""งบพรบ!DL24"")"),0)</f>
        <v>0</v>
      </c>
      <c r="H24" s="77">
        <f ca="1">IFERROR(__xludf.DUMMYFUNCTION("IMPORTRANGE(""https://docs.google.com/spreadsheets/d/1MeEWN-I1oV_STSDYn1IFDPWt_1FKiwhDph83XaGc0o0/edit?usp=sharing"",""งบพรบ!DN24"")"),199610)</f>
        <v>199610</v>
      </c>
      <c r="I24" s="77">
        <f ca="1">IFERROR(__xludf.DUMMYFUNCTION("IMPORTRANGE(""https://docs.google.com/spreadsheets/d/1MeEWN-I1oV_STSDYn1IFDPWt_1FKiwhDph83XaGc0o0/edit?usp=sharing"",""งบพรบ!DO24"")"),0)</f>
        <v>0</v>
      </c>
      <c r="J24" s="77">
        <f t="shared" ca="1" si="3"/>
        <v>185799.99</v>
      </c>
      <c r="K24" s="78">
        <f t="shared" ca="1" si="4"/>
        <v>93.08150393266871</v>
      </c>
      <c r="L24" s="77">
        <f ca="1">IFERROR(__xludf.DUMMYFUNCTION("IMPORTRANGE(""https://docs.google.com/spreadsheets/d/1MeEWN-I1oV_STSDYn1IFDPWt_1FKiwhDph83XaGc0o0/edit?usp=sharing"",""งบพรบ!DP24"")"),185799.99)</f>
        <v>185799.99</v>
      </c>
      <c r="M24" s="79">
        <f t="shared" ca="1" si="5"/>
        <v>93.08150393266871</v>
      </c>
      <c r="N24" s="79">
        <f t="shared" ca="1" si="6"/>
        <v>93.08150393266871</v>
      </c>
      <c r="O24" s="80">
        <f ca="1">IFERROR(__xludf.DUMMYFUNCTION("IMPORTRANGE(""https://docs.google.com/spreadsheets/d/1MeEWN-I1oV_STSDYn1IFDPWt_1FKiwhDph83XaGc0o0/edit?usp=sharing"",""งบพรบ!DQ24"")"),0)</f>
        <v>0</v>
      </c>
      <c r="P24" s="80">
        <f t="shared" ca="1" si="32"/>
        <v>0</v>
      </c>
      <c r="Q24" s="79">
        <f t="shared" ca="1" si="8"/>
        <v>0</v>
      </c>
      <c r="R24" s="323">
        <f ca="1">IFERROR(__xludf.DUMMYFUNCTION("IMPORTRANGE(""https://docs.google.com/spreadsheets/d/1gvTMYAnm7v1yG1BKWFtr0DnaTsq59oW9dwWvFgq6hs0/edit?usp=sharing"",""แพร่!I287"")"),100)</f>
        <v>100</v>
      </c>
      <c r="S24" s="323">
        <f ca="1">IFERROR(__xludf.DUMMYFUNCTION("IMPORTRANGE(""https://docs.google.com/spreadsheets/d/1gvTMYAnm7v1yG1BKWFtr0DnaTsq59oW9dwWvFgq6hs0/edit?usp=sharing"",""แพร่!J287"")"),100)</f>
        <v>100</v>
      </c>
      <c r="T24" s="324">
        <f t="shared" ca="1" si="27"/>
        <v>100</v>
      </c>
      <c r="U24" s="323">
        <f ca="1">IFERROR(__xludf.DUMMYFUNCTION("IMPORTRANGE(""https://docs.google.com/spreadsheets/d/1gvTMYAnm7v1yG1BKWFtr0DnaTsq59oW9dwWvFgq6hs0/edit?usp=sharing"",""แพร่!I288"")"),10)</f>
        <v>10</v>
      </c>
      <c r="V24" s="323">
        <f ca="1">IFERROR(__xludf.DUMMYFUNCTION("IMPORTRANGE(""https://docs.google.com/spreadsheets/d/1gvTMYAnm7v1yG1BKWFtr0DnaTsq59oW9dwWvFgq6hs0/edit?usp=sharing"",""แพร่!J288"")"),10)</f>
        <v>10</v>
      </c>
      <c r="W24" s="324">
        <f t="shared" ca="1" si="28"/>
        <v>100</v>
      </c>
      <c r="X24" s="323">
        <f ca="1">IFERROR(__xludf.DUMMYFUNCTION("IMPORTRANGE(""https://docs.google.com/spreadsheets/d/1gvTMYAnm7v1yG1BKWFtr0DnaTsq59oW9dwWvFgq6hs0/edit?usp=sharing"",""แพร่!I290"")"),10)</f>
        <v>10</v>
      </c>
      <c r="Y24" s="323">
        <f ca="1">IFERROR(__xludf.DUMMYFUNCTION("IMPORTRANGE(""https://docs.google.com/spreadsheets/d/1gvTMYAnm7v1yG1BKWFtr0DnaTsq59oW9dwWvFgq6hs0/edit?usp=sharing"",""แพร่!J290"")"),10)</f>
        <v>10</v>
      </c>
      <c r="Z24" s="324">
        <f t="shared" ca="1" si="29"/>
        <v>100</v>
      </c>
      <c r="AA24" s="323">
        <f ca="1">IFERROR(__xludf.DUMMYFUNCTION("IMPORTRANGE(""https://docs.google.com/spreadsheets/d/1gvTMYAnm7v1yG1BKWFtr0DnaTsq59oW9dwWvFgq6hs0/edit?usp=sharing"",""แพร่!J291"")"),10)</f>
        <v>10</v>
      </c>
      <c r="AB24" s="324">
        <f t="shared" ca="1" si="15"/>
        <v>100</v>
      </c>
      <c r="AC24" s="323">
        <f ca="1">IFERROR(__xludf.DUMMYFUNCTION("IMPORTRANGE(""https://docs.google.com/spreadsheets/d/1gvTMYAnm7v1yG1BKWFtr0DnaTsq59oW9dwWvFgq6hs0/edit?usp=sharing"",""แพร่!I293"")"),10)</f>
        <v>10</v>
      </c>
      <c r="AD24" s="323">
        <f ca="1">IFERROR(__xludf.DUMMYFUNCTION("IMPORTRANGE(""https://docs.google.com/spreadsheets/d/1gvTMYAnm7v1yG1BKWFtr0DnaTsq59oW9dwWvFgq6hs0/edit?usp=sharing"",""แพร่!J293"")"),10)</f>
        <v>10</v>
      </c>
      <c r="AE24" s="324">
        <f t="shared" ca="1" si="30"/>
        <v>100</v>
      </c>
      <c r="AF24" s="323">
        <f ca="1">IFERROR(__xludf.DUMMYFUNCTION("IMPORTRANGE(""https://docs.google.com/spreadsheets/d/1gvTMYAnm7v1yG1BKWFtr0DnaTsq59oW9dwWvFgq6hs0/edit?usp=sharing"",""แพร่!J294"")"),10)</f>
        <v>10</v>
      </c>
      <c r="AG24" s="324">
        <f t="shared" ca="1" si="18"/>
        <v>100</v>
      </c>
    </row>
    <row r="25" spans="1:33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7"/>
        <v>0</v>
      </c>
      <c r="E25" s="77">
        <f ca="1">IFERROR(__xludf.DUMMYFUNCTION("IMPORTRANGE(""https://docs.google.com/spreadsheets/d/1MeEWN-I1oV_STSDYn1IFDPWt_1FKiwhDph83XaGc0o0/edit?usp=sharing"",""งบพรบ!DJ25"")"),0)</f>
        <v>0</v>
      </c>
      <c r="F25" s="77">
        <f ca="1">IFERROR(__xludf.DUMMYFUNCTION("IMPORTRANGE(""https://docs.google.com/spreadsheets/d/1MeEWN-I1oV_STSDYn1IFDPWt_1FKiwhDph83XaGc0o0/edit?usp=sharing"",""งบพรบ!DK25"")"),0)</f>
        <v>0</v>
      </c>
      <c r="G25" s="77">
        <f ca="1">IFERROR(__xludf.DUMMYFUNCTION("IMPORTRANGE(""https://docs.google.com/spreadsheets/d/1MeEWN-I1oV_STSDYn1IFDPWt_1FKiwhDph83XaGc0o0/edit?usp=sharing"",""งบพรบ!DL25"")"),0)</f>
        <v>0</v>
      </c>
      <c r="H25" s="77">
        <f ca="1">IFERROR(__xludf.DUMMYFUNCTION("IMPORTRANGE(""https://docs.google.com/spreadsheets/d/1MeEWN-I1oV_STSDYn1IFDPWt_1FKiwhDph83XaGc0o0/edit?usp=sharing"",""งบพรบ!DN25"")"),0)</f>
        <v>0</v>
      </c>
      <c r="I25" s="77">
        <f ca="1">IFERROR(__xludf.DUMMYFUNCTION("IMPORTRANGE(""https://docs.google.com/spreadsheets/d/1MeEWN-I1oV_STSDYn1IFDPWt_1FKiwhDph83XaGc0o0/edit?usp=sharing"",""งบพรบ!DO25"")"),0)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IFERROR(__xludf.DUMMYFUNCTION("IMPORTRANGE(""https://docs.google.com/spreadsheets/d/1MeEWN-I1oV_STSDYn1IFDPWt_1FKiwhDph83XaGc0o0/edit?usp=sharing"",""งบพรบ!DP25"")"),0)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IFERROR(__xludf.DUMMYFUNCTION("IMPORTRANGE(""https://docs.google.com/spreadsheets/d/1MeEWN-I1oV_STSDYn1IFDPWt_1FKiwhDph83XaGc0o0/edit?usp=sharing"",""งบพรบ!DQ25"")"),0)</f>
        <v>0</v>
      </c>
      <c r="P25" s="80">
        <f t="shared" ca="1" si="32"/>
        <v>0</v>
      </c>
      <c r="Q25" s="79">
        <f t="shared" ca="1" si="8"/>
        <v>0</v>
      </c>
      <c r="R25" s="323">
        <f ca="1">IFERROR(__xludf.DUMMYFUNCTION("IMPORTRANGE(""https://docs.google.com/spreadsheets/d/1Wbcosgy-Xa1xXUArJSOenub6EfZHUSzc_bpJFWwQUf0/edit?usp=sharing"",""แม่ฮ่องสอน!I287"")"),0)</f>
        <v>0</v>
      </c>
      <c r="S25" s="323">
        <f ca="1">IFERROR(__xludf.DUMMYFUNCTION("IMPORTRANGE(""https://docs.google.com/spreadsheets/d/1Wbcosgy-Xa1xXUArJSOenub6EfZHUSzc_bpJFWwQUf0/edit?usp=sharing"",""แม่ฮ่องสอน!J287"")"),0)</f>
        <v>0</v>
      </c>
      <c r="T25" s="324">
        <f t="shared" ca="1" si="27"/>
        <v>0</v>
      </c>
      <c r="U25" s="323">
        <f ca="1">IFERROR(__xludf.DUMMYFUNCTION("IMPORTRANGE(""https://docs.google.com/spreadsheets/d/1Wbcosgy-Xa1xXUArJSOenub6EfZHUSzc_bpJFWwQUf0/edit?usp=sharing"",""แม่ฮ่องสอน!I288"")"),0)</f>
        <v>0</v>
      </c>
      <c r="V25" s="323">
        <f ca="1">IFERROR(__xludf.DUMMYFUNCTION("IMPORTRANGE(""https://docs.google.com/spreadsheets/d/1Wbcosgy-Xa1xXUArJSOenub6EfZHUSzc_bpJFWwQUf0/edit?usp=sharing"",""แม่ฮ่องสอน!J288"")"),0)</f>
        <v>0</v>
      </c>
      <c r="W25" s="324">
        <f t="shared" ca="1" si="28"/>
        <v>0</v>
      </c>
      <c r="X25" s="323">
        <f ca="1">IFERROR(__xludf.DUMMYFUNCTION("IMPORTRANGE(""https://docs.google.com/spreadsheets/d/1Wbcosgy-Xa1xXUArJSOenub6EfZHUSzc_bpJFWwQUf0/edit?usp=sharing"",""แม่ฮ่องสอน!I290"")"),0)</f>
        <v>0</v>
      </c>
      <c r="Y25" s="323">
        <f ca="1">IFERROR(__xludf.DUMMYFUNCTION("IMPORTRANGE(""https://docs.google.com/spreadsheets/d/1Wbcosgy-Xa1xXUArJSOenub6EfZHUSzc_bpJFWwQUf0/edit?usp=sharing"",""แม่ฮ่องสอน!J290"")"),0)</f>
        <v>0</v>
      </c>
      <c r="Z25" s="324">
        <f t="shared" ca="1" si="29"/>
        <v>0</v>
      </c>
      <c r="AA25" s="323">
        <f ca="1">IFERROR(__xludf.DUMMYFUNCTION("IMPORTRANGE(""https://docs.google.com/spreadsheets/d/1Wbcosgy-Xa1xXUArJSOenub6EfZHUSzc_bpJFWwQUf0/edit?usp=sharing"",""แม่ฮ่องสอน!J291"")"),0)</f>
        <v>0</v>
      </c>
      <c r="AB25" s="324">
        <f t="shared" ca="1" si="15"/>
        <v>0</v>
      </c>
      <c r="AC25" s="323">
        <f ca="1">IFERROR(__xludf.DUMMYFUNCTION("IMPORTRANGE(""https://docs.google.com/spreadsheets/d/1Wbcosgy-Xa1xXUArJSOenub6EfZHUSzc_bpJFWwQUf0/edit?usp=sharing"",""แม่ฮ่องสอน!I293"")"),0)</f>
        <v>0</v>
      </c>
      <c r="AD25" s="323">
        <f ca="1">IFERROR(__xludf.DUMMYFUNCTION("IMPORTRANGE(""https://docs.google.com/spreadsheets/d/1Wbcosgy-Xa1xXUArJSOenub6EfZHUSzc_bpJFWwQUf0/edit?usp=sharing"",""แม่ฮ่องสอน!J293"")"),0)</f>
        <v>0</v>
      </c>
      <c r="AE25" s="324">
        <f t="shared" ca="1" si="30"/>
        <v>0</v>
      </c>
      <c r="AF25" s="323">
        <f ca="1">IFERROR(__xludf.DUMMYFUNCTION("IMPORTRANGE(""https://docs.google.com/spreadsheets/d/1Wbcosgy-Xa1xXUArJSOenub6EfZHUSzc_bpJFWwQUf0/edit?usp=sharing"",""แม่ฮ่องสอน!J294"")"),0)</f>
        <v>0</v>
      </c>
      <c r="AG25" s="324">
        <f t="shared" ca="1" si="18"/>
        <v>0</v>
      </c>
    </row>
    <row r="26" spans="1:33" ht="24" customHeight="1" x14ac:dyDescent="0.2">
      <c r="A26" s="73">
        <v>13</v>
      </c>
      <c r="B26" s="74" t="s">
        <v>48</v>
      </c>
      <c r="C26" s="75">
        <f t="shared" ca="1" si="0"/>
        <v>413310</v>
      </c>
      <c r="D26" s="76">
        <f t="shared" ca="1" si="37"/>
        <v>413310</v>
      </c>
      <c r="E26" s="77">
        <f ca="1">IFERROR(__xludf.DUMMYFUNCTION("IMPORTRANGE(""https://docs.google.com/spreadsheets/d/1MeEWN-I1oV_STSDYn1IFDPWt_1FKiwhDph83XaGc0o0/edit?usp=sharing"",""งบพรบ!DJ26"")"),301600)</f>
        <v>301600</v>
      </c>
      <c r="F26" s="77">
        <f ca="1">IFERROR(__xludf.DUMMYFUNCTION("IMPORTRANGE(""https://docs.google.com/spreadsheets/d/1MeEWN-I1oV_STSDYn1IFDPWt_1FKiwhDph83XaGc0o0/edit?usp=sharing"",""งบพรบ!DK26"")"),111710)</f>
        <v>111710</v>
      </c>
      <c r="G26" s="77">
        <f ca="1">IFERROR(__xludf.DUMMYFUNCTION("IMPORTRANGE(""https://docs.google.com/spreadsheets/d/1MeEWN-I1oV_STSDYn1IFDPWt_1FKiwhDph83XaGc0o0/edit?usp=sharing"",""งบพรบ!DL26"")"),0)</f>
        <v>0</v>
      </c>
      <c r="H26" s="77">
        <f ca="1">IFERROR(__xludf.DUMMYFUNCTION("IMPORTRANGE(""https://docs.google.com/spreadsheets/d/1MeEWN-I1oV_STSDYn1IFDPWt_1FKiwhDph83XaGc0o0/edit?usp=sharing"",""งบพรบ!DN26"")"),413310)</f>
        <v>413310</v>
      </c>
      <c r="I26" s="77">
        <f ca="1">IFERROR(__xludf.DUMMYFUNCTION("IMPORTRANGE(""https://docs.google.com/spreadsheets/d/1MeEWN-I1oV_STSDYn1IFDPWt_1FKiwhDph83XaGc0o0/edit?usp=sharing"",""งบพรบ!DO26"")"),0)</f>
        <v>0</v>
      </c>
      <c r="J26" s="77">
        <f t="shared" ca="1" si="3"/>
        <v>394470</v>
      </c>
      <c r="K26" s="78">
        <f t="shared" ca="1" si="4"/>
        <v>95.441678159250927</v>
      </c>
      <c r="L26" s="77">
        <f ca="1">IFERROR(__xludf.DUMMYFUNCTION("IMPORTRANGE(""https://docs.google.com/spreadsheets/d/1MeEWN-I1oV_STSDYn1IFDPWt_1FKiwhDph83XaGc0o0/edit?usp=sharing"",""งบพรบ!DP26"")"),394470)</f>
        <v>394470</v>
      </c>
      <c r="M26" s="79">
        <f t="shared" ca="1" si="5"/>
        <v>95.441678159250927</v>
      </c>
      <c r="N26" s="79">
        <f t="shared" ca="1" si="6"/>
        <v>95.441678159250927</v>
      </c>
      <c r="O26" s="80">
        <f ca="1">IFERROR(__xludf.DUMMYFUNCTION("IMPORTRANGE(""https://docs.google.com/spreadsheets/d/1MeEWN-I1oV_STSDYn1IFDPWt_1FKiwhDph83XaGc0o0/edit?usp=sharing"",""งบพรบ!DQ26"")"),0)</f>
        <v>0</v>
      </c>
      <c r="P26" s="80">
        <f t="shared" ca="1" si="32"/>
        <v>0</v>
      </c>
      <c r="Q26" s="79">
        <f t="shared" ca="1" si="8"/>
        <v>0</v>
      </c>
      <c r="R26" s="323">
        <f ca="1">IFERROR(__xludf.DUMMYFUNCTION("IMPORTRANGE(""https://docs.google.com/spreadsheets/d/1p7ERhsr0qZeSn-KSOdeHS9r0heI-lHtkcn2OH7hP0jQ/edit?usp=sharing"",""ลำปาง!I287"")"),300)</f>
        <v>300</v>
      </c>
      <c r="S26" s="323">
        <f ca="1">IFERROR(__xludf.DUMMYFUNCTION("IMPORTRANGE(""https://docs.google.com/spreadsheets/d/1p7ERhsr0qZeSn-KSOdeHS9r0heI-lHtkcn2OH7hP0jQ/edit?usp=sharing"",""ลำปาง!J287"")"),300)</f>
        <v>300</v>
      </c>
      <c r="T26" s="324">
        <f t="shared" ca="1" si="27"/>
        <v>100</v>
      </c>
      <c r="U26" s="323">
        <f ca="1">IFERROR(__xludf.DUMMYFUNCTION("IMPORTRANGE(""https://docs.google.com/spreadsheets/d/1p7ERhsr0qZeSn-KSOdeHS9r0heI-lHtkcn2OH7hP0jQ/edit?usp=sharing"",""ลำปาง!I288"")"),30)</f>
        <v>30</v>
      </c>
      <c r="V26" s="323">
        <f ca="1">IFERROR(__xludf.DUMMYFUNCTION("IMPORTRANGE(""https://docs.google.com/spreadsheets/d/1p7ERhsr0qZeSn-KSOdeHS9r0heI-lHtkcn2OH7hP0jQ/edit?usp=sharing"",""ลำปาง!J288"")"),30)</f>
        <v>30</v>
      </c>
      <c r="W26" s="324">
        <f t="shared" ca="1" si="28"/>
        <v>100</v>
      </c>
      <c r="X26" s="323">
        <f ca="1">IFERROR(__xludf.DUMMYFUNCTION("IMPORTRANGE(""https://docs.google.com/spreadsheets/d/1p7ERhsr0qZeSn-KSOdeHS9r0heI-lHtkcn2OH7hP0jQ/edit?usp=sharing"",""ลำปาง!I290"")"),30)</f>
        <v>30</v>
      </c>
      <c r="Y26" s="323">
        <f ca="1">IFERROR(__xludf.DUMMYFUNCTION("IMPORTRANGE(""https://docs.google.com/spreadsheets/d/1p7ERhsr0qZeSn-KSOdeHS9r0heI-lHtkcn2OH7hP0jQ/edit?usp=sharing"",""ลำปาง!J290"")"),30)</f>
        <v>30</v>
      </c>
      <c r="Z26" s="324">
        <f t="shared" ca="1" si="29"/>
        <v>100</v>
      </c>
      <c r="AA26" s="323">
        <f ca="1">IFERROR(__xludf.DUMMYFUNCTION("IMPORTRANGE(""https://docs.google.com/spreadsheets/d/1p7ERhsr0qZeSn-KSOdeHS9r0heI-lHtkcn2OH7hP0jQ/edit?usp=sharing"",""ลำปาง!J291"")"),30)</f>
        <v>30</v>
      </c>
      <c r="AB26" s="324">
        <f t="shared" ca="1" si="15"/>
        <v>100</v>
      </c>
      <c r="AC26" s="323">
        <f ca="1">IFERROR(__xludf.DUMMYFUNCTION("IMPORTRANGE(""https://docs.google.com/spreadsheets/d/1p7ERhsr0qZeSn-KSOdeHS9r0heI-lHtkcn2OH7hP0jQ/edit?usp=sharing"",""ลำปาง!I293"")"),30)</f>
        <v>30</v>
      </c>
      <c r="AD26" s="323">
        <f ca="1">IFERROR(__xludf.DUMMYFUNCTION("IMPORTRANGE(""https://docs.google.com/spreadsheets/d/1p7ERhsr0qZeSn-KSOdeHS9r0heI-lHtkcn2OH7hP0jQ/edit?usp=sharing"",""ลำปาง!J293"")"),30)</f>
        <v>30</v>
      </c>
      <c r="AE26" s="324">
        <f t="shared" ca="1" si="30"/>
        <v>100</v>
      </c>
      <c r="AF26" s="323">
        <f ca="1">IFERROR(__xludf.DUMMYFUNCTION("IMPORTRANGE(""https://docs.google.com/spreadsheets/d/1p7ERhsr0qZeSn-KSOdeHS9r0heI-lHtkcn2OH7hP0jQ/edit?usp=sharing"",""ลำปาง!J294"")"),30)</f>
        <v>30</v>
      </c>
      <c r="AG26" s="324">
        <f t="shared" ca="1" si="18"/>
        <v>100</v>
      </c>
    </row>
    <row r="27" spans="1:33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37"/>
        <v>0</v>
      </c>
      <c r="E27" s="77">
        <f ca="1">IFERROR(__xludf.DUMMYFUNCTION("IMPORTRANGE(""https://docs.google.com/spreadsheets/d/1MeEWN-I1oV_STSDYn1IFDPWt_1FKiwhDph83XaGc0o0/edit?usp=sharing"",""งบพรบ!DJ27"")"),0)</f>
        <v>0</v>
      </c>
      <c r="F27" s="77">
        <f ca="1">IFERROR(__xludf.DUMMYFUNCTION("IMPORTRANGE(""https://docs.google.com/spreadsheets/d/1MeEWN-I1oV_STSDYn1IFDPWt_1FKiwhDph83XaGc0o0/edit?usp=sharing"",""งบพรบ!DK27"")"),0)</f>
        <v>0</v>
      </c>
      <c r="G27" s="77">
        <f ca="1">IFERROR(__xludf.DUMMYFUNCTION("IMPORTRANGE(""https://docs.google.com/spreadsheets/d/1MeEWN-I1oV_STSDYn1IFDPWt_1FKiwhDph83XaGc0o0/edit?usp=sharing"",""งบพรบ!DL27"")"),0)</f>
        <v>0</v>
      </c>
      <c r="H27" s="77">
        <f ca="1">IFERROR(__xludf.DUMMYFUNCTION("IMPORTRANGE(""https://docs.google.com/spreadsheets/d/1MeEWN-I1oV_STSDYn1IFDPWt_1FKiwhDph83XaGc0o0/edit?usp=sharing"",""งบพรบ!DN27"")"),0)</f>
        <v>0</v>
      </c>
      <c r="I27" s="77">
        <f ca="1">IFERROR(__xludf.DUMMYFUNCTION("IMPORTRANGE(""https://docs.google.com/spreadsheets/d/1MeEWN-I1oV_STSDYn1IFDPWt_1FKiwhDph83XaGc0o0/edit?usp=sharing"",""งบพรบ!DO27"")"),0)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IFERROR(__xludf.DUMMYFUNCTION("IMPORTRANGE(""https://docs.google.com/spreadsheets/d/1MeEWN-I1oV_STSDYn1IFDPWt_1FKiwhDph83XaGc0o0/edit?usp=sharing"",""งบพรบ!DP27"")"),0)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IFERROR(__xludf.DUMMYFUNCTION("IMPORTRANGE(""https://docs.google.com/spreadsheets/d/1MeEWN-I1oV_STSDYn1IFDPWt_1FKiwhDph83XaGc0o0/edit?usp=sharing"",""งบพรบ!DQ27"")"),0)</f>
        <v>0</v>
      </c>
      <c r="P27" s="80">
        <f t="shared" ca="1" si="32"/>
        <v>0</v>
      </c>
      <c r="Q27" s="79">
        <f t="shared" ca="1" si="8"/>
        <v>0</v>
      </c>
      <c r="R27" s="323">
        <f ca="1">IFERROR(__xludf.DUMMYFUNCTION("IMPORTRANGE(""https://docs.google.com/spreadsheets/d/1-uUXvimVhiU2U0bMN-xi2te0tS4X7DI2GLPnMjzl8cA/edit?usp=sharing"",""ลำพูน!I287"")"),0)</f>
        <v>0</v>
      </c>
      <c r="S27" s="323">
        <f ca="1">IFERROR(__xludf.DUMMYFUNCTION("IMPORTRANGE(""https://docs.google.com/spreadsheets/d/1-uUXvimVhiU2U0bMN-xi2te0tS4X7DI2GLPnMjzl8cA/edit?usp=sharing"",""ลำพูน!J287"")"),0)</f>
        <v>0</v>
      </c>
      <c r="T27" s="324">
        <f t="shared" ca="1" si="27"/>
        <v>0</v>
      </c>
      <c r="U27" s="323">
        <f ca="1">IFERROR(__xludf.DUMMYFUNCTION("IMPORTRANGE(""https://docs.google.com/spreadsheets/d/1-uUXvimVhiU2U0bMN-xi2te0tS4X7DI2GLPnMjzl8cA/edit?usp=sharing"",""ลำพูน!I288"")"),0)</f>
        <v>0</v>
      </c>
      <c r="V27" s="323">
        <f ca="1">IFERROR(__xludf.DUMMYFUNCTION("IMPORTRANGE(""https://docs.google.com/spreadsheets/d/1-uUXvimVhiU2U0bMN-xi2te0tS4X7DI2GLPnMjzl8cA/edit?usp=sharing"",""ลำพูน!J288"")"),0)</f>
        <v>0</v>
      </c>
      <c r="W27" s="324">
        <f t="shared" ca="1" si="28"/>
        <v>0</v>
      </c>
      <c r="X27" s="323">
        <f ca="1">IFERROR(__xludf.DUMMYFUNCTION("IMPORTRANGE(""https://docs.google.com/spreadsheets/d/1-uUXvimVhiU2U0bMN-xi2te0tS4X7DI2GLPnMjzl8cA/edit?usp=sharing"",""ลำพูน!I290"")"),0)</f>
        <v>0</v>
      </c>
      <c r="Y27" s="323">
        <f ca="1">IFERROR(__xludf.DUMMYFUNCTION("IMPORTRANGE(""https://docs.google.com/spreadsheets/d/1-uUXvimVhiU2U0bMN-xi2te0tS4X7DI2GLPnMjzl8cA/edit?usp=sharing"",""ลำพูน!J290"")"),0)</f>
        <v>0</v>
      </c>
      <c r="Z27" s="324">
        <f t="shared" ca="1" si="29"/>
        <v>0</v>
      </c>
      <c r="AA27" s="323">
        <f ca="1">IFERROR(__xludf.DUMMYFUNCTION("IMPORTRANGE(""https://docs.google.com/spreadsheets/d/1-uUXvimVhiU2U0bMN-xi2te0tS4X7DI2GLPnMjzl8cA/edit?usp=sharing"",""ลำพูน!J291"")"),0)</f>
        <v>0</v>
      </c>
      <c r="AB27" s="324">
        <f t="shared" ca="1" si="15"/>
        <v>0</v>
      </c>
      <c r="AC27" s="323">
        <f ca="1">IFERROR(__xludf.DUMMYFUNCTION("IMPORTRANGE(""https://docs.google.com/spreadsheets/d/1-uUXvimVhiU2U0bMN-xi2te0tS4X7DI2GLPnMjzl8cA/edit?usp=sharing"",""ลำพูน!I293"")"),0)</f>
        <v>0</v>
      </c>
      <c r="AD27" s="323">
        <f ca="1">IFERROR(__xludf.DUMMYFUNCTION("IMPORTRANGE(""https://docs.google.com/spreadsheets/d/1-uUXvimVhiU2U0bMN-xi2te0tS4X7DI2GLPnMjzl8cA/edit?usp=sharing"",""ลำพูน!J293"")"),0)</f>
        <v>0</v>
      </c>
      <c r="AE27" s="324">
        <f t="shared" ca="1" si="30"/>
        <v>0</v>
      </c>
      <c r="AF27" s="323">
        <f ca="1">IFERROR(__xludf.DUMMYFUNCTION("IMPORTRANGE(""https://docs.google.com/spreadsheets/d/1-uUXvimVhiU2U0bMN-xi2te0tS4X7DI2GLPnMjzl8cA/edit?usp=sharing"",""ลำพูน!J294"")"),0)</f>
        <v>0</v>
      </c>
      <c r="AG27" s="324">
        <f t="shared" ca="1" si="18"/>
        <v>0</v>
      </c>
    </row>
    <row r="28" spans="1:33" ht="24" customHeight="1" x14ac:dyDescent="0.2">
      <c r="A28" s="73">
        <v>15</v>
      </c>
      <c r="B28" s="74" t="s">
        <v>50</v>
      </c>
      <c r="C28" s="75">
        <f t="shared" ca="1" si="0"/>
        <v>75640</v>
      </c>
      <c r="D28" s="76">
        <f t="shared" ca="1" si="37"/>
        <v>75640</v>
      </c>
      <c r="E28" s="77">
        <f ca="1">IFERROR(__xludf.DUMMYFUNCTION("IMPORTRANGE(""https://docs.google.com/spreadsheets/d/1MeEWN-I1oV_STSDYn1IFDPWt_1FKiwhDph83XaGc0o0/edit?usp=sharing"",""งบพรบ!DJ28"")"),0)</f>
        <v>0</v>
      </c>
      <c r="F28" s="77">
        <f ca="1">IFERROR(__xludf.DUMMYFUNCTION("IMPORTRANGE(""https://docs.google.com/spreadsheets/d/1MeEWN-I1oV_STSDYn1IFDPWt_1FKiwhDph83XaGc0o0/edit?usp=sharing"",""งบพรบ!DK28"")"),75640)</f>
        <v>75640</v>
      </c>
      <c r="G28" s="77">
        <f ca="1">IFERROR(__xludf.DUMMYFUNCTION("IMPORTRANGE(""https://docs.google.com/spreadsheets/d/1MeEWN-I1oV_STSDYn1IFDPWt_1FKiwhDph83XaGc0o0/edit?usp=sharing"",""งบพรบ!DL28"")"),0)</f>
        <v>0</v>
      </c>
      <c r="H28" s="77">
        <f ca="1">IFERROR(__xludf.DUMMYFUNCTION("IMPORTRANGE(""https://docs.google.com/spreadsheets/d/1MeEWN-I1oV_STSDYn1IFDPWt_1FKiwhDph83XaGc0o0/edit?usp=sharing"",""งบพรบ!DN28"")"),75640)</f>
        <v>75640</v>
      </c>
      <c r="I28" s="77">
        <f ca="1">IFERROR(__xludf.DUMMYFUNCTION("IMPORTRANGE(""https://docs.google.com/spreadsheets/d/1MeEWN-I1oV_STSDYn1IFDPWt_1FKiwhDph83XaGc0o0/edit?usp=sharing"",""งบพรบ!DO28"")"),0)</f>
        <v>0</v>
      </c>
      <c r="J28" s="77">
        <f t="shared" ca="1" si="3"/>
        <v>73570</v>
      </c>
      <c r="K28" s="78">
        <f t="shared" ca="1" si="4"/>
        <v>97.263352723426763</v>
      </c>
      <c r="L28" s="77">
        <f ca="1">IFERROR(__xludf.DUMMYFUNCTION("IMPORTRANGE(""https://docs.google.com/spreadsheets/d/1MeEWN-I1oV_STSDYn1IFDPWt_1FKiwhDph83XaGc0o0/edit?usp=sharing"",""งบพรบ!DP28"")"),73570)</f>
        <v>73570</v>
      </c>
      <c r="M28" s="79">
        <f t="shared" ca="1" si="5"/>
        <v>97.263352723426763</v>
      </c>
      <c r="N28" s="79">
        <f t="shared" ca="1" si="6"/>
        <v>97.263352723426763</v>
      </c>
      <c r="O28" s="80">
        <f ca="1">IFERROR(__xludf.DUMMYFUNCTION("IMPORTRANGE(""https://docs.google.com/spreadsheets/d/1MeEWN-I1oV_STSDYn1IFDPWt_1FKiwhDph83XaGc0o0/edit?usp=sharing"",""งบพรบ!DQ28"")"),0)</f>
        <v>0</v>
      </c>
      <c r="P28" s="80">
        <f t="shared" ca="1" si="32"/>
        <v>0</v>
      </c>
      <c r="Q28" s="79">
        <f t="shared" ca="1" si="8"/>
        <v>0</v>
      </c>
      <c r="R28" s="323">
        <f ca="1">IFERROR(__xludf.DUMMYFUNCTION("IMPORTRANGE(""https://docs.google.com/spreadsheets/d/17HrOaa5pBUI1onckFfumXB8xlg35qb2uBAFfF1D-Myo/edit?usp=sharing"",""สุโขทัย!I287"")"),200)</f>
        <v>200</v>
      </c>
      <c r="S28" s="323">
        <f ca="1">IFERROR(__xludf.DUMMYFUNCTION("IMPORTRANGE(""https://docs.google.com/spreadsheets/d/17HrOaa5pBUI1onckFfumXB8xlg35qb2uBAFfF1D-Myo/edit?usp=sharing"",""สุโขทัย!J287"")"),200)</f>
        <v>200</v>
      </c>
      <c r="T28" s="324">
        <f t="shared" ca="1" si="27"/>
        <v>100</v>
      </c>
      <c r="U28" s="323">
        <f ca="1">IFERROR(__xludf.DUMMYFUNCTION("IMPORTRANGE(""https://docs.google.com/spreadsheets/d/17HrOaa5pBUI1onckFfumXB8xlg35qb2uBAFfF1D-Myo/edit?usp=sharing"",""สุโขทัย!I288"")"),20)</f>
        <v>20</v>
      </c>
      <c r="V28" s="323">
        <f ca="1">IFERROR(__xludf.DUMMYFUNCTION("IMPORTRANGE(""https://docs.google.com/spreadsheets/d/17HrOaa5pBUI1onckFfumXB8xlg35qb2uBAFfF1D-Myo/edit?usp=sharing"",""สุโขทัย!J288"")"),20)</f>
        <v>20</v>
      </c>
      <c r="W28" s="324">
        <f t="shared" ca="1" si="28"/>
        <v>100</v>
      </c>
      <c r="X28" s="323">
        <f ca="1">IFERROR(__xludf.DUMMYFUNCTION("IMPORTRANGE(""https://docs.google.com/spreadsheets/d/17HrOaa5pBUI1onckFfumXB8xlg35qb2uBAFfF1D-Myo/edit?usp=sharing"",""สุโขทัย!I290"")"),20)</f>
        <v>20</v>
      </c>
      <c r="Y28" s="323">
        <f ca="1">IFERROR(__xludf.DUMMYFUNCTION("IMPORTRANGE(""https://docs.google.com/spreadsheets/d/17HrOaa5pBUI1onckFfumXB8xlg35qb2uBAFfF1D-Myo/edit?usp=sharing"",""สุโขทัย!J290"")"),20)</f>
        <v>20</v>
      </c>
      <c r="Z28" s="324">
        <f t="shared" ca="1" si="29"/>
        <v>100</v>
      </c>
      <c r="AA28" s="323">
        <f ca="1">IFERROR(__xludf.DUMMYFUNCTION("IMPORTRANGE(""https://docs.google.com/spreadsheets/d/17HrOaa5pBUI1onckFfumXB8xlg35qb2uBAFfF1D-Myo/edit?usp=sharing"",""สุโขทัย!J291"")"),20)</f>
        <v>20</v>
      </c>
      <c r="AB28" s="324">
        <f t="shared" ca="1" si="15"/>
        <v>100</v>
      </c>
      <c r="AC28" s="323">
        <f ca="1">IFERROR(__xludf.DUMMYFUNCTION("IMPORTRANGE(""https://docs.google.com/spreadsheets/d/17HrOaa5pBUI1onckFfumXB8xlg35qb2uBAFfF1D-Myo/edit?usp=sharing"",""สุโขทัย!I293"")"),20)</f>
        <v>20</v>
      </c>
      <c r="AD28" s="323">
        <f ca="1">IFERROR(__xludf.DUMMYFUNCTION("IMPORTRANGE(""https://docs.google.com/spreadsheets/d/17HrOaa5pBUI1onckFfumXB8xlg35qb2uBAFfF1D-Myo/edit?usp=sharing"",""สุโขทัย!J293"")"),20)</f>
        <v>20</v>
      </c>
      <c r="AE28" s="324">
        <f t="shared" ca="1" si="30"/>
        <v>100</v>
      </c>
      <c r="AF28" s="323">
        <f ca="1">IFERROR(__xludf.DUMMYFUNCTION("IMPORTRANGE(""https://docs.google.com/spreadsheets/d/17HrOaa5pBUI1onckFfumXB8xlg35qb2uBAFfF1D-Myo/edit?usp=sharing"",""สุโขทัย!J294"")"),20)</f>
        <v>20</v>
      </c>
      <c r="AG28" s="324">
        <f t="shared" ca="1" si="18"/>
        <v>100</v>
      </c>
    </row>
    <row r="29" spans="1:33" ht="24" customHeight="1" x14ac:dyDescent="0.2">
      <c r="A29" s="73">
        <v>16</v>
      </c>
      <c r="B29" s="74" t="s">
        <v>51</v>
      </c>
      <c r="C29" s="75">
        <f t="shared" ca="1" si="0"/>
        <v>262220</v>
      </c>
      <c r="D29" s="76">
        <f t="shared" ca="1" si="37"/>
        <v>262220</v>
      </c>
      <c r="E29" s="77">
        <f ca="1">IFERROR(__xludf.DUMMYFUNCTION("IMPORTRANGE(""https://docs.google.com/spreadsheets/d/1MeEWN-I1oV_STSDYn1IFDPWt_1FKiwhDph83XaGc0o0/edit?usp=sharing"",""งบพรบ!DJ29"")"),168200)</f>
        <v>168200</v>
      </c>
      <c r="F29" s="77">
        <f ca="1">IFERROR(__xludf.DUMMYFUNCTION("IMPORTRANGE(""https://docs.google.com/spreadsheets/d/1MeEWN-I1oV_STSDYn1IFDPWt_1FKiwhDph83XaGc0o0/edit?usp=sharing"",""งบพรบ!DK29"")"),94020)</f>
        <v>94020</v>
      </c>
      <c r="G29" s="77">
        <f ca="1">IFERROR(__xludf.DUMMYFUNCTION("IMPORTRANGE(""https://docs.google.com/spreadsheets/d/1MeEWN-I1oV_STSDYn1IFDPWt_1FKiwhDph83XaGc0o0/edit?usp=sharing"",""งบพรบ!DL29"")"),0)</f>
        <v>0</v>
      </c>
      <c r="H29" s="77">
        <f ca="1">IFERROR(__xludf.DUMMYFUNCTION("IMPORTRANGE(""https://docs.google.com/spreadsheets/d/1MeEWN-I1oV_STSDYn1IFDPWt_1FKiwhDph83XaGc0o0/edit?usp=sharing"",""งบพรบ!DN29"")"),262220)</f>
        <v>262220</v>
      </c>
      <c r="I29" s="77">
        <f ca="1">IFERROR(__xludf.DUMMYFUNCTION("IMPORTRANGE(""https://docs.google.com/spreadsheets/d/1MeEWN-I1oV_STSDYn1IFDPWt_1FKiwhDph83XaGc0o0/edit?usp=sharing"",""งบพรบ!DO29"")"),0)</f>
        <v>0</v>
      </c>
      <c r="J29" s="77">
        <f t="shared" ca="1" si="3"/>
        <v>252538.15</v>
      </c>
      <c r="K29" s="78">
        <f t="shared" ca="1" si="4"/>
        <v>96.307737777438788</v>
      </c>
      <c r="L29" s="77">
        <f ca="1">IFERROR(__xludf.DUMMYFUNCTION("IMPORTRANGE(""https://docs.google.com/spreadsheets/d/1MeEWN-I1oV_STSDYn1IFDPWt_1FKiwhDph83XaGc0o0/edit?usp=sharing"",""งบพรบ!DP29"")"),252538.15)</f>
        <v>252538.15</v>
      </c>
      <c r="M29" s="79">
        <f t="shared" ca="1" si="5"/>
        <v>96.307737777438788</v>
      </c>
      <c r="N29" s="79">
        <f t="shared" ca="1" si="6"/>
        <v>96.307737777438788</v>
      </c>
      <c r="O29" s="80">
        <f ca="1">IFERROR(__xludf.DUMMYFUNCTION("IMPORTRANGE(""https://docs.google.com/spreadsheets/d/1MeEWN-I1oV_STSDYn1IFDPWt_1FKiwhDph83XaGc0o0/edit?usp=sharing"",""งบพรบ!DQ29"")"),0)</f>
        <v>0</v>
      </c>
      <c r="P29" s="80">
        <f t="shared" ca="1" si="32"/>
        <v>0</v>
      </c>
      <c r="Q29" s="79">
        <f t="shared" ca="1" si="8"/>
        <v>0</v>
      </c>
      <c r="R29" s="323">
        <f ca="1">IFERROR(__xludf.DUMMYFUNCTION("IMPORTRANGE(""https://docs.google.com/spreadsheets/d/1ubs5cl16eYL9gHbdHTJtmtYb9MGzHBs7CAphn8kNCgM/edit?usp=sharing"",""อุตรดิตถ์!I287"")"),250)</f>
        <v>250</v>
      </c>
      <c r="S29" s="323">
        <f ca="1">IFERROR(__xludf.DUMMYFUNCTION("IMPORTRANGE(""https://docs.google.com/spreadsheets/d/1ubs5cl16eYL9gHbdHTJtmtYb9MGzHBs7CAphn8kNCgM/edit?usp=sharing"",""อุตรดิตถ์!J287"")"),250)</f>
        <v>250</v>
      </c>
      <c r="T29" s="324">
        <f t="shared" ca="1" si="27"/>
        <v>100</v>
      </c>
      <c r="U29" s="323">
        <f ca="1">IFERROR(__xludf.DUMMYFUNCTION("IMPORTRANGE(""https://docs.google.com/spreadsheets/d/1ubs5cl16eYL9gHbdHTJtmtYb9MGzHBs7CAphn8kNCgM/edit?usp=sharing"",""อุตรดิตถ์!I288"")"),25)</f>
        <v>25</v>
      </c>
      <c r="V29" s="323">
        <f ca="1">IFERROR(__xludf.DUMMYFUNCTION("IMPORTRANGE(""https://docs.google.com/spreadsheets/d/1ubs5cl16eYL9gHbdHTJtmtYb9MGzHBs7CAphn8kNCgM/edit?usp=sharing"",""อุตรดิตถ์!J288"")"),25)</f>
        <v>25</v>
      </c>
      <c r="W29" s="324">
        <f t="shared" ca="1" si="28"/>
        <v>100</v>
      </c>
      <c r="X29" s="323">
        <f ca="1">IFERROR(__xludf.DUMMYFUNCTION("IMPORTRANGE(""https://docs.google.com/spreadsheets/d/1ubs5cl16eYL9gHbdHTJtmtYb9MGzHBs7CAphn8kNCgM/edit?usp=sharing"",""อุตรดิตถ์!I290"")"),25)</f>
        <v>25</v>
      </c>
      <c r="Y29" s="323">
        <f ca="1">IFERROR(__xludf.DUMMYFUNCTION("IMPORTRANGE(""https://docs.google.com/spreadsheets/d/1ubs5cl16eYL9gHbdHTJtmtYb9MGzHBs7CAphn8kNCgM/edit?usp=sharing"",""อุตรดิตถ์!J290"")"),25)</f>
        <v>25</v>
      </c>
      <c r="Z29" s="324">
        <f t="shared" ca="1" si="29"/>
        <v>100</v>
      </c>
      <c r="AA29" s="323">
        <f ca="1">IFERROR(__xludf.DUMMYFUNCTION("IMPORTRANGE(""https://docs.google.com/spreadsheets/d/1ubs5cl16eYL9gHbdHTJtmtYb9MGzHBs7CAphn8kNCgM/edit?usp=sharing"",""อุตรดิตถ์!J291"")"),25)</f>
        <v>25</v>
      </c>
      <c r="AB29" s="324">
        <f t="shared" ca="1" si="15"/>
        <v>100</v>
      </c>
      <c r="AC29" s="323">
        <f ca="1">IFERROR(__xludf.DUMMYFUNCTION("IMPORTRANGE(""https://docs.google.com/spreadsheets/d/1ubs5cl16eYL9gHbdHTJtmtYb9MGzHBs7CAphn8kNCgM/edit?usp=sharing"",""อุตรดิตถ์!I293"")"),25)</f>
        <v>25</v>
      </c>
      <c r="AD29" s="323">
        <f ca="1">IFERROR(__xludf.DUMMYFUNCTION("IMPORTRANGE(""https://docs.google.com/spreadsheets/d/1ubs5cl16eYL9gHbdHTJtmtYb9MGzHBs7CAphn8kNCgM/edit?usp=sharing"",""อุตรดิตถ์!J293"")"),25)</f>
        <v>25</v>
      </c>
      <c r="AE29" s="324">
        <f t="shared" ca="1" si="30"/>
        <v>100</v>
      </c>
      <c r="AF29" s="323">
        <f ca="1">IFERROR(__xludf.DUMMYFUNCTION("IMPORTRANGE(""https://docs.google.com/spreadsheets/d/1ubs5cl16eYL9gHbdHTJtmtYb9MGzHBs7CAphn8kNCgM/edit?usp=sharing"",""อุตรดิตถ์!J294"")"),25)</f>
        <v>25</v>
      </c>
      <c r="AG29" s="324">
        <f t="shared" ca="1" si="18"/>
        <v>100</v>
      </c>
    </row>
    <row r="30" spans="1:33" ht="24" customHeight="1" x14ac:dyDescent="0.2">
      <c r="A30" s="84">
        <v>17</v>
      </c>
      <c r="B30" s="85" t="s">
        <v>52</v>
      </c>
      <c r="C30" s="86">
        <f t="shared" ca="1" si="0"/>
        <v>229340</v>
      </c>
      <c r="D30" s="87">
        <f t="shared" ca="1" si="37"/>
        <v>229340</v>
      </c>
      <c r="E30" s="88">
        <f ca="1">IFERROR(__xludf.DUMMYFUNCTION("IMPORTRANGE(""https://docs.google.com/spreadsheets/d/1MeEWN-I1oV_STSDYn1IFDPWt_1FKiwhDph83XaGc0o0/edit?usp=sharing"",""งบพรบ!DJ30"")"),153700)</f>
        <v>153700</v>
      </c>
      <c r="F30" s="88">
        <f ca="1">IFERROR(__xludf.DUMMYFUNCTION("IMPORTRANGE(""https://docs.google.com/spreadsheets/d/1MeEWN-I1oV_STSDYn1IFDPWt_1FKiwhDph83XaGc0o0/edit?usp=sharing"",""งบพรบ!DK30"")"),75640)</f>
        <v>75640</v>
      </c>
      <c r="G30" s="88">
        <f ca="1">IFERROR(__xludf.DUMMYFUNCTION("IMPORTRANGE(""https://docs.google.com/spreadsheets/d/1MeEWN-I1oV_STSDYn1IFDPWt_1FKiwhDph83XaGc0o0/edit?usp=sharing"",""งบพรบ!DL30"")"),0)</f>
        <v>0</v>
      </c>
      <c r="H30" s="88">
        <f ca="1">IFERROR(__xludf.DUMMYFUNCTION("IMPORTRANGE(""https://docs.google.com/spreadsheets/d/1MeEWN-I1oV_STSDYn1IFDPWt_1FKiwhDph83XaGc0o0/edit?usp=sharing"",""งบพรบ!DN30"")"),229340)</f>
        <v>229340</v>
      </c>
      <c r="I30" s="88">
        <f ca="1">IFERROR(__xludf.DUMMYFUNCTION("IMPORTRANGE(""https://docs.google.com/spreadsheets/d/1MeEWN-I1oV_STSDYn1IFDPWt_1FKiwhDph83XaGc0o0/edit?usp=sharing"",""งบพรบ!DO30"")"),0)</f>
        <v>0</v>
      </c>
      <c r="J30" s="88">
        <f t="shared" ca="1" si="3"/>
        <v>226450.26</v>
      </c>
      <c r="K30" s="89">
        <f t="shared" ca="1" si="4"/>
        <v>98.739975582105174</v>
      </c>
      <c r="L30" s="88">
        <f ca="1">IFERROR(__xludf.DUMMYFUNCTION("IMPORTRANGE(""https://docs.google.com/spreadsheets/d/1MeEWN-I1oV_STSDYn1IFDPWt_1FKiwhDph83XaGc0o0/edit?usp=sharing"",""งบพรบ!DP30"")"),226450.26)</f>
        <v>226450.26</v>
      </c>
      <c r="M30" s="90">
        <f t="shared" ca="1" si="5"/>
        <v>98.739975582105174</v>
      </c>
      <c r="N30" s="90">
        <f t="shared" ca="1" si="6"/>
        <v>98.739975582105174</v>
      </c>
      <c r="O30" s="91">
        <f ca="1">IFERROR(__xludf.DUMMYFUNCTION("IMPORTRANGE(""https://docs.google.com/spreadsheets/d/1MeEWN-I1oV_STSDYn1IFDPWt_1FKiwhDph83XaGc0o0/edit?usp=sharing"",""งบพรบ!DQ30"")"),0)</f>
        <v>0</v>
      </c>
      <c r="P30" s="91">
        <f t="shared" ca="1" si="32"/>
        <v>0</v>
      </c>
      <c r="Q30" s="90">
        <f t="shared" ca="1" si="8"/>
        <v>0</v>
      </c>
      <c r="R30" s="325">
        <f ca="1">IFERROR(__xludf.DUMMYFUNCTION("IMPORTRANGE(""https://docs.google.com/spreadsheets/d/1kII0BjS6CtVrBvI8IrytgPdxDrlyQDyigzMsohRtDMs/edit?usp=sharing"",""อุทัยธานี!I287"")"),200)</f>
        <v>200</v>
      </c>
      <c r="S30" s="325">
        <f ca="1">IFERROR(__xludf.DUMMYFUNCTION("IMPORTRANGE(""https://docs.google.com/spreadsheets/d/1kII0BjS6CtVrBvI8IrytgPdxDrlyQDyigzMsohRtDMs/edit?usp=sharing"",""อุทัยธานี!J287"")"),200)</f>
        <v>200</v>
      </c>
      <c r="T30" s="326">
        <f t="shared" ca="1" si="27"/>
        <v>100</v>
      </c>
      <c r="U30" s="325">
        <f ca="1">IFERROR(__xludf.DUMMYFUNCTION("IMPORTRANGE(""https://docs.google.com/spreadsheets/d/1kII0BjS6CtVrBvI8IrytgPdxDrlyQDyigzMsohRtDMs/edit?usp=sharing"",""อุทัยธานี!I288"")"),20)</f>
        <v>20</v>
      </c>
      <c r="V30" s="325">
        <f ca="1">IFERROR(__xludf.DUMMYFUNCTION("IMPORTRANGE(""https://docs.google.com/spreadsheets/d/1kII0BjS6CtVrBvI8IrytgPdxDrlyQDyigzMsohRtDMs/edit?usp=sharing"",""อุทัยธานี!J288"")"),20)</f>
        <v>20</v>
      </c>
      <c r="W30" s="326">
        <f t="shared" ca="1" si="28"/>
        <v>100</v>
      </c>
      <c r="X30" s="325">
        <f ca="1">IFERROR(__xludf.DUMMYFUNCTION("IMPORTRANGE(""https://docs.google.com/spreadsheets/d/1kII0BjS6CtVrBvI8IrytgPdxDrlyQDyigzMsohRtDMs/edit?usp=sharing"",""อุทัยธานี!I290"")"),20)</f>
        <v>20</v>
      </c>
      <c r="Y30" s="325">
        <f ca="1">IFERROR(__xludf.DUMMYFUNCTION("IMPORTRANGE(""https://docs.google.com/spreadsheets/d/1kII0BjS6CtVrBvI8IrytgPdxDrlyQDyigzMsohRtDMs/edit?usp=sharing"",""อุทัยธานี!J290"")"),20)</f>
        <v>20</v>
      </c>
      <c r="Z30" s="326">
        <f t="shared" ca="1" si="29"/>
        <v>100</v>
      </c>
      <c r="AA30" s="325">
        <f ca="1">IFERROR(__xludf.DUMMYFUNCTION("IMPORTRANGE(""https://docs.google.com/spreadsheets/d/1kII0BjS6CtVrBvI8IrytgPdxDrlyQDyigzMsohRtDMs/edit?usp=sharing"",""อุทัยธานี!J291"")"),20)</f>
        <v>20</v>
      </c>
      <c r="AB30" s="326">
        <f t="shared" ca="1" si="15"/>
        <v>100</v>
      </c>
      <c r="AC30" s="325">
        <f ca="1">IFERROR(__xludf.DUMMYFUNCTION("IMPORTRANGE(""https://docs.google.com/spreadsheets/d/1kII0BjS6CtVrBvI8IrytgPdxDrlyQDyigzMsohRtDMs/edit?usp=sharing"",""อุทัยธานี!I293"")"),20)</f>
        <v>20</v>
      </c>
      <c r="AD30" s="325">
        <f ca="1">IFERROR(__xludf.DUMMYFUNCTION("IMPORTRANGE(""https://docs.google.com/spreadsheets/d/1kII0BjS6CtVrBvI8IrytgPdxDrlyQDyigzMsohRtDMs/edit?usp=sharing"",""อุทัยธานี!J293"")"),20)</f>
        <v>20</v>
      </c>
      <c r="AE30" s="326">
        <f t="shared" ca="1" si="30"/>
        <v>100</v>
      </c>
      <c r="AF30" s="325">
        <f ca="1">IFERROR(__xludf.DUMMYFUNCTION("IMPORTRANGE(""https://docs.google.com/spreadsheets/d/1kII0BjS6CtVrBvI8IrytgPdxDrlyQDyigzMsohRtDMs/edit?usp=sharing"",""อุทัยธานี!J294"")"),20)</f>
        <v>20</v>
      </c>
      <c r="AG30" s="326">
        <f t="shared" ca="1" si="18"/>
        <v>100</v>
      </c>
    </row>
    <row r="31" spans="1:33" ht="21" customHeight="1" x14ac:dyDescent="0.2">
      <c r="A31" s="383" t="s">
        <v>53</v>
      </c>
      <c r="B31" s="384"/>
      <c r="C31" s="94">
        <f t="shared" ca="1" si="0"/>
        <v>2743610</v>
      </c>
      <c r="D31" s="57">
        <f t="shared" ref="D31:I31" ca="1" si="38">SUM(D32:D51)</f>
        <v>2743610</v>
      </c>
      <c r="E31" s="57">
        <f t="shared" ca="1" si="38"/>
        <v>1110400</v>
      </c>
      <c r="F31" s="57">
        <f t="shared" ca="1" si="38"/>
        <v>1633210</v>
      </c>
      <c r="G31" s="57">
        <f t="shared" ca="1" si="38"/>
        <v>0</v>
      </c>
      <c r="H31" s="57">
        <f t="shared" ca="1" si="38"/>
        <v>2635390</v>
      </c>
      <c r="I31" s="57">
        <f t="shared" ca="1" si="38"/>
        <v>0</v>
      </c>
      <c r="J31" s="57">
        <f t="shared" ca="1" si="3"/>
        <v>2378208.54</v>
      </c>
      <c r="K31" s="95">
        <f t="shared" ca="1" si="4"/>
        <v>86.681727359209219</v>
      </c>
      <c r="L31" s="57">
        <f ca="1">SUM(L32:L51)</f>
        <v>2378208.54</v>
      </c>
      <c r="M31" s="96">
        <f t="shared" ca="1" si="5"/>
        <v>86.681727359209219</v>
      </c>
      <c r="N31" s="96">
        <f t="shared" ca="1" si="6"/>
        <v>90.241237160344383</v>
      </c>
      <c r="O31" s="97">
        <f ca="1">SUM(O32:O51)</f>
        <v>0</v>
      </c>
      <c r="P31" s="97">
        <f t="shared" ca="1" si="32"/>
        <v>0</v>
      </c>
      <c r="Q31" s="96">
        <f t="shared" ca="1" si="8"/>
        <v>0</v>
      </c>
      <c r="R31" s="327">
        <f t="shared" ref="R31:S31" ca="1" si="39">SUM(R32:R51)</f>
        <v>4350</v>
      </c>
      <c r="S31" s="327">
        <f t="shared" ca="1" si="39"/>
        <v>4350</v>
      </c>
      <c r="T31" s="328">
        <f t="shared" ca="1" si="27"/>
        <v>100</v>
      </c>
      <c r="U31" s="327">
        <f t="shared" ref="U31:V31" ca="1" si="40">SUM(U32:U51)</f>
        <v>435</v>
      </c>
      <c r="V31" s="327">
        <f t="shared" ca="1" si="40"/>
        <v>415</v>
      </c>
      <c r="W31" s="328">
        <f t="shared" ca="1" si="28"/>
        <v>95.402298850574709</v>
      </c>
      <c r="X31" s="327">
        <f t="shared" ref="X31:Y31" ca="1" si="41">SUM(X32:X51)</f>
        <v>435</v>
      </c>
      <c r="Y31" s="327">
        <f t="shared" ca="1" si="41"/>
        <v>435</v>
      </c>
      <c r="Z31" s="328">
        <f t="shared" ca="1" si="29"/>
        <v>100</v>
      </c>
      <c r="AA31" s="327">
        <f ca="1">SUM(AA32:AA51)</f>
        <v>435</v>
      </c>
      <c r="AB31" s="328">
        <f t="shared" ca="1" si="15"/>
        <v>100</v>
      </c>
      <c r="AC31" s="327">
        <f t="shared" ref="AC31:AD31" ca="1" si="42">SUM(AC32:AC51)</f>
        <v>435</v>
      </c>
      <c r="AD31" s="327">
        <f t="shared" ca="1" si="42"/>
        <v>435</v>
      </c>
      <c r="AE31" s="328">
        <f t="shared" ca="1" si="30"/>
        <v>100</v>
      </c>
      <c r="AF31" s="327">
        <f ca="1">SUM(AF32:AF51)</f>
        <v>415</v>
      </c>
      <c r="AG31" s="328">
        <f t="shared" ca="1" si="18"/>
        <v>95.402298850574709</v>
      </c>
    </row>
    <row r="32" spans="1:33" ht="21" customHeight="1" x14ac:dyDescent="0.2">
      <c r="A32" s="63">
        <v>1</v>
      </c>
      <c r="B32" s="64" t="s">
        <v>54</v>
      </c>
      <c r="C32" s="98">
        <f t="shared" ca="1" si="0"/>
        <v>259920</v>
      </c>
      <c r="D32" s="66">
        <f t="shared" ref="D32:D51" ca="1" si="43">+E32+F32</f>
        <v>259920</v>
      </c>
      <c r="E32" s="67">
        <f ca="1">IFERROR(__xludf.DUMMYFUNCTION("IMPORTRANGE(""https://docs.google.com/spreadsheets/d/1MeEWN-I1oV_STSDYn1IFDPWt_1FKiwhDph83XaGc0o0/edit?usp=sharing"",""งบพรบ!DJ32"")"),165900)</f>
        <v>165900</v>
      </c>
      <c r="F32" s="67">
        <f ca="1">IFERROR(__xludf.DUMMYFUNCTION("IMPORTRANGE(""https://docs.google.com/spreadsheets/d/1MeEWN-I1oV_STSDYn1IFDPWt_1FKiwhDph83XaGc0o0/edit?usp=sharing"",""งบพรบ!DK32"")"),94020)</f>
        <v>94020</v>
      </c>
      <c r="G32" s="68">
        <f ca="1">IFERROR(__xludf.DUMMYFUNCTION("IMPORTRANGE(""https://docs.google.com/spreadsheets/d/1MeEWN-I1oV_STSDYn1IFDPWt_1FKiwhDph83XaGc0o0/edit?usp=sharing"",""งบพรบ!DL32"")"),0)</f>
        <v>0</v>
      </c>
      <c r="H32" s="68">
        <f ca="1">IFERROR(__xludf.DUMMYFUNCTION("IMPORTRANGE(""https://docs.google.com/spreadsheets/d/1MeEWN-I1oV_STSDYn1IFDPWt_1FKiwhDph83XaGc0o0/edit?usp=sharing"",""งบพรบ!DN32"")"),259920)</f>
        <v>259920</v>
      </c>
      <c r="I32" s="68">
        <f ca="1">IFERROR(__xludf.DUMMYFUNCTION("IMPORTRANGE(""https://docs.google.com/spreadsheets/d/1MeEWN-I1oV_STSDYn1IFDPWt_1FKiwhDph83XaGc0o0/edit?usp=sharing"",""งบพรบ!DO32"")"),0)</f>
        <v>0</v>
      </c>
      <c r="J32" s="68">
        <f t="shared" ca="1" si="3"/>
        <v>258332.51</v>
      </c>
      <c r="K32" s="69">
        <f t="shared" ca="1" si="4"/>
        <v>99.389238996614338</v>
      </c>
      <c r="L32" s="68">
        <f ca="1">IFERROR(__xludf.DUMMYFUNCTION("IMPORTRANGE(""https://docs.google.com/spreadsheets/d/1MeEWN-I1oV_STSDYn1IFDPWt_1FKiwhDph83XaGc0o0/edit?usp=sharing"",""งบพรบ!DP32"")"),258332.51)</f>
        <v>258332.51</v>
      </c>
      <c r="M32" s="70">
        <f t="shared" ca="1" si="5"/>
        <v>99.389238996614338</v>
      </c>
      <c r="N32" s="70">
        <f t="shared" ca="1" si="6"/>
        <v>99.389238996614338</v>
      </c>
      <c r="O32" s="71">
        <f ca="1">IFERROR(__xludf.DUMMYFUNCTION("IMPORTRANGE(""https://docs.google.com/spreadsheets/d/1MeEWN-I1oV_STSDYn1IFDPWt_1FKiwhDph83XaGc0o0/edit?usp=sharing"",""งบพรบ!DQ32"")"),0)</f>
        <v>0</v>
      </c>
      <c r="P32" s="71">
        <f t="shared" ca="1" si="32"/>
        <v>0</v>
      </c>
      <c r="Q32" s="70">
        <f t="shared" ca="1" si="8"/>
        <v>0</v>
      </c>
      <c r="R32" s="321">
        <f ca="1">IFERROR(__xludf.DUMMYFUNCTION("IMPORTRANGE(""https://docs.google.com/spreadsheets/d/1fb2B9NLcpJgjIieIJvenUTNPn0TimZDUi0OtYeiSQ_s/edit?usp=sharing"",""กาฬสินธุ์!I287"")"),250)</f>
        <v>250</v>
      </c>
      <c r="S32" s="321">
        <f ca="1">IFERROR(__xludf.DUMMYFUNCTION("IMPORTRANGE(""https://docs.google.com/spreadsheets/d/1fb2B9NLcpJgjIieIJvenUTNPn0TimZDUi0OtYeiSQ_s/edit?usp=sharing"",""กาฬสินธุ์!J287"")"),250)</f>
        <v>250</v>
      </c>
      <c r="T32" s="322">
        <f t="shared" ca="1" si="27"/>
        <v>100</v>
      </c>
      <c r="U32" s="321">
        <f ca="1">IFERROR(__xludf.DUMMYFUNCTION("IMPORTRANGE(""https://docs.google.com/spreadsheets/d/1fb2B9NLcpJgjIieIJvenUTNPn0TimZDUi0OtYeiSQ_s/edit?usp=sharing"",""กาฬสินธุ์!I288"")"),25)</f>
        <v>25</v>
      </c>
      <c r="V32" s="321">
        <f ca="1">IFERROR(__xludf.DUMMYFUNCTION("IMPORTRANGE(""https://docs.google.com/spreadsheets/d/1fb2B9NLcpJgjIieIJvenUTNPn0TimZDUi0OtYeiSQ_s/edit?usp=sharing"",""กาฬสินธุ์!J288"")"),25)</f>
        <v>25</v>
      </c>
      <c r="W32" s="322">
        <f t="shared" ca="1" si="28"/>
        <v>100</v>
      </c>
      <c r="X32" s="321">
        <f ca="1">IFERROR(__xludf.DUMMYFUNCTION("IMPORTRANGE(""https://docs.google.com/spreadsheets/d/1fb2B9NLcpJgjIieIJvenUTNPn0TimZDUi0OtYeiSQ_s/edit?usp=sharing"",""กาฬสินธุ์!I290"")"),25)</f>
        <v>25</v>
      </c>
      <c r="Y32" s="321">
        <f ca="1">IFERROR(__xludf.DUMMYFUNCTION("IMPORTRANGE(""https://docs.google.com/spreadsheets/d/1fb2B9NLcpJgjIieIJvenUTNPn0TimZDUi0OtYeiSQ_s/edit?usp=sharing"",""กาฬสินธุ์!J290"")"),25)</f>
        <v>25</v>
      </c>
      <c r="Z32" s="322">
        <f t="shared" ca="1" si="29"/>
        <v>100</v>
      </c>
      <c r="AA32" s="321">
        <f ca="1">IFERROR(__xludf.DUMMYFUNCTION("IMPORTRANGE(""https://docs.google.com/spreadsheets/d/1fb2B9NLcpJgjIieIJvenUTNPn0TimZDUi0OtYeiSQ_s/edit?usp=sharing"",""กาฬสินธุ์!J291"")"),25)</f>
        <v>25</v>
      </c>
      <c r="AB32" s="322">
        <f t="shared" ca="1" si="15"/>
        <v>100</v>
      </c>
      <c r="AC32" s="321">
        <f ca="1">IFERROR(__xludf.DUMMYFUNCTION("IMPORTRANGE(""https://docs.google.com/spreadsheets/d/1fb2B9NLcpJgjIieIJvenUTNPn0TimZDUi0OtYeiSQ_s/edit?usp=sharing"",""กาฬสินธุ์!I293"")"),25)</f>
        <v>25</v>
      </c>
      <c r="AD32" s="321">
        <f ca="1">IFERROR(__xludf.DUMMYFUNCTION("IMPORTRANGE(""https://docs.google.com/spreadsheets/d/1fb2B9NLcpJgjIieIJvenUTNPn0TimZDUi0OtYeiSQ_s/edit?usp=sharing"",""กาฬสินธุ์!J293"")"),25)</f>
        <v>25</v>
      </c>
      <c r="AE32" s="322">
        <f t="shared" ca="1" si="30"/>
        <v>100</v>
      </c>
      <c r="AF32" s="321">
        <f ca="1">IFERROR(__xludf.DUMMYFUNCTION("IMPORTRANGE(""https://docs.google.com/spreadsheets/d/1fb2B9NLcpJgjIieIJvenUTNPn0TimZDUi0OtYeiSQ_s/edit?usp=sharing"",""กาฬสินธุ์!J294"")"),25)</f>
        <v>25</v>
      </c>
      <c r="AG32" s="322">
        <f t="shared" ca="1" si="18"/>
        <v>100</v>
      </c>
    </row>
    <row r="33" spans="1:33" ht="21" customHeight="1" x14ac:dyDescent="0.2">
      <c r="A33" s="73">
        <v>2</v>
      </c>
      <c r="B33" s="74" t="s">
        <v>55</v>
      </c>
      <c r="C33" s="75">
        <f t="shared" ca="1" si="0"/>
        <v>288310</v>
      </c>
      <c r="D33" s="76">
        <f t="shared" ca="1" si="43"/>
        <v>288310</v>
      </c>
      <c r="E33" s="77">
        <f ca="1">IFERROR(__xludf.DUMMYFUNCTION("IMPORTRANGE(""https://docs.google.com/spreadsheets/d/1MeEWN-I1oV_STSDYn1IFDPWt_1FKiwhDph83XaGc0o0/edit?usp=sharing"",""งบพรบ!DJ33"")"),176600)</f>
        <v>176600</v>
      </c>
      <c r="F33" s="77">
        <f ca="1">IFERROR(__xludf.DUMMYFUNCTION("IMPORTRANGE(""https://docs.google.com/spreadsheets/d/1MeEWN-I1oV_STSDYn1IFDPWt_1FKiwhDph83XaGc0o0/edit?usp=sharing"",""งบพรบ!DK33"")"),111710)</f>
        <v>111710</v>
      </c>
      <c r="G33" s="77">
        <f ca="1">IFERROR(__xludf.DUMMYFUNCTION("IMPORTRANGE(""https://docs.google.com/spreadsheets/d/1MeEWN-I1oV_STSDYn1IFDPWt_1FKiwhDph83XaGc0o0/edit?usp=sharing"",""งบพรบ!DL33"")"),0)</f>
        <v>0</v>
      </c>
      <c r="H33" s="77">
        <f ca="1">IFERROR(__xludf.DUMMYFUNCTION("IMPORTRANGE(""https://docs.google.com/spreadsheets/d/1MeEWN-I1oV_STSDYn1IFDPWt_1FKiwhDph83XaGc0o0/edit?usp=sharing"",""งบพรบ!DN33"")"),288310)</f>
        <v>288310</v>
      </c>
      <c r="I33" s="77">
        <f ca="1">IFERROR(__xludf.DUMMYFUNCTION("IMPORTRANGE(""https://docs.google.com/spreadsheets/d/1MeEWN-I1oV_STSDYn1IFDPWt_1FKiwhDph83XaGc0o0/edit?usp=sharing"",""งบพรบ!DO33"")"),0)</f>
        <v>0</v>
      </c>
      <c r="J33" s="77">
        <f t="shared" ca="1" si="3"/>
        <v>265214.40999999997</v>
      </c>
      <c r="K33" s="78">
        <f t="shared" ca="1" si="4"/>
        <v>91.989320523048093</v>
      </c>
      <c r="L33" s="77">
        <f ca="1">IFERROR(__xludf.DUMMYFUNCTION("IMPORTRANGE(""https://docs.google.com/spreadsheets/d/1MeEWN-I1oV_STSDYn1IFDPWt_1FKiwhDph83XaGc0o0/edit?usp=sharing"",""งบพรบ!DP33"")"),265214.41)</f>
        <v>265214.40999999997</v>
      </c>
      <c r="M33" s="79">
        <f t="shared" ca="1" si="5"/>
        <v>91.989320523048093</v>
      </c>
      <c r="N33" s="79">
        <f t="shared" ca="1" si="6"/>
        <v>91.989320523048093</v>
      </c>
      <c r="O33" s="80">
        <f ca="1">IFERROR(__xludf.DUMMYFUNCTION("IMPORTRANGE(""https://docs.google.com/spreadsheets/d/1MeEWN-I1oV_STSDYn1IFDPWt_1FKiwhDph83XaGc0o0/edit?usp=sharing"",""งบพรบ!DQ33"")"),0)</f>
        <v>0</v>
      </c>
      <c r="P33" s="80">
        <f t="shared" ca="1" si="32"/>
        <v>0</v>
      </c>
      <c r="Q33" s="79">
        <f t="shared" ca="1" si="8"/>
        <v>0</v>
      </c>
      <c r="R33" s="323">
        <f ca="1">IFERROR(__xludf.DUMMYFUNCTION("IMPORTRANGE(""https://docs.google.com/spreadsheets/d/1SaMnqrwRGmFYNR0MhpWmHuL5niYUd5E7vDq8X7whAlI/edit?usp=sharing"",""ขอนแก่น!I287"")"),300)</f>
        <v>300</v>
      </c>
      <c r="S33" s="323">
        <f ca="1">IFERROR(__xludf.DUMMYFUNCTION("IMPORTRANGE(""https://docs.google.com/spreadsheets/d/1SaMnqrwRGmFYNR0MhpWmHuL5niYUd5E7vDq8X7whAlI/edit?usp=sharing"",""ขอนแก่น!J287"")"),300)</f>
        <v>300</v>
      </c>
      <c r="T33" s="324">
        <f t="shared" ca="1" si="27"/>
        <v>100</v>
      </c>
      <c r="U33" s="323">
        <f ca="1">IFERROR(__xludf.DUMMYFUNCTION("IMPORTRANGE(""https://docs.google.com/spreadsheets/d/1SaMnqrwRGmFYNR0MhpWmHuL5niYUd5E7vDq8X7whAlI/edit?usp=sharing"",""ขอนแก่น!I288"")"),30)</f>
        <v>30</v>
      </c>
      <c r="V33" s="323">
        <f ca="1">IFERROR(__xludf.DUMMYFUNCTION("IMPORTRANGE(""https://docs.google.com/spreadsheets/d/1SaMnqrwRGmFYNR0MhpWmHuL5niYUd5E7vDq8X7whAlI/edit?usp=sharing"",""ขอนแก่น!J288"")"),30)</f>
        <v>30</v>
      </c>
      <c r="W33" s="324">
        <f t="shared" ca="1" si="28"/>
        <v>100</v>
      </c>
      <c r="X33" s="323">
        <f ca="1">IFERROR(__xludf.DUMMYFUNCTION("IMPORTRANGE(""https://docs.google.com/spreadsheets/d/1SaMnqrwRGmFYNR0MhpWmHuL5niYUd5E7vDq8X7whAlI/edit?usp=sharing"",""ขอนแก่น!I290"")"),30)</f>
        <v>30</v>
      </c>
      <c r="Y33" s="323">
        <f ca="1">IFERROR(__xludf.DUMMYFUNCTION("IMPORTRANGE(""https://docs.google.com/spreadsheets/d/1SaMnqrwRGmFYNR0MhpWmHuL5niYUd5E7vDq8X7whAlI/edit?usp=sharing"",""ขอนแก่น!J290"")"),30)</f>
        <v>30</v>
      </c>
      <c r="Z33" s="324">
        <f t="shared" ca="1" si="29"/>
        <v>100</v>
      </c>
      <c r="AA33" s="323">
        <f ca="1">IFERROR(__xludf.DUMMYFUNCTION("IMPORTRANGE(""https://docs.google.com/spreadsheets/d/1SaMnqrwRGmFYNR0MhpWmHuL5niYUd5E7vDq8X7whAlI/edit?usp=sharing"",""ขอนแก่น!J291"")"),30)</f>
        <v>30</v>
      </c>
      <c r="AB33" s="324">
        <f t="shared" ca="1" si="15"/>
        <v>100</v>
      </c>
      <c r="AC33" s="323">
        <f ca="1">IFERROR(__xludf.DUMMYFUNCTION("IMPORTRANGE(""https://docs.google.com/spreadsheets/d/1SaMnqrwRGmFYNR0MhpWmHuL5niYUd5E7vDq8X7whAlI/edit?usp=sharing"",""ขอนแก่น!I293"")"),30)</f>
        <v>30</v>
      </c>
      <c r="AD33" s="323">
        <f ca="1">IFERROR(__xludf.DUMMYFUNCTION("IMPORTRANGE(""https://docs.google.com/spreadsheets/d/1SaMnqrwRGmFYNR0MhpWmHuL5niYUd5E7vDq8X7whAlI/edit?usp=sharing"",""ขอนแก่น!J293"")"),30)</f>
        <v>30</v>
      </c>
      <c r="AE33" s="324">
        <f t="shared" ca="1" si="30"/>
        <v>100</v>
      </c>
      <c r="AF33" s="323">
        <f ca="1">IFERROR(__xludf.DUMMYFUNCTION("IMPORTRANGE(""https://docs.google.com/spreadsheets/d/1SaMnqrwRGmFYNR0MhpWmHuL5niYUd5E7vDq8X7whAlI/edit?usp=sharing"",""ขอนแก่น!J294"")"),30)</f>
        <v>30</v>
      </c>
      <c r="AG33" s="324">
        <f t="shared" ca="1" si="18"/>
        <v>100</v>
      </c>
    </row>
    <row r="34" spans="1:33" ht="21" customHeight="1" x14ac:dyDescent="0.2">
      <c r="A34" s="73">
        <v>3</v>
      </c>
      <c r="B34" s="74" t="s">
        <v>56</v>
      </c>
      <c r="C34" s="75">
        <f t="shared" ca="1" si="0"/>
        <v>413560</v>
      </c>
      <c r="D34" s="76">
        <f t="shared" ca="1" si="43"/>
        <v>413560</v>
      </c>
      <c r="E34" s="77">
        <f ca="1">IFERROR(__xludf.DUMMYFUNCTION("IMPORTRANGE(""https://docs.google.com/spreadsheets/d/1MeEWN-I1oV_STSDYn1IFDPWt_1FKiwhDph83XaGc0o0/edit?usp=sharing"",""งบพรบ!DJ34"")"),162200)</f>
        <v>162200</v>
      </c>
      <c r="F34" s="77">
        <f ca="1">IFERROR(__xludf.DUMMYFUNCTION("IMPORTRANGE(""https://docs.google.com/spreadsheets/d/1MeEWN-I1oV_STSDYn1IFDPWt_1FKiwhDph83XaGc0o0/edit?usp=sharing"",""งบพรบ!DK34"")"),251360)</f>
        <v>251360</v>
      </c>
      <c r="G34" s="77">
        <f ca="1">IFERROR(__xludf.DUMMYFUNCTION("IMPORTRANGE(""https://docs.google.com/spreadsheets/d/1MeEWN-I1oV_STSDYn1IFDPWt_1FKiwhDph83XaGc0o0/edit?usp=sharing"",""งบพรบ!DL34"")"),0)</f>
        <v>0</v>
      </c>
      <c r="H34" s="77">
        <f ca="1">IFERROR(__xludf.DUMMYFUNCTION("IMPORTRANGE(""https://docs.google.com/spreadsheets/d/1MeEWN-I1oV_STSDYn1IFDPWt_1FKiwhDph83XaGc0o0/edit?usp=sharing"",""งบพรบ!DN34"")"),305340)</f>
        <v>305340</v>
      </c>
      <c r="I34" s="77">
        <f ca="1">IFERROR(__xludf.DUMMYFUNCTION("IMPORTRANGE(""https://docs.google.com/spreadsheets/d/1MeEWN-I1oV_STSDYn1IFDPWt_1FKiwhDph83XaGc0o0/edit?usp=sharing"",""งบพรบ!DO34"")"),0)</f>
        <v>0</v>
      </c>
      <c r="J34" s="77">
        <f t="shared" ca="1" si="3"/>
        <v>162579</v>
      </c>
      <c r="K34" s="78">
        <f t="shared" ca="1" si="4"/>
        <v>39.312070799883934</v>
      </c>
      <c r="L34" s="77">
        <f ca="1">IFERROR(__xludf.DUMMYFUNCTION("IMPORTRANGE(""https://docs.google.com/spreadsheets/d/1MeEWN-I1oV_STSDYn1IFDPWt_1FKiwhDph83XaGc0o0/edit?usp=sharing"",""งบพรบ!DP34"")"),162579)</f>
        <v>162579</v>
      </c>
      <c r="M34" s="79">
        <f t="shared" ca="1" si="5"/>
        <v>39.312070799883934</v>
      </c>
      <c r="N34" s="79">
        <f t="shared" ca="1" si="6"/>
        <v>53.24523482020043</v>
      </c>
      <c r="O34" s="80">
        <f ca="1">IFERROR(__xludf.DUMMYFUNCTION("IMPORTRANGE(""https://docs.google.com/spreadsheets/d/1MeEWN-I1oV_STSDYn1IFDPWt_1FKiwhDph83XaGc0o0/edit?usp=sharing"",""งบพรบ!DQ34"")"),0)</f>
        <v>0</v>
      </c>
      <c r="P34" s="80">
        <f t="shared" ca="1" si="32"/>
        <v>0</v>
      </c>
      <c r="Q34" s="79">
        <f t="shared" ca="1" si="8"/>
        <v>0</v>
      </c>
      <c r="R34" s="323">
        <f ca="1">IFERROR(__xludf.DUMMYFUNCTION("IMPORTRANGE(""https://docs.google.com/spreadsheets/d/1xQzEtGHhTTgxHh6YUkKY1P4dRyjVhS74dGswLfAASA4/edit?usp=sharing"",""ชัยภูมิ!I287"")"),700)</f>
        <v>700</v>
      </c>
      <c r="S34" s="323">
        <f ca="1">IFERROR(__xludf.DUMMYFUNCTION("IMPORTRANGE(""https://docs.google.com/spreadsheets/d/1xQzEtGHhTTgxHh6YUkKY1P4dRyjVhS74dGswLfAASA4/edit?usp=sharing"",""ชัยภูมิ!J287"")"),700)</f>
        <v>700</v>
      </c>
      <c r="T34" s="324">
        <f t="shared" ca="1" si="27"/>
        <v>100</v>
      </c>
      <c r="U34" s="323">
        <f ca="1">IFERROR(__xludf.DUMMYFUNCTION("IMPORTRANGE(""https://docs.google.com/spreadsheets/d/1xQzEtGHhTTgxHh6YUkKY1P4dRyjVhS74dGswLfAASA4/edit?usp=sharing"",""ชัยภูมิ!I288"")"),70)</f>
        <v>70</v>
      </c>
      <c r="V34" s="323">
        <f ca="1">IFERROR(__xludf.DUMMYFUNCTION("IMPORTRANGE(""https://docs.google.com/spreadsheets/d/1xQzEtGHhTTgxHh6YUkKY1P4dRyjVhS74dGswLfAASA4/edit?usp=sharing"",""ชัยภูมิ!J288"")"),70)</f>
        <v>70</v>
      </c>
      <c r="W34" s="324">
        <f t="shared" ca="1" si="28"/>
        <v>100</v>
      </c>
      <c r="X34" s="323">
        <f ca="1">IFERROR(__xludf.DUMMYFUNCTION("IMPORTRANGE(""https://docs.google.com/spreadsheets/d/1xQzEtGHhTTgxHh6YUkKY1P4dRyjVhS74dGswLfAASA4/edit?usp=sharing"",""ชัยภูมิ!I290"")"),70)</f>
        <v>70</v>
      </c>
      <c r="Y34" s="323">
        <f ca="1">IFERROR(__xludf.DUMMYFUNCTION("IMPORTRANGE(""https://docs.google.com/spreadsheets/d/1xQzEtGHhTTgxHh6YUkKY1P4dRyjVhS74dGswLfAASA4/edit?usp=sharing"",""ชัยภูมิ!J290"")"),70)</f>
        <v>70</v>
      </c>
      <c r="Z34" s="324">
        <f t="shared" ca="1" si="29"/>
        <v>100</v>
      </c>
      <c r="AA34" s="323">
        <f ca="1">IFERROR(__xludf.DUMMYFUNCTION("IMPORTRANGE(""https://docs.google.com/spreadsheets/d/1xQzEtGHhTTgxHh6YUkKY1P4dRyjVhS74dGswLfAASA4/edit?usp=sharing"",""ชัยภูมิ!J291"")"),70)</f>
        <v>70</v>
      </c>
      <c r="AB34" s="324">
        <f t="shared" ca="1" si="15"/>
        <v>100</v>
      </c>
      <c r="AC34" s="323">
        <f ca="1">IFERROR(__xludf.DUMMYFUNCTION("IMPORTRANGE(""https://docs.google.com/spreadsheets/d/1xQzEtGHhTTgxHh6YUkKY1P4dRyjVhS74dGswLfAASA4/edit?usp=sharing"",""ชัยภูมิ!I293"")"),70)</f>
        <v>70</v>
      </c>
      <c r="AD34" s="323">
        <f ca="1">IFERROR(__xludf.DUMMYFUNCTION("IMPORTRANGE(""https://docs.google.com/spreadsheets/d/1xQzEtGHhTTgxHh6YUkKY1P4dRyjVhS74dGswLfAASA4/edit?usp=sharing"",""ชัยภูมิ!J293"")"),70)</f>
        <v>70</v>
      </c>
      <c r="AE34" s="324">
        <f t="shared" ca="1" si="30"/>
        <v>100</v>
      </c>
      <c r="AF34" s="323">
        <f ca="1">IFERROR(__xludf.DUMMYFUNCTION("IMPORTRANGE(""https://docs.google.com/spreadsheets/d/1xQzEtGHhTTgxHh6YUkKY1P4dRyjVhS74dGswLfAASA4/edit?usp=sharing"",""ชัยภูมิ!J294"")"),70)</f>
        <v>70</v>
      </c>
      <c r="AG34" s="324">
        <f t="shared" ca="1" si="18"/>
        <v>100</v>
      </c>
    </row>
    <row r="35" spans="1:33" ht="21" customHeight="1" x14ac:dyDescent="0.2">
      <c r="A35" s="73">
        <v>4</v>
      </c>
      <c r="B35" s="74" t="s">
        <v>57</v>
      </c>
      <c r="C35" s="75">
        <f t="shared" ca="1" si="0"/>
        <v>41010</v>
      </c>
      <c r="D35" s="76">
        <f t="shared" ca="1" si="43"/>
        <v>41010</v>
      </c>
      <c r="E35" s="77">
        <f ca="1">IFERROR(__xludf.DUMMYFUNCTION("IMPORTRANGE(""https://docs.google.com/spreadsheets/d/1MeEWN-I1oV_STSDYn1IFDPWt_1FKiwhDph83XaGc0o0/edit?usp=sharing"",""งบพรบ!DJ35"")"),0)</f>
        <v>0</v>
      </c>
      <c r="F35" s="77">
        <f ca="1">IFERROR(__xludf.DUMMYFUNCTION("IMPORTRANGE(""https://docs.google.com/spreadsheets/d/1MeEWN-I1oV_STSDYn1IFDPWt_1FKiwhDph83XaGc0o0/edit?usp=sharing"",""งบพรบ!DK35"")"),41010)</f>
        <v>41010</v>
      </c>
      <c r="G35" s="77">
        <f ca="1">IFERROR(__xludf.DUMMYFUNCTION("IMPORTRANGE(""https://docs.google.com/spreadsheets/d/1MeEWN-I1oV_STSDYn1IFDPWt_1FKiwhDph83XaGc0o0/edit?usp=sharing"",""งบพรบ!DL35"")"),0)</f>
        <v>0</v>
      </c>
      <c r="H35" s="77">
        <f ca="1">IFERROR(__xludf.DUMMYFUNCTION("IMPORTRANGE(""https://docs.google.com/spreadsheets/d/1MeEWN-I1oV_STSDYn1IFDPWt_1FKiwhDph83XaGc0o0/edit?usp=sharing"",""งบพรบ!DN35"")"),41010)</f>
        <v>41010</v>
      </c>
      <c r="I35" s="77">
        <f ca="1">IFERROR(__xludf.DUMMYFUNCTION("IMPORTRANGE(""https://docs.google.com/spreadsheets/d/1MeEWN-I1oV_STSDYn1IFDPWt_1FKiwhDph83XaGc0o0/edit?usp=sharing"",""งบพรบ!DO35"")"),0)</f>
        <v>0</v>
      </c>
      <c r="J35" s="77">
        <f t="shared" ca="1" si="3"/>
        <v>41010</v>
      </c>
      <c r="K35" s="78">
        <f t="shared" ca="1" si="4"/>
        <v>100</v>
      </c>
      <c r="L35" s="77">
        <f ca="1">IFERROR(__xludf.DUMMYFUNCTION("IMPORTRANGE(""https://docs.google.com/spreadsheets/d/1MeEWN-I1oV_STSDYn1IFDPWt_1FKiwhDph83XaGc0o0/edit?usp=sharing"",""งบพรบ!DP35"")"),41010)</f>
        <v>41010</v>
      </c>
      <c r="M35" s="79">
        <f t="shared" ca="1" si="5"/>
        <v>100</v>
      </c>
      <c r="N35" s="79">
        <f t="shared" ca="1" si="6"/>
        <v>100</v>
      </c>
      <c r="O35" s="80">
        <f ca="1">IFERROR(__xludf.DUMMYFUNCTION("IMPORTRANGE(""https://docs.google.com/spreadsheets/d/1MeEWN-I1oV_STSDYn1IFDPWt_1FKiwhDph83XaGc0o0/edit?usp=sharing"",""งบพรบ!DQ35"")"),0)</f>
        <v>0</v>
      </c>
      <c r="P35" s="80">
        <f t="shared" ca="1" si="32"/>
        <v>0</v>
      </c>
      <c r="Q35" s="79">
        <f t="shared" ca="1" si="8"/>
        <v>0</v>
      </c>
      <c r="R35" s="323">
        <f ca="1">IFERROR(__xludf.DUMMYFUNCTION("IMPORTRANGE(""https://docs.google.com/spreadsheets/d/1EXMBoBxU3OFbjT2TRpneM33qFjqDzrKmn9ydcflfI0o/edit?usp=sharing"",""นครพนม!I287"")"),100)</f>
        <v>100</v>
      </c>
      <c r="S35" s="323">
        <f ca="1">IFERROR(__xludf.DUMMYFUNCTION("IMPORTRANGE(""https://docs.google.com/spreadsheets/d/1EXMBoBxU3OFbjT2TRpneM33qFjqDzrKmn9ydcflfI0o/edit?usp=sharing"",""นครพนม!J287"")"),100)</f>
        <v>100</v>
      </c>
      <c r="T35" s="324">
        <f t="shared" ca="1" si="27"/>
        <v>100</v>
      </c>
      <c r="U35" s="323">
        <f ca="1">IFERROR(__xludf.DUMMYFUNCTION("IMPORTRANGE(""https://docs.google.com/spreadsheets/d/1EXMBoBxU3OFbjT2TRpneM33qFjqDzrKmn9ydcflfI0o/edit?usp=sharing"",""นครพนม!I288"")"),10)</f>
        <v>10</v>
      </c>
      <c r="V35" s="323">
        <f ca="1">IFERROR(__xludf.DUMMYFUNCTION("IMPORTRANGE(""https://docs.google.com/spreadsheets/d/1EXMBoBxU3OFbjT2TRpneM33qFjqDzrKmn9ydcflfI0o/edit?usp=sharing"",""นครพนม!J288"")"),10)</f>
        <v>10</v>
      </c>
      <c r="W35" s="324">
        <f t="shared" ca="1" si="28"/>
        <v>100</v>
      </c>
      <c r="X35" s="323">
        <f ca="1">IFERROR(__xludf.DUMMYFUNCTION("IMPORTRANGE(""https://docs.google.com/spreadsheets/d/1EXMBoBxU3OFbjT2TRpneM33qFjqDzrKmn9ydcflfI0o/edit?usp=sharing"",""นครพนม!I290"")"),10)</f>
        <v>10</v>
      </c>
      <c r="Y35" s="323">
        <f ca="1">IFERROR(__xludf.DUMMYFUNCTION("IMPORTRANGE(""https://docs.google.com/spreadsheets/d/1EXMBoBxU3OFbjT2TRpneM33qFjqDzrKmn9ydcflfI0o/edit?usp=sharing"",""นครพนม!J290"")"),10)</f>
        <v>10</v>
      </c>
      <c r="Z35" s="324">
        <f t="shared" ca="1" si="29"/>
        <v>100</v>
      </c>
      <c r="AA35" s="323">
        <f ca="1">IFERROR(__xludf.DUMMYFUNCTION("IMPORTRANGE(""https://docs.google.com/spreadsheets/d/1EXMBoBxU3OFbjT2TRpneM33qFjqDzrKmn9ydcflfI0o/edit?usp=sharing"",""นครพนม!J291"")"),10)</f>
        <v>10</v>
      </c>
      <c r="AB35" s="324">
        <f t="shared" ca="1" si="15"/>
        <v>100</v>
      </c>
      <c r="AC35" s="323">
        <f ca="1">IFERROR(__xludf.DUMMYFUNCTION("IMPORTRANGE(""https://docs.google.com/spreadsheets/d/1EXMBoBxU3OFbjT2TRpneM33qFjqDzrKmn9ydcflfI0o/edit?usp=sharing"",""นครพนม!I293"")"),10)</f>
        <v>10</v>
      </c>
      <c r="AD35" s="323">
        <f ca="1">IFERROR(__xludf.DUMMYFUNCTION("IMPORTRANGE(""https://docs.google.com/spreadsheets/d/1EXMBoBxU3OFbjT2TRpneM33qFjqDzrKmn9ydcflfI0o/edit?usp=sharing"",""นครพนม!J293"")"),10)</f>
        <v>10</v>
      </c>
      <c r="AE35" s="324">
        <f t="shared" ca="1" si="30"/>
        <v>100</v>
      </c>
      <c r="AF35" s="323">
        <f ca="1">IFERROR(__xludf.DUMMYFUNCTION("IMPORTRANGE(""https://docs.google.com/spreadsheets/d/1EXMBoBxU3OFbjT2TRpneM33qFjqDzrKmn9ydcflfI0o/edit?usp=sharing"",""นครพนม!J294"")"),10)</f>
        <v>10</v>
      </c>
      <c r="AG35" s="324">
        <f t="shared" ca="1" si="18"/>
        <v>100</v>
      </c>
    </row>
    <row r="36" spans="1:33" ht="21" customHeight="1" x14ac:dyDescent="0.2">
      <c r="A36" s="73">
        <v>5</v>
      </c>
      <c r="B36" s="74" t="s">
        <v>58</v>
      </c>
      <c r="C36" s="75">
        <f t="shared" ca="1" si="0"/>
        <v>147030</v>
      </c>
      <c r="D36" s="76">
        <f t="shared" ca="1" si="43"/>
        <v>147030</v>
      </c>
      <c r="E36" s="77">
        <f ca="1">IFERROR(__xludf.DUMMYFUNCTION("IMPORTRANGE(""https://docs.google.com/spreadsheets/d/1MeEWN-I1oV_STSDYn1IFDPWt_1FKiwhDph83XaGc0o0/edit?usp=sharing"",""งบพรบ!DJ36"")"),0)</f>
        <v>0</v>
      </c>
      <c r="F36" s="77">
        <f ca="1">IFERROR(__xludf.DUMMYFUNCTION("IMPORTRANGE(""https://docs.google.com/spreadsheets/d/1MeEWN-I1oV_STSDYn1IFDPWt_1FKiwhDph83XaGc0o0/edit?usp=sharing"",""งบพรบ!DK36"")"),147030)</f>
        <v>147030</v>
      </c>
      <c r="G36" s="77">
        <f ca="1">IFERROR(__xludf.DUMMYFUNCTION("IMPORTRANGE(""https://docs.google.com/spreadsheets/d/1MeEWN-I1oV_STSDYn1IFDPWt_1FKiwhDph83XaGc0o0/edit?usp=sharing"",""งบพรบ!DL36"")"),0)</f>
        <v>0</v>
      </c>
      <c r="H36" s="77">
        <f ca="1">IFERROR(__xludf.DUMMYFUNCTION("IMPORTRANGE(""https://docs.google.com/spreadsheets/d/1MeEWN-I1oV_STSDYn1IFDPWt_1FKiwhDph83XaGc0o0/edit?usp=sharing"",""งบพรบ!DN36"")"),147030)</f>
        <v>147030</v>
      </c>
      <c r="I36" s="77">
        <f ca="1">IFERROR(__xludf.DUMMYFUNCTION("IMPORTRANGE(""https://docs.google.com/spreadsheets/d/1MeEWN-I1oV_STSDYn1IFDPWt_1FKiwhDph83XaGc0o0/edit?usp=sharing"",""งบพรบ!DO36"")"),0)</f>
        <v>0</v>
      </c>
      <c r="J36" s="77">
        <f t="shared" ca="1" si="3"/>
        <v>147030</v>
      </c>
      <c r="K36" s="78">
        <f t="shared" ca="1" si="4"/>
        <v>100</v>
      </c>
      <c r="L36" s="77">
        <f ca="1">IFERROR(__xludf.DUMMYFUNCTION("IMPORTRANGE(""https://docs.google.com/spreadsheets/d/1MeEWN-I1oV_STSDYn1IFDPWt_1FKiwhDph83XaGc0o0/edit?usp=sharing"",""งบพรบ!DP36"")"),147030)</f>
        <v>147030</v>
      </c>
      <c r="M36" s="79">
        <f t="shared" ca="1" si="5"/>
        <v>100</v>
      </c>
      <c r="N36" s="79">
        <f t="shared" ca="1" si="6"/>
        <v>100</v>
      </c>
      <c r="O36" s="80">
        <f ca="1">IFERROR(__xludf.DUMMYFUNCTION("IMPORTRANGE(""https://docs.google.com/spreadsheets/d/1MeEWN-I1oV_STSDYn1IFDPWt_1FKiwhDph83XaGc0o0/edit?usp=sharing"",""งบพรบ!DQ36"")"),0)</f>
        <v>0</v>
      </c>
      <c r="P36" s="80">
        <f t="shared" ca="1" si="32"/>
        <v>0</v>
      </c>
      <c r="Q36" s="79">
        <f t="shared" ca="1" si="8"/>
        <v>0</v>
      </c>
      <c r="R36" s="323">
        <f ca="1">IFERROR(__xludf.DUMMYFUNCTION("IMPORTRANGE(""https://docs.google.com/spreadsheets/d/1bDQrolntRWtHumK8W-x-HXKntwxB9S3sF5aDeRS66Ko/edit?usp=sharing"",""นครราชสีมา!I287"")"),400)</f>
        <v>400</v>
      </c>
      <c r="S36" s="323">
        <f ca="1">IFERROR(__xludf.DUMMYFUNCTION("IMPORTRANGE(""https://docs.google.com/spreadsheets/d/1bDQrolntRWtHumK8W-x-HXKntwxB9S3sF5aDeRS66Ko/edit?usp=sharing"",""นครราชสีมา!J287"")"),400)</f>
        <v>400</v>
      </c>
      <c r="T36" s="324">
        <f t="shared" ca="1" si="27"/>
        <v>100</v>
      </c>
      <c r="U36" s="323">
        <f ca="1">IFERROR(__xludf.DUMMYFUNCTION("IMPORTRANGE(""https://docs.google.com/spreadsheets/d/1bDQrolntRWtHumK8W-x-HXKntwxB9S3sF5aDeRS66Ko/edit?usp=sharing"",""นครราชสีมา!I288"")"),40)</f>
        <v>40</v>
      </c>
      <c r="V36" s="323">
        <f ca="1">IFERROR(__xludf.DUMMYFUNCTION("IMPORTRANGE(""https://docs.google.com/spreadsheets/d/1bDQrolntRWtHumK8W-x-HXKntwxB9S3sF5aDeRS66Ko/edit?usp=sharing"",""นครราชสีมา!J288"")"),40)</f>
        <v>40</v>
      </c>
      <c r="W36" s="324">
        <f t="shared" ca="1" si="28"/>
        <v>100</v>
      </c>
      <c r="X36" s="323">
        <f ca="1">IFERROR(__xludf.DUMMYFUNCTION("IMPORTRANGE(""https://docs.google.com/spreadsheets/d/1bDQrolntRWtHumK8W-x-HXKntwxB9S3sF5aDeRS66Ko/edit?usp=sharing"",""นครราชสีมา!I290"")"),40)</f>
        <v>40</v>
      </c>
      <c r="Y36" s="323">
        <f ca="1">IFERROR(__xludf.DUMMYFUNCTION("IMPORTRANGE(""https://docs.google.com/spreadsheets/d/1bDQrolntRWtHumK8W-x-HXKntwxB9S3sF5aDeRS66Ko/edit?usp=sharing"",""นครราชสีมา!J290"")"),40)</f>
        <v>40</v>
      </c>
      <c r="Z36" s="324">
        <f t="shared" ca="1" si="29"/>
        <v>100</v>
      </c>
      <c r="AA36" s="323">
        <f ca="1">IFERROR(__xludf.DUMMYFUNCTION("IMPORTRANGE(""https://docs.google.com/spreadsheets/d/1bDQrolntRWtHumK8W-x-HXKntwxB9S3sF5aDeRS66Ko/edit?usp=sharing"",""นครราชสีมา!J291"")"),40)</f>
        <v>40</v>
      </c>
      <c r="AB36" s="324">
        <f t="shared" ca="1" si="15"/>
        <v>100</v>
      </c>
      <c r="AC36" s="323">
        <f ca="1">IFERROR(__xludf.DUMMYFUNCTION("IMPORTRANGE(""https://docs.google.com/spreadsheets/d/1bDQrolntRWtHumK8W-x-HXKntwxB9S3sF5aDeRS66Ko/edit?usp=sharing"",""นครราชสีมา!I293"")"),40)</f>
        <v>40</v>
      </c>
      <c r="AD36" s="323">
        <f ca="1">IFERROR(__xludf.DUMMYFUNCTION("IMPORTRANGE(""https://docs.google.com/spreadsheets/d/1bDQrolntRWtHumK8W-x-HXKntwxB9S3sF5aDeRS66Ko/edit?usp=sharing"",""นครราชสีมา!J293"")"),40)</f>
        <v>40</v>
      </c>
      <c r="AE36" s="324">
        <f t="shared" ca="1" si="30"/>
        <v>100</v>
      </c>
      <c r="AF36" s="323">
        <f ca="1">IFERROR(__xludf.DUMMYFUNCTION("IMPORTRANGE(""https://docs.google.com/spreadsheets/d/1bDQrolntRWtHumK8W-x-HXKntwxB9S3sF5aDeRS66Ko/edit?usp=sharing"",""นครราชสีมา!J294"")"),40)</f>
        <v>40</v>
      </c>
      <c r="AG36" s="324">
        <f t="shared" ca="1" si="18"/>
        <v>100</v>
      </c>
    </row>
    <row r="37" spans="1:33" ht="21" customHeight="1" x14ac:dyDescent="0.2">
      <c r="A37" s="73">
        <v>6</v>
      </c>
      <c r="B37" s="74" t="s">
        <v>59</v>
      </c>
      <c r="C37" s="75">
        <f t="shared" ca="1" si="0"/>
        <v>198510</v>
      </c>
      <c r="D37" s="76">
        <f t="shared" ca="1" si="43"/>
        <v>198510</v>
      </c>
      <c r="E37" s="77">
        <f ca="1">IFERROR(__xludf.DUMMYFUNCTION("IMPORTRANGE(""https://docs.google.com/spreadsheets/d/1MeEWN-I1oV_STSDYn1IFDPWt_1FKiwhDph83XaGc0o0/edit?usp=sharing"",""งบพรบ!DJ37"")"),157500)</f>
        <v>157500</v>
      </c>
      <c r="F37" s="77">
        <f ca="1">IFERROR(__xludf.DUMMYFUNCTION("IMPORTRANGE(""https://docs.google.com/spreadsheets/d/1MeEWN-I1oV_STSDYn1IFDPWt_1FKiwhDph83XaGc0o0/edit?usp=sharing"",""งบพรบ!DK37"")"),41010)</f>
        <v>41010</v>
      </c>
      <c r="G37" s="77">
        <f ca="1">IFERROR(__xludf.DUMMYFUNCTION("IMPORTRANGE(""https://docs.google.com/spreadsheets/d/1MeEWN-I1oV_STSDYn1IFDPWt_1FKiwhDph83XaGc0o0/edit?usp=sharing"",""งบพรบ!DL37"")"),0)</f>
        <v>0</v>
      </c>
      <c r="H37" s="77">
        <f ca="1">IFERROR(__xludf.DUMMYFUNCTION("IMPORTRANGE(""https://docs.google.com/spreadsheets/d/1MeEWN-I1oV_STSDYn1IFDPWt_1FKiwhDph83XaGc0o0/edit?usp=sharing"",""งบพรบ!DN37"")"),198510)</f>
        <v>198510</v>
      </c>
      <c r="I37" s="77">
        <f ca="1">IFERROR(__xludf.DUMMYFUNCTION("IMPORTRANGE(""https://docs.google.com/spreadsheets/d/1MeEWN-I1oV_STSDYn1IFDPWt_1FKiwhDph83XaGc0o0/edit?usp=sharing"",""งบพรบ!DO37"")"),0)</f>
        <v>0</v>
      </c>
      <c r="J37" s="77">
        <f t="shared" ca="1" si="3"/>
        <v>163979.07999999999</v>
      </c>
      <c r="K37" s="78">
        <f t="shared" ca="1" si="4"/>
        <v>82.60494685406276</v>
      </c>
      <c r="L37" s="77">
        <f ca="1">IFERROR(__xludf.DUMMYFUNCTION("IMPORTRANGE(""https://docs.google.com/spreadsheets/d/1MeEWN-I1oV_STSDYn1IFDPWt_1FKiwhDph83XaGc0o0/edit?usp=sharing"",""งบพรบ!DP37"")"),163979.08)</f>
        <v>163979.07999999999</v>
      </c>
      <c r="M37" s="79">
        <f t="shared" ca="1" si="5"/>
        <v>82.60494685406276</v>
      </c>
      <c r="N37" s="79">
        <f t="shared" ca="1" si="6"/>
        <v>82.60494685406276</v>
      </c>
      <c r="O37" s="80">
        <f ca="1">IFERROR(__xludf.DUMMYFUNCTION("IMPORTRANGE(""https://docs.google.com/spreadsheets/d/1MeEWN-I1oV_STSDYn1IFDPWt_1FKiwhDph83XaGc0o0/edit?usp=sharing"",""งบพรบ!DQ37"")"),0)</f>
        <v>0</v>
      </c>
      <c r="P37" s="80">
        <f t="shared" ca="1" si="32"/>
        <v>0</v>
      </c>
      <c r="Q37" s="79">
        <f t="shared" ca="1" si="8"/>
        <v>0</v>
      </c>
      <c r="R37" s="323">
        <f ca="1">IFERROR(__xludf.DUMMYFUNCTION("IMPORTRANGE(""https://docs.google.com/spreadsheets/d/1_MzZ-2gVPiCW-d2VcafoCmFJQTSrZ6SQyFcMqRRQQ2w/edit?usp=sharing"",""บึงกาฬ!I287"")"),100)</f>
        <v>100</v>
      </c>
      <c r="S37" s="323">
        <f ca="1">IFERROR(__xludf.DUMMYFUNCTION("IMPORTRANGE(""https://docs.google.com/spreadsheets/d/1_MzZ-2gVPiCW-d2VcafoCmFJQTSrZ6SQyFcMqRRQQ2w/edit?usp=sharing"",""บึงกาฬ!J287"")"),100)</f>
        <v>100</v>
      </c>
      <c r="T37" s="324">
        <f t="shared" ca="1" si="27"/>
        <v>100</v>
      </c>
      <c r="U37" s="323">
        <f ca="1">IFERROR(__xludf.DUMMYFUNCTION("IMPORTRANGE(""https://docs.google.com/spreadsheets/d/1_MzZ-2gVPiCW-d2VcafoCmFJQTSrZ6SQyFcMqRRQQ2w/edit?usp=sharing"",""บึงกาฬ!I288"")"),10)</f>
        <v>10</v>
      </c>
      <c r="V37" s="323">
        <f ca="1">IFERROR(__xludf.DUMMYFUNCTION("IMPORTRANGE(""https://docs.google.com/spreadsheets/d/1_MzZ-2gVPiCW-d2VcafoCmFJQTSrZ6SQyFcMqRRQQ2w/edit?usp=sharing"",""บึงกาฬ!J288"")"),10)</f>
        <v>10</v>
      </c>
      <c r="W37" s="324">
        <f t="shared" ca="1" si="28"/>
        <v>100</v>
      </c>
      <c r="X37" s="323">
        <f ca="1">IFERROR(__xludf.DUMMYFUNCTION("IMPORTRANGE(""https://docs.google.com/spreadsheets/d/1_MzZ-2gVPiCW-d2VcafoCmFJQTSrZ6SQyFcMqRRQQ2w/edit?usp=sharing"",""บึงกาฬ!I290"")"),10)</f>
        <v>10</v>
      </c>
      <c r="Y37" s="323">
        <f ca="1">IFERROR(__xludf.DUMMYFUNCTION("IMPORTRANGE(""https://docs.google.com/spreadsheets/d/1_MzZ-2gVPiCW-d2VcafoCmFJQTSrZ6SQyFcMqRRQQ2w/edit?usp=sharing"",""บึงกาฬ!J290"")"),10)</f>
        <v>10</v>
      </c>
      <c r="Z37" s="324">
        <f t="shared" ca="1" si="29"/>
        <v>100</v>
      </c>
      <c r="AA37" s="323">
        <f ca="1">IFERROR(__xludf.DUMMYFUNCTION("IMPORTRANGE(""https://docs.google.com/spreadsheets/d/1_MzZ-2gVPiCW-d2VcafoCmFJQTSrZ6SQyFcMqRRQQ2w/edit?usp=sharing"",""บึงกาฬ!J291"")"),10)</f>
        <v>10</v>
      </c>
      <c r="AB37" s="324">
        <f t="shared" ca="1" si="15"/>
        <v>100</v>
      </c>
      <c r="AC37" s="323">
        <f ca="1">IFERROR(__xludf.DUMMYFUNCTION("IMPORTRANGE(""https://docs.google.com/spreadsheets/d/1_MzZ-2gVPiCW-d2VcafoCmFJQTSrZ6SQyFcMqRRQQ2w/edit?usp=sharing"",""บึงกาฬ!I293"")"),10)</f>
        <v>10</v>
      </c>
      <c r="AD37" s="323">
        <f ca="1">IFERROR(__xludf.DUMMYFUNCTION("IMPORTRANGE(""https://docs.google.com/spreadsheets/d/1_MzZ-2gVPiCW-d2VcafoCmFJQTSrZ6SQyFcMqRRQQ2w/edit?usp=sharing"",""บึงกาฬ!J293"")"),10)</f>
        <v>10</v>
      </c>
      <c r="AE37" s="324">
        <f t="shared" ca="1" si="30"/>
        <v>100</v>
      </c>
      <c r="AF37" s="323">
        <f ca="1">IFERROR(__xludf.DUMMYFUNCTION("IMPORTRANGE(""https://docs.google.com/spreadsheets/d/1_MzZ-2gVPiCW-d2VcafoCmFJQTSrZ6SQyFcMqRRQQ2w/edit?usp=sharing"",""บึงกาฬ!J294"")"),10)</f>
        <v>10</v>
      </c>
      <c r="AG37" s="324">
        <f t="shared" ca="1" si="18"/>
        <v>100</v>
      </c>
    </row>
    <row r="38" spans="1:33" ht="21" customHeight="1" x14ac:dyDescent="0.2">
      <c r="A38" s="73">
        <v>7</v>
      </c>
      <c r="B38" s="74" t="s">
        <v>60</v>
      </c>
      <c r="C38" s="75">
        <f t="shared" ca="1" si="0"/>
        <v>41010</v>
      </c>
      <c r="D38" s="76">
        <f t="shared" ca="1" si="43"/>
        <v>41010</v>
      </c>
      <c r="E38" s="77">
        <f ca="1">IFERROR(__xludf.DUMMYFUNCTION("IMPORTRANGE(""https://docs.google.com/spreadsheets/d/1MeEWN-I1oV_STSDYn1IFDPWt_1FKiwhDph83XaGc0o0/edit?usp=sharing"",""งบพรบ!DJ38"")"),0)</f>
        <v>0</v>
      </c>
      <c r="F38" s="77">
        <f ca="1">IFERROR(__xludf.DUMMYFUNCTION("IMPORTRANGE(""https://docs.google.com/spreadsheets/d/1MeEWN-I1oV_STSDYn1IFDPWt_1FKiwhDph83XaGc0o0/edit?usp=sharing"",""งบพรบ!DK38"")"),41010)</f>
        <v>41010</v>
      </c>
      <c r="G38" s="77">
        <f ca="1">IFERROR(__xludf.DUMMYFUNCTION("IMPORTRANGE(""https://docs.google.com/spreadsheets/d/1MeEWN-I1oV_STSDYn1IFDPWt_1FKiwhDph83XaGc0o0/edit?usp=sharing"",""งบพรบ!DL38"")"),0)</f>
        <v>0</v>
      </c>
      <c r="H38" s="77">
        <f ca="1">IFERROR(__xludf.DUMMYFUNCTION("IMPORTRANGE(""https://docs.google.com/spreadsheets/d/1MeEWN-I1oV_STSDYn1IFDPWt_1FKiwhDph83XaGc0o0/edit?usp=sharing"",""งบพรบ!DN38"")"),41010)</f>
        <v>41010</v>
      </c>
      <c r="I38" s="77">
        <f ca="1">IFERROR(__xludf.DUMMYFUNCTION("IMPORTRANGE(""https://docs.google.com/spreadsheets/d/1MeEWN-I1oV_STSDYn1IFDPWt_1FKiwhDph83XaGc0o0/edit?usp=sharing"",""งบพรบ!DO38"")"),0)</f>
        <v>0</v>
      </c>
      <c r="J38" s="77">
        <f t="shared" ca="1" si="3"/>
        <v>41010</v>
      </c>
      <c r="K38" s="78">
        <f t="shared" ca="1" si="4"/>
        <v>100</v>
      </c>
      <c r="L38" s="77">
        <f ca="1">IFERROR(__xludf.DUMMYFUNCTION("IMPORTRANGE(""https://docs.google.com/spreadsheets/d/1MeEWN-I1oV_STSDYn1IFDPWt_1FKiwhDph83XaGc0o0/edit?usp=sharing"",""งบพรบ!DP38"")"),41010)</f>
        <v>41010</v>
      </c>
      <c r="M38" s="79">
        <f t="shared" ca="1" si="5"/>
        <v>100</v>
      </c>
      <c r="N38" s="79">
        <f t="shared" ca="1" si="6"/>
        <v>100</v>
      </c>
      <c r="O38" s="80">
        <f ca="1">IFERROR(__xludf.DUMMYFUNCTION("IMPORTRANGE(""https://docs.google.com/spreadsheets/d/1MeEWN-I1oV_STSDYn1IFDPWt_1FKiwhDph83XaGc0o0/edit?usp=sharing"",""งบพรบ!DQ38"")"),0)</f>
        <v>0</v>
      </c>
      <c r="P38" s="80">
        <f t="shared" ca="1" si="32"/>
        <v>0</v>
      </c>
      <c r="Q38" s="79">
        <f t="shared" ca="1" si="8"/>
        <v>0</v>
      </c>
      <c r="R38" s="323">
        <f ca="1">IFERROR(__xludf.DUMMYFUNCTION("IMPORTRANGE(""https://docs.google.com/spreadsheets/d/1B3lPpzOuaNwVItLwLEZYl_qEblfcx7dRnbRkAw0l-pE/edit?usp=sharing"",""บุรีรัมย์!I287"")"),100)</f>
        <v>100</v>
      </c>
      <c r="S38" s="323">
        <f ca="1">IFERROR(__xludf.DUMMYFUNCTION("IMPORTRANGE(""https://docs.google.com/spreadsheets/d/1B3lPpzOuaNwVItLwLEZYl_qEblfcx7dRnbRkAw0l-pE/edit?usp=sharing"",""บุรีรัมย์!J287"")"),100)</f>
        <v>100</v>
      </c>
      <c r="T38" s="324">
        <f t="shared" ca="1" si="27"/>
        <v>100</v>
      </c>
      <c r="U38" s="323">
        <f ca="1">IFERROR(__xludf.DUMMYFUNCTION("IMPORTRANGE(""https://docs.google.com/spreadsheets/d/1B3lPpzOuaNwVItLwLEZYl_qEblfcx7dRnbRkAw0l-pE/edit?usp=sharing"",""บุรีรัมย์!I288"")"),10)</f>
        <v>10</v>
      </c>
      <c r="V38" s="323">
        <f ca="1">IFERROR(__xludf.DUMMYFUNCTION("IMPORTRANGE(""https://docs.google.com/spreadsheets/d/1B3lPpzOuaNwVItLwLEZYl_qEblfcx7dRnbRkAw0l-pE/edit?usp=sharing"",""บุรีรัมย์!J288"")"),10)</f>
        <v>10</v>
      </c>
      <c r="W38" s="324">
        <f t="shared" ca="1" si="28"/>
        <v>100</v>
      </c>
      <c r="X38" s="323">
        <f ca="1">IFERROR(__xludf.DUMMYFUNCTION("IMPORTRANGE(""https://docs.google.com/spreadsheets/d/1B3lPpzOuaNwVItLwLEZYl_qEblfcx7dRnbRkAw0l-pE/edit?usp=sharing"",""บุรีรัมย์!I290"")"),10)</f>
        <v>10</v>
      </c>
      <c r="Y38" s="323">
        <f ca="1">IFERROR(__xludf.DUMMYFUNCTION("IMPORTRANGE(""https://docs.google.com/spreadsheets/d/1B3lPpzOuaNwVItLwLEZYl_qEblfcx7dRnbRkAw0l-pE/edit?usp=sharing"",""บุรีรัมย์!J290"")"),10)</f>
        <v>10</v>
      </c>
      <c r="Z38" s="324">
        <f t="shared" ca="1" si="29"/>
        <v>100</v>
      </c>
      <c r="AA38" s="323">
        <f ca="1">IFERROR(__xludf.DUMMYFUNCTION("IMPORTRANGE(""https://docs.google.com/spreadsheets/d/1B3lPpzOuaNwVItLwLEZYl_qEblfcx7dRnbRkAw0l-pE/edit?usp=sharing"",""บุรีรัมย์!J291"")"),10)</f>
        <v>10</v>
      </c>
      <c r="AB38" s="324">
        <f t="shared" ca="1" si="15"/>
        <v>100</v>
      </c>
      <c r="AC38" s="323">
        <f ca="1">IFERROR(__xludf.DUMMYFUNCTION("IMPORTRANGE(""https://docs.google.com/spreadsheets/d/1B3lPpzOuaNwVItLwLEZYl_qEblfcx7dRnbRkAw0l-pE/edit?usp=sharing"",""บุรีรัมย์!I293"")"),10)</f>
        <v>10</v>
      </c>
      <c r="AD38" s="323">
        <f ca="1">IFERROR(__xludf.DUMMYFUNCTION("IMPORTRANGE(""https://docs.google.com/spreadsheets/d/1B3lPpzOuaNwVItLwLEZYl_qEblfcx7dRnbRkAw0l-pE/edit?usp=sharing"",""บุรีรัมย์!J293"")"),10)</f>
        <v>10</v>
      </c>
      <c r="AE38" s="324">
        <f t="shared" ca="1" si="30"/>
        <v>100</v>
      </c>
      <c r="AF38" s="323">
        <f ca="1">IFERROR(__xludf.DUMMYFUNCTION("IMPORTRANGE(""https://docs.google.com/spreadsheets/d/1B3lPpzOuaNwVItLwLEZYl_qEblfcx7dRnbRkAw0l-pE/edit?usp=sharing"",""บุรีรัมย์!J294"")"),10)</f>
        <v>10</v>
      </c>
      <c r="AG38" s="324">
        <f t="shared" ca="1" si="18"/>
        <v>100</v>
      </c>
    </row>
    <row r="39" spans="1:33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43"/>
        <v>0</v>
      </c>
      <c r="E39" s="77">
        <f ca="1">IFERROR(__xludf.DUMMYFUNCTION("IMPORTRANGE(""https://docs.google.com/spreadsheets/d/1MeEWN-I1oV_STSDYn1IFDPWt_1FKiwhDph83XaGc0o0/edit?usp=sharing"",""งบพรบ!DJ39"")"),0)</f>
        <v>0</v>
      </c>
      <c r="F39" s="77">
        <f ca="1">IFERROR(__xludf.DUMMYFUNCTION("IMPORTRANGE(""https://docs.google.com/spreadsheets/d/1MeEWN-I1oV_STSDYn1IFDPWt_1FKiwhDph83XaGc0o0/edit?usp=sharing"",""งบพรบ!DK39"")"),0)</f>
        <v>0</v>
      </c>
      <c r="G39" s="77">
        <f ca="1">IFERROR(__xludf.DUMMYFUNCTION("IMPORTRANGE(""https://docs.google.com/spreadsheets/d/1MeEWN-I1oV_STSDYn1IFDPWt_1FKiwhDph83XaGc0o0/edit?usp=sharing"",""งบพรบ!DL39"")"),0)</f>
        <v>0</v>
      </c>
      <c r="H39" s="77">
        <f ca="1">IFERROR(__xludf.DUMMYFUNCTION("IMPORTRANGE(""https://docs.google.com/spreadsheets/d/1MeEWN-I1oV_STSDYn1IFDPWt_1FKiwhDph83XaGc0o0/edit?usp=sharing"",""งบพรบ!DN39"")"),0)</f>
        <v>0</v>
      </c>
      <c r="I39" s="77">
        <f ca="1">IFERROR(__xludf.DUMMYFUNCTION("IMPORTRANGE(""https://docs.google.com/spreadsheets/d/1MeEWN-I1oV_STSDYn1IFDPWt_1FKiwhDph83XaGc0o0/edit?usp=sharing"",""งบพรบ!DO39"")"),0)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IFERROR(__xludf.DUMMYFUNCTION("IMPORTRANGE(""https://docs.google.com/spreadsheets/d/1MeEWN-I1oV_STSDYn1IFDPWt_1FKiwhDph83XaGc0o0/edit?usp=sharing"",""งบพรบ!DP39"")"),0)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IFERROR(__xludf.DUMMYFUNCTION("IMPORTRANGE(""https://docs.google.com/spreadsheets/d/1MeEWN-I1oV_STSDYn1IFDPWt_1FKiwhDph83XaGc0o0/edit?usp=sharing"",""งบพรบ!DQ39"")"),0)</f>
        <v>0</v>
      </c>
      <c r="P39" s="80">
        <f t="shared" ca="1" si="32"/>
        <v>0</v>
      </c>
      <c r="Q39" s="79">
        <f t="shared" ca="1" si="8"/>
        <v>0</v>
      </c>
      <c r="R39" s="323">
        <f ca="1">IFERROR(__xludf.DUMMYFUNCTION("IMPORTRANGE(""https://docs.google.com/spreadsheets/d/19GOkiOqnzYbevLYWrMk4qFOXe3rX14BkSA8X-mq-a40/edit?usp=sharing"",""มหาสารคาม!I287"")"),0)</f>
        <v>0</v>
      </c>
      <c r="S39" s="323">
        <f ca="1">IFERROR(__xludf.DUMMYFUNCTION("IMPORTRANGE(""https://docs.google.com/spreadsheets/d/19GOkiOqnzYbevLYWrMk4qFOXe3rX14BkSA8X-mq-a40/edit?usp=sharing"",""มหาสารคาม!J287"")"),0)</f>
        <v>0</v>
      </c>
      <c r="T39" s="324">
        <f t="shared" ca="1" si="27"/>
        <v>0</v>
      </c>
      <c r="U39" s="323">
        <f ca="1">IFERROR(__xludf.DUMMYFUNCTION("IMPORTRANGE(""https://docs.google.com/spreadsheets/d/19GOkiOqnzYbevLYWrMk4qFOXe3rX14BkSA8X-mq-a40/edit?usp=sharing"",""มหาสารคาม!I288"")"),0)</f>
        <v>0</v>
      </c>
      <c r="V39" s="323">
        <f ca="1">IFERROR(__xludf.DUMMYFUNCTION("IMPORTRANGE(""https://docs.google.com/spreadsheets/d/19GOkiOqnzYbevLYWrMk4qFOXe3rX14BkSA8X-mq-a40/edit?usp=sharing"",""มหาสารคาม!J288"")"),0)</f>
        <v>0</v>
      </c>
      <c r="W39" s="324">
        <f t="shared" ca="1" si="28"/>
        <v>0</v>
      </c>
      <c r="X39" s="323">
        <f ca="1">IFERROR(__xludf.DUMMYFUNCTION("IMPORTRANGE(""https://docs.google.com/spreadsheets/d/19GOkiOqnzYbevLYWrMk4qFOXe3rX14BkSA8X-mq-a40/edit?usp=sharing"",""มหาสารคาม!I290"")"),0)</f>
        <v>0</v>
      </c>
      <c r="Y39" s="323">
        <f ca="1">IFERROR(__xludf.DUMMYFUNCTION("IMPORTRANGE(""https://docs.google.com/spreadsheets/d/19GOkiOqnzYbevLYWrMk4qFOXe3rX14BkSA8X-mq-a40/edit?usp=sharing"",""มหาสารคาม!J290"")"),0)</f>
        <v>0</v>
      </c>
      <c r="Z39" s="324">
        <f t="shared" ca="1" si="29"/>
        <v>0</v>
      </c>
      <c r="AA39" s="323">
        <f ca="1">IFERROR(__xludf.DUMMYFUNCTION("IMPORTRANGE(""https://docs.google.com/spreadsheets/d/19GOkiOqnzYbevLYWrMk4qFOXe3rX14BkSA8X-mq-a40/edit?usp=sharing"",""มหาสารคาม!J291"")"),0)</f>
        <v>0</v>
      </c>
      <c r="AB39" s="324">
        <f t="shared" ca="1" si="15"/>
        <v>0</v>
      </c>
      <c r="AC39" s="323">
        <f ca="1">IFERROR(__xludf.DUMMYFUNCTION("IMPORTRANGE(""https://docs.google.com/spreadsheets/d/19GOkiOqnzYbevLYWrMk4qFOXe3rX14BkSA8X-mq-a40/edit?usp=sharing"",""มหาสารคาม!I293"")"),0)</f>
        <v>0</v>
      </c>
      <c r="AD39" s="323">
        <f ca="1">IFERROR(__xludf.DUMMYFUNCTION("IMPORTRANGE(""https://docs.google.com/spreadsheets/d/19GOkiOqnzYbevLYWrMk4qFOXe3rX14BkSA8X-mq-a40/edit?usp=sharing"",""มหาสารคาม!J293"")"),0)</f>
        <v>0</v>
      </c>
      <c r="AE39" s="324">
        <f t="shared" ca="1" si="30"/>
        <v>0</v>
      </c>
      <c r="AF39" s="323">
        <f ca="1">IFERROR(__xludf.DUMMYFUNCTION("IMPORTRANGE(""https://docs.google.com/spreadsheets/d/19GOkiOqnzYbevLYWrMk4qFOXe3rX14BkSA8X-mq-a40/edit?usp=sharing"",""มหาสารคาม!J294"")"),0)</f>
        <v>0</v>
      </c>
      <c r="AG39" s="324">
        <f t="shared" ca="1" si="18"/>
        <v>0</v>
      </c>
    </row>
    <row r="40" spans="1:33" ht="21" customHeight="1" x14ac:dyDescent="0.2">
      <c r="A40" s="73">
        <v>9</v>
      </c>
      <c r="B40" s="74" t="s">
        <v>62</v>
      </c>
      <c r="C40" s="75">
        <f t="shared" ca="1" si="0"/>
        <v>22630</v>
      </c>
      <c r="D40" s="76">
        <f t="shared" ca="1" si="43"/>
        <v>22630</v>
      </c>
      <c r="E40" s="77">
        <f ca="1">IFERROR(__xludf.DUMMYFUNCTION("IMPORTRANGE(""https://docs.google.com/spreadsheets/d/1MeEWN-I1oV_STSDYn1IFDPWt_1FKiwhDph83XaGc0o0/edit?usp=sharing"",""งบพรบ!DJ40"")"),0)</f>
        <v>0</v>
      </c>
      <c r="F40" s="77">
        <f ca="1">IFERROR(__xludf.DUMMYFUNCTION("IMPORTRANGE(""https://docs.google.com/spreadsheets/d/1MeEWN-I1oV_STSDYn1IFDPWt_1FKiwhDph83XaGc0o0/edit?usp=sharing"",""งบพรบ!DK40"")"),22630)</f>
        <v>22630</v>
      </c>
      <c r="G40" s="77">
        <f ca="1">IFERROR(__xludf.DUMMYFUNCTION("IMPORTRANGE(""https://docs.google.com/spreadsheets/d/1MeEWN-I1oV_STSDYn1IFDPWt_1FKiwhDph83XaGc0o0/edit?usp=sharing"",""งบพรบ!DL40"")"),0)</f>
        <v>0</v>
      </c>
      <c r="H40" s="77">
        <f ca="1">IFERROR(__xludf.DUMMYFUNCTION("IMPORTRANGE(""https://docs.google.com/spreadsheets/d/1MeEWN-I1oV_STSDYn1IFDPWt_1FKiwhDph83XaGc0o0/edit?usp=sharing"",""งบพรบ!DN40"")"),22630)</f>
        <v>22630</v>
      </c>
      <c r="I40" s="77">
        <f ca="1">IFERROR(__xludf.DUMMYFUNCTION("IMPORTRANGE(""https://docs.google.com/spreadsheets/d/1MeEWN-I1oV_STSDYn1IFDPWt_1FKiwhDph83XaGc0o0/edit?usp=sharing"",""งบพรบ!DO40"")"),0)</f>
        <v>0</v>
      </c>
      <c r="J40" s="77">
        <f t="shared" ca="1" si="3"/>
        <v>22630</v>
      </c>
      <c r="K40" s="78">
        <f t="shared" ca="1" si="4"/>
        <v>100</v>
      </c>
      <c r="L40" s="77">
        <f ca="1">IFERROR(__xludf.DUMMYFUNCTION("IMPORTRANGE(""https://docs.google.com/spreadsheets/d/1MeEWN-I1oV_STSDYn1IFDPWt_1FKiwhDph83XaGc0o0/edit?usp=sharing"",""งบพรบ!DP40"")"),22630)</f>
        <v>22630</v>
      </c>
      <c r="M40" s="79">
        <f t="shared" ca="1" si="5"/>
        <v>100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IFERROR(__xludf.DUMMYFUNCTION("IMPORTRANGE(""https://docs.google.com/spreadsheets/d/1MeEWN-I1oV_STSDYn1IFDPWt_1FKiwhDph83XaGc0o0/edit?usp=sharing"",""งบพรบ!DQ40"")"),0)</f>
        <v>0</v>
      </c>
      <c r="P40" s="80">
        <f t="shared" ca="1" si="32"/>
        <v>0</v>
      </c>
      <c r="Q40" s="79">
        <f t="shared" ca="1" si="8"/>
        <v>0</v>
      </c>
      <c r="R40" s="323">
        <f ca="1">IFERROR(__xludf.DUMMYFUNCTION("IMPORTRANGE(""https://docs.google.com/spreadsheets/d/1uMKqWwuNQ-TCKboGA3Bb1qXb5uj2-faACNUINCz8PN4/edit?usp=sharing"",""มุกดาหาร!I287"")"),50)</f>
        <v>50</v>
      </c>
      <c r="S40" s="323">
        <f ca="1">IFERROR(__xludf.DUMMYFUNCTION("IMPORTRANGE(""https://docs.google.com/spreadsheets/d/1uMKqWwuNQ-TCKboGA3Bb1qXb5uj2-faACNUINCz8PN4/edit?usp=sharing"",""มุกดาหาร!J287"")"),50)</f>
        <v>50</v>
      </c>
      <c r="T40" s="324">
        <f t="shared" ca="1" si="27"/>
        <v>100</v>
      </c>
      <c r="U40" s="323">
        <f ca="1">IFERROR(__xludf.DUMMYFUNCTION("IMPORTRANGE(""https://docs.google.com/spreadsheets/d/1uMKqWwuNQ-TCKboGA3Bb1qXb5uj2-faACNUINCz8PN4/edit?usp=sharing"",""มุกดาหาร!I288"")"),5)</f>
        <v>5</v>
      </c>
      <c r="V40" s="323">
        <f ca="1">IFERROR(__xludf.DUMMYFUNCTION("IMPORTRANGE(""https://docs.google.com/spreadsheets/d/1uMKqWwuNQ-TCKboGA3Bb1qXb5uj2-faACNUINCz8PN4/edit?usp=sharing"",""มุกดาหาร!J288"")"),5)</f>
        <v>5</v>
      </c>
      <c r="W40" s="324">
        <f t="shared" ca="1" si="28"/>
        <v>100</v>
      </c>
      <c r="X40" s="323">
        <f ca="1">IFERROR(__xludf.DUMMYFUNCTION("IMPORTRANGE(""https://docs.google.com/spreadsheets/d/1uMKqWwuNQ-TCKboGA3Bb1qXb5uj2-faACNUINCz8PN4/edit?usp=sharing"",""มุกดาหาร!I290"")"),5)</f>
        <v>5</v>
      </c>
      <c r="Y40" s="323">
        <f ca="1">IFERROR(__xludf.DUMMYFUNCTION("IMPORTRANGE(""https://docs.google.com/spreadsheets/d/1uMKqWwuNQ-TCKboGA3Bb1qXb5uj2-faACNUINCz8PN4/edit?usp=sharing"",""มุกดาหาร!J290"")"),5)</f>
        <v>5</v>
      </c>
      <c r="Z40" s="324">
        <f t="shared" ca="1" si="29"/>
        <v>100</v>
      </c>
      <c r="AA40" s="323">
        <f ca="1">IFERROR(__xludf.DUMMYFUNCTION("IMPORTRANGE(""https://docs.google.com/spreadsheets/d/1uMKqWwuNQ-TCKboGA3Bb1qXb5uj2-faACNUINCz8PN4/edit?usp=sharing"",""มุกดาหาร!J291"")"),5)</f>
        <v>5</v>
      </c>
      <c r="AB40" s="324">
        <f t="shared" ca="1" si="15"/>
        <v>100</v>
      </c>
      <c r="AC40" s="323">
        <f ca="1">IFERROR(__xludf.DUMMYFUNCTION("IMPORTRANGE(""https://docs.google.com/spreadsheets/d/1uMKqWwuNQ-TCKboGA3Bb1qXb5uj2-faACNUINCz8PN4/edit?usp=sharing"",""มุกดาหาร!I293"")"),5)</f>
        <v>5</v>
      </c>
      <c r="AD40" s="323">
        <f ca="1">IFERROR(__xludf.DUMMYFUNCTION("IMPORTRANGE(""https://docs.google.com/spreadsheets/d/1uMKqWwuNQ-TCKboGA3Bb1qXb5uj2-faACNUINCz8PN4/edit?usp=sharing"",""มุกดาหาร!J293"")"),5)</f>
        <v>5</v>
      </c>
      <c r="AE40" s="324">
        <f t="shared" ca="1" si="30"/>
        <v>100</v>
      </c>
      <c r="AF40" s="323">
        <f ca="1">IFERROR(__xludf.DUMMYFUNCTION("IMPORTRANGE(""https://docs.google.com/spreadsheets/d/1uMKqWwuNQ-TCKboGA3Bb1qXb5uj2-faACNUINCz8PN4/edit?usp=sharing"",""มุกดาหาร!J294"")"),5)</f>
        <v>5</v>
      </c>
      <c r="AG40" s="324">
        <f t="shared" ca="1" si="18"/>
        <v>100</v>
      </c>
    </row>
    <row r="41" spans="1:33" ht="21" customHeight="1" x14ac:dyDescent="0.2">
      <c r="A41" s="73">
        <v>10</v>
      </c>
      <c r="B41" s="74" t="s">
        <v>63</v>
      </c>
      <c r="C41" s="75">
        <f t="shared" ca="1" si="0"/>
        <v>22630</v>
      </c>
      <c r="D41" s="76">
        <f t="shared" ca="1" si="43"/>
        <v>22630</v>
      </c>
      <c r="E41" s="77">
        <f ca="1">IFERROR(__xludf.DUMMYFUNCTION("IMPORTRANGE(""https://docs.google.com/spreadsheets/d/1MeEWN-I1oV_STSDYn1IFDPWt_1FKiwhDph83XaGc0o0/edit?usp=sharing"",""งบพรบ!DJ41"")"),0)</f>
        <v>0</v>
      </c>
      <c r="F41" s="77">
        <f ca="1">IFERROR(__xludf.DUMMYFUNCTION("IMPORTRANGE(""https://docs.google.com/spreadsheets/d/1MeEWN-I1oV_STSDYn1IFDPWt_1FKiwhDph83XaGc0o0/edit?usp=sharing"",""งบพรบ!DK41"")"),22630)</f>
        <v>22630</v>
      </c>
      <c r="G41" s="77">
        <f ca="1">IFERROR(__xludf.DUMMYFUNCTION("IMPORTRANGE(""https://docs.google.com/spreadsheets/d/1MeEWN-I1oV_STSDYn1IFDPWt_1FKiwhDph83XaGc0o0/edit?usp=sharing"",""งบพรบ!DL41"")"),0)</f>
        <v>0</v>
      </c>
      <c r="H41" s="77">
        <f ca="1">IFERROR(__xludf.DUMMYFUNCTION("IMPORTRANGE(""https://docs.google.com/spreadsheets/d/1MeEWN-I1oV_STSDYn1IFDPWt_1FKiwhDph83XaGc0o0/edit?usp=sharing"",""งบพรบ!DN41"")"),22630)</f>
        <v>22630</v>
      </c>
      <c r="I41" s="77">
        <f ca="1">IFERROR(__xludf.DUMMYFUNCTION("IMPORTRANGE(""https://docs.google.com/spreadsheets/d/1MeEWN-I1oV_STSDYn1IFDPWt_1FKiwhDph83XaGc0o0/edit?usp=sharing"",""งบพรบ!DO41"")"),0)</f>
        <v>0</v>
      </c>
      <c r="J41" s="77">
        <f t="shared" ca="1" si="3"/>
        <v>22630</v>
      </c>
      <c r="K41" s="78">
        <f t="shared" ca="1" si="4"/>
        <v>100</v>
      </c>
      <c r="L41" s="77">
        <f ca="1">IFERROR(__xludf.DUMMYFUNCTION("IMPORTRANGE(""https://docs.google.com/spreadsheets/d/1MeEWN-I1oV_STSDYn1IFDPWt_1FKiwhDph83XaGc0o0/edit?usp=sharing"",""งบพรบ!DP41"")"),22630)</f>
        <v>22630</v>
      </c>
      <c r="M41" s="79">
        <f t="shared" ca="1" si="5"/>
        <v>100</v>
      </c>
      <c r="N41" s="79">
        <f t="shared" ca="1" si="6"/>
        <v>100</v>
      </c>
      <c r="O41" s="80">
        <f ca="1">IFERROR(__xludf.DUMMYFUNCTION("IMPORTRANGE(""https://docs.google.com/spreadsheets/d/1MeEWN-I1oV_STSDYn1IFDPWt_1FKiwhDph83XaGc0o0/edit?usp=sharing"",""งบพรบ!DQ41"")"),0)</f>
        <v>0</v>
      </c>
      <c r="P41" s="80">
        <f t="shared" ca="1" si="32"/>
        <v>0</v>
      </c>
      <c r="Q41" s="79">
        <f t="shared" ca="1" si="8"/>
        <v>0</v>
      </c>
      <c r="R41" s="323">
        <f ca="1">IFERROR(__xludf.DUMMYFUNCTION("IMPORTRANGE(""https://docs.google.com/spreadsheets/d/1oKaccgDdQABndOzGr688Dbfxb_V3YcF67VqEPBtdzsc/edit?usp=sharing"",""ยโสธร!I287"")"),50)</f>
        <v>50</v>
      </c>
      <c r="S41" s="323">
        <f ca="1">IFERROR(__xludf.DUMMYFUNCTION("IMPORTRANGE(""https://docs.google.com/spreadsheets/d/1oKaccgDdQABndOzGr688Dbfxb_V3YcF67VqEPBtdzsc/edit?usp=sharing"",""ยโสธร!J287"")"),50)</f>
        <v>50</v>
      </c>
      <c r="T41" s="324">
        <f t="shared" ca="1" si="27"/>
        <v>100</v>
      </c>
      <c r="U41" s="323">
        <f ca="1">IFERROR(__xludf.DUMMYFUNCTION("IMPORTRANGE(""https://docs.google.com/spreadsheets/d/1oKaccgDdQABndOzGr688Dbfxb_V3YcF67VqEPBtdzsc/edit?usp=sharing"",""ยโสธร!I288"")"),5)</f>
        <v>5</v>
      </c>
      <c r="V41" s="323">
        <f ca="1">IFERROR(__xludf.DUMMYFUNCTION("IMPORTRANGE(""https://docs.google.com/spreadsheets/d/1oKaccgDdQABndOzGr688Dbfxb_V3YcF67VqEPBtdzsc/edit?usp=sharing"",""ยโสธร!J288"")"),5)</f>
        <v>5</v>
      </c>
      <c r="W41" s="324">
        <f t="shared" ca="1" si="28"/>
        <v>100</v>
      </c>
      <c r="X41" s="323">
        <f ca="1">IFERROR(__xludf.DUMMYFUNCTION("IMPORTRANGE(""https://docs.google.com/spreadsheets/d/1oKaccgDdQABndOzGr688Dbfxb_V3YcF67VqEPBtdzsc/edit?usp=sharing"",""ยโสธร!I290"")"),5)</f>
        <v>5</v>
      </c>
      <c r="Y41" s="323">
        <f ca="1">IFERROR(__xludf.DUMMYFUNCTION("IMPORTRANGE(""https://docs.google.com/spreadsheets/d/1oKaccgDdQABndOzGr688Dbfxb_V3YcF67VqEPBtdzsc/edit?usp=sharing"",""ยโสธร!J290"")"),5)</f>
        <v>5</v>
      </c>
      <c r="Z41" s="324">
        <f t="shared" ca="1" si="29"/>
        <v>100</v>
      </c>
      <c r="AA41" s="323">
        <f ca="1">IFERROR(__xludf.DUMMYFUNCTION("IMPORTRANGE(""https://docs.google.com/spreadsheets/d/1oKaccgDdQABndOzGr688Dbfxb_V3YcF67VqEPBtdzsc/edit?usp=sharing"",""ยโสธร!J291"")"),5)</f>
        <v>5</v>
      </c>
      <c r="AB41" s="324">
        <f t="shared" ca="1" si="15"/>
        <v>100</v>
      </c>
      <c r="AC41" s="323">
        <f ca="1">IFERROR(__xludf.DUMMYFUNCTION("IMPORTRANGE(""https://docs.google.com/spreadsheets/d/1oKaccgDdQABndOzGr688Dbfxb_V3YcF67VqEPBtdzsc/edit?usp=sharing"",""ยโสธร!I293"")"),5)</f>
        <v>5</v>
      </c>
      <c r="AD41" s="323">
        <f ca="1">IFERROR(__xludf.DUMMYFUNCTION("IMPORTRANGE(""https://docs.google.com/spreadsheets/d/1oKaccgDdQABndOzGr688Dbfxb_V3YcF67VqEPBtdzsc/edit?usp=sharing"",""ยโสธร!J293"")"),5)</f>
        <v>5</v>
      </c>
      <c r="AE41" s="324">
        <f t="shared" ca="1" si="30"/>
        <v>100</v>
      </c>
      <c r="AF41" s="323">
        <f ca="1">IFERROR(__xludf.DUMMYFUNCTION("IMPORTRANGE(""https://docs.google.com/spreadsheets/d/1oKaccgDdQABndOzGr688Dbfxb_V3YcF67VqEPBtdzsc/edit?usp=sharing"",""ยโสธร!J294"")"),5)</f>
        <v>5</v>
      </c>
      <c r="AG41" s="324">
        <f t="shared" ca="1" si="18"/>
        <v>100</v>
      </c>
    </row>
    <row r="42" spans="1:33" ht="21" customHeight="1" x14ac:dyDescent="0.2">
      <c r="A42" s="73">
        <v>11</v>
      </c>
      <c r="B42" s="74" t="s">
        <v>64</v>
      </c>
      <c r="C42" s="75">
        <f t="shared" ca="1" si="0"/>
        <v>147030</v>
      </c>
      <c r="D42" s="76">
        <f t="shared" ca="1" si="43"/>
        <v>147030</v>
      </c>
      <c r="E42" s="77">
        <f ca="1">IFERROR(__xludf.DUMMYFUNCTION("IMPORTRANGE(""https://docs.google.com/spreadsheets/d/1MeEWN-I1oV_STSDYn1IFDPWt_1FKiwhDph83XaGc0o0/edit?usp=sharing"",""งบพรบ!DJ42"")"),0)</f>
        <v>0</v>
      </c>
      <c r="F42" s="77">
        <f ca="1">IFERROR(__xludf.DUMMYFUNCTION("IMPORTRANGE(""https://docs.google.com/spreadsheets/d/1MeEWN-I1oV_STSDYn1IFDPWt_1FKiwhDph83XaGc0o0/edit?usp=sharing"",""งบพรบ!DK42"")"),147030)</f>
        <v>147030</v>
      </c>
      <c r="G42" s="77">
        <f ca="1">IFERROR(__xludf.DUMMYFUNCTION("IMPORTRANGE(""https://docs.google.com/spreadsheets/d/1MeEWN-I1oV_STSDYn1IFDPWt_1FKiwhDph83XaGc0o0/edit?usp=sharing"",""งบพรบ!DL42"")"),0)</f>
        <v>0</v>
      </c>
      <c r="H42" s="77">
        <f ca="1">IFERROR(__xludf.DUMMYFUNCTION("IMPORTRANGE(""https://docs.google.com/spreadsheets/d/1MeEWN-I1oV_STSDYn1IFDPWt_1FKiwhDph83XaGc0o0/edit?usp=sharing"",""งบพรบ!DN42"")"),147030)</f>
        <v>147030</v>
      </c>
      <c r="I42" s="77">
        <f ca="1">IFERROR(__xludf.DUMMYFUNCTION("IMPORTRANGE(""https://docs.google.com/spreadsheets/d/1MeEWN-I1oV_STSDYn1IFDPWt_1FKiwhDph83XaGc0o0/edit?usp=sharing"",""งบพรบ!DO42"")"),0)</f>
        <v>0</v>
      </c>
      <c r="J42" s="77">
        <f t="shared" ca="1" si="3"/>
        <v>147030</v>
      </c>
      <c r="K42" s="78">
        <f t="shared" ca="1" si="4"/>
        <v>100</v>
      </c>
      <c r="L42" s="77">
        <f ca="1">IFERROR(__xludf.DUMMYFUNCTION("IMPORTRANGE(""https://docs.google.com/spreadsheets/d/1MeEWN-I1oV_STSDYn1IFDPWt_1FKiwhDph83XaGc0o0/edit?usp=sharing"",""งบพรบ!DP42"")"),147030)</f>
        <v>147030</v>
      </c>
      <c r="M42" s="79">
        <f t="shared" ca="1" si="5"/>
        <v>100</v>
      </c>
      <c r="N42" s="79">
        <f t="shared" ca="1" si="6"/>
        <v>100</v>
      </c>
      <c r="O42" s="80">
        <f ca="1">IFERROR(__xludf.DUMMYFUNCTION("IMPORTRANGE(""https://docs.google.com/spreadsheets/d/1MeEWN-I1oV_STSDYn1IFDPWt_1FKiwhDph83XaGc0o0/edit?usp=sharing"",""งบพรบ!DQ42"")"),0)</f>
        <v>0</v>
      </c>
      <c r="P42" s="80">
        <f t="shared" ca="1" si="32"/>
        <v>0</v>
      </c>
      <c r="Q42" s="79">
        <f t="shared" ca="1" si="8"/>
        <v>0</v>
      </c>
      <c r="R42" s="323">
        <f ca="1">IFERROR(__xludf.DUMMYFUNCTION("IMPORTRANGE(""https://docs.google.com/spreadsheets/d/1BRgc8xKpxZ0PX-gauieMVkV_IOxKSotf0yW8MabGprQ/edit?usp=sharing"",""ร้อยเอ็ด!I287"")"),400)</f>
        <v>400</v>
      </c>
      <c r="S42" s="323">
        <f ca="1">IFERROR(__xludf.DUMMYFUNCTION("IMPORTRANGE(""https://docs.google.com/spreadsheets/d/1BRgc8xKpxZ0PX-gauieMVkV_IOxKSotf0yW8MabGprQ/edit?usp=sharing"",""ร้อยเอ็ด!J287"")"),400)</f>
        <v>400</v>
      </c>
      <c r="T42" s="324">
        <f t="shared" ca="1" si="27"/>
        <v>100</v>
      </c>
      <c r="U42" s="323">
        <f ca="1">IFERROR(__xludf.DUMMYFUNCTION("IMPORTRANGE(""https://docs.google.com/spreadsheets/d/1BRgc8xKpxZ0PX-gauieMVkV_IOxKSotf0yW8MabGprQ/edit?usp=sharing"",""ร้อยเอ็ด!I288"")"),40)</f>
        <v>40</v>
      </c>
      <c r="V42" s="323">
        <f ca="1">IFERROR(__xludf.DUMMYFUNCTION("IMPORTRANGE(""https://docs.google.com/spreadsheets/d/1BRgc8xKpxZ0PX-gauieMVkV_IOxKSotf0yW8MabGprQ/edit?usp=sharing"",""ร้อยเอ็ด!J288"")"),40)</f>
        <v>40</v>
      </c>
      <c r="W42" s="324">
        <f t="shared" ca="1" si="28"/>
        <v>100</v>
      </c>
      <c r="X42" s="323">
        <f ca="1">IFERROR(__xludf.DUMMYFUNCTION("IMPORTRANGE(""https://docs.google.com/spreadsheets/d/1BRgc8xKpxZ0PX-gauieMVkV_IOxKSotf0yW8MabGprQ/edit?usp=sharing"",""ร้อยเอ็ด!I290"")"),40)</f>
        <v>40</v>
      </c>
      <c r="Y42" s="323">
        <f ca="1">IFERROR(__xludf.DUMMYFUNCTION("IMPORTRANGE(""https://docs.google.com/spreadsheets/d/1BRgc8xKpxZ0PX-gauieMVkV_IOxKSotf0yW8MabGprQ/edit?usp=sharing"",""ร้อยเอ็ด!J290"")"),40)</f>
        <v>40</v>
      </c>
      <c r="Z42" s="324">
        <f t="shared" ca="1" si="29"/>
        <v>100</v>
      </c>
      <c r="AA42" s="323">
        <f ca="1">IFERROR(__xludf.DUMMYFUNCTION("IMPORTRANGE(""https://docs.google.com/spreadsheets/d/1BRgc8xKpxZ0PX-gauieMVkV_IOxKSotf0yW8MabGprQ/edit?usp=sharing"",""ร้อยเอ็ด!J291"")"),40)</f>
        <v>40</v>
      </c>
      <c r="AB42" s="324">
        <f t="shared" ca="1" si="15"/>
        <v>100</v>
      </c>
      <c r="AC42" s="323">
        <f ca="1">IFERROR(__xludf.DUMMYFUNCTION("IMPORTRANGE(""https://docs.google.com/spreadsheets/d/1BRgc8xKpxZ0PX-gauieMVkV_IOxKSotf0yW8MabGprQ/edit?usp=sharing"",""ร้อยเอ็ด!I293"")"),40)</f>
        <v>40</v>
      </c>
      <c r="AD42" s="323">
        <f ca="1">IFERROR(__xludf.DUMMYFUNCTION("IMPORTRANGE(""https://docs.google.com/spreadsheets/d/1BRgc8xKpxZ0PX-gauieMVkV_IOxKSotf0yW8MabGprQ/edit?usp=sharing"",""ร้อยเอ็ด!J293"")"),40)</f>
        <v>40</v>
      </c>
      <c r="AE42" s="324">
        <f t="shared" ca="1" si="30"/>
        <v>100</v>
      </c>
      <c r="AF42" s="323">
        <f ca="1">IFERROR(__xludf.DUMMYFUNCTION("IMPORTRANGE(""https://docs.google.com/spreadsheets/d/1BRgc8xKpxZ0PX-gauieMVkV_IOxKSotf0yW8MabGprQ/edit?usp=sharing"",""ร้อยเอ็ด!J294"")"),40)</f>
        <v>40</v>
      </c>
      <c r="AG42" s="324">
        <f t="shared" ca="1" si="18"/>
        <v>100</v>
      </c>
    </row>
    <row r="43" spans="1:33" ht="21" customHeight="1" x14ac:dyDescent="0.2">
      <c r="A43" s="73">
        <v>12</v>
      </c>
      <c r="B43" s="74" t="s">
        <v>65</v>
      </c>
      <c r="C43" s="75">
        <f t="shared" ca="1" si="0"/>
        <v>75640</v>
      </c>
      <c r="D43" s="76">
        <f t="shared" ca="1" si="43"/>
        <v>75640</v>
      </c>
      <c r="E43" s="77">
        <f ca="1">IFERROR(__xludf.DUMMYFUNCTION("IMPORTRANGE(""https://docs.google.com/spreadsheets/d/1MeEWN-I1oV_STSDYn1IFDPWt_1FKiwhDph83XaGc0o0/edit?usp=sharing"",""งบพรบ!DJ43"")"),0)</f>
        <v>0</v>
      </c>
      <c r="F43" s="77">
        <f ca="1">IFERROR(__xludf.DUMMYFUNCTION("IMPORTRANGE(""https://docs.google.com/spreadsheets/d/1MeEWN-I1oV_STSDYn1IFDPWt_1FKiwhDph83XaGc0o0/edit?usp=sharing"",""งบพรบ!DK43"")"),75640)</f>
        <v>75640</v>
      </c>
      <c r="G43" s="77">
        <f ca="1">IFERROR(__xludf.DUMMYFUNCTION("IMPORTRANGE(""https://docs.google.com/spreadsheets/d/1MeEWN-I1oV_STSDYn1IFDPWt_1FKiwhDph83XaGc0o0/edit?usp=sharing"",""งบพรบ!DL43"")"),0)</f>
        <v>0</v>
      </c>
      <c r="H43" s="77">
        <f ca="1">IFERROR(__xludf.DUMMYFUNCTION("IMPORTRANGE(""https://docs.google.com/spreadsheets/d/1MeEWN-I1oV_STSDYn1IFDPWt_1FKiwhDph83XaGc0o0/edit?usp=sharing"",""งบพรบ!DN43"")"),75640)</f>
        <v>75640</v>
      </c>
      <c r="I43" s="77">
        <f ca="1">IFERROR(__xludf.DUMMYFUNCTION("IMPORTRANGE(""https://docs.google.com/spreadsheets/d/1MeEWN-I1oV_STSDYn1IFDPWt_1FKiwhDph83XaGc0o0/edit?usp=sharing"",""งบพรบ!DO43"")"),0)</f>
        <v>0</v>
      </c>
      <c r="J43" s="77">
        <f t="shared" ca="1" si="3"/>
        <v>75640</v>
      </c>
      <c r="K43" s="78">
        <f t="shared" ca="1" si="4"/>
        <v>100</v>
      </c>
      <c r="L43" s="77">
        <f ca="1">IFERROR(__xludf.DUMMYFUNCTION("IMPORTRANGE(""https://docs.google.com/spreadsheets/d/1MeEWN-I1oV_STSDYn1IFDPWt_1FKiwhDph83XaGc0o0/edit?usp=sharing"",""งบพรบ!DP43"")"),75640)</f>
        <v>75640</v>
      </c>
      <c r="M43" s="79">
        <f t="shared" ca="1" si="5"/>
        <v>100</v>
      </c>
      <c r="N43" s="79">
        <f t="shared" ca="1" si="6"/>
        <v>100</v>
      </c>
      <c r="O43" s="80">
        <f ca="1">IFERROR(__xludf.DUMMYFUNCTION("IMPORTRANGE(""https://docs.google.com/spreadsheets/d/1MeEWN-I1oV_STSDYn1IFDPWt_1FKiwhDph83XaGc0o0/edit?usp=sharing"",""งบพรบ!DQ43"")"),0)</f>
        <v>0</v>
      </c>
      <c r="P43" s="80">
        <f t="shared" ca="1" si="32"/>
        <v>0</v>
      </c>
      <c r="Q43" s="79">
        <f t="shared" ca="1" si="8"/>
        <v>0</v>
      </c>
      <c r="R43" s="323">
        <f ca="1">IFERROR(__xludf.DUMMYFUNCTION("IMPORTRANGE(""https://docs.google.com/spreadsheets/d/1IdolZc-dfdgMwAm_KZxYJl1sUOcIgnbGQzbWOlddedo/edit?usp=sharing"",""เลย!I287"")"),200)</f>
        <v>200</v>
      </c>
      <c r="S43" s="323">
        <f ca="1">IFERROR(__xludf.DUMMYFUNCTION("IMPORTRANGE(""https://docs.google.com/spreadsheets/d/1IdolZc-dfdgMwAm_KZxYJl1sUOcIgnbGQzbWOlddedo/edit?usp=sharing"",""เลย!J287"")"),200)</f>
        <v>200</v>
      </c>
      <c r="T43" s="324">
        <f t="shared" ca="1" si="27"/>
        <v>100</v>
      </c>
      <c r="U43" s="323">
        <f ca="1">IFERROR(__xludf.DUMMYFUNCTION("IMPORTRANGE(""https://docs.google.com/spreadsheets/d/1IdolZc-dfdgMwAm_KZxYJl1sUOcIgnbGQzbWOlddedo/edit?usp=sharing"",""เลย!I288"")"),20)</f>
        <v>20</v>
      </c>
      <c r="V43" s="323">
        <f ca="1">IFERROR(__xludf.DUMMYFUNCTION("IMPORTRANGE(""https://docs.google.com/spreadsheets/d/1IdolZc-dfdgMwAm_KZxYJl1sUOcIgnbGQzbWOlddedo/edit?usp=sharing"",""เลย!J288"")"),0)</f>
        <v>0</v>
      </c>
      <c r="W43" s="324">
        <f t="shared" ca="1" si="28"/>
        <v>0</v>
      </c>
      <c r="X43" s="323">
        <f ca="1">IFERROR(__xludf.DUMMYFUNCTION("IMPORTRANGE(""https://docs.google.com/spreadsheets/d/1IdolZc-dfdgMwAm_KZxYJl1sUOcIgnbGQzbWOlddedo/edit?usp=sharing"",""เลย!I290"")"),20)</f>
        <v>20</v>
      </c>
      <c r="Y43" s="323">
        <f ca="1">IFERROR(__xludf.DUMMYFUNCTION("IMPORTRANGE(""https://docs.google.com/spreadsheets/d/1IdolZc-dfdgMwAm_KZxYJl1sUOcIgnbGQzbWOlddedo/edit?usp=sharing"",""เลย!J290"")"),20)</f>
        <v>20</v>
      </c>
      <c r="Z43" s="324">
        <f t="shared" ca="1" si="29"/>
        <v>100</v>
      </c>
      <c r="AA43" s="323">
        <f ca="1">IFERROR(__xludf.DUMMYFUNCTION("IMPORTRANGE(""https://docs.google.com/spreadsheets/d/1IdolZc-dfdgMwAm_KZxYJl1sUOcIgnbGQzbWOlddedo/edit?usp=sharing"",""เลย!J291"")"),20)</f>
        <v>20</v>
      </c>
      <c r="AB43" s="324">
        <f t="shared" ca="1" si="15"/>
        <v>100</v>
      </c>
      <c r="AC43" s="323">
        <f ca="1">IFERROR(__xludf.DUMMYFUNCTION("IMPORTRANGE(""https://docs.google.com/spreadsheets/d/1IdolZc-dfdgMwAm_KZxYJl1sUOcIgnbGQzbWOlddedo/edit?usp=sharing"",""เลย!I293"")"),20)</f>
        <v>20</v>
      </c>
      <c r="AD43" s="323">
        <f ca="1">IFERROR(__xludf.DUMMYFUNCTION("IMPORTRANGE(""https://docs.google.com/spreadsheets/d/1IdolZc-dfdgMwAm_KZxYJl1sUOcIgnbGQzbWOlddedo/edit?usp=sharing"",""เลย!J293"")"),20)</f>
        <v>20</v>
      </c>
      <c r="AE43" s="324">
        <f t="shared" ca="1" si="30"/>
        <v>100</v>
      </c>
      <c r="AF43" s="323">
        <f ca="1">IFERROR(__xludf.DUMMYFUNCTION("IMPORTRANGE(""https://docs.google.com/spreadsheets/d/1IdolZc-dfdgMwAm_KZxYJl1sUOcIgnbGQzbWOlddedo/edit?usp=sharing"",""เลย!J294"")"),0)</f>
        <v>0</v>
      </c>
      <c r="AG43" s="324">
        <f t="shared" ca="1" si="18"/>
        <v>0</v>
      </c>
    </row>
    <row r="44" spans="1:33" ht="21" customHeight="1" x14ac:dyDescent="0.2">
      <c r="A44" s="73">
        <v>13</v>
      </c>
      <c r="B44" s="74" t="s">
        <v>66</v>
      </c>
      <c r="C44" s="75">
        <f t="shared" ca="1" si="0"/>
        <v>41010</v>
      </c>
      <c r="D44" s="76">
        <f t="shared" ca="1" si="43"/>
        <v>41010</v>
      </c>
      <c r="E44" s="77">
        <f ca="1">IFERROR(__xludf.DUMMYFUNCTION("IMPORTRANGE(""https://docs.google.com/spreadsheets/d/1MeEWN-I1oV_STSDYn1IFDPWt_1FKiwhDph83XaGc0o0/edit?usp=sharing"",""งบพรบ!DJ44"")"),0)</f>
        <v>0</v>
      </c>
      <c r="F44" s="77">
        <f ca="1">IFERROR(__xludf.DUMMYFUNCTION("IMPORTRANGE(""https://docs.google.com/spreadsheets/d/1MeEWN-I1oV_STSDYn1IFDPWt_1FKiwhDph83XaGc0o0/edit?usp=sharing"",""งบพรบ!DK44"")"),41010)</f>
        <v>41010</v>
      </c>
      <c r="G44" s="77">
        <f ca="1">IFERROR(__xludf.DUMMYFUNCTION("IMPORTRANGE(""https://docs.google.com/spreadsheets/d/1MeEWN-I1oV_STSDYn1IFDPWt_1FKiwhDph83XaGc0o0/edit?usp=sharing"",""งบพรบ!DL44"")"),0)</f>
        <v>0</v>
      </c>
      <c r="H44" s="77">
        <f ca="1">IFERROR(__xludf.DUMMYFUNCTION("IMPORTRANGE(""https://docs.google.com/spreadsheets/d/1MeEWN-I1oV_STSDYn1IFDPWt_1FKiwhDph83XaGc0o0/edit?usp=sharing"",""งบพรบ!DN44"")"),41010)</f>
        <v>41010</v>
      </c>
      <c r="I44" s="77">
        <f ca="1">IFERROR(__xludf.DUMMYFUNCTION("IMPORTRANGE(""https://docs.google.com/spreadsheets/d/1MeEWN-I1oV_STSDYn1IFDPWt_1FKiwhDph83XaGc0o0/edit?usp=sharing"",""งบพรบ!DO44"")"),0)</f>
        <v>0</v>
      </c>
      <c r="J44" s="77">
        <f t="shared" ca="1" si="3"/>
        <v>39309.14</v>
      </c>
      <c r="K44" s="78">
        <f t="shared" ca="1" si="4"/>
        <v>95.852572543282122</v>
      </c>
      <c r="L44" s="77">
        <f ca="1">IFERROR(__xludf.DUMMYFUNCTION("IMPORTRANGE(""https://docs.google.com/spreadsheets/d/1MeEWN-I1oV_STSDYn1IFDPWt_1FKiwhDph83XaGc0o0/edit?usp=sharing"",""งบพรบ!DP44"")"),39309.14)</f>
        <v>39309.14</v>
      </c>
      <c r="M44" s="79">
        <f t="shared" ca="1" si="5"/>
        <v>95.852572543282122</v>
      </c>
      <c r="N44" s="79">
        <f t="shared" ca="1" si="6"/>
        <v>95.852572543282122</v>
      </c>
      <c r="O44" s="80">
        <f ca="1">IFERROR(__xludf.DUMMYFUNCTION("IMPORTRANGE(""https://docs.google.com/spreadsheets/d/1MeEWN-I1oV_STSDYn1IFDPWt_1FKiwhDph83XaGc0o0/edit?usp=sharing"",""งบพรบ!DQ44"")"),0)</f>
        <v>0</v>
      </c>
      <c r="P44" s="80">
        <f t="shared" ca="1" si="32"/>
        <v>0</v>
      </c>
      <c r="Q44" s="79">
        <f t="shared" ca="1" si="8"/>
        <v>0</v>
      </c>
      <c r="R44" s="323">
        <f ca="1">IFERROR(__xludf.DUMMYFUNCTION("IMPORTRANGE(""https://docs.google.com/spreadsheets/d/1tZ0nmtGuIRCaGAMXHlQU8EpR9LOAJvyKfc4f7EFmE34/edit?usp=sharing"",""ศรีสะเกษ!I287"")"),100)</f>
        <v>100</v>
      </c>
      <c r="S44" s="323">
        <f ca="1">IFERROR(__xludf.DUMMYFUNCTION("IMPORTRANGE(""https://docs.google.com/spreadsheets/d/1tZ0nmtGuIRCaGAMXHlQU8EpR9LOAJvyKfc4f7EFmE34/edit?usp=sharing"",""ศรีสะเกษ!J287"")"),100)</f>
        <v>100</v>
      </c>
      <c r="T44" s="324">
        <f t="shared" ca="1" si="27"/>
        <v>100</v>
      </c>
      <c r="U44" s="323">
        <f ca="1">IFERROR(__xludf.DUMMYFUNCTION("IMPORTRANGE(""https://docs.google.com/spreadsheets/d/1tZ0nmtGuIRCaGAMXHlQU8EpR9LOAJvyKfc4f7EFmE34/edit?usp=sharing"",""ศรีสะเกษ!I288"")"),10)</f>
        <v>10</v>
      </c>
      <c r="V44" s="323">
        <f ca="1">IFERROR(__xludf.DUMMYFUNCTION("IMPORTRANGE(""https://docs.google.com/spreadsheets/d/1tZ0nmtGuIRCaGAMXHlQU8EpR9LOAJvyKfc4f7EFmE34/edit?usp=sharing"",""ศรีสะเกษ!J288"")"),10)</f>
        <v>10</v>
      </c>
      <c r="W44" s="324">
        <f t="shared" ca="1" si="28"/>
        <v>100</v>
      </c>
      <c r="X44" s="323">
        <f ca="1">IFERROR(__xludf.DUMMYFUNCTION("IMPORTRANGE(""https://docs.google.com/spreadsheets/d/1tZ0nmtGuIRCaGAMXHlQU8EpR9LOAJvyKfc4f7EFmE34/edit?usp=sharing"",""ศรีสะเกษ!I290"")"),10)</f>
        <v>10</v>
      </c>
      <c r="Y44" s="323">
        <f ca="1">IFERROR(__xludf.DUMMYFUNCTION("IMPORTRANGE(""https://docs.google.com/spreadsheets/d/1tZ0nmtGuIRCaGAMXHlQU8EpR9LOAJvyKfc4f7EFmE34/edit?usp=sharing"",""ศรีสะเกษ!J290"")"),10)</f>
        <v>10</v>
      </c>
      <c r="Z44" s="324">
        <f t="shared" ca="1" si="29"/>
        <v>100</v>
      </c>
      <c r="AA44" s="323">
        <f ca="1">IFERROR(__xludf.DUMMYFUNCTION("IMPORTRANGE(""https://docs.google.com/spreadsheets/d/1tZ0nmtGuIRCaGAMXHlQU8EpR9LOAJvyKfc4f7EFmE34/edit?usp=sharing"",""ศรีสะเกษ!J291"")"),10)</f>
        <v>10</v>
      </c>
      <c r="AB44" s="324">
        <f t="shared" ca="1" si="15"/>
        <v>100</v>
      </c>
      <c r="AC44" s="323">
        <f ca="1">IFERROR(__xludf.DUMMYFUNCTION("IMPORTRANGE(""https://docs.google.com/spreadsheets/d/1tZ0nmtGuIRCaGAMXHlQU8EpR9LOAJvyKfc4f7EFmE34/edit?usp=sharing"",""ศรีสะเกษ!I293"")"),10)</f>
        <v>10</v>
      </c>
      <c r="AD44" s="323">
        <f ca="1">IFERROR(__xludf.DUMMYFUNCTION("IMPORTRANGE(""https://docs.google.com/spreadsheets/d/1tZ0nmtGuIRCaGAMXHlQU8EpR9LOAJvyKfc4f7EFmE34/edit?usp=sharing"",""ศรีสะเกษ!J293"")"),10)</f>
        <v>10</v>
      </c>
      <c r="AE44" s="324">
        <f t="shared" ca="1" si="30"/>
        <v>100</v>
      </c>
      <c r="AF44" s="323">
        <f ca="1">IFERROR(__xludf.DUMMYFUNCTION("IMPORTRANGE(""https://docs.google.com/spreadsheets/d/1tZ0nmtGuIRCaGAMXHlQU8EpR9LOAJvyKfc4f7EFmE34/edit?usp=sharing"",""ศรีสะเกษ!J294"")"),10)</f>
        <v>10</v>
      </c>
      <c r="AG44" s="324">
        <f t="shared" ca="1" si="18"/>
        <v>100</v>
      </c>
    </row>
    <row r="45" spans="1:33" ht="21" customHeight="1" x14ac:dyDescent="0.2">
      <c r="A45" s="73">
        <v>14</v>
      </c>
      <c r="B45" s="74" t="s">
        <v>67</v>
      </c>
      <c r="C45" s="75">
        <f t="shared" ca="1" si="0"/>
        <v>111710</v>
      </c>
      <c r="D45" s="76">
        <f t="shared" ca="1" si="43"/>
        <v>111710</v>
      </c>
      <c r="E45" s="77">
        <f ca="1">IFERROR(__xludf.DUMMYFUNCTION("IMPORTRANGE(""https://docs.google.com/spreadsheets/d/1MeEWN-I1oV_STSDYn1IFDPWt_1FKiwhDph83XaGc0o0/edit?usp=sharing"",""งบพรบ!DJ45"")"),0)</f>
        <v>0</v>
      </c>
      <c r="F45" s="77">
        <f ca="1">IFERROR(__xludf.DUMMYFUNCTION("IMPORTRANGE(""https://docs.google.com/spreadsheets/d/1MeEWN-I1oV_STSDYn1IFDPWt_1FKiwhDph83XaGc0o0/edit?usp=sharing"",""งบพรบ!DK45"")"),111710)</f>
        <v>111710</v>
      </c>
      <c r="G45" s="77">
        <f ca="1">IFERROR(__xludf.DUMMYFUNCTION("IMPORTRANGE(""https://docs.google.com/spreadsheets/d/1MeEWN-I1oV_STSDYn1IFDPWt_1FKiwhDph83XaGc0o0/edit?usp=sharing"",""งบพรบ!DL45"")"),0)</f>
        <v>0</v>
      </c>
      <c r="H45" s="77">
        <f ca="1">IFERROR(__xludf.DUMMYFUNCTION("IMPORTRANGE(""https://docs.google.com/spreadsheets/d/1MeEWN-I1oV_STSDYn1IFDPWt_1FKiwhDph83XaGc0o0/edit?usp=sharing"",""งบพรบ!DN45"")"),111710)</f>
        <v>111710</v>
      </c>
      <c r="I45" s="77">
        <f ca="1">IFERROR(__xludf.DUMMYFUNCTION("IMPORTRANGE(""https://docs.google.com/spreadsheets/d/1MeEWN-I1oV_STSDYn1IFDPWt_1FKiwhDph83XaGc0o0/edit?usp=sharing"",""งบพรบ!DO45"")"),0)</f>
        <v>0</v>
      </c>
      <c r="J45" s="77">
        <f t="shared" ca="1" si="3"/>
        <v>111710</v>
      </c>
      <c r="K45" s="78">
        <f t="shared" ca="1" si="4"/>
        <v>100</v>
      </c>
      <c r="L45" s="77">
        <f ca="1">IFERROR(__xludf.DUMMYFUNCTION("IMPORTRANGE(""https://docs.google.com/spreadsheets/d/1MeEWN-I1oV_STSDYn1IFDPWt_1FKiwhDph83XaGc0o0/edit?usp=sharing"",""งบพรบ!DP45"")"),111710)</f>
        <v>111710</v>
      </c>
      <c r="M45" s="79">
        <f t="shared" ca="1" si="5"/>
        <v>100</v>
      </c>
      <c r="N45" s="79">
        <f t="shared" ca="1" si="6"/>
        <v>100</v>
      </c>
      <c r="O45" s="80">
        <f ca="1">IFERROR(__xludf.DUMMYFUNCTION("IMPORTRANGE(""https://docs.google.com/spreadsheets/d/1MeEWN-I1oV_STSDYn1IFDPWt_1FKiwhDph83XaGc0o0/edit?usp=sharing"",""งบพรบ!DQ45"")"),0)</f>
        <v>0</v>
      </c>
      <c r="P45" s="80">
        <f t="shared" ca="1" si="32"/>
        <v>0</v>
      </c>
      <c r="Q45" s="79">
        <f t="shared" ca="1" si="8"/>
        <v>0</v>
      </c>
      <c r="R45" s="323">
        <f ca="1">IFERROR(__xludf.DUMMYFUNCTION("IMPORTRANGE(""https://docs.google.com/spreadsheets/d/1QC8psz9w0f9IVE9Xuc2FT_btkaOzZbbUSgYObpBuetM/edit?usp=sharing"",""สกลนคร!I287"")"),300)</f>
        <v>300</v>
      </c>
      <c r="S45" s="323">
        <f ca="1">IFERROR(__xludf.DUMMYFUNCTION("IMPORTRANGE(""https://docs.google.com/spreadsheets/d/1QC8psz9w0f9IVE9Xuc2FT_btkaOzZbbUSgYObpBuetM/edit?usp=sharing"",""สกลนคร!J287"")"),300)</f>
        <v>300</v>
      </c>
      <c r="T45" s="324">
        <f t="shared" ca="1" si="27"/>
        <v>100</v>
      </c>
      <c r="U45" s="323">
        <f ca="1">IFERROR(__xludf.DUMMYFUNCTION("IMPORTRANGE(""https://docs.google.com/spreadsheets/d/1QC8psz9w0f9IVE9Xuc2FT_btkaOzZbbUSgYObpBuetM/edit?usp=sharing"",""สกลนคร!I288"")"),30)</f>
        <v>30</v>
      </c>
      <c r="V45" s="323">
        <f ca="1">IFERROR(__xludf.DUMMYFUNCTION("IMPORTRANGE(""https://docs.google.com/spreadsheets/d/1QC8psz9w0f9IVE9Xuc2FT_btkaOzZbbUSgYObpBuetM/edit?usp=sharing"",""สกลนคร!J288"")"),30)</f>
        <v>30</v>
      </c>
      <c r="W45" s="324">
        <f t="shared" ca="1" si="28"/>
        <v>100</v>
      </c>
      <c r="X45" s="323">
        <f ca="1">IFERROR(__xludf.DUMMYFUNCTION("IMPORTRANGE(""https://docs.google.com/spreadsheets/d/1QC8psz9w0f9IVE9Xuc2FT_btkaOzZbbUSgYObpBuetM/edit?usp=sharing"",""สกลนคร!I290"")"),30)</f>
        <v>30</v>
      </c>
      <c r="Y45" s="323">
        <f ca="1">IFERROR(__xludf.DUMMYFUNCTION("IMPORTRANGE(""https://docs.google.com/spreadsheets/d/1QC8psz9w0f9IVE9Xuc2FT_btkaOzZbbUSgYObpBuetM/edit?usp=sharing"",""สกลนคร!J290"")"),30)</f>
        <v>30</v>
      </c>
      <c r="Z45" s="324">
        <f t="shared" ca="1" si="29"/>
        <v>100</v>
      </c>
      <c r="AA45" s="323">
        <f ca="1">IFERROR(__xludf.DUMMYFUNCTION("IMPORTRANGE(""https://docs.google.com/spreadsheets/d/1QC8psz9w0f9IVE9Xuc2FT_btkaOzZbbUSgYObpBuetM/edit?usp=sharing"",""สกลนคร!J291"")"),30)</f>
        <v>30</v>
      </c>
      <c r="AB45" s="324">
        <f t="shared" ca="1" si="15"/>
        <v>100</v>
      </c>
      <c r="AC45" s="323">
        <f ca="1">IFERROR(__xludf.DUMMYFUNCTION("IMPORTRANGE(""https://docs.google.com/spreadsheets/d/1QC8psz9w0f9IVE9Xuc2FT_btkaOzZbbUSgYObpBuetM/edit?usp=sharing"",""สกลนคร!I293"")"),30)</f>
        <v>30</v>
      </c>
      <c r="AD45" s="323">
        <f ca="1">IFERROR(__xludf.DUMMYFUNCTION("IMPORTRANGE(""https://docs.google.com/spreadsheets/d/1QC8psz9w0f9IVE9Xuc2FT_btkaOzZbbUSgYObpBuetM/edit?usp=sharing"",""สกลนคร!J293"")"),30)</f>
        <v>30</v>
      </c>
      <c r="AE45" s="324">
        <f t="shared" ca="1" si="30"/>
        <v>100</v>
      </c>
      <c r="AF45" s="323">
        <f ca="1">IFERROR(__xludf.DUMMYFUNCTION("IMPORTRANGE(""https://docs.google.com/spreadsheets/d/1QC8psz9w0f9IVE9Xuc2FT_btkaOzZbbUSgYObpBuetM/edit?usp=sharing"",""สกลนคร!J294"")"),30)</f>
        <v>30</v>
      </c>
      <c r="AG45" s="324">
        <f t="shared" ca="1" si="18"/>
        <v>100</v>
      </c>
    </row>
    <row r="46" spans="1:33" ht="21" customHeight="1" x14ac:dyDescent="0.2">
      <c r="A46" s="73">
        <v>15</v>
      </c>
      <c r="B46" s="74" t="s">
        <v>68</v>
      </c>
      <c r="C46" s="75">
        <f t="shared" ca="1" si="0"/>
        <v>542220</v>
      </c>
      <c r="D46" s="76">
        <f t="shared" ca="1" si="43"/>
        <v>542220</v>
      </c>
      <c r="E46" s="77">
        <f ca="1">IFERROR(__xludf.DUMMYFUNCTION("IMPORTRANGE(""https://docs.google.com/spreadsheets/d/1MeEWN-I1oV_STSDYn1IFDPWt_1FKiwhDph83XaGc0o0/edit?usp=sharing"",""งบพรบ!DJ46"")"),448200)</f>
        <v>448200</v>
      </c>
      <c r="F46" s="77">
        <f ca="1">IFERROR(__xludf.DUMMYFUNCTION("IMPORTRANGE(""https://docs.google.com/spreadsheets/d/1MeEWN-I1oV_STSDYn1IFDPWt_1FKiwhDph83XaGc0o0/edit?usp=sharing"",""งบพรบ!DK46"")"),94020)</f>
        <v>94020</v>
      </c>
      <c r="G46" s="77">
        <f ca="1">IFERROR(__xludf.DUMMYFUNCTION("IMPORTRANGE(""https://docs.google.com/spreadsheets/d/1MeEWN-I1oV_STSDYn1IFDPWt_1FKiwhDph83XaGc0o0/edit?usp=sharing"",""งบพรบ!DL46"")"),0)</f>
        <v>0</v>
      </c>
      <c r="H46" s="77">
        <f ca="1">IFERROR(__xludf.DUMMYFUNCTION("IMPORTRANGE(""https://docs.google.com/spreadsheets/d/1MeEWN-I1oV_STSDYn1IFDPWt_1FKiwhDph83XaGc0o0/edit?usp=sharing"",""งบพรบ!DN46"")"),542220)</f>
        <v>542220</v>
      </c>
      <c r="I46" s="77">
        <f ca="1">IFERROR(__xludf.DUMMYFUNCTION("IMPORTRANGE(""https://docs.google.com/spreadsheets/d/1MeEWN-I1oV_STSDYn1IFDPWt_1FKiwhDph83XaGc0o0/edit?usp=sharing"",""งบพรบ!DO46"")"),0)</f>
        <v>0</v>
      </c>
      <c r="J46" s="77">
        <f t="shared" ca="1" si="3"/>
        <v>493452.4</v>
      </c>
      <c r="K46" s="78">
        <f t="shared" ca="1" si="4"/>
        <v>91.005938548928484</v>
      </c>
      <c r="L46" s="77">
        <f ca="1">IFERROR(__xludf.DUMMYFUNCTION("IMPORTRANGE(""https://docs.google.com/spreadsheets/d/1MeEWN-I1oV_STSDYn1IFDPWt_1FKiwhDph83XaGc0o0/edit?usp=sharing"",""งบพรบ!DP46"")"),493452.4)</f>
        <v>493452.4</v>
      </c>
      <c r="M46" s="79">
        <f t="shared" ca="1" si="5"/>
        <v>91.005938548928484</v>
      </c>
      <c r="N46" s="79">
        <f t="shared" ca="1" si="6"/>
        <v>91.005938548928484</v>
      </c>
      <c r="O46" s="80">
        <f ca="1">IFERROR(__xludf.DUMMYFUNCTION("IMPORTRANGE(""https://docs.google.com/spreadsheets/d/1MeEWN-I1oV_STSDYn1IFDPWt_1FKiwhDph83XaGc0o0/edit?usp=sharing"",""งบพรบ!DQ46"")"),0)</f>
        <v>0</v>
      </c>
      <c r="P46" s="80">
        <f t="shared" ca="1" si="32"/>
        <v>0</v>
      </c>
      <c r="Q46" s="79">
        <f t="shared" ca="1" si="8"/>
        <v>0</v>
      </c>
      <c r="R46" s="323">
        <f ca="1">IFERROR(__xludf.DUMMYFUNCTION("IMPORTRANGE(""https://docs.google.com/spreadsheets/d/1wPdvRbu02d33MYVlbsCnyTiZpefEBs9NNktAnT1HZvw/edit?usp=sharing"",""สุรินทร์!I287"")"),250)</f>
        <v>250</v>
      </c>
      <c r="S46" s="323">
        <f ca="1">IFERROR(__xludf.DUMMYFUNCTION("IMPORTRANGE(""https://docs.google.com/spreadsheets/d/1wPdvRbu02d33MYVlbsCnyTiZpefEBs9NNktAnT1HZvw/edit?usp=sharing"",""สุรินทร์!J287"")"),250)</f>
        <v>250</v>
      </c>
      <c r="T46" s="324">
        <f t="shared" ca="1" si="27"/>
        <v>100</v>
      </c>
      <c r="U46" s="323">
        <f ca="1">IFERROR(__xludf.DUMMYFUNCTION("IMPORTRANGE(""https://docs.google.com/spreadsheets/d/1wPdvRbu02d33MYVlbsCnyTiZpefEBs9NNktAnT1HZvw/edit?usp=sharing"",""สุรินทร์!I288"")"),25)</f>
        <v>25</v>
      </c>
      <c r="V46" s="323">
        <f ca="1">IFERROR(__xludf.DUMMYFUNCTION("IMPORTRANGE(""https://docs.google.com/spreadsheets/d/1wPdvRbu02d33MYVlbsCnyTiZpefEBs9NNktAnT1HZvw/edit?usp=sharing"",""สุรินทร์!J288"")"),25)</f>
        <v>25</v>
      </c>
      <c r="W46" s="324">
        <f t="shared" ca="1" si="28"/>
        <v>100</v>
      </c>
      <c r="X46" s="323">
        <f ca="1">IFERROR(__xludf.DUMMYFUNCTION("IMPORTRANGE(""https://docs.google.com/spreadsheets/d/1wPdvRbu02d33MYVlbsCnyTiZpefEBs9NNktAnT1HZvw/edit?usp=sharing"",""สุรินทร์!I290"")"),25)</f>
        <v>25</v>
      </c>
      <c r="Y46" s="323">
        <f ca="1">IFERROR(__xludf.DUMMYFUNCTION("IMPORTRANGE(""https://docs.google.com/spreadsheets/d/1wPdvRbu02d33MYVlbsCnyTiZpefEBs9NNktAnT1HZvw/edit?usp=sharing"",""สุรินทร์!J290"")"),25)</f>
        <v>25</v>
      </c>
      <c r="Z46" s="324">
        <f t="shared" ca="1" si="29"/>
        <v>100</v>
      </c>
      <c r="AA46" s="323">
        <f ca="1">IFERROR(__xludf.DUMMYFUNCTION("IMPORTRANGE(""https://docs.google.com/spreadsheets/d/1wPdvRbu02d33MYVlbsCnyTiZpefEBs9NNktAnT1HZvw/edit?usp=sharing"",""สุรินทร์!J291"")"),25)</f>
        <v>25</v>
      </c>
      <c r="AB46" s="324">
        <f t="shared" ca="1" si="15"/>
        <v>100</v>
      </c>
      <c r="AC46" s="323">
        <f ca="1">IFERROR(__xludf.DUMMYFUNCTION("IMPORTRANGE(""https://docs.google.com/spreadsheets/d/1wPdvRbu02d33MYVlbsCnyTiZpefEBs9NNktAnT1HZvw/edit?usp=sharing"",""สุรินทร์!I293"")"),25)</f>
        <v>25</v>
      </c>
      <c r="AD46" s="323">
        <f ca="1">IFERROR(__xludf.DUMMYFUNCTION("IMPORTRANGE(""https://docs.google.com/spreadsheets/d/1wPdvRbu02d33MYVlbsCnyTiZpefEBs9NNktAnT1HZvw/edit?usp=sharing"",""สุรินทร์!J293"")"),25)</f>
        <v>25</v>
      </c>
      <c r="AE46" s="324">
        <f t="shared" ca="1" si="30"/>
        <v>100</v>
      </c>
      <c r="AF46" s="323">
        <f ca="1">IFERROR(__xludf.DUMMYFUNCTION("IMPORTRANGE(""https://docs.google.com/spreadsheets/d/1wPdvRbu02d33MYVlbsCnyTiZpefEBs9NNktAnT1HZvw/edit?usp=sharing"",""สุรินทร์!J294"")"),25)</f>
        <v>25</v>
      </c>
      <c r="AG46" s="324">
        <f t="shared" ca="1" si="18"/>
        <v>100</v>
      </c>
    </row>
    <row r="47" spans="1:33" ht="21" customHeight="1" x14ac:dyDescent="0.2">
      <c r="A47" s="73">
        <v>16</v>
      </c>
      <c r="B47" s="74" t="s">
        <v>69</v>
      </c>
      <c r="C47" s="75">
        <f t="shared" ca="1" si="0"/>
        <v>22630</v>
      </c>
      <c r="D47" s="76">
        <f t="shared" ca="1" si="43"/>
        <v>22630</v>
      </c>
      <c r="E47" s="77">
        <f ca="1">IFERROR(__xludf.DUMMYFUNCTION("IMPORTRANGE(""https://docs.google.com/spreadsheets/d/1MeEWN-I1oV_STSDYn1IFDPWt_1FKiwhDph83XaGc0o0/edit?usp=sharing"",""งบพรบ!DJ47"")"),0)</f>
        <v>0</v>
      </c>
      <c r="F47" s="77">
        <f ca="1">IFERROR(__xludf.DUMMYFUNCTION("IMPORTRANGE(""https://docs.google.com/spreadsheets/d/1MeEWN-I1oV_STSDYn1IFDPWt_1FKiwhDph83XaGc0o0/edit?usp=sharing"",""งบพรบ!DK47"")"),22630)</f>
        <v>22630</v>
      </c>
      <c r="G47" s="77">
        <f ca="1">IFERROR(__xludf.DUMMYFUNCTION("IMPORTRANGE(""https://docs.google.com/spreadsheets/d/1MeEWN-I1oV_STSDYn1IFDPWt_1FKiwhDph83XaGc0o0/edit?usp=sharing"",""งบพรบ!DL47"")"),0)</f>
        <v>0</v>
      </c>
      <c r="H47" s="77">
        <f ca="1">IFERROR(__xludf.DUMMYFUNCTION("IMPORTRANGE(""https://docs.google.com/spreadsheets/d/1MeEWN-I1oV_STSDYn1IFDPWt_1FKiwhDph83XaGc0o0/edit?usp=sharing"",""งบพรบ!DN47"")"),22630)</f>
        <v>22630</v>
      </c>
      <c r="I47" s="77">
        <f ca="1">IFERROR(__xludf.DUMMYFUNCTION("IMPORTRANGE(""https://docs.google.com/spreadsheets/d/1MeEWN-I1oV_STSDYn1IFDPWt_1FKiwhDph83XaGc0o0/edit?usp=sharing"",""งบพรบ!DO47"")"),0)</f>
        <v>0</v>
      </c>
      <c r="J47" s="77">
        <f t="shared" ca="1" si="3"/>
        <v>22630</v>
      </c>
      <c r="K47" s="78">
        <f t="shared" ca="1" si="4"/>
        <v>100</v>
      </c>
      <c r="L47" s="77">
        <f ca="1">IFERROR(__xludf.DUMMYFUNCTION("IMPORTRANGE(""https://docs.google.com/spreadsheets/d/1MeEWN-I1oV_STSDYn1IFDPWt_1FKiwhDph83XaGc0o0/edit?usp=sharing"",""งบพรบ!DP47"")"),22630)</f>
        <v>22630</v>
      </c>
      <c r="M47" s="79">
        <f t="shared" ca="1" si="5"/>
        <v>100</v>
      </c>
      <c r="N47" s="79">
        <f t="shared" ca="1" si="6"/>
        <v>100</v>
      </c>
      <c r="O47" s="80">
        <f ca="1">IFERROR(__xludf.DUMMYFUNCTION("IMPORTRANGE(""https://docs.google.com/spreadsheets/d/1MeEWN-I1oV_STSDYn1IFDPWt_1FKiwhDph83XaGc0o0/edit?usp=sharing"",""งบพรบ!DQ47"")"),0)</f>
        <v>0</v>
      </c>
      <c r="P47" s="80">
        <f t="shared" ca="1" si="32"/>
        <v>0</v>
      </c>
      <c r="Q47" s="79">
        <f t="shared" ca="1" si="8"/>
        <v>0</v>
      </c>
      <c r="R47" s="323">
        <f ca="1">IFERROR(__xludf.DUMMYFUNCTION("IMPORTRANGE(""https://docs.google.com/spreadsheets/d/1GVExpf-Exi_2gmuqTYH28fseTB9MoKPXWcXCbSt_YrM/edit?usp=sharing"",""หนองคาย!I287"")"),50)</f>
        <v>50</v>
      </c>
      <c r="S47" s="323">
        <f ca="1">IFERROR(__xludf.DUMMYFUNCTION("IMPORTRANGE(""https://docs.google.com/spreadsheets/d/1GVExpf-Exi_2gmuqTYH28fseTB9MoKPXWcXCbSt_YrM/edit?usp=sharing"",""หนองคาย!J287"")"),50)</f>
        <v>50</v>
      </c>
      <c r="T47" s="324">
        <f t="shared" ca="1" si="27"/>
        <v>100</v>
      </c>
      <c r="U47" s="323">
        <f ca="1">IFERROR(__xludf.DUMMYFUNCTION("IMPORTRANGE(""https://docs.google.com/spreadsheets/d/1GVExpf-Exi_2gmuqTYH28fseTB9MoKPXWcXCbSt_YrM/edit?usp=sharing"",""หนองคาย!I288"")"),5)</f>
        <v>5</v>
      </c>
      <c r="V47" s="323">
        <f ca="1">IFERROR(__xludf.DUMMYFUNCTION("IMPORTRANGE(""https://docs.google.com/spreadsheets/d/1GVExpf-Exi_2gmuqTYH28fseTB9MoKPXWcXCbSt_YrM/edit?usp=sharing"",""หนองคาย!J288"")"),5)</f>
        <v>5</v>
      </c>
      <c r="W47" s="324">
        <f t="shared" ca="1" si="28"/>
        <v>100</v>
      </c>
      <c r="X47" s="323">
        <f ca="1">IFERROR(__xludf.DUMMYFUNCTION("IMPORTRANGE(""https://docs.google.com/spreadsheets/d/1GVExpf-Exi_2gmuqTYH28fseTB9MoKPXWcXCbSt_YrM/edit?usp=sharing"",""หนองคาย!I290"")"),5)</f>
        <v>5</v>
      </c>
      <c r="Y47" s="323">
        <f ca="1">IFERROR(__xludf.DUMMYFUNCTION("IMPORTRANGE(""https://docs.google.com/spreadsheets/d/1GVExpf-Exi_2gmuqTYH28fseTB9MoKPXWcXCbSt_YrM/edit?usp=sharing"",""หนองคาย!J290"")"),5)</f>
        <v>5</v>
      </c>
      <c r="Z47" s="324">
        <f t="shared" ca="1" si="29"/>
        <v>100</v>
      </c>
      <c r="AA47" s="323">
        <f ca="1">IFERROR(__xludf.DUMMYFUNCTION("IMPORTRANGE(""https://docs.google.com/spreadsheets/d/1GVExpf-Exi_2gmuqTYH28fseTB9MoKPXWcXCbSt_YrM/edit?usp=sharing"",""หนองคาย!J291"")"),5)</f>
        <v>5</v>
      </c>
      <c r="AB47" s="324">
        <f t="shared" ca="1" si="15"/>
        <v>100</v>
      </c>
      <c r="AC47" s="323">
        <f ca="1">IFERROR(__xludf.DUMMYFUNCTION("IMPORTRANGE(""https://docs.google.com/spreadsheets/d/1GVExpf-Exi_2gmuqTYH28fseTB9MoKPXWcXCbSt_YrM/edit?usp=sharing"",""หนองคาย!I293"")"),5)</f>
        <v>5</v>
      </c>
      <c r="AD47" s="323">
        <f ca="1">IFERROR(__xludf.DUMMYFUNCTION("IMPORTRANGE(""https://docs.google.com/spreadsheets/d/1GVExpf-Exi_2gmuqTYH28fseTB9MoKPXWcXCbSt_YrM/edit?usp=sharing"",""หนองคาย!J293"")"),5)</f>
        <v>5</v>
      </c>
      <c r="AE47" s="324">
        <f t="shared" ca="1" si="30"/>
        <v>100</v>
      </c>
      <c r="AF47" s="323">
        <f ca="1">IFERROR(__xludf.DUMMYFUNCTION("IMPORTRANGE(""https://docs.google.com/spreadsheets/d/1GVExpf-Exi_2gmuqTYH28fseTB9MoKPXWcXCbSt_YrM/edit?usp=sharing"",""หนองคาย!J294"")"),5)</f>
        <v>5</v>
      </c>
      <c r="AG47" s="324">
        <f t="shared" ca="1" si="18"/>
        <v>100</v>
      </c>
    </row>
    <row r="48" spans="1:33" ht="21" customHeight="1" x14ac:dyDescent="0.2">
      <c r="A48" s="73">
        <v>17</v>
      </c>
      <c r="B48" s="74" t="s">
        <v>70</v>
      </c>
      <c r="C48" s="75">
        <f t="shared" ca="1" si="0"/>
        <v>111710</v>
      </c>
      <c r="D48" s="76">
        <f t="shared" ca="1" si="43"/>
        <v>111710</v>
      </c>
      <c r="E48" s="77">
        <f ca="1">IFERROR(__xludf.DUMMYFUNCTION("IMPORTRANGE(""https://docs.google.com/spreadsheets/d/1MeEWN-I1oV_STSDYn1IFDPWt_1FKiwhDph83XaGc0o0/edit?usp=sharing"",""งบพรบ!DJ48"")"),0)</f>
        <v>0</v>
      </c>
      <c r="F48" s="77">
        <f ca="1">IFERROR(__xludf.DUMMYFUNCTION("IMPORTRANGE(""https://docs.google.com/spreadsheets/d/1MeEWN-I1oV_STSDYn1IFDPWt_1FKiwhDph83XaGc0o0/edit?usp=sharing"",""งบพรบ!DK48"")"),111710)</f>
        <v>111710</v>
      </c>
      <c r="G48" s="77">
        <f ca="1">IFERROR(__xludf.DUMMYFUNCTION("IMPORTRANGE(""https://docs.google.com/spreadsheets/d/1MeEWN-I1oV_STSDYn1IFDPWt_1FKiwhDph83XaGc0o0/edit?usp=sharing"",""งบพรบ!DL48"")"),0)</f>
        <v>0</v>
      </c>
      <c r="H48" s="77">
        <f ca="1">IFERROR(__xludf.DUMMYFUNCTION("IMPORTRANGE(""https://docs.google.com/spreadsheets/d/1MeEWN-I1oV_STSDYn1IFDPWt_1FKiwhDph83XaGc0o0/edit?usp=sharing"",""งบพรบ!DN48"")"),111710)</f>
        <v>111710</v>
      </c>
      <c r="I48" s="77">
        <f ca="1">IFERROR(__xludf.DUMMYFUNCTION("IMPORTRANGE(""https://docs.google.com/spreadsheets/d/1MeEWN-I1oV_STSDYn1IFDPWt_1FKiwhDph83XaGc0o0/edit?usp=sharing"",""งบพรบ!DO48"")"),0)</f>
        <v>0</v>
      </c>
      <c r="J48" s="77">
        <f t="shared" ca="1" si="3"/>
        <v>110350</v>
      </c>
      <c r="K48" s="78">
        <f t="shared" ca="1" si="4"/>
        <v>98.782561990869212</v>
      </c>
      <c r="L48" s="77">
        <f ca="1">IFERROR(__xludf.DUMMYFUNCTION("IMPORTRANGE(""https://docs.google.com/spreadsheets/d/1MeEWN-I1oV_STSDYn1IFDPWt_1FKiwhDph83XaGc0o0/edit?usp=sharing"",""งบพรบ!DP48"")"),110350)</f>
        <v>110350</v>
      </c>
      <c r="M48" s="79">
        <f t="shared" ca="1" si="5"/>
        <v>98.782561990869212</v>
      </c>
      <c r="N48" s="79">
        <f t="shared" ca="1" si="6"/>
        <v>98.782561990869212</v>
      </c>
      <c r="O48" s="80">
        <f ca="1">IFERROR(__xludf.DUMMYFUNCTION("IMPORTRANGE(""https://docs.google.com/spreadsheets/d/1MeEWN-I1oV_STSDYn1IFDPWt_1FKiwhDph83XaGc0o0/edit?usp=sharing"",""งบพรบ!DQ48"")"),0)</f>
        <v>0</v>
      </c>
      <c r="P48" s="80">
        <f t="shared" ca="1" si="32"/>
        <v>0</v>
      </c>
      <c r="Q48" s="79">
        <f t="shared" ca="1" si="8"/>
        <v>0</v>
      </c>
      <c r="R48" s="323">
        <f ca="1">IFERROR(__xludf.DUMMYFUNCTION("IMPORTRANGE(""https://docs.google.com/spreadsheets/d/16UeMz0UgOB5BZcoxP75eYGcLFtGYRn9GoesD4OX9m5U/edit?usp=sharing"",""หนองบัวลำภู!I287"")"),300)</f>
        <v>300</v>
      </c>
      <c r="S48" s="323">
        <f ca="1">IFERROR(__xludf.DUMMYFUNCTION("IMPORTRANGE(""https://docs.google.com/spreadsheets/d/16UeMz0UgOB5BZcoxP75eYGcLFtGYRn9GoesD4OX9m5U/edit?usp=sharing"",""หนองบัวลำภู!J287"")"),300)</f>
        <v>300</v>
      </c>
      <c r="T48" s="324">
        <f t="shared" ca="1" si="27"/>
        <v>100</v>
      </c>
      <c r="U48" s="323">
        <f ca="1">IFERROR(__xludf.DUMMYFUNCTION("IMPORTRANGE(""https://docs.google.com/spreadsheets/d/16UeMz0UgOB5BZcoxP75eYGcLFtGYRn9GoesD4OX9m5U/edit?usp=sharing"",""หนองบัวลำภู!I288"")"),30)</f>
        <v>30</v>
      </c>
      <c r="V48" s="323">
        <f ca="1">IFERROR(__xludf.DUMMYFUNCTION("IMPORTRANGE(""https://docs.google.com/spreadsheets/d/16UeMz0UgOB5BZcoxP75eYGcLFtGYRn9GoesD4OX9m5U/edit?usp=sharing"",""หนองบัวลำภู!J288"")"),30)</f>
        <v>30</v>
      </c>
      <c r="W48" s="324">
        <f t="shared" ca="1" si="28"/>
        <v>100</v>
      </c>
      <c r="X48" s="323">
        <f ca="1">IFERROR(__xludf.DUMMYFUNCTION("IMPORTRANGE(""https://docs.google.com/spreadsheets/d/16UeMz0UgOB5BZcoxP75eYGcLFtGYRn9GoesD4OX9m5U/edit?usp=sharing"",""หนองบัวลำภู!I290"")"),30)</f>
        <v>30</v>
      </c>
      <c r="Y48" s="323">
        <f ca="1">IFERROR(__xludf.DUMMYFUNCTION("IMPORTRANGE(""https://docs.google.com/spreadsheets/d/16UeMz0UgOB5BZcoxP75eYGcLFtGYRn9GoesD4OX9m5U/edit?usp=sharing"",""หนองบัวลำภู!J290"")"),30)</f>
        <v>30</v>
      </c>
      <c r="Z48" s="324">
        <f t="shared" ca="1" si="29"/>
        <v>100</v>
      </c>
      <c r="AA48" s="323">
        <f ca="1">IFERROR(__xludf.DUMMYFUNCTION("IMPORTRANGE(""https://docs.google.com/spreadsheets/d/16UeMz0UgOB5BZcoxP75eYGcLFtGYRn9GoesD4OX9m5U/edit?usp=sharing"",""หนองบัวลำภู!J291"")"),30)</f>
        <v>30</v>
      </c>
      <c r="AB48" s="324">
        <f t="shared" ca="1" si="15"/>
        <v>100</v>
      </c>
      <c r="AC48" s="323">
        <f ca="1">IFERROR(__xludf.DUMMYFUNCTION("IMPORTRANGE(""https://docs.google.com/spreadsheets/d/16UeMz0UgOB5BZcoxP75eYGcLFtGYRn9GoesD4OX9m5U/edit?usp=sharing"",""หนองบัวลำภู!I293"")"),30)</f>
        <v>30</v>
      </c>
      <c r="AD48" s="323">
        <f ca="1">IFERROR(__xludf.DUMMYFUNCTION("IMPORTRANGE(""https://docs.google.com/spreadsheets/d/16UeMz0UgOB5BZcoxP75eYGcLFtGYRn9GoesD4OX9m5U/edit?usp=sharing"",""หนองบัวลำภู!J293"")"),30)</f>
        <v>30</v>
      </c>
      <c r="AE48" s="324">
        <f t="shared" ca="1" si="30"/>
        <v>100</v>
      </c>
      <c r="AF48" s="323">
        <f ca="1">IFERROR(__xludf.DUMMYFUNCTION("IMPORTRANGE(""https://docs.google.com/spreadsheets/d/16UeMz0UgOB5BZcoxP75eYGcLFtGYRn9GoesD4OX9m5U/edit?usp=sharing"",""หนองบัวลำภู!J294"")"),30)</f>
        <v>30</v>
      </c>
      <c r="AG48" s="324">
        <f t="shared" ca="1" si="18"/>
        <v>100</v>
      </c>
    </row>
    <row r="49" spans="1:33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43"/>
        <v>0</v>
      </c>
      <c r="E49" s="77">
        <f ca="1">IFERROR(__xludf.DUMMYFUNCTION("IMPORTRANGE(""https://docs.google.com/spreadsheets/d/1MeEWN-I1oV_STSDYn1IFDPWt_1FKiwhDph83XaGc0o0/edit?usp=sharing"",""งบพรบ!DJ49"")"),0)</f>
        <v>0</v>
      </c>
      <c r="F49" s="77">
        <f ca="1">IFERROR(__xludf.DUMMYFUNCTION("IMPORTRANGE(""https://docs.google.com/spreadsheets/d/1MeEWN-I1oV_STSDYn1IFDPWt_1FKiwhDph83XaGc0o0/edit?usp=sharing"",""งบพรบ!DK49"")"),0)</f>
        <v>0</v>
      </c>
      <c r="G49" s="77">
        <f ca="1">IFERROR(__xludf.DUMMYFUNCTION("IMPORTRANGE(""https://docs.google.com/spreadsheets/d/1MeEWN-I1oV_STSDYn1IFDPWt_1FKiwhDph83XaGc0o0/edit?usp=sharing"",""งบพรบ!DL49"")"),0)</f>
        <v>0</v>
      </c>
      <c r="H49" s="77">
        <f ca="1">IFERROR(__xludf.DUMMYFUNCTION("IMPORTRANGE(""https://docs.google.com/spreadsheets/d/1MeEWN-I1oV_STSDYn1IFDPWt_1FKiwhDph83XaGc0o0/edit?usp=sharing"",""งบพรบ!DN49"")"),0)</f>
        <v>0</v>
      </c>
      <c r="I49" s="77">
        <f ca="1">IFERROR(__xludf.DUMMYFUNCTION("IMPORTRANGE(""https://docs.google.com/spreadsheets/d/1MeEWN-I1oV_STSDYn1IFDPWt_1FKiwhDph83XaGc0o0/edit?usp=sharing"",""งบพรบ!DO49"")"),0)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IFERROR(__xludf.DUMMYFUNCTION("IMPORTRANGE(""https://docs.google.com/spreadsheets/d/1MeEWN-I1oV_STSDYn1IFDPWt_1FKiwhDph83XaGc0o0/edit?usp=sharing"",""งบพรบ!DP49"")"),0)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IFERROR(__xludf.DUMMYFUNCTION("IMPORTRANGE(""https://docs.google.com/spreadsheets/d/1MeEWN-I1oV_STSDYn1IFDPWt_1FKiwhDph83XaGc0o0/edit?usp=sharing"",""งบพรบ!DQ49"")"),0)</f>
        <v>0</v>
      </c>
      <c r="P49" s="80">
        <f t="shared" ca="1" si="32"/>
        <v>0</v>
      </c>
      <c r="Q49" s="79">
        <f t="shared" ca="1" si="8"/>
        <v>0</v>
      </c>
      <c r="R49" s="323">
        <f ca="1">IFERROR(__xludf.DUMMYFUNCTION("IMPORTRANGE(""https://docs.google.com/spreadsheets/d/1uUP8Zo1-qaJLuIkRU0qlwLSE3DHkbdrrj2JGJiWBQZE/edit?usp=sharing"",""อำนาจเจริญ!I287"")"),0)</f>
        <v>0</v>
      </c>
      <c r="S49" s="323">
        <f ca="1">IFERROR(__xludf.DUMMYFUNCTION("IMPORTRANGE(""https://docs.google.com/spreadsheets/d/1uUP8Zo1-qaJLuIkRU0qlwLSE3DHkbdrrj2JGJiWBQZE/edit?usp=sharing"",""อำนาจเจริญ!J287"")"),0)</f>
        <v>0</v>
      </c>
      <c r="T49" s="324">
        <f t="shared" ca="1" si="27"/>
        <v>0</v>
      </c>
      <c r="U49" s="323">
        <f ca="1">IFERROR(__xludf.DUMMYFUNCTION("IMPORTRANGE(""https://docs.google.com/spreadsheets/d/1uUP8Zo1-qaJLuIkRU0qlwLSE3DHkbdrrj2JGJiWBQZE/edit?usp=sharing"",""อำนาจเจริญ!I288"")"),0)</f>
        <v>0</v>
      </c>
      <c r="V49" s="323">
        <f ca="1">IFERROR(__xludf.DUMMYFUNCTION("IMPORTRANGE(""https://docs.google.com/spreadsheets/d/1uUP8Zo1-qaJLuIkRU0qlwLSE3DHkbdrrj2JGJiWBQZE/edit?usp=sharing"",""อำนาจเจริญ!J288"")"),0)</f>
        <v>0</v>
      </c>
      <c r="W49" s="324">
        <f t="shared" ca="1" si="28"/>
        <v>0</v>
      </c>
      <c r="X49" s="323">
        <f ca="1">IFERROR(__xludf.DUMMYFUNCTION("IMPORTRANGE(""https://docs.google.com/spreadsheets/d/1uUP8Zo1-qaJLuIkRU0qlwLSE3DHkbdrrj2JGJiWBQZE/edit?usp=sharing"",""อำนาจเจริญ!I290"")"),0)</f>
        <v>0</v>
      </c>
      <c r="Y49" s="323">
        <f ca="1">IFERROR(__xludf.DUMMYFUNCTION("IMPORTRANGE(""https://docs.google.com/spreadsheets/d/1uUP8Zo1-qaJLuIkRU0qlwLSE3DHkbdrrj2JGJiWBQZE/edit?usp=sharing"",""อำนาจเจริญ!J290"")"),0)</f>
        <v>0</v>
      </c>
      <c r="Z49" s="324">
        <f t="shared" ca="1" si="29"/>
        <v>0</v>
      </c>
      <c r="AA49" s="323">
        <f ca="1">IFERROR(__xludf.DUMMYFUNCTION("IMPORTRANGE(""https://docs.google.com/spreadsheets/d/1uUP8Zo1-qaJLuIkRU0qlwLSE3DHkbdrrj2JGJiWBQZE/edit?usp=sharing"",""อำนาจเจริญ!J291"")"),0)</f>
        <v>0</v>
      </c>
      <c r="AB49" s="324">
        <f t="shared" ca="1" si="15"/>
        <v>0</v>
      </c>
      <c r="AC49" s="323">
        <f ca="1">IFERROR(__xludf.DUMMYFUNCTION("IMPORTRANGE(""https://docs.google.com/spreadsheets/d/1uUP8Zo1-qaJLuIkRU0qlwLSE3DHkbdrrj2JGJiWBQZE/edit?usp=sharing"",""อำนาจเจริญ!I293"")"),0)</f>
        <v>0</v>
      </c>
      <c r="AD49" s="323">
        <f ca="1">IFERROR(__xludf.DUMMYFUNCTION("IMPORTRANGE(""https://docs.google.com/spreadsheets/d/1uUP8Zo1-qaJLuIkRU0qlwLSE3DHkbdrrj2JGJiWBQZE/edit?usp=sharing"",""อำนาจเจริญ!J293"")"),0)</f>
        <v>0</v>
      </c>
      <c r="AE49" s="324">
        <f t="shared" ca="1" si="30"/>
        <v>0</v>
      </c>
      <c r="AF49" s="323">
        <f ca="1">IFERROR(__xludf.DUMMYFUNCTION("IMPORTRANGE(""https://docs.google.com/spreadsheets/d/1uUP8Zo1-qaJLuIkRU0qlwLSE3DHkbdrrj2JGJiWBQZE/edit?usp=sharing"",""อำนาจเจริญ!J294"")"),0)</f>
        <v>0</v>
      </c>
      <c r="AG49" s="324">
        <f t="shared" ca="1" si="18"/>
        <v>0</v>
      </c>
    </row>
    <row r="50" spans="1:33" ht="21" customHeight="1" x14ac:dyDescent="0.2">
      <c r="A50" s="73">
        <v>19</v>
      </c>
      <c r="B50" s="74" t="s">
        <v>72</v>
      </c>
      <c r="C50" s="75">
        <f t="shared" ca="1" si="0"/>
        <v>181410</v>
      </c>
      <c r="D50" s="76">
        <f t="shared" ca="1" si="43"/>
        <v>181410</v>
      </c>
      <c r="E50" s="77">
        <f ca="1">IFERROR(__xludf.DUMMYFUNCTION("IMPORTRANGE(""https://docs.google.com/spreadsheets/d/1MeEWN-I1oV_STSDYn1IFDPWt_1FKiwhDph83XaGc0o0/edit?usp=sharing"",""งบพรบ!DJ50"")"),0)</f>
        <v>0</v>
      </c>
      <c r="F50" s="77">
        <f ca="1">IFERROR(__xludf.DUMMYFUNCTION("IMPORTRANGE(""https://docs.google.com/spreadsheets/d/1MeEWN-I1oV_STSDYn1IFDPWt_1FKiwhDph83XaGc0o0/edit?usp=sharing"",""งบพรบ!DK50"")"),181410)</f>
        <v>181410</v>
      </c>
      <c r="G50" s="77">
        <f ca="1">IFERROR(__xludf.DUMMYFUNCTION("IMPORTRANGE(""https://docs.google.com/spreadsheets/d/1MeEWN-I1oV_STSDYn1IFDPWt_1FKiwhDph83XaGc0o0/edit?usp=sharing"",""งบพรบ!DL50"")"),0)</f>
        <v>0</v>
      </c>
      <c r="H50" s="77">
        <f ca="1">IFERROR(__xludf.DUMMYFUNCTION("IMPORTRANGE(""https://docs.google.com/spreadsheets/d/1MeEWN-I1oV_STSDYn1IFDPWt_1FKiwhDph83XaGc0o0/edit?usp=sharing"",""งบพรบ!DN50"")"),181410)</f>
        <v>181410</v>
      </c>
      <c r="I50" s="77">
        <f ca="1">IFERROR(__xludf.DUMMYFUNCTION("IMPORTRANGE(""https://docs.google.com/spreadsheets/d/1MeEWN-I1oV_STSDYn1IFDPWt_1FKiwhDph83XaGc0o0/edit?usp=sharing"",""งบพรบ!DO50"")"),0)</f>
        <v>0</v>
      </c>
      <c r="J50" s="77">
        <f t="shared" ca="1" si="3"/>
        <v>178032</v>
      </c>
      <c r="K50" s="78">
        <f t="shared" ca="1" si="4"/>
        <v>98.137919629568387</v>
      </c>
      <c r="L50" s="77">
        <f ca="1">IFERROR(__xludf.DUMMYFUNCTION("IMPORTRANGE(""https://docs.google.com/spreadsheets/d/1MeEWN-I1oV_STSDYn1IFDPWt_1FKiwhDph83XaGc0o0/edit?usp=sharing"",""งบพรบ!DP50"")"),178032)</f>
        <v>178032</v>
      </c>
      <c r="M50" s="79">
        <f t="shared" ca="1" si="5"/>
        <v>98.137919629568387</v>
      </c>
      <c r="N50" s="79">
        <f t="shared" ca="1" si="6"/>
        <v>98.137919629568387</v>
      </c>
      <c r="O50" s="80">
        <f ca="1">IFERROR(__xludf.DUMMYFUNCTION("IMPORTRANGE(""https://docs.google.com/spreadsheets/d/1MeEWN-I1oV_STSDYn1IFDPWt_1FKiwhDph83XaGc0o0/edit?usp=sharing"",""งบพรบ!DQ50"")"),0)</f>
        <v>0</v>
      </c>
      <c r="P50" s="80">
        <f t="shared" ca="1" si="32"/>
        <v>0</v>
      </c>
      <c r="Q50" s="79">
        <f t="shared" ca="1" si="8"/>
        <v>0</v>
      </c>
      <c r="R50" s="323">
        <f ca="1">IFERROR(__xludf.DUMMYFUNCTION("IMPORTRANGE(""https://docs.google.com/spreadsheets/d/1hb_taSOHanzRjqfzWPiFo8yiT83VV1L7vvUCLhOiHKc/edit?usp=sharing"",""อุดรธานี!I287"")"),500)</f>
        <v>500</v>
      </c>
      <c r="S50" s="323">
        <f ca="1">IFERROR(__xludf.DUMMYFUNCTION("IMPORTRANGE(""https://docs.google.com/spreadsheets/d/1hb_taSOHanzRjqfzWPiFo8yiT83VV1L7vvUCLhOiHKc/edit?usp=sharing"",""อุดรธานี!J287"")"),500)</f>
        <v>500</v>
      </c>
      <c r="T50" s="324">
        <f t="shared" ca="1" si="27"/>
        <v>100</v>
      </c>
      <c r="U50" s="323">
        <f ca="1">IFERROR(__xludf.DUMMYFUNCTION("IMPORTRANGE(""https://docs.google.com/spreadsheets/d/1hb_taSOHanzRjqfzWPiFo8yiT83VV1L7vvUCLhOiHKc/edit?usp=sharing"",""อุดรธานี!I288"")"),50)</f>
        <v>50</v>
      </c>
      <c r="V50" s="323">
        <f ca="1">IFERROR(__xludf.DUMMYFUNCTION("IMPORTRANGE(""https://docs.google.com/spreadsheets/d/1hb_taSOHanzRjqfzWPiFo8yiT83VV1L7vvUCLhOiHKc/edit?usp=sharing"",""อุดรธานี!J288"")"),50)</f>
        <v>50</v>
      </c>
      <c r="W50" s="324">
        <f t="shared" ca="1" si="28"/>
        <v>100</v>
      </c>
      <c r="X50" s="323">
        <f ca="1">IFERROR(__xludf.DUMMYFUNCTION("IMPORTRANGE(""https://docs.google.com/spreadsheets/d/1hb_taSOHanzRjqfzWPiFo8yiT83VV1L7vvUCLhOiHKc/edit?usp=sharing"",""อุดรธานี!I290"")"),50)</f>
        <v>50</v>
      </c>
      <c r="Y50" s="323">
        <f ca="1">IFERROR(__xludf.DUMMYFUNCTION("IMPORTRANGE(""https://docs.google.com/spreadsheets/d/1hb_taSOHanzRjqfzWPiFo8yiT83VV1L7vvUCLhOiHKc/edit?usp=sharing"",""อุดรธานี!J290"")"),50)</f>
        <v>50</v>
      </c>
      <c r="Z50" s="324">
        <f t="shared" ca="1" si="29"/>
        <v>100</v>
      </c>
      <c r="AA50" s="323">
        <f ca="1">IFERROR(__xludf.DUMMYFUNCTION("IMPORTRANGE(""https://docs.google.com/spreadsheets/d/1hb_taSOHanzRjqfzWPiFo8yiT83VV1L7vvUCLhOiHKc/edit?usp=sharing"",""อุดรธานี!J291"")"),50)</f>
        <v>50</v>
      </c>
      <c r="AB50" s="324">
        <f t="shared" ca="1" si="15"/>
        <v>100</v>
      </c>
      <c r="AC50" s="323">
        <f ca="1">IFERROR(__xludf.DUMMYFUNCTION("IMPORTRANGE(""https://docs.google.com/spreadsheets/d/1hb_taSOHanzRjqfzWPiFo8yiT83VV1L7vvUCLhOiHKc/edit?usp=sharing"",""อุดรธานี!I293"")"),50)</f>
        <v>50</v>
      </c>
      <c r="AD50" s="323">
        <f ca="1">IFERROR(__xludf.DUMMYFUNCTION("IMPORTRANGE(""https://docs.google.com/spreadsheets/d/1hb_taSOHanzRjqfzWPiFo8yiT83VV1L7vvUCLhOiHKc/edit?usp=sharing"",""อุดรธานี!J293"")"),50)</f>
        <v>50</v>
      </c>
      <c r="AE50" s="324">
        <f t="shared" ca="1" si="30"/>
        <v>100</v>
      </c>
      <c r="AF50" s="323">
        <f ca="1">IFERROR(__xludf.DUMMYFUNCTION("IMPORTRANGE(""https://docs.google.com/spreadsheets/d/1hb_taSOHanzRjqfzWPiFo8yiT83VV1L7vvUCLhOiHKc/edit?usp=sharing"",""อุดรธานี!J294"")"),50)</f>
        <v>50</v>
      </c>
      <c r="AG50" s="324">
        <f t="shared" ca="1" si="18"/>
        <v>100</v>
      </c>
    </row>
    <row r="51" spans="1:33" ht="21" customHeight="1" x14ac:dyDescent="0.2">
      <c r="A51" s="84">
        <v>20</v>
      </c>
      <c r="B51" s="85" t="s">
        <v>73</v>
      </c>
      <c r="C51" s="86">
        <f t="shared" ca="1" si="0"/>
        <v>75640</v>
      </c>
      <c r="D51" s="87">
        <f t="shared" ca="1" si="43"/>
        <v>75640</v>
      </c>
      <c r="E51" s="88">
        <f ca="1">IFERROR(__xludf.DUMMYFUNCTION("IMPORTRANGE(""https://docs.google.com/spreadsheets/d/1MeEWN-I1oV_STSDYn1IFDPWt_1FKiwhDph83XaGc0o0/edit?usp=sharing"",""งบพรบ!DJ51"")"),0)</f>
        <v>0</v>
      </c>
      <c r="F51" s="88">
        <f ca="1">IFERROR(__xludf.DUMMYFUNCTION("IMPORTRANGE(""https://docs.google.com/spreadsheets/d/1MeEWN-I1oV_STSDYn1IFDPWt_1FKiwhDph83XaGc0o0/edit?usp=sharing"",""งบพรบ!DK51"")"),75640)</f>
        <v>75640</v>
      </c>
      <c r="G51" s="88">
        <f ca="1">IFERROR(__xludf.DUMMYFUNCTION("IMPORTRANGE(""https://docs.google.com/spreadsheets/d/1MeEWN-I1oV_STSDYn1IFDPWt_1FKiwhDph83XaGc0o0/edit?usp=sharing"",""งบพรบ!DL51"")"),0)</f>
        <v>0</v>
      </c>
      <c r="H51" s="88">
        <f ca="1">IFERROR(__xludf.DUMMYFUNCTION("IMPORTRANGE(""https://docs.google.com/spreadsheets/d/1MeEWN-I1oV_STSDYn1IFDPWt_1FKiwhDph83XaGc0o0/edit?usp=sharing"",""งบพรบ!DN51"")"),75640)</f>
        <v>75640</v>
      </c>
      <c r="I51" s="88">
        <f ca="1">IFERROR(__xludf.DUMMYFUNCTION("IMPORTRANGE(""https://docs.google.com/spreadsheets/d/1MeEWN-I1oV_STSDYn1IFDPWt_1FKiwhDph83XaGc0o0/edit?usp=sharing"",""งบพรบ!DO51"")"),0)</f>
        <v>0</v>
      </c>
      <c r="J51" s="88">
        <f t="shared" ca="1" si="3"/>
        <v>75640</v>
      </c>
      <c r="K51" s="89">
        <f t="shared" ca="1" si="4"/>
        <v>100</v>
      </c>
      <c r="L51" s="88">
        <f ca="1">IFERROR(__xludf.DUMMYFUNCTION("IMPORTRANGE(""https://docs.google.com/spreadsheets/d/1MeEWN-I1oV_STSDYn1IFDPWt_1FKiwhDph83XaGc0o0/edit?usp=sharing"",""งบพรบ!DP51"")"),75640)</f>
        <v>75640</v>
      </c>
      <c r="M51" s="90">
        <f t="shared" ca="1" si="5"/>
        <v>100</v>
      </c>
      <c r="N51" s="90">
        <f t="shared" ca="1" si="6"/>
        <v>100</v>
      </c>
      <c r="O51" s="91">
        <f ca="1">IFERROR(__xludf.DUMMYFUNCTION("IMPORTRANGE(""https://docs.google.com/spreadsheets/d/1MeEWN-I1oV_STSDYn1IFDPWt_1FKiwhDph83XaGc0o0/edit?usp=sharing"",""งบพรบ!DQ51"")"),0)</f>
        <v>0</v>
      </c>
      <c r="P51" s="91">
        <f t="shared" ca="1" si="32"/>
        <v>0</v>
      </c>
      <c r="Q51" s="90">
        <f t="shared" ca="1" si="8"/>
        <v>0</v>
      </c>
      <c r="R51" s="325">
        <f ca="1">IFERROR(__xludf.DUMMYFUNCTION("IMPORTRANGE(""https://docs.google.com/spreadsheets/d/17IOkEwkUd63EGNfyNDnM5de9YlZ7rwzTiW6-dokVjKI/edit?usp=sharing"",""อุบลราชธานี!I287"")"),200)</f>
        <v>200</v>
      </c>
      <c r="S51" s="325">
        <f ca="1">IFERROR(__xludf.DUMMYFUNCTION("IMPORTRANGE(""https://docs.google.com/spreadsheets/d/17IOkEwkUd63EGNfyNDnM5de9YlZ7rwzTiW6-dokVjKI/edit?usp=sharing"",""อุบลราชธานี!J287"")"),200)</f>
        <v>200</v>
      </c>
      <c r="T51" s="326">
        <f t="shared" ca="1" si="27"/>
        <v>100</v>
      </c>
      <c r="U51" s="325">
        <f ca="1">IFERROR(__xludf.DUMMYFUNCTION("IMPORTRANGE(""https://docs.google.com/spreadsheets/d/17IOkEwkUd63EGNfyNDnM5de9YlZ7rwzTiW6-dokVjKI/edit?usp=sharing"",""อุบลราชธานี!I288"")"),20)</f>
        <v>20</v>
      </c>
      <c r="V51" s="325">
        <f ca="1">IFERROR(__xludf.DUMMYFUNCTION("IMPORTRANGE(""https://docs.google.com/spreadsheets/d/17IOkEwkUd63EGNfyNDnM5de9YlZ7rwzTiW6-dokVjKI/edit?usp=sharing"",""อุบลราชธานี!J288"")"),20)</f>
        <v>20</v>
      </c>
      <c r="W51" s="326">
        <f t="shared" ca="1" si="28"/>
        <v>100</v>
      </c>
      <c r="X51" s="325">
        <f ca="1">IFERROR(__xludf.DUMMYFUNCTION("IMPORTRANGE(""https://docs.google.com/spreadsheets/d/17IOkEwkUd63EGNfyNDnM5de9YlZ7rwzTiW6-dokVjKI/edit?usp=sharing"",""อุบลราชธานี!I290"")"),20)</f>
        <v>20</v>
      </c>
      <c r="Y51" s="325">
        <f ca="1">IFERROR(__xludf.DUMMYFUNCTION("IMPORTRANGE(""https://docs.google.com/spreadsheets/d/17IOkEwkUd63EGNfyNDnM5de9YlZ7rwzTiW6-dokVjKI/edit?usp=sharing"",""อุบลราชธานี!J290"")"),20)</f>
        <v>20</v>
      </c>
      <c r="Z51" s="326">
        <f t="shared" ca="1" si="29"/>
        <v>100</v>
      </c>
      <c r="AA51" s="325">
        <f ca="1">IFERROR(__xludf.DUMMYFUNCTION("IMPORTRANGE(""https://docs.google.com/spreadsheets/d/17IOkEwkUd63EGNfyNDnM5de9YlZ7rwzTiW6-dokVjKI/edit?usp=sharing"",""อุบลราชธานี!J291"")"),20)</f>
        <v>20</v>
      </c>
      <c r="AB51" s="326">
        <f t="shared" ca="1" si="15"/>
        <v>100</v>
      </c>
      <c r="AC51" s="325">
        <f ca="1">IFERROR(__xludf.DUMMYFUNCTION("IMPORTRANGE(""https://docs.google.com/spreadsheets/d/17IOkEwkUd63EGNfyNDnM5de9YlZ7rwzTiW6-dokVjKI/edit?usp=sharing"",""อุบลราชธานี!I293"")"),20)</f>
        <v>20</v>
      </c>
      <c r="AD51" s="325">
        <f ca="1">IFERROR(__xludf.DUMMYFUNCTION("IMPORTRANGE(""https://docs.google.com/spreadsheets/d/17IOkEwkUd63EGNfyNDnM5de9YlZ7rwzTiW6-dokVjKI/edit?usp=sharing"",""อุบลราชธานี!J293"")"),20)</f>
        <v>20</v>
      </c>
      <c r="AE51" s="326">
        <f t="shared" ca="1" si="30"/>
        <v>100</v>
      </c>
      <c r="AF51" s="325">
        <f ca="1">IFERROR(__xludf.DUMMYFUNCTION("IMPORTRANGE(""https://docs.google.com/spreadsheets/d/17IOkEwkUd63EGNfyNDnM5de9YlZ7rwzTiW6-dokVjKI/edit?usp=sharing"",""อุบลราชธานี!J294"")"),20)</f>
        <v>20</v>
      </c>
      <c r="AG51" s="326">
        <f t="shared" ca="1" si="18"/>
        <v>100</v>
      </c>
    </row>
    <row r="52" spans="1:33" ht="21" customHeight="1" x14ac:dyDescent="0.2">
      <c r="A52" s="385" t="s">
        <v>74</v>
      </c>
      <c r="B52" s="384"/>
      <c r="C52" s="94">
        <f t="shared" ca="1" si="0"/>
        <v>963020</v>
      </c>
      <c r="D52" s="57">
        <f t="shared" ref="D52:I52" ca="1" si="44">SUM(D53:D73)</f>
        <v>963020</v>
      </c>
      <c r="E52" s="57">
        <f t="shared" ca="1" si="44"/>
        <v>390400</v>
      </c>
      <c r="F52" s="57">
        <f t="shared" ca="1" si="44"/>
        <v>572620</v>
      </c>
      <c r="G52" s="57">
        <f t="shared" ca="1" si="44"/>
        <v>0</v>
      </c>
      <c r="H52" s="57">
        <f t="shared" ca="1" si="44"/>
        <v>963020</v>
      </c>
      <c r="I52" s="57">
        <f t="shared" ca="1" si="44"/>
        <v>0</v>
      </c>
      <c r="J52" s="57">
        <f t="shared" ca="1" si="3"/>
        <v>907113.97</v>
      </c>
      <c r="K52" s="95">
        <f t="shared" ca="1" si="4"/>
        <v>94.194717659030971</v>
      </c>
      <c r="L52" s="57">
        <f ca="1">SUM(L53:L73)</f>
        <v>907113.97</v>
      </c>
      <c r="M52" s="96">
        <f t="shared" ca="1" si="5"/>
        <v>94.194717659030971</v>
      </c>
      <c r="N52" s="96">
        <f t="shared" ca="1" si="6"/>
        <v>94.194717659030971</v>
      </c>
      <c r="O52" s="97">
        <f ca="1">SUM(O53:O73)</f>
        <v>0</v>
      </c>
      <c r="P52" s="97">
        <f t="shared" ca="1" si="32"/>
        <v>0</v>
      </c>
      <c r="Q52" s="96">
        <f t="shared" ca="1" si="8"/>
        <v>0</v>
      </c>
      <c r="R52" s="327">
        <f t="shared" ref="R52:S52" ca="1" si="45">SUM(R53:R73)</f>
        <v>1500</v>
      </c>
      <c r="S52" s="327">
        <f t="shared" ca="1" si="45"/>
        <v>1500</v>
      </c>
      <c r="T52" s="328">
        <f t="shared" ca="1" si="27"/>
        <v>100</v>
      </c>
      <c r="U52" s="327">
        <f t="shared" ref="U52:V52" ca="1" si="46">SUM(U53:U73)</f>
        <v>150</v>
      </c>
      <c r="V52" s="327">
        <f t="shared" ca="1" si="46"/>
        <v>150</v>
      </c>
      <c r="W52" s="328">
        <f t="shared" ca="1" si="28"/>
        <v>100</v>
      </c>
      <c r="X52" s="327">
        <f t="shared" ref="X52:Y52" ca="1" si="47">SUM(X53:X73)</f>
        <v>150</v>
      </c>
      <c r="Y52" s="327">
        <f t="shared" ca="1" si="47"/>
        <v>150</v>
      </c>
      <c r="Z52" s="328">
        <f t="shared" ca="1" si="29"/>
        <v>100</v>
      </c>
      <c r="AA52" s="327">
        <f ca="1">SUM(AA53:AA73)</f>
        <v>150</v>
      </c>
      <c r="AB52" s="328">
        <f t="shared" ca="1" si="15"/>
        <v>100</v>
      </c>
      <c r="AC52" s="327">
        <f t="shared" ref="AC52:AD52" ca="1" si="48">SUM(AC53:AC73)</f>
        <v>150</v>
      </c>
      <c r="AD52" s="327">
        <f t="shared" ca="1" si="48"/>
        <v>150</v>
      </c>
      <c r="AE52" s="328">
        <f t="shared" ca="1" si="30"/>
        <v>100</v>
      </c>
      <c r="AF52" s="327">
        <f ca="1">SUM(AF53:AF73)</f>
        <v>150</v>
      </c>
      <c r="AG52" s="328">
        <f t="shared" ca="1" si="18"/>
        <v>100</v>
      </c>
    </row>
    <row r="53" spans="1:33" ht="21" customHeight="1" x14ac:dyDescent="0.2">
      <c r="A53" s="63">
        <v>1</v>
      </c>
      <c r="B53" s="64" t="s">
        <v>75</v>
      </c>
      <c r="C53" s="98">
        <f t="shared" ca="1" si="0"/>
        <v>194020</v>
      </c>
      <c r="D53" s="66">
        <f t="shared" ref="D53:D73" ca="1" si="49">+E53+F53</f>
        <v>194020</v>
      </c>
      <c r="E53" s="67">
        <f ca="1">IFERROR(__xludf.DUMMYFUNCTION("IMPORTRANGE(""https://docs.google.com/spreadsheets/d/1MeEWN-I1oV_STSDYn1IFDPWt_1FKiwhDph83XaGc0o0/edit?usp=sharing"",""งบพรบ!DJ53"")"),100000)</f>
        <v>100000</v>
      </c>
      <c r="F53" s="67">
        <f ca="1">IFERROR(__xludf.DUMMYFUNCTION("IMPORTRANGE(""https://docs.google.com/spreadsheets/d/1MeEWN-I1oV_STSDYn1IFDPWt_1FKiwhDph83XaGc0o0/edit?usp=sharing"",""งบพรบ!DK53"")"),94020)</f>
        <v>94020</v>
      </c>
      <c r="G53" s="68">
        <f ca="1">IFERROR(__xludf.DUMMYFUNCTION("IMPORTRANGE(""https://docs.google.com/spreadsheets/d/1MeEWN-I1oV_STSDYn1IFDPWt_1FKiwhDph83XaGc0o0/edit?usp=sharing"",""งบพรบ!DL53"")"),0)</f>
        <v>0</v>
      </c>
      <c r="H53" s="68">
        <f ca="1">IFERROR(__xludf.DUMMYFUNCTION("IMPORTRANGE(""https://docs.google.com/spreadsheets/d/1MeEWN-I1oV_STSDYn1IFDPWt_1FKiwhDph83XaGc0o0/edit?usp=sharing"",""งบพรบ!DN53"")"),194020)</f>
        <v>194020</v>
      </c>
      <c r="I53" s="68">
        <f ca="1">IFERROR(__xludf.DUMMYFUNCTION("IMPORTRANGE(""https://docs.google.com/spreadsheets/d/1MeEWN-I1oV_STSDYn1IFDPWt_1FKiwhDph83XaGc0o0/edit?usp=sharing"",""งบพรบ!DO53"")"),0)</f>
        <v>0</v>
      </c>
      <c r="J53" s="68">
        <f t="shared" ca="1" si="3"/>
        <v>192818</v>
      </c>
      <c r="K53" s="69">
        <f t="shared" ca="1" si="4"/>
        <v>99.380476239562938</v>
      </c>
      <c r="L53" s="68">
        <f ca="1">IFERROR(__xludf.DUMMYFUNCTION("IMPORTRANGE(""https://docs.google.com/spreadsheets/d/1MeEWN-I1oV_STSDYn1IFDPWt_1FKiwhDph83XaGc0o0/edit?usp=sharing"",""งบพรบ!DP53"")"),192818)</f>
        <v>192818</v>
      </c>
      <c r="M53" s="70">
        <f t="shared" ca="1" si="5"/>
        <v>99.380476239562938</v>
      </c>
      <c r="N53" s="70">
        <f t="shared" ca="1" si="6"/>
        <v>99.380476239562938</v>
      </c>
      <c r="O53" s="71">
        <f ca="1">IFERROR(__xludf.DUMMYFUNCTION("IMPORTRANGE(""https://docs.google.com/spreadsheets/d/1MeEWN-I1oV_STSDYn1IFDPWt_1FKiwhDph83XaGc0o0/edit?usp=sharing"",""งบพรบ!DQ53"")"),0)</f>
        <v>0</v>
      </c>
      <c r="P53" s="71">
        <f t="shared" ca="1" si="32"/>
        <v>0</v>
      </c>
      <c r="Q53" s="70">
        <f t="shared" ca="1" si="8"/>
        <v>0</v>
      </c>
      <c r="R53" s="321">
        <f ca="1">IFERROR(__xludf.DUMMYFUNCTION("IMPORTRANGE(""https://docs.google.com/spreadsheets/d/1hKO5uv94SSRZWOvrh72HRcpyoEQF9TsE_Cvxl77XNU4/edit?usp=sharing"",""กาญจนบุรี!I287"")"),250)</f>
        <v>250</v>
      </c>
      <c r="S53" s="321">
        <f ca="1">IFERROR(__xludf.DUMMYFUNCTION("IMPORTRANGE(""https://docs.google.com/spreadsheets/d/1hKO5uv94SSRZWOvrh72HRcpyoEQF9TsE_Cvxl77XNU4/edit?usp=sharing"",""กาญจนบุรี!J287"")"),250)</f>
        <v>250</v>
      </c>
      <c r="T53" s="322">
        <f t="shared" ca="1" si="27"/>
        <v>100</v>
      </c>
      <c r="U53" s="321">
        <f ca="1">IFERROR(__xludf.DUMMYFUNCTION("IMPORTRANGE(""https://docs.google.com/spreadsheets/d/1hKO5uv94SSRZWOvrh72HRcpyoEQF9TsE_Cvxl77XNU4/edit?usp=sharing"",""กาญจนบุรี!I288"")"),25)</f>
        <v>25</v>
      </c>
      <c r="V53" s="321">
        <f ca="1">IFERROR(__xludf.DUMMYFUNCTION("IMPORTRANGE(""https://docs.google.com/spreadsheets/d/1hKO5uv94SSRZWOvrh72HRcpyoEQF9TsE_Cvxl77XNU4/edit?usp=sharing"",""กาญจนบุรี!J288"")"),25)</f>
        <v>25</v>
      </c>
      <c r="W53" s="322">
        <f t="shared" ca="1" si="28"/>
        <v>100</v>
      </c>
      <c r="X53" s="321">
        <f ca="1">IFERROR(__xludf.DUMMYFUNCTION("IMPORTRANGE(""https://docs.google.com/spreadsheets/d/1hKO5uv94SSRZWOvrh72HRcpyoEQF9TsE_Cvxl77XNU4/edit?usp=sharing"",""กาญจนบุรี!I290"")"),25)</f>
        <v>25</v>
      </c>
      <c r="Y53" s="321">
        <f ca="1">IFERROR(__xludf.DUMMYFUNCTION("IMPORTRANGE(""https://docs.google.com/spreadsheets/d/1hKO5uv94SSRZWOvrh72HRcpyoEQF9TsE_Cvxl77XNU4/edit?usp=sharing"",""กาญจนบุรี!J290"")"),25)</f>
        <v>25</v>
      </c>
      <c r="Z53" s="322">
        <f t="shared" ca="1" si="29"/>
        <v>100</v>
      </c>
      <c r="AA53" s="321">
        <f ca="1">IFERROR(__xludf.DUMMYFUNCTION("IMPORTRANGE(""https://docs.google.com/spreadsheets/d/1hKO5uv94SSRZWOvrh72HRcpyoEQF9TsE_Cvxl77XNU4/edit?usp=sharing"",""กาญจนบุรี!J291"")"),25)</f>
        <v>25</v>
      </c>
      <c r="AB53" s="322">
        <f t="shared" ca="1" si="15"/>
        <v>100</v>
      </c>
      <c r="AC53" s="321">
        <f ca="1">IFERROR(__xludf.DUMMYFUNCTION("IMPORTRANGE(""https://docs.google.com/spreadsheets/d/1hKO5uv94SSRZWOvrh72HRcpyoEQF9TsE_Cvxl77XNU4/edit?usp=sharing"",""กาญจนบุรี!I293"")"),25)</f>
        <v>25</v>
      </c>
      <c r="AD53" s="321">
        <f ca="1">IFERROR(__xludf.DUMMYFUNCTION("IMPORTRANGE(""https://docs.google.com/spreadsheets/d/1hKO5uv94SSRZWOvrh72HRcpyoEQF9TsE_Cvxl77XNU4/edit?usp=sharing"",""กาญจนบุรี!J293"")"),25)</f>
        <v>25</v>
      </c>
      <c r="AE53" s="322">
        <f t="shared" ca="1" si="30"/>
        <v>100</v>
      </c>
      <c r="AF53" s="321">
        <f ca="1">IFERROR(__xludf.DUMMYFUNCTION("IMPORTRANGE(""https://docs.google.com/spreadsheets/d/1hKO5uv94SSRZWOvrh72HRcpyoEQF9TsE_Cvxl77XNU4/edit?usp=sharing"",""กาญจนบุรี!J294"")"),25)</f>
        <v>25</v>
      </c>
      <c r="AG53" s="322">
        <f t="shared" ca="1" si="18"/>
        <v>100</v>
      </c>
    </row>
    <row r="54" spans="1:33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9"/>
        <v>0</v>
      </c>
      <c r="E54" s="77">
        <f ca="1">IFERROR(__xludf.DUMMYFUNCTION("IMPORTRANGE(""https://docs.google.com/spreadsheets/d/1MeEWN-I1oV_STSDYn1IFDPWt_1FKiwhDph83XaGc0o0/edit?usp=sharing"",""งบพรบ!DJ54"")"),0)</f>
        <v>0</v>
      </c>
      <c r="F54" s="77">
        <f ca="1">IFERROR(__xludf.DUMMYFUNCTION("IMPORTRANGE(""https://docs.google.com/spreadsheets/d/1MeEWN-I1oV_STSDYn1IFDPWt_1FKiwhDph83XaGc0o0/edit?usp=sharing"",""งบพรบ!DK54"")"),0)</f>
        <v>0</v>
      </c>
      <c r="G54" s="77">
        <f ca="1">IFERROR(__xludf.DUMMYFUNCTION("IMPORTRANGE(""https://docs.google.com/spreadsheets/d/1MeEWN-I1oV_STSDYn1IFDPWt_1FKiwhDph83XaGc0o0/edit?usp=sharing"",""งบพรบ!DL54"")"),0)</f>
        <v>0</v>
      </c>
      <c r="H54" s="77">
        <f ca="1">IFERROR(__xludf.DUMMYFUNCTION("IMPORTRANGE(""https://docs.google.com/spreadsheets/d/1MeEWN-I1oV_STSDYn1IFDPWt_1FKiwhDph83XaGc0o0/edit?usp=sharing"",""งบพรบ!DN54"")"),0)</f>
        <v>0</v>
      </c>
      <c r="I54" s="77">
        <f ca="1">IFERROR(__xludf.DUMMYFUNCTION("IMPORTRANGE(""https://docs.google.com/spreadsheets/d/1MeEWN-I1oV_STSDYn1IFDPWt_1FKiwhDph83XaGc0o0/edit?usp=sharing"",""งบพรบ!DO54"")"),0)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IFERROR(__xludf.DUMMYFUNCTION("IMPORTRANGE(""https://docs.google.com/spreadsheets/d/1MeEWN-I1oV_STSDYn1IFDPWt_1FKiwhDph83XaGc0o0/edit?usp=sharing"",""งบพรบ!DP54"")"),0)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IFERROR(__xludf.DUMMYFUNCTION("IMPORTRANGE(""https://docs.google.com/spreadsheets/d/1MeEWN-I1oV_STSDYn1IFDPWt_1FKiwhDph83XaGc0o0/edit?usp=sharing"",""งบพรบ!DQ54"")"),0)</f>
        <v>0</v>
      </c>
      <c r="P54" s="80">
        <f t="shared" ca="1" si="32"/>
        <v>0</v>
      </c>
      <c r="Q54" s="79">
        <f t="shared" ca="1" si="8"/>
        <v>0</v>
      </c>
      <c r="R54" s="323">
        <f ca="1">IFERROR(__xludf.DUMMYFUNCTION("IMPORTRANGE(""https://docs.google.com/spreadsheets/d/1njBaP_xXd-Uotvo2D9zb01TTCFkLJLDK97Tk1l9Qux0/edit?usp=sharing"",""จันทบุรี!I287"")"),0)</f>
        <v>0</v>
      </c>
      <c r="S54" s="323">
        <f ca="1">IFERROR(__xludf.DUMMYFUNCTION("IMPORTRANGE(""https://docs.google.com/spreadsheets/d/1njBaP_xXd-Uotvo2D9zb01TTCFkLJLDK97Tk1l9Qux0/edit?usp=sharing"",""จันทบุรี!J287"")"),0)</f>
        <v>0</v>
      </c>
      <c r="T54" s="324">
        <f t="shared" ca="1" si="27"/>
        <v>0</v>
      </c>
      <c r="U54" s="323">
        <f ca="1">IFERROR(__xludf.DUMMYFUNCTION("IMPORTRANGE(""https://docs.google.com/spreadsheets/d/1njBaP_xXd-Uotvo2D9zb01TTCFkLJLDK97Tk1l9Qux0/edit?usp=sharing"",""จันทบุรี!I288"")"),0)</f>
        <v>0</v>
      </c>
      <c r="V54" s="323">
        <f ca="1">IFERROR(__xludf.DUMMYFUNCTION("IMPORTRANGE(""https://docs.google.com/spreadsheets/d/1njBaP_xXd-Uotvo2D9zb01TTCFkLJLDK97Tk1l9Qux0/edit?usp=sharing"",""จันทบุรี!J288"")"),0)</f>
        <v>0</v>
      </c>
      <c r="W54" s="324">
        <f t="shared" ca="1" si="28"/>
        <v>0</v>
      </c>
      <c r="X54" s="323">
        <f ca="1">IFERROR(__xludf.DUMMYFUNCTION("IMPORTRANGE(""https://docs.google.com/spreadsheets/d/1njBaP_xXd-Uotvo2D9zb01TTCFkLJLDK97Tk1l9Qux0/edit?usp=sharing"",""จันทบุรี!I290"")"),0)</f>
        <v>0</v>
      </c>
      <c r="Y54" s="323">
        <f ca="1">IFERROR(__xludf.DUMMYFUNCTION("IMPORTRANGE(""https://docs.google.com/spreadsheets/d/1njBaP_xXd-Uotvo2D9zb01TTCFkLJLDK97Tk1l9Qux0/edit?usp=sharing"",""จันทบุรี!J290"")"),0)</f>
        <v>0</v>
      </c>
      <c r="Z54" s="324">
        <f t="shared" ca="1" si="29"/>
        <v>0</v>
      </c>
      <c r="AA54" s="323">
        <f ca="1">IFERROR(__xludf.DUMMYFUNCTION("IMPORTRANGE(""https://docs.google.com/spreadsheets/d/1njBaP_xXd-Uotvo2D9zb01TTCFkLJLDK97Tk1l9Qux0/edit?usp=sharing"",""จันทบุรี!J291"")"),0)</f>
        <v>0</v>
      </c>
      <c r="AB54" s="324">
        <f t="shared" ca="1" si="15"/>
        <v>0</v>
      </c>
      <c r="AC54" s="323">
        <f ca="1">IFERROR(__xludf.DUMMYFUNCTION("IMPORTRANGE(""https://docs.google.com/spreadsheets/d/1njBaP_xXd-Uotvo2D9zb01TTCFkLJLDK97Tk1l9Qux0/edit?usp=sharing"",""จันทบุรี!I293"")"),0)</f>
        <v>0</v>
      </c>
      <c r="AD54" s="323">
        <f ca="1">IFERROR(__xludf.DUMMYFUNCTION("IMPORTRANGE(""https://docs.google.com/spreadsheets/d/1njBaP_xXd-Uotvo2D9zb01TTCFkLJLDK97Tk1l9Qux0/edit?usp=sharing"",""จันทบุรี!J293"")"),0)</f>
        <v>0</v>
      </c>
      <c r="AE54" s="324">
        <f t="shared" ca="1" si="30"/>
        <v>0</v>
      </c>
      <c r="AF54" s="323">
        <f ca="1">IFERROR(__xludf.DUMMYFUNCTION("IMPORTRANGE(""https://docs.google.com/spreadsheets/d/1njBaP_xXd-Uotvo2D9zb01TTCFkLJLDK97Tk1l9Qux0/edit?usp=sharing"",""จันทบุรี!J294"")"),0)</f>
        <v>0</v>
      </c>
      <c r="AG54" s="324">
        <f t="shared" ca="1" si="18"/>
        <v>0</v>
      </c>
    </row>
    <row r="55" spans="1:33" ht="21" customHeight="1" x14ac:dyDescent="0.2">
      <c r="A55" s="73">
        <v>3</v>
      </c>
      <c r="B55" s="74" t="s">
        <v>77</v>
      </c>
      <c r="C55" s="75">
        <f t="shared" ca="1" si="0"/>
        <v>22630</v>
      </c>
      <c r="D55" s="76">
        <f t="shared" ca="1" si="49"/>
        <v>22630</v>
      </c>
      <c r="E55" s="77">
        <f ca="1">IFERROR(__xludf.DUMMYFUNCTION("IMPORTRANGE(""https://docs.google.com/spreadsheets/d/1MeEWN-I1oV_STSDYn1IFDPWt_1FKiwhDph83XaGc0o0/edit?usp=sharing"",""งบพรบ!DJ55"")"),0)</f>
        <v>0</v>
      </c>
      <c r="F55" s="77">
        <f ca="1">IFERROR(__xludf.DUMMYFUNCTION("IMPORTRANGE(""https://docs.google.com/spreadsheets/d/1MeEWN-I1oV_STSDYn1IFDPWt_1FKiwhDph83XaGc0o0/edit?usp=sharing"",""งบพรบ!DK55"")"),22630)</f>
        <v>22630</v>
      </c>
      <c r="G55" s="77">
        <f ca="1">IFERROR(__xludf.DUMMYFUNCTION("IMPORTRANGE(""https://docs.google.com/spreadsheets/d/1MeEWN-I1oV_STSDYn1IFDPWt_1FKiwhDph83XaGc0o0/edit?usp=sharing"",""งบพรบ!DL55"")"),0)</f>
        <v>0</v>
      </c>
      <c r="H55" s="77">
        <f ca="1">IFERROR(__xludf.DUMMYFUNCTION("IMPORTRANGE(""https://docs.google.com/spreadsheets/d/1MeEWN-I1oV_STSDYn1IFDPWt_1FKiwhDph83XaGc0o0/edit?usp=sharing"",""งบพรบ!DN55"")"),22630)</f>
        <v>22630</v>
      </c>
      <c r="I55" s="77">
        <f ca="1">IFERROR(__xludf.DUMMYFUNCTION("IMPORTRANGE(""https://docs.google.com/spreadsheets/d/1MeEWN-I1oV_STSDYn1IFDPWt_1FKiwhDph83XaGc0o0/edit?usp=sharing"",""งบพรบ!DO55"")"),0)</f>
        <v>0</v>
      </c>
      <c r="J55" s="77">
        <f t="shared" ca="1" si="3"/>
        <v>22630</v>
      </c>
      <c r="K55" s="78">
        <f t="shared" ca="1" si="4"/>
        <v>100</v>
      </c>
      <c r="L55" s="77">
        <f ca="1">IFERROR(__xludf.DUMMYFUNCTION("IMPORTRANGE(""https://docs.google.com/spreadsheets/d/1MeEWN-I1oV_STSDYn1IFDPWt_1FKiwhDph83XaGc0o0/edit?usp=sharing"",""งบพรบ!DP55"")"),22630)</f>
        <v>22630</v>
      </c>
      <c r="M55" s="79">
        <f t="shared" ca="1" si="5"/>
        <v>100</v>
      </c>
      <c r="N55" s="79">
        <f t="shared" ca="1" si="6"/>
        <v>100</v>
      </c>
      <c r="O55" s="80">
        <f ca="1">IFERROR(__xludf.DUMMYFUNCTION("IMPORTRANGE(""https://docs.google.com/spreadsheets/d/1MeEWN-I1oV_STSDYn1IFDPWt_1FKiwhDph83XaGc0o0/edit?usp=sharing"",""งบพรบ!DQ55"")"),0)</f>
        <v>0</v>
      </c>
      <c r="P55" s="80">
        <f t="shared" ca="1" si="32"/>
        <v>0</v>
      </c>
      <c r="Q55" s="79">
        <f t="shared" ca="1" si="8"/>
        <v>0</v>
      </c>
      <c r="R55" s="323">
        <f ca="1">IFERROR(__xludf.DUMMYFUNCTION("IMPORTRANGE(""https://docs.google.com/spreadsheets/d/14xp6qUzrGFnUk_qnc1eEmfiaNRd4_grkhpfQH_46fa8/edit?usp=sharing"",""ฉะเชิงเทรา!I287"")"),50)</f>
        <v>50</v>
      </c>
      <c r="S55" s="323">
        <f ca="1">IFERROR(__xludf.DUMMYFUNCTION("IMPORTRANGE(""https://docs.google.com/spreadsheets/d/14xp6qUzrGFnUk_qnc1eEmfiaNRd4_grkhpfQH_46fa8/edit?usp=sharing"",""ฉะเชิงเทรา!J287"")"),50)</f>
        <v>50</v>
      </c>
      <c r="T55" s="324">
        <f t="shared" ca="1" si="27"/>
        <v>100</v>
      </c>
      <c r="U55" s="323">
        <f ca="1">IFERROR(__xludf.DUMMYFUNCTION("IMPORTRANGE(""https://docs.google.com/spreadsheets/d/14xp6qUzrGFnUk_qnc1eEmfiaNRd4_grkhpfQH_46fa8/edit?usp=sharing"",""ฉะเชิงเทรา!I288"")"),5)</f>
        <v>5</v>
      </c>
      <c r="V55" s="323">
        <f ca="1">IFERROR(__xludf.DUMMYFUNCTION("IMPORTRANGE(""https://docs.google.com/spreadsheets/d/14xp6qUzrGFnUk_qnc1eEmfiaNRd4_grkhpfQH_46fa8/edit?usp=sharing"",""ฉะเชิงเทรา!J288"")"),5)</f>
        <v>5</v>
      </c>
      <c r="W55" s="324">
        <f t="shared" ca="1" si="28"/>
        <v>100</v>
      </c>
      <c r="X55" s="323">
        <f ca="1">IFERROR(__xludf.DUMMYFUNCTION("IMPORTRANGE(""https://docs.google.com/spreadsheets/d/14xp6qUzrGFnUk_qnc1eEmfiaNRd4_grkhpfQH_46fa8/edit?usp=sharing"",""ฉะเชิงเทรา!I290"")"),5)</f>
        <v>5</v>
      </c>
      <c r="Y55" s="323">
        <f ca="1">IFERROR(__xludf.DUMMYFUNCTION("IMPORTRANGE(""https://docs.google.com/spreadsheets/d/14xp6qUzrGFnUk_qnc1eEmfiaNRd4_grkhpfQH_46fa8/edit?usp=sharing"",""ฉะเชิงเทรา!J290"")"),5)</f>
        <v>5</v>
      </c>
      <c r="Z55" s="324">
        <f t="shared" ca="1" si="29"/>
        <v>100</v>
      </c>
      <c r="AA55" s="323">
        <f ca="1">IFERROR(__xludf.DUMMYFUNCTION("IMPORTRANGE(""https://docs.google.com/spreadsheets/d/14xp6qUzrGFnUk_qnc1eEmfiaNRd4_grkhpfQH_46fa8/edit?usp=sharing"",""ฉะเชิงเทรา!J291"")"),5)</f>
        <v>5</v>
      </c>
      <c r="AB55" s="324">
        <f t="shared" ca="1" si="15"/>
        <v>100</v>
      </c>
      <c r="AC55" s="323">
        <f ca="1">IFERROR(__xludf.DUMMYFUNCTION("IMPORTRANGE(""https://docs.google.com/spreadsheets/d/14xp6qUzrGFnUk_qnc1eEmfiaNRd4_grkhpfQH_46fa8/edit?usp=sharing"",""ฉะเชิงเทรา!I293"")"),5)</f>
        <v>5</v>
      </c>
      <c r="AD55" s="323">
        <f ca="1">IFERROR(__xludf.DUMMYFUNCTION("IMPORTRANGE(""https://docs.google.com/spreadsheets/d/14xp6qUzrGFnUk_qnc1eEmfiaNRd4_grkhpfQH_46fa8/edit?usp=sharing"",""ฉะเชิงเทรา!J293"")"),5)</f>
        <v>5</v>
      </c>
      <c r="AE55" s="324">
        <f t="shared" ca="1" si="30"/>
        <v>100</v>
      </c>
      <c r="AF55" s="323">
        <f ca="1">IFERROR(__xludf.DUMMYFUNCTION("IMPORTRANGE(""https://docs.google.com/spreadsheets/d/14xp6qUzrGFnUk_qnc1eEmfiaNRd4_grkhpfQH_46fa8/edit?usp=sharing"",""ฉะเชิงเทรา!J294"")"),5)</f>
        <v>5</v>
      </c>
      <c r="AG55" s="324">
        <f t="shared" ca="1" si="18"/>
        <v>100</v>
      </c>
    </row>
    <row r="56" spans="1:33" ht="21" customHeight="1" x14ac:dyDescent="0.2">
      <c r="A56" s="73">
        <v>4</v>
      </c>
      <c r="B56" s="74" t="s">
        <v>78</v>
      </c>
      <c r="C56" s="75">
        <f t="shared" ca="1" si="0"/>
        <v>163030</v>
      </c>
      <c r="D56" s="76">
        <f t="shared" ca="1" si="49"/>
        <v>163030</v>
      </c>
      <c r="E56" s="77">
        <f ca="1">IFERROR(__xludf.DUMMYFUNCTION("IMPORTRANGE(""https://docs.google.com/spreadsheets/d/1MeEWN-I1oV_STSDYn1IFDPWt_1FKiwhDph83XaGc0o0/edit?usp=sharing"",""งบพรบ!DJ56"")"),140400)</f>
        <v>140400</v>
      </c>
      <c r="F56" s="77">
        <f ca="1">IFERROR(__xludf.DUMMYFUNCTION("IMPORTRANGE(""https://docs.google.com/spreadsheets/d/1MeEWN-I1oV_STSDYn1IFDPWt_1FKiwhDph83XaGc0o0/edit?usp=sharing"",""งบพรบ!DK56"")"),22630)</f>
        <v>22630</v>
      </c>
      <c r="G56" s="77">
        <f ca="1">IFERROR(__xludf.DUMMYFUNCTION("IMPORTRANGE(""https://docs.google.com/spreadsheets/d/1MeEWN-I1oV_STSDYn1IFDPWt_1FKiwhDph83XaGc0o0/edit?usp=sharing"",""งบพรบ!DL56"")"),0)</f>
        <v>0</v>
      </c>
      <c r="H56" s="77">
        <f ca="1">IFERROR(__xludf.DUMMYFUNCTION("IMPORTRANGE(""https://docs.google.com/spreadsheets/d/1MeEWN-I1oV_STSDYn1IFDPWt_1FKiwhDph83XaGc0o0/edit?usp=sharing"",""งบพรบ!DN56"")"),163030)</f>
        <v>163030</v>
      </c>
      <c r="I56" s="77">
        <f ca="1">IFERROR(__xludf.DUMMYFUNCTION("IMPORTRANGE(""https://docs.google.com/spreadsheets/d/1MeEWN-I1oV_STSDYn1IFDPWt_1FKiwhDph83XaGc0o0/edit?usp=sharing"",""งบพรบ!DO56"")"),0)</f>
        <v>0</v>
      </c>
      <c r="J56" s="77">
        <f t="shared" ca="1" si="3"/>
        <v>161263</v>
      </c>
      <c r="K56" s="78">
        <f t="shared" ca="1" si="4"/>
        <v>98.916150401766544</v>
      </c>
      <c r="L56" s="77">
        <f ca="1">IFERROR(__xludf.DUMMYFUNCTION("IMPORTRANGE(""https://docs.google.com/spreadsheets/d/1MeEWN-I1oV_STSDYn1IFDPWt_1FKiwhDph83XaGc0o0/edit?usp=sharing"",""งบพรบ!DP56"")"),161263)</f>
        <v>161263</v>
      </c>
      <c r="M56" s="79">
        <f t="shared" ca="1" si="5"/>
        <v>98.916150401766544</v>
      </c>
      <c r="N56" s="79">
        <f t="shared" ca="1" si="6"/>
        <v>98.916150401766544</v>
      </c>
      <c r="O56" s="80">
        <f ca="1">IFERROR(__xludf.DUMMYFUNCTION("IMPORTRANGE(""https://docs.google.com/spreadsheets/d/1MeEWN-I1oV_STSDYn1IFDPWt_1FKiwhDph83XaGc0o0/edit?usp=sharing"",""งบพรบ!DQ56"")"),0)</f>
        <v>0</v>
      </c>
      <c r="P56" s="80">
        <f t="shared" ca="1" si="32"/>
        <v>0</v>
      </c>
      <c r="Q56" s="79">
        <f t="shared" ca="1" si="8"/>
        <v>0</v>
      </c>
      <c r="R56" s="323">
        <f ca="1">IFERROR(__xludf.DUMMYFUNCTION("IMPORTRANGE(""https://docs.google.com/spreadsheets/d/1_Zwps30dlVa-pZFsorjVf1Pil6WXwzCsJU0U2whO3NI/edit?usp=sharing"",""ชลบุรี!I287"")"),50)</f>
        <v>50</v>
      </c>
      <c r="S56" s="323">
        <f ca="1">IFERROR(__xludf.DUMMYFUNCTION("IMPORTRANGE(""https://docs.google.com/spreadsheets/d/1_Zwps30dlVa-pZFsorjVf1Pil6WXwzCsJU0U2whO3NI/edit?usp=sharing"",""ชลบุรี!J287"")"),50)</f>
        <v>50</v>
      </c>
      <c r="T56" s="324">
        <f t="shared" ca="1" si="27"/>
        <v>100</v>
      </c>
      <c r="U56" s="323">
        <f ca="1">IFERROR(__xludf.DUMMYFUNCTION("IMPORTRANGE(""https://docs.google.com/spreadsheets/d/1_Zwps30dlVa-pZFsorjVf1Pil6WXwzCsJU0U2whO3NI/edit?usp=sharing"",""ชลบุรี!I288"")"),5)</f>
        <v>5</v>
      </c>
      <c r="V56" s="323">
        <f ca="1">IFERROR(__xludf.DUMMYFUNCTION("IMPORTRANGE(""https://docs.google.com/spreadsheets/d/1_Zwps30dlVa-pZFsorjVf1Pil6WXwzCsJU0U2whO3NI/edit?usp=sharing"",""ชลบุรี!J288"")"),5)</f>
        <v>5</v>
      </c>
      <c r="W56" s="324">
        <f t="shared" ca="1" si="28"/>
        <v>100</v>
      </c>
      <c r="X56" s="323">
        <f ca="1">IFERROR(__xludf.DUMMYFUNCTION("IMPORTRANGE(""https://docs.google.com/spreadsheets/d/1_Zwps30dlVa-pZFsorjVf1Pil6WXwzCsJU0U2whO3NI/edit?usp=sharing"",""ชลบุรี!I290"")"),5)</f>
        <v>5</v>
      </c>
      <c r="Y56" s="323">
        <f ca="1">IFERROR(__xludf.DUMMYFUNCTION("IMPORTRANGE(""https://docs.google.com/spreadsheets/d/1_Zwps30dlVa-pZFsorjVf1Pil6WXwzCsJU0U2whO3NI/edit?usp=sharing"",""ชลบุรี!J290"")"),5)</f>
        <v>5</v>
      </c>
      <c r="Z56" s="324">
        <f t="shared" ca="1" si="29"/>
        <v>100</v>
      </c>
      <c r="AA56" s="323">
        <f ca="1">IFERROR(__xludf.DUMMYFUNCTION("IMPORTRANGE(""https://docs.google.com/spreadsheets/d/1_Zwps30dlVa-pZFsorjVf1Pil6WXwzCsJU0U2whO3NI/edit?usp=sharing"",""ชลบุรี!J291"")"),5)</f>
        <v>5</v>
      </c>
      <c r="AB56" s="324">
        <f t="shared" ca="1" si="15"/>
        <v>100</v>
      </c>
      <c r="AC56" s="323">
        <f ca="1">IFERROR(__xludf.DUMMYFUNCTION("IMPORTRANGE(""https://docs.google.com/spreadsheets/d/1_Zwps30dlVa-pZFsorjVf1Pil6WXwzCsJU0U2whO3NI/edit?usp=sharing"",""ชลบุรี!I293"")"),5)</f>
        <v>5</v>
      </c>
      <c r="AD56" s="323">
        <f ca="1">IFERROR(__xludf.DUMMYFUNCTION("IMPORTRANGE(""https://docs.google.com/spreadsheets/d/1_Zwps30dlVa-pZFsorjVf1Pil6WXwzCsJU0U2whO3NI/edit?usp=sharing"",""ชลบุรี!J293"")"),5)</f>
        <v>5</v>
      </c>
      <c r="AE56" s="324">
        <f t="shared" ca="1" si="30"/>
        <v>100</v>
      </c>
      <c r="AF56" s="323">
        <f ca="1">IFERROR(__xludf.DUMMYFUNCTION("IMPORTRANGE(""https://docs.google.com/spreadsheets/d/1_Zwps30dlVa-pZFsorjVf1Pil6WXwzCsJU0U2whO3NI/edit?usp=sharing"",""ชลบุรี!J294"")"),5)</f>
        <v>5</v>
      </c>
      <c r="AG56" s="324">
        <f t="shared" ca="1" si="18"/>
        <v>100</v>
      </c>
    </row>
    <row r="57" spans="1:33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49"/>
        <v>0</v>
      </c>
      <c r="E57" s="77">
        <f ca="1">IFERROR(__xludf.DUMMYFUNCTION("IMPORTRANGE(""https://docs.google.com/spreadsheets/d/1MeEWN-I1oV_STSDYn1IFDPWt_1FKiwhDph83XaGc0o0/edit?usp=sharing"",""งบพรบ!DJ57"")"),0)</f>
        <v>0</v>
      </c>
      <c r="F57" s="77">
        <f ca="1">IFERROR(__xludf.DUMMYFUNCTION("IMPORTRANGE(""https://docs.google.com/spreadsheets/d/1MeEWN-I1oV_STSDYn1IFDPWt_1FKiwhDph83XaGc0o0/edit?usp=sharing"",""งบพรบ!DK57"")"),0)</f>
        <v>0</v>
      </c>
      <c r="G57" s="77">
        <f ca="1">IFERROR(__xludf.DUMMYFUNCTION("IMPORTRANGE(""https://docs.google.com/spreadsheets/d/1MeEWN-I1oV_STSDYn1IFDPWt_1FKiwhDph83XaGc0o0/edit?usp=sharing"",""งบพรบ!DL57"")"),0)</f>
        <v>0</v>
      </c>
      <c r="H57" s="77">
        <f ca="1">IFERROR(__xludf.DUMMYFUNCTION("IMPORTRANGE(""https://docs.google.com/spreadsheets/d/1MeEWN-I1oV_STSDYn1IFDPWt_1FKiwhDph83XaGc0o0/edit?usp=sharing"",""งบพรบ!DN57"")"),0)</f>
        <v>0</v>
      </c>
      <c r="I57" s="77">
        <f ca="1">IFERROR(__xludf.DUMMYFUNCTION("IMPORTRANGE(""https://docs.google.com/spreadsheets/d/1MeEWN-I1oV_STSDYn1IFDPWt_1FKiwhDph83XaGc0o0/edit?usp=sharing"",""งบพรบ!DO57"")"),0)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IFERROR(__xludf.DUMMYFUNCTION("IMPORTRANGE(""https://docs.google.com/spreadsheets/d/1MeEWN-I1oV_STSDYn1IFDPWt_1FKiwhDph83XaGc0o0/edit?usp=sharing"",""งบพรบ!DP57"")"),0)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IFERROR(__xludf.DUMMYFUNCTION("IMPORTRANGE(""https://docs.google.com/spreadsheets/d/1MeEWN-I1oV_STSDYn1IFDPWt_1FKiwhDph83XaGc0o0/edit?usp=sharing"",""งบพรบ!DQ57"")"),0)</f>
        <v>0</v>
      </c>
      <c r="P57" s="80">
        <f t="shared" ca="1" si="32"/>
        <v>0</v>
      </c>
      <c r="Q57" s="79">
        <f t="shared" ca="1" si="8"/>
        <v>0</v>
      </c>
      <c r="R57" s="323">
        <f ca="1">IFERROR(__xludf.DUMMYFUNCTION("IMPORTRANGE(""https://docs.google.com/spreadsheets/d/1xAsT4sUbBlom7l0acStESh_15nvjZcXjZM7fK5uZSq8/edit?usp=sharing"",""ชัยนาท!I287"")"),0)</f>
        <v>0</v>
      </c>
      <c r="S57" s="323">
        <f ca="1">IFERROR(__xludf.DUMMYFUNCTION("IMPORTRANGE(""https://docs.google.com/spreadsheets/d/1xAsT4sUbBlom7l0acStESh_15nvjZcXjZM7fK5uZSq8/edit?usp=sharing"",""ชัยนาท!J287"")"),0)</f>
        <v>0</v>
      </c>
      <c r="T57" s="324">
        <f t="shared" ca="1" si="27"/>
        <v>0</v>
      </c>
      <c r="U57" s="323">
        <f ca="1">IFERROR(__xludf.DUMMYFUNCTION("IMPORTRANGE(""https://docs.google.com/spreadsheets/d/1xAsT4sUbBlom7l0acStESh_15nvjZcXjZM7fK5uZSq8/edit?usp=sharing"",""ชัยนาท!I288"")"),0)</f>
        <v>0</v>
      </c>
      <c r="V57" s="323">
        <f ca="1">IFERROR(__xludf.DUMMYFUNCTION("IMPORTRANGE(""https://docs.google.com/spreadsheets/d/1xAsT4sUbBlom7l0acStESh_15nvjZcXjZM7fK5uZSq8/edit?usp=sharing"",""ชัยนาท!J288"")"),0)</f>
        <v>0</v>
      </c>
      <c r="W57" s="324">
        <f t="shared" ca="1" si="28"/>
        <v>0</v>
      </c>
      <c r="X57" s="323">
        <f ca="1">IFERROR(__xludf.DUMMYFUNCTION("IMPORTRANGE(""https://docs.google.com/spreadsheets/d/1xAsT4sUbBlom7l0acStESh_15nvjZcXjZM7fK5uZSq8/edit?usp=sharing"",""ชัยนาท!I290"")"),0)</f>
        <v>0</v>
      </c>
      <c r="Y57" s="323">
        <f ca="1">IFERROR(__xludf.DUMMYFUNCTION("IMPORTRANGE(""https://docs.google.com/spreadsheets/d/1xAsT4sUbBlom7l0acStESh_15nvjZcXjZM7fK5uZSq8/edit?usp=sharing"",""ชัยนาท!J290"")"),0)</f>
        <v>0</v>
      </c>
      <c r="Z57" s="324">
        <f t="shared" ca="1" si="29"/>
        <v>0</v>
      </c>
      <c r="AA57" s="323">
        <f ca="1">IFERROR(__xludf.DUMMYFUNCTION("IMPORTRANGE(""https://docs.google.com/spreadsheets/d/1xAsT4sUbBlom7l0acStESh_15nvjZcXjZM7fK5uZSq8/edit?usp=sharing"",""ชัยนาท!J291"")"),0)</f>
        <v>0</v>
      </c>
      <c r="AB57" s="324">
        <f t="shared" ca="1" si="15"/>
        <v>0</v>
      </c>
      <c r="AC57" s="323">
        <f ca="1">IFERROR(__xludf.DUMMYFUNCTION("IMPORTRANGE(""https://docs.google.com/spreadsheets/d/1xAsT4sUbBlom7l0acStESh_15nvjZcXjZM7fK5uZSq8/edit?usp=sharing"",""ชัยนาท!I293"")"),0)</f>
        <v>0</v>
      </c>
      <c r="AD57" s="323">
        <f ca="1">IFERROR(__xludf.DUMMYFUNCTION("IMPORTRANGE(""https://docs.google.com/spreadsheets/d/1xAsT4sUbBlom7l0acStESh_15nvjZcXjZM7fK5uZSq8/edit?usp=sharing"",""ชัยนาท!J293"")"),0)</f>
        <v>0</v>
      </c>
      <c r="AE57" s="324">
        <f t="shared" ca="1" si="30"/>
        <v>0</v>
      </c>
      <c r="AF57" s="323">
        <f ca="1">IFERROR(__xludf.DUMMYFUNCTION("IMPORTRANGE(""https://docs.google.com/spreadsheets/d/1xAsT4sUbBlom7l0acStESh_15nvjZcXjZM7fK5uZSq8/edit?usp=sharing"",""ชัยนาท!J294"")"),0)</f>
        <v>0</v>
      </c>
      <c r="AG57" s="324">
        <f t="shared" ca="1" si="18"/>
        <v>0</v>
      </c>
    </row>
    <row r="58" spans="1:33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9"/>
        <v>0</v>
      </c>
      <c r="E58" s="77">
        <f ca="1">IFERROR(__xludf.DUMMYFUNCTION("IMPORTRANGE(""https://docs.google.com/spreadsheets/d/1MeEWN-I1oV_STSDYn1IFDPWt_1FKiwhDph83XaGc0o0/edit?usp=sharing"",""งบพรบ!DJ58"")"),0)</f>
        <v>0</v>
      </c>
      <c r="F58" s="77">
        <f ca="1">IFERROR(__xludf.DUMMYFUNCTION("IMPORTRANGE(""https://docs.google.com/spreadsheets/d/1MeEWN-I1oV_STSDYn1IFDPWt_1FKiwhDph83XaGc0o0/edit?usp=sharing"",""งบพรบ!DK58"")"),0)</f>
        <v>0</v>
      </c>
      <c r="G58" s="77">
        <f ca="1">IFERROR(__xludf.DUMMYFUNCTION("IMPORTRANGE(""https://docs.google.com/spreadsheets/d/1MeEWN-I1oV_STSDYn1IFDPWt_1FKiwhDph83XaGc0o0/edit?usp=sharing"",""งบพรบ!DL58"")"),0)</f>
        <v>0</v>
      </c>
      <c r="H58" s="77">
        <f ca="1">IFERROR(__xludf.DUMMYFUNCTION("IMPORTRANGE(""https://docs.google.com/spreadsheets/d/1MeEWN-I1oV_STSDYn1IFDPWt_1FKiwhDph83XaGc0o0/edit?usp=sharing"",""งบพรบ!DN58"")"),0)</f>
        <v>0</v>
      </c>
      <c r="I58" s="77">
        <f ca="1">IFERROR(__xludf.DUMMYFUNCTION("IMPORTRANGE(""https://docs.google.com/spreadsheets/d/1MeEWN-I1oV_STSDYn1IFDPWt_1FKiwhDph83XaGc0o0/edit?usp=sharing"",""งบพรบ!DO58"")"),0)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IFERROR(__xludf.DUMMYFUNCTION("IMPORTRANGE(""https://docs.google.com/spreadsheets/d/1MeEWN-I1oV_STSDYn1IFDPWt_1FKiwhDph83XaGc0o0/edit?usp=sharing"",""งบพรบ!DP58"")"),0)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IFERROR(__xludf.DUMMYFUNCTION("IMPORTRANGE(""https://docs.google.com/spreadsheets/d/1MeEWN-I1oV_STSDYn1IFDPWt_1FKiwhDph83XaGc0o0/edit?usp=sharing"",""งบพรบ!DQ58"")"),0)</f>
        <v>0</v>
      </c>
      <c r="P58" s="80">
        <f t="shared" ca="1" si="32"/>
        <v>0</v>
      </c>
      <c r="Q58" s="79">
        <f t="shared" ca="1" si="8"/>
        <v>0</v>
      </c>
      <c r="R58" s="323">
        <f ca="1">IFERROR(__xludf.DUMMYFUNCTION("IMPORTRANGE(""https://docs.google.com/spreadsheets/d/1vWPVBOAaZ6mHSI8yf95DNqHwTJ1cpeFsvqt6cxV34QA/edit?usp=sharing"",""ตราด!I287"")"),0)</f>
        <v>0</v>
      </c>
      <c r="S58" s="323">
        <f ca="1">IFERROR(__xludf.DUMMYFUNCTION("IMPORTRANGE(""https://docs.google.com/spreadsheets/d/1vWPVBOAaZ6mHSI8yf95DNqHwTJ1cpeFsvqt6cxV34QA/edit?usp=sharing"",""ตราด!J287"")"),0)</f>
        <v>0</v>
      </c>
      <c r="T58" s="324">
        <f t="shared" ca="1" si="27"/>
        <v>0</v>
      </c>
      <c r="U58" s="323">
        <f ca="1">IFERROR(__xludf.DUMMYFUNCTION("IMPORTRANGE(""https://docs.google.com/spreadsheets/d/1vWPVBOAaZ6mHSI8yf95DNqHwTJ1cpeFsvqt6cxV34QA/edit?usp=sharing"",""ตราด!I288"")"),0)</f>
        <v>0</v>
      </c>
      <c r="V58" s="323">
        <f ca="1">IFERROR(__xludf.DUMMYFUNCTION("IMPORTRANGE(""https://docs.google.com/spreadsheets/d/1vWPVBOAaZ6mHSI8yf95DNqHwTJ1cpeFsvqt6cxV34QA/edit?usp=sharing"",""ตราด!J288"")"),0)</f>
        <v>0</v>
      </c>
      <c r="W58" s="324">
        <f t="shared" ca="1" si="28"/>
        <v>0</v>
      </c>
      <c r="X58" s="323">
        <f ca="1">IFERROR(__xludf.DUMMYFUNCTION("IMPORTRANGE(""https://docs.google.com/spreadsheets/d/1vWPVBOAaZ6mHSI8yf95DNqHwTJ1cpeFsvqt6cxV34QA/edit?usp=sharing"",""ตราด!I290"")"),0)</f>
        <v>0</v>
      </c>
      <c r="Y58" s="323">
        <f ca="1">IFERROR(__xludf.DUMMYFUNCTION("IMPORTRANGE(""https://docs.google.com/spreadsheets/d/1vWPVBOAaZ6mHSI8yf95DNqHwTJ1cpeFsvqt6cxV34QA/edit?usp=sharing"",""ตราด!J290"")"),0)</f>
        <v>0</v>
      </c>
      <c r="Z58" s="324">
        <f t="shared" ca="1" si="29"/>
        <v>0</v>
      </c>
      <c r="AA58" s="323">
        <f ca="1">IFERROR(__xludf.DUMMYFUNCTION("IMPORTRANGE(""https://docs.google.com/spreadsheets/d/1vWPVBOAaZ6mHSI8yf95DNqHwTJ1cpeFsvqt6cxV34QA/edit?usp=sharing"",""ตราด!J291"")"),0)</f>
        <v>0</v>
      </c>
      <c r="AB58" s="324">
        <f t="shared" ca="1" si="15"/>
        <v>0</v>
      </c>
      <c r="AC58" s="323">
        <f ca="1">IFERROR(__xludf.DUMMYFUNCTION("IMPORTRANGE(""https://docs.google.com/spreadsheets/d/1vWPVBOAaZ6mHSI8yf95DNqHwTJ1cpeFsvqt6cxV34QA/edit?usp=sharing"",""ตราด!I293"")"),0)</f>
        <v>0</v>
      </c>
      <c r="AD58" s="323">
        <f ca="1">IFERROR(__xludf.DUMMYFUNCTION("IMPORTRANGE(""https://docs.google.com/spreadsheets/d/1vWPVBOAaZ6mHSI8yf95DNqHwTJ1cpeFsvqt6cxV34QA/edit?usp=sharing"",""ตราด!J293"")"),0)</f>
        <v>0</v>
      </c>
      <c r="AE58" s="324">
        <f t="shared" ca="1" si="30"/>
        <v>0</v>
      </c>
      <c r="AF58" s="323">
        <f ca="1">IFERROR(__xludf.DUMMYFUNCTION("IMPORTRANGE(""https://docs.google.com/spreadsheets/d/1vWPVBOAaZ6mHSI8yf95DNqHwTJ1cpeFsvqt6cxV34QA/edit?usp=sharing"",""ตราด!J294"")"),0)</f>
        <v>0</v>
      </c>
      <c r="AG58" s="324">
        <f t="shared" ca="1" si="18"/>
        <v>0</v>
      </c>
    </row>
    <row r="59" spans="1:33" ht="21" customHeight="1" x14ac:dyDescent="0.2">
      <c r="A59" s="73">
        <v>7</v>
      </c>
      <c r="B59" s="74" t="s">
        <v>81</v>
      </c>
      <c r="C59" s="75">
        <f t="shared" ca="1" si="0"/>
        <v>22630</v>
      </c>
      <c r="D59" s="76">
        <f t="shared" ca="1" si="49"/>
        <v>22630</v>
      </c>
      <c r="E59" s="77">
        <f ca="1">IFERROR(__xludf.DUMMYFUNCTION("IMPORTRANGE(""https://docs.google.com/spreadsheets/d/1MeEWN-I1oV_STSDYn1IFDPWt_1FKiwhDph83XaGc0o0/edit?usp=sharing"",""งบพรบ!DJ59"")"),0)</f>
        <v>0</v>
      </c>
      <c r="F59" s="77">
        <f ca="1">IFERROR(__xludf.DUMMYFUNCTION("IMPORTRANGE(""https://docs.google.com/spreadsheets/d/1MeEWN-I1oV_STSDYn1IFDPWt_1FKiwhDph83XaGc0o0/edit?usp=sharing"",""งบพรบ!DK59"")"),22630)</f>
        <v>22630</v>
      </c>
      <c r="G59" s="77">
        <f ca="1">IFERROR(__xludf.DUMMYFUNCTION("IMPORTRANGE(""https://docs.google.com/spreadsheets/d/1MeEWN-I1oV_STSDYn1IFDPWt_1FKiwhDph83XaGc0o0/edit?usp=sharing"",""งบพรบ!DL59"")"),0)</f>
        <v>0</v>
      </c>
      <c r="H59" s="77">
        <f ca="1">IFERROR(__xludf.DUMMYFUNCTION("IMPORTRANGE(""https://docs.google.com/spreadsheets/d/1MeEWN-I1oV_STSDYn1IFDPWt_1FKiwhDph83XaGc0o0/edit?usp=sharing"",""งบพรบ!DN59"")"),22630)</f>
        <v>22630</v>
      </c>
      <c r="I59" s="77">
        <f ca="1">IFERROR(__xludf.DUMMYFUNCTION("IMPORTRANGE(""https://docs.google.com/spreadsheets/d/1MeEWN-I1oV_STSDYn1IFDPWt_1FKiwhDph83XaGc0o0/edit?usp=sharing"",""งบพรบ!DO59"")"),0)</f>
        <v>0</v>
      </c>
      <c r="J59" s="77">
        <f t="shared" ca="1" si="3"/>
        <v>22630</v>
      </c>
      <c r="K59" s="78">
        <f t="shared" ca="1" si="4"/>
        <v>100</v>
      </c>
      <c r="L59" s="77">
        <f ca="1">IFERROR(__xludf.DUMMYFUNCTION("IMPORTRANGE(""https://docs.google.com/spreadsheets/d/1MeEWN-I1oV_STSDYn1IFDPWt_1FKiwhDph83XaGc0o0/edit?usp=sharing"",""งบพรบ!DP59"")"),22630)</f>
        <v>22630</v>
      </c>
      <c r="M59" s="79">
        <f t="shared" ca="1" si="5"/>
        <v>100</v>
      </c>
      <c r="N59" s="79">
        <f t="shared" ca="1" si="6"/>
        <v>100</v>
      </c>
      <c r="O59" s="80">
        <f ca="1">IFERROR(__xludf.DUMMYFUNCTION("IMPORTRANGE(""https://docs.google.com/spreadsheets/d/1MeEWN-I1oV_STSDYn1IFDPWt_1FKiwhDph83XaGc0o0/edit?usp=sharing"",""งบพรบ!DQ59"")"),0)</f>
        <v>0</v>
      </c>
      <c r="P59" s="80">
        <f t="shared" ca="1" si="32"/>
        <v>0</v>
      </c>
      <c r="Q59" s="79">
        <f t="shared" ca="1" si="8"/>
        <v>0</v>
      </c>
      <c r="R59" s="323">
        <f ca="1">IFERROR(__xludf.DUMMYFUNCTION("IMPORTRANGE(""https://docs.google.com/spreadsheets/d/1phaeSb9lTGgzDpbvVqI9hfmOQQzUom07-HEvpbARzEg/edit?usp=sharing"",""นครนายก!I287"")"),50)</f>
        <v>50</v>
      </c>
      <c r="S59" s="323">
        <f ca="1">IFERROR(__xludf.DUMMYFUNCTION("IMPORTRANGE(""https://docs.google.com/spreadsheets/d/1phaeSb9lTGgzDpbvVqI9hfmOQQzUom07-HEvpbARzEg/edit?usp=sharing"",""นครนายก!J287"")"),50)</f>
        <v>50</v>
      </c>
      <c r="T59" s="324">
        <f t="shared" ca="1" si="27"/>
        <v>100</v>
      </c>
      <c r="U59" s="323">
        <f ca="1">IFERROR(__xludf.DUMMYFUNCTION("IMPORTRANGE(""https://docs.google.com/spreadsheets/d/1phaeSb9lTGgzDpbvVqI9hfmOQQzUom07-HEvpbARzEg/edit?usp=sharing"",""นครนายก!I288"")"),5)</f>
        <v>5</v>
      </c>
      <c r="V59" s="323">
        <f ca="1">IFERROR(__xludf.DUMMYFUNCTION("IMPORTRANGE(""https://docs.google.com/spreadsheets/d/1phaeSb9lTGgzDpbvVqI9hfmOQQzUom07-HEvpbARzEg/edit?usp=sharing"",""นครนายก!J288"")"),5)</f>
        <v>5</v>
      </c>
      <c r="W59" s="324">
        <f t="shared" ca="1" si="28"/>
        <v>100</v>
      </c>
      <c r="X59" s="323">
        <f ca="1">IFERROR(__xludf.DUMMYFUNCTION("IMPORTRANGE(""https://docs.google.com/spreadsheets/d/1phaeSb9lTGgzDpbvVqI9hfmOQQzUom07-HEvpbARzEg/edit?usp=sharing"",""นครนายก!I290"")"),5)</f>
        <v>5</v>
      </c>
      <c r="Y59" s="323">
        <f ca="1">IFERROR(__xludf.DUMMYFUNCTION("IMPORTRANGE(""https://docs.google.com/spreadsheets/d/1phaeSb9lTGgzDpbvVqI9hfmOQQzUom07-HEvpbARzEg/edit?usp=sharing"",""นครนายก!J290"")"),5)</f>
        <v>5</v>
      </c>
      <c r="Z59" s="324">
        <f t="shared" ca="1" si="29"/>
        <v>100</v>
      </c>
      <c r="AA59" s="323">
        <f ca="1">IFERROR(__xludf.DUMMYFUNCTION("IMPORTRANGE(""https://docs.google.com/spreadsheets/d/1phaeSb9lTGgzDpbvVqI9hfmOQQzUom07-HEvpbARzEg/edit?usp=sharing"",""นครนายก!J291"")"),5)</f>
        <v>5</v>
      </c>
      <c r="AB59" s="324">
        <f t="shared" ca="1" si="15"/>
        <v>100</v>
      </c>
      <c r="AC59" s="323">
        <f ca="1">IFERROR(__xludf.DUMMYFUNCTION("IMPORTRANGE(""https://docs.google.com/spreadsheets/d/1phaeSb9lTGgzDpbvVqI9hfmOQQzUom07-HEvpbARzEg/edit?usp=sharing"",""นครนายก!I293"")"),5)</f>
        <v>5</v>
      </c>
      <c r="AD59" s="323">
        <f ca="1">IFERROR(__xludf.DUMMYFUNCTION("IMPORTRANGE(""https://docs.google.com/spreadsheets/d/1phaeSb9lTGgzDpbvVqI9hfmOQQzUom07-HEvpbARzEg/edit?usp=sharing"",""นครนายก!J293"")"),5)</f>
        <v>5</v>
      </c>
      <c r="AE59" s="324">
        <f t="shared" ca="1" si="30"/>
        <v>100</v>
      </c>
      <c r="AF59" s="323">
        <f ca="1">IFERROR(__xludf.DUMMYFUNCTION("IMPORTRANGE(""https://docs.google.com/spreadsheets/d/1phaeSb9lTGgzDpbvVqI9hfmOQQzUom07-HEvpbARzEg/edit?usp=sharing"",""นครนายก!J294"")"),5)</f>
        <v>5</v>
      </c>
      <c r="AG59" s="324">
        <f t="shared" ca="1" si="18"/>
        <v>100</v>
      </c>
    </row>
    <row r="60" spans="1:33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9"/>
        <v>0</v>
      </c>
      <c r="E60" s="77">
        <f ca="1">IFERROR(__xludf.DUMMYFUNCTION("IMPORTRANGE(""https://docs.google.com/spreadsheets/d/1MeEWN-I1oV_STSDYn1IFDPWt_1FKiwhDph83XaGc0o0/edit?usp=sharing"",""งบพรบ!DJ60"")"),0)</f>
        <v>0</v>
      </c>
      <c r="F60" s="77">
        <f ca="1">IFERROR(__xludf.DUMMYFUNCTION("IMPORTRANGE(""https://docs.google.com/spreadsheets/d/1MeEWN-I1oV_STSDYn1IFDPWt_1FKiwhDph83XaGc0o0/edit?usp=sharing"",""งบพรบ!DK60"")"),0)</f>
        <v>0</v>
      </c>
      <c r="G60" s="77">
        <f ca="1">IFERROR(__xludf.DUMMYFUNCTION("IMPORTRANGE(""https://docs.google.com/spreadsheets/d/1MeEWN-I1oV_STSDYn1IFDPWt_1FKiwhDph83XaGc0o0/edit?usp=sharing"",""งบพรบ!DL60"")"),0)</f>
        <v>0</v>
      </c>
      <c r="H60" s="77">
        <f ca="1">IFERROR(__xludf.DUMMYFUNCTION("IMPORTRANGE(""https://docs.google.com/spreadsheets/d/1MeEWN-I1oV_STSDYn1IFDPWt_1FKiwhDph83XaGc0o0/edit?usp=sharing"",""งบพรบ!DN60"")"),0)</f>
        <v>0</v>
      </c>
      <c r="I60" s="77">
        <f ca="1">IFERROR(__xludf.DUMMYFUNCTION("IMPORTRANGE(""https://docs.google.com/spreadsheets/d/1MeEWN-I1oV_STSDYn1IFDPWt_1FKiwhDph83XaGc0o0/edit?usp=sharing"",""งบพรบ!DO60"")"),0)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IFERROR(__xludf.DUMMYFUNCTION("IMPORTRANGE(""https://docs.google.com/spreadsheets/d/1MeEWN-I1oV_STSDYn1IFDPWt_1FKiwhDph83XaGc0o0/edit?usp=sharing"",""งบพรบ!DP60"")"),0)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IFERROR(__xludf.DUMMYFUNCTION("IMPORTRANGE(""https://docs.google.com/spreadsheets/d/1MeEWN-I1oV_STSDYn1IFDPWt_1FKiwhDph83XaGc0o0/edit?usp=sharing"",""งบพรบ!DQ60"")"),0)</f>
        <v>0</v>
      </c>
      <c r="P60" s="80">
        <f t="shared" ca="1" si="32"/>
        <v>0</v>
      </c>
      <c r="Q60" s="79">
        <f t="shared" ca="1" si="8"/>
        <v>0</v>
      </c>
      <c r="R60" s="323">
        <f ca="1">IFERROR(__xludf.DUMMYFUNCTION("IMPORTRANGE(""https://docs.google.com/spreadsheets/d/1tpwhWwkqkBeiSWCcfB5f2fbwPRbM9hHOEDSDHpl2MIc/edit?usp=sharing"",""นครปฐม!I287"")"),0)</f>
        <v>0</v>
      </c>
      <c r="S60" s="323">
        <f ca="1">IFERROR(__xludf.DUMMYFUNCTION("IMPORTRANGE(""https://docs.google.com/spreadsheets/d/1tpwhWwkqkBeiSWCcfB5f2fbwPRbM9hHOEDSDHpl2MIc/edit?usp=sharing"",""นครปฐม!J287"")"),0)</f>
        <v>0</v>
      </c>
      <c r="T60" s="324">
        <f t="shared" ca="1" si="27"/>
        <v>0</v>
      </c>
      <c r="U60" s="323">
        <f ca="1">IFERROR(__xludf.DUMMYFUNCTION("IMPORTRANGE(""https://docs.google.com/spreadsheets/d/1tpwhWwkqkBeiSWCcfB5f2fbwPRbM9hHOEDSDHpl2MIc/edit?usp=sharing"",""นครปฐม!I288"")"),0)</f>
        <v>0</v>
      </c>
      <c r="V60" s="323">
        <f ca="1">IFERROR(__xludf.DUMMYFUNCTION("IMPORTRANGE(""https://docs.google.com/spreadsheets/d/1tpwhWwkqkBeiSWCcfB5f2fbwPRbM9hHOEDSDHpl2MIc/edit?usp=sharing"",""นครปฐม!J288"")"),0)</f>
        <v>0</v>
      </c>
      <c r="W60" s="324">
        <f t="shared" ca="1" si="28"/>
        <v>0</v>
      </c>
      <c r="X60" s="323">
        <f ca="1">IFERROR(__xludf.DUMMYFUNCTION("IMPORTRANGE(""https://docs.google.com/spreadsheets/d/1tpwhWwkqkBeiSWCcfB5f2fbwPRbM9hHOEDSDHpl2MIc/edit?usp=sharing"",""นครปฐม!I290"")"),0)</f>
        <v>0</v>
      </c>
      <c r="Y60" s="323">
        <f ca="1">IFERROR(__xludf.DUMMYFUNCTION("IMPORTRANGE(""https://docs.google.com/spreadsheets/d/1tpwhWwkqkBeiSWCcfB5f2fbwPRbM9hHOEDSDHpl2MIc/edit?usp=sharing"",""นครปฐม!J290"")"),0)</f>
        <v>0</v>
      </c>
      <c r="Z60" s="324">
        <f t="shared" ca="1" si="29"/>
        <v>0</v>
      </c>
      <c r="AA60" s="323">
        <f ca="1">IFERROR(__xludf.DUMMYFUNCTION("IMPORTRANGE(""https://docs.google.com/spreadsheets/d/1tpwhWwkqkBeiSWCcfB5f2fbwPRbM9hHOEDSDHpl2MIc/edit?usp=sharing"",""นครปฐม!J291"")"),0)</f>
        <v>0</v>
      </c>
      <c r="AB60" s="324">
        <f t="shared" ca="1" si="15"/>
        <v>0</v>
      </c>
      <c r="AC60" s="323">
        <f ca="1">IFERROR(__xludf.DUMMYFUNCTION("IMPORTRANGE(""https://docs.google.com/spreadsheets/d/1tpwhWwkqkBeiSWCcfB5f2fbwPRbM9hHOEDSDHpl2MIc/edit?usp=sharing"",""นครปฐม!I293"")"),0)</f>
        <v>0</v>
      </c>
      <c r="AD60" s="323">
        <f ca="1">IFERROR(__xludf.DUMMYFUNCTION("IMPORTRANGE(""https://docs.google.com/spreadsheets/d/1tpwhWwkqkBeiSWCcfB5f2fbwPRbM9hHOEDSDHpl2MIc/edit?usp=sharing"",""นครปฐม!J293"")"),0)</f>
        <v>0</v>
      </c>
      <c r="AE60" s="324">
        <f t="shared" ca="1" si="30"/>
        <v>0</v>
      </c>
      <c r="AF60" s="323">
        <f ca="1">IFERROR(__xludf.DUMMYFUNCTION("IMPORTRANGE(""https://docs.google.com/spreadsheets/d/1tpwhWwkqkBeiSWCcfB5f2fbwPRbM9hHOEDSDHpl2MIc/edit?usp=sharing"",""นครปฐม!J294"")"),0)</f>
        <v>0</v>
      </c>
      <c r="AG60" s="324">
        <f t="shared" ca="1" si="18"/>
        <v>0</v>
      </c>
    </row>
    <row r="61" spans="1:33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9"/>
        <v>0</v>
      </c>
      <c r="E61" s="77">
        <f ca="1">IFERROR(__xludf.DUMMYFUNCTION("IMPORTRANGE(""https://docs.google.com/spreadsheets/d/1MeEWN-I1oV_STSDYn1IFDPWt_1FKiwhDph83XaGc0o0/edit?usp=sharing"",""งบพรบ!DJ61"")"),0)</f>
        <v>0</v>
      </c>
      <c r="F61" s="77">
        <f ca="1">IFERROR(__xludf.DUMMYFUNCTION("IMPORTRANGE(""https://docs.google.com/spreadsheets/d/1MeEWN-I1oV_STSDYn1IFDPWt_1FKiwhDph83XaGc0o0/edit?usp=sharing"",""งบพรบ!DK61"")"),0)</f>
        <v>0</v>
      </c>
      <c r="G61" s="77">
        <f ca="1">IFERROR(__xludf.DUMMYFUNCTION("IMPORTRANGE(""https://docs.google.com/spreadsheets/d/1MeEWN-I1oV_STSDYn1IFDPWt_1FKiwhDph83XaGc0o0/edit?usp=sharing"",""งบพรบ!DL61"")"),0)</f>
        <v>0</v>
      </c>
      <c r="H61" s="77">
        <f ca="1">IFERROR(__xludf.DUMMYFUNCTION("IMPORTRANGE(""https://docs.google.com/spreadsheets/d/1MeEWN-I1oV_STSDYn1IFDPWt_1FKiwhDph83XaGc0o0/edit?usp=sharing"",""งบพรบ!DN61"")"),0)</f>
        <v>0</v>
      </c>
      <c r="I61" s="77">
        <f ca="1">IFERROR(__xludf.DUMMYFUNCTION("IMPORTRANGE(""https://docs.google.com/spreadsheets/d/1MeEWN-I1oV_STSDYn1IFDPWt_1FKiwhDph83XaGc0o0/edit?usp=sharing"",""งบพรบ!DO61"")"),0)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IFERROR(__xludf.DUMMYFUNCTION("IMPORTRANGE(""https://docs.google.com/spreadsheets/d/1MeEWN-I1oV_STSDYn1IFDPWt_1FKiwhDph83XaGc0o0/edit?usp=sharing"",""งบพรบ!DP61"")"),0)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IFERROR(__xludf.DUMMYFUNCTION("IMPORTRANGE(""https://docs.google.com/spreadsheets/d/1MeEWN-I1oV_STSDYn1IFDPWt_1FKiwhDph83XaGc0o0/edit?usp=sharing"",""งบพรบ!DQ61"")"),0)</f>
        <v>0</v>
      </c>
      <c r="P61" s="80">
        <f t="shared" ca="1" si="32"/>
        <v>0</v>
      </c>
      <c r="Q61" s="79">
        <f t="shared" ca="1" si="8"/>
        <v>0</v>
      </c>
      <c r="R61" s="323">
        <f ca="1">IFERROR(__xludf.DUMMYFUNCTION("IMPORTRANGE(""https://docs.google.com/spreadsheets/d/1fJJCVBkBnhriyv0Cp5ZFMr0I_yrfdEITNpb4zILJgUQ/edit?usp=sharing"",""ปทุมธานี!I287"")"),0)</f>
        <v>0</v>
      </c>
      <c r="S61" s="323">
        <f ca="1">IFERROR(__xludf.DUMMYFUNCTION("IMPORTRANGE(""https://docs.google.com/spreadsheets/d/1fJJCVBkBnhriyv0Cp5ZFMr0I_yrfdEITNpb4zILJgUQ/edit?usp=sharing"",""ปทุมธานี!J287"")"),0)</f>
        <v>0</v>
      </c>
      <c r="T61" s="324">
        <f t="shared" ca="1" si="27"/>
        <v>0</v>
      </c>
      <c r="U61" s="323">
        <f ca="1">IFERROR(__xludf.DUMMYFUNCTION("IMPORTRANGE(""https://docs.google.com/spreadsheets/d/1fJJCVBkBnhriyv0Cp5ZFMr0I_yrfdEITNpb4zILJgUQ/edit?usp=sharing"",""ปทุมธานี!I288"")"),0)</f>
        <v>0</v>
      </c>
      <c r="V61" s="323">
        <f ca="1">IFERROR(__xludf.DUMMYFUNCTION("IMPORTRANGE(""https://docs.google.com/spreadsheets/d/1fJJCVBkBnhriyv0Cp5ZFMr0I_yrfdEITNpb4zILJgUQ/edit?usp=sharing"",""ปทุมธานี!J288"")"),0)</f>
        <v>0</v>
      </c>
      <c r="W61" s="324">
        <f t="shared" ca="1" si="28"/>
        <v>0</v>
      </c>
      <c r="X61" s="323">
        <f ca="1">IFERROR(__xludf.DUMMYFUNCTION("IMPORTRANGE(""https://docs.google.com/spreadsheets/d/1fJJCVBkBnhriyv0Cp5ZFMr0I_yrfdEITNpb4zILJgUQ/edit?usp=sharing"",""ปทุมธานี!I290"")"),0)</f>
        <v>0</v>
      </c>
      <c r="Y61" s="323">
        <f ca="1">IFERROR(__xludf.DUMMYFUNCTION("IMPORTRANGE(""https://docs.google.com/spreadsheets/d/1fJJCVBkBnhriyv0Cp5ZFMr0I_yrfdEITNpb4zILJgUQ/edit?usp=sharing"",""ปทุมธานี!J290"")"),0)</f>
        <v>0</v>
      </c>
      <c r="Z61" s="324">
        <f t="shared" ca="1" si="29"/>
        <v>0</v>
      </c>
      <c r="AA61" s="323">
        <f ca="1">IFERROR(__xludf.DUMMYFUNCTION("IMPORTRANGE(""https://docs.google.com/spreadsheets/d/1fJJCVBkBnhriyv0Cp5ZFMr0I_yrfdEITNpb4zILJgUQ/edit?usp=sharing"",""ปทุมธานี!J291"")"),0)</f>
        <v>0</v>
      </c>
      <c r="AB61" s="324">
        <f t="shared" ca="1" si="15"/>
        <v>0</v>
      </c>
      <c r="AC61" s="323">
        <f ca="1">IFERROR(__xludf.DUMMYFUNCTION("IMPORTRANGE(""https://docs.google.com/spreadsheets/d/1fJJCVBkBnhriyv0Cp5ZFMr0I_yrfdEITNpb4zILJgUQ/edit?usp=sharing"",""ปทุมธานี!I293"")"),0)</f>
        <v>0</v>
      </c>
      <c r="AD61" s="323">
        <f ca="1">IFERROR(__xludf.DUMMYFUNCTION("IMPORTRANGE(""https://docs.google.com/spreadsheets/d/1fJJCVBkBnhriyv0Cp5ZFMr0I_yrfdEITNpb4zILJgUQ/edit?usp=sharing"",""ปทุมธานี!J293"")"),0)</f>
        <v>0</v>
      </c>
      <c r="AE61" s="324">
        <f t="shared" ca="1" si="30"/>
        <v>0</v>
      </c>
      <c r="AF61" s="323">
        <f ca="1">IFERROR(__xludf.DUMMYFUNCTION("IMPORTRANGE(""https://docs.google.com/spreadsheets/d/1fJJCVBkBnhriyv0Cp5ZFMr0I_yrfdEITNpb4zILJgUQ/edit?usp=sharing"",""ปทุมธานี!J294"")"),0)</f>
        <v>0</v>
      </c>
      <c r="AG61" s="324">
        <f t="shared" ca="1" si="18"/>
        <v>0</v>
      </c>
    </row>
    <row r="62" spans="1:33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9"/>
        <v>0</v>
      </c>
      <c r="E62" s="77">
        <f ca="1">IFERROR(__xludf.DUMMYFUNCTION("IMPORTRANGE(""https://docs.google.com/spreadsheets/d/1MeEWN-I1oV_STSDYn1IFDPWt_1FKiwhDph83XaGc0o0/edit?usp=sharing"",""งบพรบ!DJ62"")"),0)</f>
        <v>0</v>
      </c>
      <c r="F62" s="77">
        <f ca="1">IFERROR(__xludf.DUMMYFUNCTION("IMPORTRANGE(""https://docs.google.com/spreadsheets/d/1MeEWN-I1oV_STSDYn1IFDPWt_1FKiwhDph83XaGc0o0/edit?usp=sharing"",""งบพรบ!DK62"")"),0)</f>
        <v>0</v>
      </c>
      <c r="G62" s="77">
        <f ca="1">IFERROR(__xludf.DUMMYFUNCTION("IMPORTRANGE(""https://docs.google.com/spreadsheets/d/1MeEWN-I1oV_STSDYn1IFDPWt_1FKiwhDph83XaGc0o0/edit?usp=sharing"",""งบพรบ!DL62"")"),0)</f>
        <v>0</v>
      </c>
      <c r="H62" s="77">
        <f ca="1">IFERROR(__xludf.DUMMYFUNCTION("IMPORTRANGE(""https://docs.google.com/spreadsheets/d/1MeEWN-I1oV_STSDYn1IFDPWt_1FKiwhDph83XaGc0o0/edit?usp=sharing"",""งบพรบ!DN62"")"),0)</f>
        <v>0</v>
      </c>
      <c r="I62" s="77">
        <f ca="1">IFERROR(__xludf.DUMMYFUNCTION("IMPORTRANGE(""https://docs.google.com/spreadsheets/d/1MeEWN-I1oV_STSDYn1IFDPWt_1FKiwhDph83XaGc0o0/edit?usp=sharing"",""งบพรบ!DO62"")"),0)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IFERROR(__xludf.DUMMYFUNCTION("IMPORTRANGE(""https://docs.google.com/spreadsheets/d/1MeEWN-I1oV_STSDYn1IFDPWt_1FKiwhDph83XaGc0o0/edit?usp=sharing"",""งบพรบ!DP62"")"),0)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IFERROR(__xludf.DUMMYFUNCTION("IMPORTRANGE(""https://docs.google.com/spreadsheets/d/1MeEWN-I1oV_STSDYn1IFDPWt_1FKiwhDph83XaGc0o0/edit?usp=sharing"",""งบพรบ!DQ62"")"),0)</f>
        <v>0</v>
      </c>
      <c r="P62" s="80">
        <f t="shared" ca="1" si="32"/>
        <v>0</v>
      </c>
      <c r="Q62" s="79">
        <f t="shared" ca="1" si="8"/>
        <v>0</v>
      </c>
      <c r="R62" s="323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323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324">
        <f t="shared" ca="1" si="27"/>
        <v>0</v>
      </c>
      <c r="U62" s="323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323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324">
        <f t="shared" ca="1" si="28"/>
        <v>0</v>
      </c>
      <c r="X62" s="323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323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324">
        <f t="shared" ca="1" si="29"/>
        <v>0</v>
      </c>
      <c r="AA62" s="323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324">
        <f t="shared" ca="1" si="15"/>
        <v>0</v>
      </c>
      <c r="AC62" s="323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323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324">
        <f t="shared" ca="1" si="30"/>
        <v>0</v>
      </c>
      <c r="AF62" s="323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324">
        <f t="shared" ca="1" si="18"/>
        <v>0</v>
      </c>
    </row>
    <row r="63" spans="1:33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49"/>
        <v>0</v>
      </c>
      <c r="E63" s="77">
        <f ca="1">IFERROR(__xludf.DUMMYFUNCTION("IMPORTRANGE(""https://docs.google.com/spreadsheets/d/1MeEWN-I1oV_STSDYn1IFDPWt_1FKiwhDph83XaGc0o0/edit?usp=sharing"",""งบพรบ!DJ63"")"),0)</f>
        <v>0</v>
      </c>
      <c r="F63" s="77">
        <f ca="1">IFERROR(__xludf.DUMMYFUNCTION("IMPORTRANGE(""https://docs.google.com/spreadsheets/d/1MeEWN-I1oV_STSDYn1IFDPWt_1FKiwhDph83XaGc0o0/edit?usp=sharing"",""งบพรบ!DK63"")"),0)</f>
        <v>0</v>
      </c>
      <c r="G63" s="77">
        <f ca="1">IFERROR(__xludf.DUMMYFUNCTION("IMPORTRANGE(""https://docs.google.com/spreadsheets/d/1MeEWN-I1oV_STSDYn1IFDPWt_1FKiwhDph83XaGc0o0/edit?usp=sharing"",""งบพรบ!DL63"")"),0)</f>
        <v>0</v>
      </c>
      <c r="H63" s="77">
        <f ca="1">IFERROR(__xludf.DUMMYFUNCTION("IMPORTRANGE(""https://docs.google.com/spreadsheets/d/1MeEWN-I1oV_STSDYn1IFDPWt_1FKiwhDph83XaGc0o0/edit?usp=sharing"",""งบพรบ!DN63"")"),0)</f>
        <v>0</v>
      </c>
      <c r="I63" s="77">
        <f ca="1">IFERROR(__xludf.DUMMYFUNCTION("IMPORTRANGE(""https://docs.google.com/spreadsheets/d/1MeEWN-I1oV_STSDYn1IFDPWt_1FKiwhDph83XaGc0o0/edit?usp=sharing"",""งบพรบ!DO63"")"),0)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IFERROR(__xludf.DUMMYFUNCTION("IMPORTRANGE(""https://docs.google.com/spreadsheets/d/1MeEWN-I1oV_STSDYn1IFDPWt_1FKiwhDph83XaGc0o0/edit?usp=sharing"",""งบพรบ!DP63"")"),0)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IFERROR(__xludf.DUMMYFUNCTION("IMPORTRANGE(""https://docs.google.com/spreadsheets/d/1MeEWN-I1oV_STSDYn1IFDPWt_1FKiwhDph83XaGc0o0/edit?usp=sharing"",""งบพรบ!DQ63"")"),0)</f>
        <v>0</v>
      </c>
      <c r="P63" s="80">
        <f t="shared" ca="1" si="32"/>
        <v>0</v>
      </c>
      <c r="Q63" s="79">
        <f t="shared" ca="1" si="8"/>
        <v>0</v>
      </c>
      <c r="R63" s="323">
        <f ca="1">IFERROR(__xludf.DUMMYFUNCTION("IMPORTRANGE(""https://docs.google.com/spreadsheets/d/1nYxRXgnCfTXtqUY1otYuTlnrzE0Tn-Y0YRsW5pkRVqo/edit?usp=sharing"",""ปราจีนบุรี!I287"")"),0)</f>
        <v>0</v>
      </c>
      <c r="S63" s="323">
        <f ca="1">IFERROR(__xludf.DUMMYFUNCTION("IMPORTRANGE(""https://docs.google.com/spreadsheets/d/1nYxRXgnCfTXtqUY1otYuTlnrzE0Tn-Y0YRsW5pkRVqo/edit?usp=sharing"",""ปราจีนบุรี!J287"")"),0)</f>
        <v>0</v>
      </c>
      <c r="T63" s="324">
        <f t="shared" ca="1" si="27"/>
        <v>0</v>
      </c>
      <c r="U63" s="323">
        <f ca="1">IFERROR(__xludf.DUMMYFUNCTION("IMPORTRANGE(""https://docs.google.com/spreadsheets/d/1nYxRXgnCfTXtqUY1otYuTlnrzE0Tn-Y0YRsW5pkRVqo/edit?usp=sharing"",""ปราจีนบุรี!I288"")"),0)</f>
        <v>0</v>
      </c>
      <c r="V63" s="323">
        <f ca="1">IFERROR(__xludf.DUMMYFUNCTION("IMPORTRANGE(""https://docs.google.com/spreadsheets/d/1nYxRXgnCfTXtqUY1otYuTlnrzE0Tn-Y0YRsW5pkRVqo/edit?usp=sharing"",""ปราจีนบุรี!J288"")"),0)</f>
        <v>0</v>
      </c>
      <c r="W63" s="324">
        <f t="shared" ca="1" si="28"/>
        <v>0</v>
      </c>
      <c r="X63" s="323">
        <f ca="1">IFERROR(__xludf.DUMMYFUNCTION("IMPORTRANGE(""https://docs.google.com/spreadsheets/d/1nYxRXgnCfTXtqUY1otYuTlnrzE0Tn-Y0YRsW5pkRVqo/edit?usp=sharing"",""ปราจีนบุรี!I290"")"),0)</f>
        <v>0</v>
      </c>
      <c r="Y63" s="323">
        <f ca="1">IFERROR(__xludf.DUMMYFUNCTION("IMPORTRANGE(""https://docs.google.com/spreadsheets/d/1nYxRXgnCfTXtqUY1otYuTlnrzE0Tn-Y0YRsW5pkRVqo/edit?usp=sharing"",""ปราจีนบุรี!J290"")"),0)</f>
        <v>0</v>
      </c>
      <c r="Z63" s="324">
        <f t="shared" ca="1" si="29"/>
        <v>0</v>
      </c>
      <c r="AA63" s="323">
        <f ca="1">IFERROR(__xludf.DUMMYFUNCTION("IMPORTRANGE(""https://docs.google.com/spreadsheets/d/1nYxRXgnCfTXtqUY1otYuTlnrzE0Tn-Y0YRsW5pkRVqo/edit?usp=sharing"",""ปราจีนบุรี!J291"")"),0)</f>
        <v>0</v>
      </c>
      <c r="AB63" s="324">
        <f t="shared" ca="1" si="15"/>
        <v>0</v>
      </c>
      <c r="AC63" s="323">
        <f ca="1">IFERROR(__xludf.DUMMYFUNCTION("IMPORTRANGE(""https://docs.google.com/spreadsheets/d/1nYxRXgnCfTXtqUY1otYuTlnrzE0Tn-Y0YRsW5pkRVqo/edit?usp=sharing"",""ปราจีนบุรี!I293"")"),0)</f>
        <v>0</v>
      </c>
      <c r="AD63" s="323">
        <f ca="1">IFERROR(__xludf.DUMMYFUNCTION("IMPORTRANGE(""https://docs.google.com/spreadsheets/d/1nYxRXgnCfTXtqUY1otYuTlnrzE0Tn-Y0YRsW5pkRVqo/edit?usp=sharing"",""ปราจีนบุรี!J293"")"),0)</f>
        <v>0</v>
      </c>
      <c r="AE63" s="324">
        <f t="shared" ca="1" si="30"/>
        <v>0</v>
      </c>
      <c r="AF63" s="323">
        <f ca="1">IFERROR(__xludf.DUMMYFUNCTION("IMPORTRANGE(""https://docs.google.com/spreadsheets/d/1nYxRXgnCfTXtqUY1otYuTlnrzE0Tn-Y0YRsW5pkRVqo/edit?usp=sharing"",""ปราจีนบุรี!J294"")"),0)</f>
        <v>0</v>
      </c>
      <c r="AG63" s="324">
        <f t="shared" ca="1" si="18"/>
        <v>0</v>
      </c>
    </row>
    <row r="64" spans="1:33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49"/>
        <v>0</v>
      </c>
      <c r="E64" s="77">
        <f ca="1">IFERROR(__xludf.DUMMYFUNCTION("IMPORTRANGE(""https://docs.google.com/spreadsheets/d/1MeEWN-I1oV_STSDYn1IFDPWt_1FKiwhDph83XaGc0o0/edit?usp=sharing"",""งบพรบ!DJ64"")"),0)</f>
        <v>0</v>
      </c>
      <c r="F64" s="77">
        <f ca="1">IFERROR(__xludf.DUMMYFUNCTION("IMPORTRANGE(""https://docs.google.com/spreadsheets/d/1MeEWN-I1oV_STSDYn1IFDPWt_1FKiwhDph83XaGc0o0/edit?usp=sharing"",""งบพรบ!DK64"")"),0)</f>
        <v>0</v>
      </c>
      <c r="G64" s="77">
        <f ca="1">IFERROR(__xludf.DUMMYFUNCTION("IMPORTRANGE(""https://docs.google.com/spreadsheets/d/1MeEWN-I1oV_STSDYn1IFDPWt_1FKiwhDph83XaGc0o0/edit?usp=sharing"",""งบพรบ!DL64"")"),0)</f>
        <v>0</v>
      </c>
      <c r="H64" s="77">
        <f ca="1">IFERROR(__xludf.DUMMYFUNCTION("IMPORTRANGE(""https://docs.google.com/spreadsheets/d/1MeEWN-I1oV_STSDYn1IFDPWt_1FKiwhDph83XaGc0o0/edit?usp=sharing"",""งบพรบ!DN64"")"),0)</f>
        <v>0</v>
      </c>
      <c r="I64" s="77">
        <f ca="1">IFERROR(__xludf.DUMMYFUNCTION("IMPORTRANGE(""https://docs.google.com/spreadsheets/d/1MeEWN-I1oV_STSDYn1IFDPWt_1FKiwhDph83XaGc0o0/edit?usp=sharing"",""งบพรบ!DO64"")"),0)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IFERROR(__xludf.DUMMYFUNCTION("IMPORTRANGE(""https://docs.google.com/spreadsheets/d/1MeEWN-I1oV_STSDYn1IFDPWt_1FKiwhDph83XaGc0o0/edit?usp=sharing"",""งบพรบ!DP64"")"),0)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IFERROR(__xludf.DUMMYFUNCTION("IMPORTRANGE(""https://docs.google.com/spreadsheets/d/1MeEWN-I1oV_STSDYn1IFDPWt_1FKiwhDph83XaGc0o0/edit?usp=sharing"",""งบพรบ!DQ64"")"),0)</f>
        <v>0</v>
      </c>
      <c r="P64" s="80">
        <f t="shared" ca="1" si="32"/>
        <v>0</v>
      </c>
      <c r="Q64" s="79">
        <f t="shared" ca="1" si="8"/>
        <v>0</v>
      </c>
      <c r="R64" s="323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323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324">
        <f t="shared" ca="1" si="27"/>
        <v>0</v>
      </c>
      <c r="U64" s="323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323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324">
        <f t="shared" ca="1" si="28"/>
        <v>0</v>
      </c>
      <c r="X64" s="323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323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324">
        <f t="shared" ca="1" si="29"/>
        <v>0</v>
      </c>
      <c r="AA64" s="323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324">
        <f t="shared" ca="1" si="15"/>
        <v>0</v>
      </c>
      <c r="AC64" s="323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323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324">
        <f t="shared" ca="1" si="30"/>
        <v>0</v>
      </c>
      <c r="AF64" s="323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324">
        <f t="shared" ca="1" si="18"/>
        <v>0</v>
      </c>
    </row>
    <row r="65" spans="1:33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9"/>
        <v>0</v>
      </c>
      <c r="E65" s="77">
        <f ca="1">IFERROR(__xludf.DUMMYFUNCTION("IMPORTRANGE(""https://docs.google.com/spreadsheets/d/1MeEWN-I1oV_STSDYn1IFDPWt_1FKiwhDph83XaGc0o0/edit?usp=sharing"",""งบพรบ!DJ65"")"),0)</f>
        <v>0</v>
      </c>
      <c r="F65" s="77">
        <f ca="1">IFERROR(__xludf.DUMMYFUNCTION("IMPORTRANGE(""https://docs.google.com/spreadsheets/d/1MeEWN-I1oV_STSDYn1IFDPWt_1FKiwhDph83XaGc0o0/edit?usp=sharing"",""งบพรบ!DK65"")"),0)</f>
        <v>0</v>
      </c>
      <c r="G65" s="77">
        <f ca="1">IFERROR(__xludf.DUMMYFUNCTION("IMPORTRANGE(""https://docs.google.com/spreadsheets/d/1MeEWN-I1oV_STSDYn1IFDPWt_1FKiwhDph83XaGc0o0/edit?usp=sharing"",""งบพรบ!DL65"")"),0)</f>
        <v>0</v>
      </c>
      <c r="H65" s="77">
        <f ca="1">IFERROR(__xludf.DUMMYFUNCTION("IMPORTRANGE(""https://docs.google.com/spreadsheets/d/1MeEWN-I1oV_STSDYn1IFDPWt_1FKiwhDph83XaGc0o0/edit?usp=sharing"",""งบพรบ!DN65"")"),0)</f>
        <v>0</v>
      </c>
      <c r="I65" s="77">
        <f ca="1">IFERROR(__xludf.DUMMYFUNCTION("IMPORTRANGE(""https://docs.google.com/spreadsheets/d/1MeEWN-I1oV_STSDYn1IFDPWt_1FKiwhDph83XaGc0o0/edit?usp=sharing"",""งบพรบ!DO65"")"),0)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IFERROR(__xludf.DUMMYFUNCTION("IMPORTRANGE(""https://docs.google.com/spreadsheets/d/1MeEWN-I1oV_STSDYn1IFDPWt_1FKiwhDph83XaGc0o0/edit?usp=sharing"",""งบพรบ!DP65"")"),0)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IFERROR(__xludf.DUMMYFUNCTION("IMPORTRANGE(""https://docs.google.com/spreadsheets/d/1MeEWN-I1oV_STSDYn1IFDPWt_1FKiwhDph83XaGc0o0/edit?usp=sharing"",""งบพรบ!DQ65"")"),0)</f>
        <v>0</v>
      </c>
      <c r="P65" s="80">
        <f t="shared" ca="1" si="32"/>
        <v>0</v>
      </c>
      <c r="Q65" s="79">
        <f t="shared" ca="1" si="8"/>
        <v>0</v>
      </c>
      <c r="R65" s="323">
        <f ca="1">IFERROR(__xludf.DUMMYFUNCTION("IMPORTRANGE(""https://docs.google.com/spreadsheets/d/1CdNicvf3i6yt4tJlCePe3V1Va76wYqW0QzMzTsaGRrA/edit?usp=sharing"",""เพชรบุรี!I287"")"),0)</f>
        <v>0</v>
      </c>
      <c r="S65" s="323">
        <f ca="1">IFERROR(__xludf.DUMMYFUNCTION("IMPORTRANGE(""https://docs.google.com/spreadsheets/d/1CdNicvf3i6yt4tJlCePe3V1Va76wYqW0QzMzTsaGRrA/edit?usp=sharing"",""เพชรบุรี!J287"")"),0)</f>
        <v>0</v>
      </c>
      <c r="T65" s="324">
        <f t="shared" ca="1" si="27"/>
        <v>0</v>
      </c>
      <c r="U65" s="323">
        <f ca="1">IFERROR(__xludf.DUMMYFUNCTION("IMPORTRANGE(""https://docs.google.com/spreadsheets/d/1CdNicvf3i6yt4tJlCePe3V1Va76wYqW0QzMzTsaGRrA/edit?usp=sharing"",""เพชรบุรี!I288"")"),0)</f>
        <v>0</v>
      </c>
      <c r="V65" s="323">
        <f ca="1">IFERROR(__xludf.DUMMYFUNCTION("IMPORTRANGE(""https://docs.google.com/spreadsheets/d/1CdNicvf3i6yt4tJlCePe3V1Va76wYqW0QzMzTsaGRrA/edit?usp=sharing"",""เพชรบุรี!J288"")"),0)</f>
        <v>0</v>
      </c>
      <c r="W65" s="324">
        <f t="shared" ca="1" si="28"/>
        <v>0</v>
      </c>
      <c r="X65" s="323">
        <f ca="1">IFERROR(__xludf.DUMMYFUNCTION("IMPORTRANGE(""https://docs.google.com/spreadsheets/d/1CdNicvf3i6yt4tJlCePe3V1Va76wYqW0QzMzTsaGRrA/edit?usp=sharing"",""เพชรบุรี!I290"")"),0)</f>
        <v>0</v>
      </c>
      <c r="Y65" s="323">
        <f ca="1">IFERROR(__xludf.DUMMYFUNCTION("IMPORTRANGE(""https://docs.google.com/spreadsheets/d/1CdNicvf3i6yt4tJlCePe3V1Va76wYqW0QzMzTsaGRrA/edit?usp=sharing"",""เพชรบุรี!J290"")"),0)</f>
        <v>0</v>
      </c>
      <c r="Z65" s="324">
        <f t="shared" ca="1" si="29"/>
        <v>0</v>
      </c>
      <c r="AA65" s="323">
        <f ca="1">IFERROR(__xludf.DUMMYFUNCTION("IMPORTRANGE(""https://docs.google.com/spreadsheets/d/1CdNicvf3i6yt4tJlCePe3V1Va76wYqW0QzMzTsaGRrA/edit?usp=sharing"",""เพชรบุรี!J291"")"),0)</f>
        <v>0</v>
      </c>
      <c r="AB65" s="324">
        <f t="shared" ca="1" si="15"/>
        <v>0</v>
      </c>
      <c r="AC65" s="323">
        <f ca="1">IFERROR(__xludf.DUMMYFUNCTION("IMPORTRANGE(""https://docs.google.com/spreadsheets/d/1CdNicvf3i6yt4tJlCePe3V1Va76wYqW0QzMzTsaGRrA/edit?usp=sharing"",""เพชรบุรี!I293"")"),0)</f>
        <v>0</v>
      </c>
      <c r="AD65" s="323">
        <f ca="1">IFERROR(__xludf.DUMMYFUNCTION("IMPORTRANGE(""https://docs.google.com/spreadsheets/d/1CdNicvf3i6yt4tJlCePe3V1Va76wYqW0QzMzTsaGRrA/edit?usp=sharing"",""เพชรบุรี!J293"")"),0)</f>
        <v>0</v>
      </c>
      <c r="AE65" s="324">
        <f t="shared" ca="1" si="30"/>
        <v>0</v>
      </c>
      <c r="AF65" s="323">
        <f ca="1">IFERROR(__xludf.DUMMYFUNCTION("IMPORTRANGE(""https://docs.google.com/spreadsheets/d/1CdNicvf3i6yt4tJlCePe3V1Va76wYqW0QzMzTsaGRrA/edit?usp=sharing"",""เพชรบุรี!J294"")"),0)</f>
        <v>0</v>
      </c>
      <c r="AG65" s="324">
        <f t="shared" ca="1" si="18"/>
        <v>0</v>
      </c>
    </row>
    <row r="66" spans="1:33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9"/>
        <v>0</v>
      </c>
      <c r="E66" s="77">
        <f ca="1">IFERROR(__xludf.DUMMYFUNCTION("IMPORTRANGE(""https://docs.google.com/spreadsheets/d/1MeEWN-I1oV_STSDYn1IFDPWt_1FKiwhDph83XaGc0o0/edit?usp=sharing"",""งบพรบ!DJ66"")"),0)</f>
        <v>0</v>
      </c>
      <c r="F66" s="77">
        <f ca="1">IFERROR(__xludf.DUMMYFUNCTION("IMPORTRANGE(""https://docs.google.com/spreadsheets/d/1MeEWN-I1oV_STSDYn1IFDPWt_1FKiwhDph83XaGc0o0/edit?usp=sharing"",""งบพรบ!DK66"")"),0)</f>
        <v>0</v>
      </c>
      <c r="G66" s="77">
        <f ca="1">IFERROR(__xludf.DUMMYFUNCTION("IMPORTRANGE(""https://docs.google.com/spreadsheets/d/1MeEWN-I1oV_STSDYn1IFDPWt_1FKiwhDph83XaGc0o0/edit?usp=sharing"",""งบพรบ!DL66"")"),0)</f>
        <v>0</v>
      </c>
      <c r="H66" s="77">
        <f ca="1">IFERROR(__xludf.DUMMYFUNCTION("IMPORTRANGE(""https://docs.google.com/spreadsheets/d/1MeEWN-I1oV_STSDYn1IFDPWt_1FKiwhDph83XaGc0o0/edit?usp=sharing"",""งบพรบ!DN66"")"),0)</f>
        <v>0</v>
      </c>
      <c r="I66" s="77">
        <f ca="1">IFERROR(__xludf.DUMMYFUNCTION("IMPORTRANGE(""https://docs.google.com/spreadsheets/d/1MeEWN-I1oV_STSDYn1IFDPWt_1FKiwhDph83XaGc0o0/edit?usp=sharing"",""งบพรบ!DO66"")"),0)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IFERROR(__xludf.DUMMYFUNCTION("IMPORTRANGE(""https://docs.google.com/spreadsheets/d/1MeEWN-I1oV_STSDYn1IFDPWt_1FKiwhDph83XaGc0o0/edit?usp=sharing"",""งบพรบ!DP66"")"),0)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IFERROR(__xludf.DUMMYFUNCTION("IMPORTRANGE(""https://docs.google.com/spreadsheets/d/1MeEWN-I1oV_STSDYn1IFDPWt_1FKiwhDph83XaGc0o0/edit?usp=sharing"",""งบพรบ!DQ66"")"),0)</f>
        <v>0</v>
      </c>
      <c r="P66" s="80">
        <f t="shared" ca="1" si="32"/>
        <v>0</v>
      </c>
      <c r="Q66" s="79">
        <f t="shared" ca="1" si="8"/>
        <v>0</v>
      </c>
      <c r="R66" s="323">
        <f ca="1">IFERROR(__xludf.DUMMYFUNCTION("IMPORTRANGE(""https://docs.google.com/spreadsheets/d/1XiF77UIVHV0Kjc6xbXuOuJ10WgJYxd4p_22ngKVV5oM/edit?usp=sharing"",""ระยอง!I287"")"),0)</f>
        <v>0</v>
      </c>
      <c r="S66" s="323">
        <f ca="1">IFERROR(__xludf.DUMMYFUNCTION("IMPORTRANGE(""https://docs.google.com/spreadsheets/d/1XiF77UIVHV0Kjc6xbXuOuJ10WgJYxd4p_22ngKVV5oM/edit?usp=sharing"",""ระยอง!J287"")"),0)</f>
        <v>0</v>
      </c>
      <c r="T66" s="324">
        <f t="shared" ca="1" si="27"/>
        <v>0</v>
      </c>
      <c r="U66" s="323">
        <f ca="1">IFERROR(__xludf.DUMMYFUNCTION("IMPORTRANGE(""https://docs.google.com/spreadsheets/d/1XiF77UIVHV0Kjc6xbXuOuJ10WgJYxd4p_22ngKVV5oM/edit?usp=sharing"",""ระยอง!I288"")"),0)</f>
        <v>0</v>
      </c>
      <c r="V66" s="323">
        <f ca="1">IFERROR(__xludf.DUMMYFUNCTION("IMPORTRANGE(""https://docs.google.com/spreadsheets/d/1XiF77UIVHV0Kjc6xbXuOuJ10WgJYxd4p_22ngKVV5oM/edit?usp=sharing"",""ระยอง!J288"")"),0)</f>
        <v>0</v>
      </c>
      <c r="W66" s="324">
        <f t="shared" ca="1" si="28"/>
        <v>0</v>
      </c>
      <c r="X66" s="323">
        <f ca="1">IFERROR(__xludf.DUMMYFUNCTION("IMPORTRANGE(""https://docs.google.com/spreadsheets/d/1XiF77UIVHV0Kjc6xbXuOuJ10WgJYxd4p_22ngKVV5oM/edit?usp=sharing"",""ระยอง!I290"")"),0)</f>
        <v>0</v>
      </c>
      <c r="Y66" s="323">
        <f ca="1">IFERROR(__xludf.DUMMYFUNCTION("IMPORTRANGE(""https://docs.google.com/spreadsheets/d/1XiF77UIVHV0Kjc6xbXuOuJ10WgJYxd4p_22ngKVV5oM/edit?usp=sharing"",""ระยอง!J290"")"),0)</f>
        <v>0</v>
      </c>
      <c r="Z66" s="324">
        <f t="shared" ca="1" si="29"/>
        <v>0</v>
      </c>
      <c r="AA66" s="323">
        <f ca="1">IFERROR(__xludf.DUMMYFUNCTION("IMPORTRANGE(""https://docs.google.com/spreadsheets/d/1XiF77UIVHV0Kjc6xbXuOuJ10WgJYxd4p_22ngKVV5oM/edit?usp=sharing"",""ระยอง!J291"")"),0)</f>
        <v>0</v>
      </c>
      <c r="AB66" s="324">
        <f t="shared" ca="1" si="15"/>
        <v>0</v>
      </c>
      <c r="AC66" s="323">
        <f ca="1">IFERROR(__xludf.DUMMYFUNCTION("IMPORTRANGE(""https://docs.google.com/spreadsheets/d/1XiF77UIVHV0Kjc6xbXuOuJ10WgJYxd4p_22ngKVV5oM/edit?usp=sharing"",""ระยอง!I293"")"),0)</f>
        <v>0</v>
      </c>
      <c r="AD66" s="323">
        <f ca="1">IFERROR(__xludf.DUMMYFUNCTION("IMPORTRANGE(""https://docs.google.com/spreadsheets/d/1XiF77UIVHV0Kjc6xbXuOuJ10WgJYxd4p_22ngKVV5oM/edit?usp=sharing"",""ระยอง!J293"")"),0)</f>
        <v>0</v>
      </c>
      <c r="AE66" s="324">
        <f t="shared" ca="1" si="30"/>
        <v>0</v>
      </c>
      <c r="AF66" s="323">
        <f ca="1">IFERROR(__xludf.DUMMYFUNCTION("IMPORTRANGE(""https://docs.google.com/spreadsheets/d/1XiF77UIVHV0Kjc6xbXuOuJ10WgJYxd4p_22ngKVV5oM/edit?usp=sharing"",""ระยอง!J294"")"),0)</f>
        <v>0</v>
      </c>
      <c r="AG66" s="324">
        <f t="shared" ca="1" si="18"/>
        <v>0</v>
      </c>
    </row>
    <row r="67" spans="1:33" ht="21" customHeight="1" x14ac:dyDescent="0.2">
      <c r="A67" s="73">
        <v>15</v>
      </c>
      <c r="B67" s="74" t="s">
        <v>89</v>
      </c>
      <c r="C67" s="75">
        <f t="shared" ca="1" si="0"/>
        <v>191010</v>
      </c>
      <c r="D67" s="76">
        <f t="shared" ca="1" si="49"/>
        <v>191010</v>
      </c>
      <c r="E67" s="77">
        <f ca="1">IFERROR(__xludf.DUMMYFUNCTION("IMPORTRANGE(""https://docs.google.com/spreadsheets/d/1MeEWN-I1oV_STSDYn1IFDPWt_1FKiwhDph83XaGc0o0/edit?usp=sharing"",""งบพรบ!DJ67"")"),150000)</f>
        <v>150000</v>
      </c>
      <c r="F67" s="77">
        <f ca="1">IFERROR(__xludf.DUMMYFUNCTION("IMPORTRANGE(""https://docs.google.com/spreadsheets/d/1MeEWN-I1oV_STSDYn1IFDPWt_1FKiwhDph83XaGc0o0/edit?usp=sharing"",""งบพรบ!DK67"")"),41010)</f>
        <v>41010</v>
      </c>
      <c r="G67" s="77">
        <f ca="1">IFERROR(__xludf.DUMMYFUNCTION("IMPORTRANGE(""https://docs.google.com/spreadsheets/d/1MeEWN-I1oV_STSDYn1IFDPWt_1FKiwhDph83XaGc0o0/edit?usp=sharing"",""งบพรบ!DL67"")"),0)</f>
        <v>0</v>
      </c>
      <c r="H67" s="77">
        <f ca="1">IFERROR(__xludf.DUMMYFUNCTION("IMPORTRANGE(""https://docs.google.com/spreadsheets/d/1MeEWN-I1oV_STSDYn1IFDPWt_1FKiwhDph83XaGc0o0/edit?usp=sharing"",""งบพรบ!DN67"")"),191010)</f>
        <v>191010</v>
      </c>
      <c r="I67" s="77">
        <f ca="1">IFERROR(__xludf.DUMMYFUNCTION("IMPORTRANGE(""https://docs.google.com/spreadsheets/d/1MeEWN-I1oV_STSDYn1IFDPWt_1FKiwhDph83XaGc0o0/edit?usp=sharing"",""งบพรบ!DO67"")"),0)</f>
        <v>0</v>
      </c>
      <c r="J67" s="77">
        <f t="shared" ca="1" si="3"/>
        <v>160062.97</v>
      </c>
      <c r="K67" s="78">
        <f t="shared" ca="1" si="4"/>
        <v>83.798214753154284</v>
      </c>
      <c r="L67" s="77">
        <f ca="1">IFERROR(__xludf.DUMMYFUNCTION("IMPORTRANGE(""https://docs.google.com/spreadsheets/d/1MeEWN-I1oV_STSDYn1IFDPWt_1FKiwhDph83XaGc0o0/edit?usp=sharing"",""งบพรบ!DP67"")"),160062.97)</f>
        <v>160062.97</v>
      </c>
      <c r="M67" s="79">
        <f t="shared" ca="1" si="5"/>
        <v>83.798214753154284</v>
      </c>
      <c r="N67" s="79">
        <f t="shared" ca="1" si="6"/>
        <v>83.798214753154284</v>
      </c>
      <c r="O67" s="80">
        <f ca="1">IFERROR(__xludf.DUMMYFUNCTION("IMPORTRANGE(""https://docs.google.com/spreadsheets/d/1MeEWN-I1oV_STSDYn1IFDPWt_1FKiwhDph83XaGc0o0/edit?usp=sharing"",""งบพรบ!DQ67"")"),0)</f>
        <v>0</v>
      </c>
      <c r="P67" s="80">
        <f t="shared" ca="1" si="32"/>
        <v>0</v>
      </c>
      <c r="Q67" s="79">
        <f t="shared" ca="1" si="8"/>
        <v>0</v>
      </c>
      <c r="R67" s="323">
        <f ca="1">IFERROR(__xludf.DUMMYFUNCTION("IMPORTRANGE(""https://docs.google.com/spreadsheets/d/1qU-W_9MCQD1pgIVXGEOjCFo9QqlmJywuebyGgaN92r8/edit?usp=sharing"",""ราชบุรี!I287"")"),100)</f>
        <v>100</v>
      </c>
      <c r="S67" s="323">
        <f ca="1">IFERROR(__xludf.DUMMYFUNCTION("IMPORTRANGE(""https://docs.google.com/spreadsheets/d/1qU-W_9MCQD1pgIVXGEOjCFo9QqlmJywuebyGgaN92r8/edit?usp=sharing"",""ราชบุรี!J287"")"),100)</f>
        <v>100</v>
      </c>
      <c r="T67" s="324">
        <f t="shared" ca="1" si="27"/>
        <v>100</v>
      </c>
      <c r="U67" s="323">
        <f ca="1">IFERROR(__xludf.DUMMYFUNCTION("IMPORTRANGE(""https://docs.google.com/spreadsheets/d/1qU-W_9MCQD1pgIVXGEOjCFo9QqlmJywuebyGgaN92r8/edit?usp=sharing"",""ราชบุรี!I288"")"),10)</f>
        <v>10</v>
      </c>
      <c r="V67" s="323">
        <f ca="1">IFERROR(__xludf.DUMMYFUNCTION("IMPORTRANGE(""https://docs.google.com/spreadsheets/d/1qU-W_9MCQD1pgIVXGEOjCFo9QqlmJywuebyGgaN92r8/edit?usp=sharing"",""ราชบุรี!J288"")"),10)</f>
        <v>10</v>
      </c>
      <c r="W67" s="324">
        <f t="shared" ca="1" si="28"/>
        <v>100</v>
      </c>
      <c r="X67" s="323">
        <f ca="1">IFERROR(__xludf.DUMMYFUNCTION("IMPORTRANGE(""https://docs.google.com/spreadsheets/d/1qU-W_9MCQD1pgIVXGEOjCFo9QqlmJywuebyGgaN92r8/edit?usp=sharing"",""ราชบุรี!I290"")"),10)</f>
        <v>10</v>
      </c>
      <c r="Y67" s="323">
        <f ca="1">IFERROR(__xludf.DUMMYFUNCTION("IMPORTRANGE(""https://docs.google.com/spreadsheets/d/1qU-W_9MCQD1pgIVXGEOjCFo9QqlmJywuebyGgaN92r8/edit?usp=sharing"",""ราชบุรี!J290"")"),10)</f>
        <v>10</v>
      </c>
      <c r="Z67" s="324">
        <f t="shared" ca="1" si="29"/>
        <v>100</v>
      </c>
      <c r="AA67" s="323">
        <f ca="1">IFERROR(__xludf.DUMMYFUNCTION("IMPORTRANGE(""https://docs.google.com/spreadsheets/d/1qU-W_9MCQD1pgIVXGEOjCFo9QqlmJywuebyGgaN92r8/edit?usp=sharing"",""ราชบุรี!J291"")"),10)</f>
        <v>10</v>
      </c>
      <c r="AB67" s="324">
        <f t="shared" ca="1" si="15"/>
        <v>100</v>
      </c>
      <c r="AC67" s="323">
        <f ca="1">IFERROR(__xludf.DUMMYFUNCTION("IMPORTRANGE(""https://docs.google.com/spreadsheets/d/1qU-W_9MCQD1pgIVXGEOjCFo9QqlmJywuebyGgaN92r8/edit?usp=sharing"",""ราชบุรี!I293"")"),10)</f>
        <v>10</v>
      </c>
      <c r="AD67" s="323">
        <f ca="1">IFERROR(__xludf.DUMMYFUNCTION("IMPORTRANGE(""https://docs.google.com/spreadsheets/d/1qU-W_9MCQD1pgIVXGEOjCFo9QqlmJywuebyGgaN92r8/edit?usp=sharing"",""ราชบุรี!J293"")"),10)</f>
        <v>10</v>
      </c>
      <c r="AE67" s="324">
        <f t="shared" ca="1" si="30"/>
        <v>100</v>
      </c>
      <c r="AF67" s="323">
        <f ca="1">IFERROR(__xludf.DUMMYFUNCTION("IMPORTRANGE(""https://docs.google.com/spreadsheets/d/1qU-W_9MCQD1pgIVXGEOjCFo9QqlmJywuebyGgaN92r8/edit?usp=sharing"",""ราชบุรี!J294"")"),10)</f>
        <v>10</v>
      </c>
      <c r="AG67" s="324">
        <f t="shared" ca="1" si="18"/>
        <v>100</v>
      </c>
    </row>
    <row r="68" spans="1:33" ht="24" customHeight="1" x14ac:dyDescent="0.2">
      <c r="A68" s="73">
        <v>16</v>
      </c>
      <c r="B68" s="74" t="s">
        <v>90</v>
      </c>
      <c r="C68" s="75">
        <f t="shared" ca="1" si="0"/>
        <v>216980</v>
      </c>
      <c r="D68" s="76">
        <f t="shared" ca="1" si="49"/>
        <v>216980</v>
      </c>
      <c r="E68" s="77">
        <f ca="1">IFERROR(__xludf.DUMMYFUNCTION("IMPORTRANGE(""https://docs.google.com/spreadsheets/d/1MeEWN-I1oV_STSDYn1IFDPWt_1FKiwhDph83XaGc0o0/edit?usp=sharing"",""งบพรบ!DJ68"")"),0)</f>
        <v>0</v>
      </c>
      <c r="F68" s="77">
        <f ca="1">IFERROR(__xludf.DUMMYFUNCTION("IMPORTRANGE(""https://docs.google.com/spreadsheets/d/1MeEWN-I1oV_STSDYn1IFDPWt_1FKiwhDph83XaGc0o0/edit?usp=sharing"",""งบพรบ!DK68"")"),216980)</f>
        <v>216980</v>
      </c>
      <c r="G68" s="77">
        <f ca="1">IFERROR(__xludf.DUMMYFUNCTION("IMPORTRANGE(""https://docs.google.com/spreadsheets/d/1MeEWN-I1oV_STSDYn1IFDPWt_1FKiwhDph83XaGc0o0/edit?usp=sharing"",""งบพรบ!DL68"")"),0)</f>
        <v>0</v>
      </c>
      <c r="H68" s="77">
        <f ca="1">IFERROR(__xludf.DUMMYFUNCTION("IMPORTRANGE(""https://docs.google.com/spreadsheets/d/1MeEWN-I1oV_STSDYn1IFDPWt_1FKiwhDph83XaGc0o0/edit?usp=sharing"",""งบพรบ!DN68"")"),216980)</f>
        <v>216980</v>
      </c>
      <c r="I68" s="77">
        <f ca="1">IFERROR(__xludf.DUMMYFUNCTION("IMPORTRANGE(""https://docs.google.com/spreadsheets/d/1MeEWN-I1oV_STSDYn1IFDPWt_1FKiwhDph83XaGc0o0/edit?usp=sharing"",""งบพรบ!DO68"")"),0)</f>
        <v>0</v>
      </c>
      <c r="J68" s="77">
        <f t="shared" ca="1" si="3"/>
        <v>211660</v>
      </c>
      <c r="K68" s="78">
        <f t="shared" ca="1" si="4"/>
        <v>97.548161120840632</v>
      </c>
      <c r="L68" s="77">
        <f ca="1">IFERROR(__xludf.DUMMYFUNCTION("IMPORTRANGE(""https://docs.google.com/spreadsheets/d/1MeEWN-I1oV_STSDYn1IFDPWt_1FKiwhDph83XaGc0o0/edit?usp=sharing"",""งบพรบ!DP68"")"),211660)</f>
        <v>211660</v>
      </c>
      <c r="M68" s="79">
        <f t="shared" ca="1" si="5"/>
        <v>97.548161120840632</v>
      </c>
      <c r="N68" s="79">
        <f t="shared" ca="1" si="6"/>
        <v>97.548161120840632</v>
      </c>
      <c r="O68" s="80">
        <f ca="1">IFERROR(__xludf.DUMMYFUNCTION("IMPORTRANGE(""https://docs.google.com/spreadsheets/d/1MeEWN-I1oV_STSDYn1IFDPWt_1FKiwhDph83XaGc0o0/edit?usp=sharing"",""งบพรบ!DQ68"")"),0)</f>
        <v>0</v>
      </c>
      <c r="P68" s="80">
        <f t="shared" ca="1" si="32"/>
        <v>0</v>
      </c>
      <c r="Q68" s="79">
        <f t="shared" ca="1" si="8"/>
        <v>0</v>
      </c>
      <c r="R68" s="323">
        <f ca="1">IFERROR(__xludf.DUMMYFUNCTION("IMPORTRANGE(""https://docs.google.com/spreadsheets/d/1xYFIxIM_CspAP5Q-5Zx_V0T_Ut3cjryrjd2hss28vGk/edit?usp=sharing"",""ลพบุรี!I287"")"),600)</f>
        <v>600</v>
      </c>
      <c r="S68" s="323">
        <f ca="1">IFERROR(__xludf.DUMMYFUNCTION("IMPORTRANGE(""https://docs.google.com/spreadsheets/d/1xYFIxIM_CspAP5Q-5Zx_V0T_Ut3cjryrjd2hss28vGk/edit?usp=sharing"",""ลพบุรี!J287"")"),600)</f>
        <v>600</v>
      </c>
      <c r="T68" s="324">
        <f t="shared" ca="1" si="27"/>
        <v>100</v>
      </c>
      <c r="U68" s="323">
        <f ca="1">IFERROR(__xludf.DUMMYFUNCTION("IMPORTRANGE(""https://docs.google.com/spreadsheets/d/1xYFIxIM_CspAP5Q-5Zx_V0T_Ut3cjryrjd2hss28vGk/edit?usp=sharing"",""ลพบุรี!I288"")"),60)</f>
        <v>60</v>
      </c>
      <c r="V68" s="323">
        <f ca="1">IFERROR(__xludf.DUMMYFUNCTION("IMPORTRANGE(""https://docs.google.com/spreadsheets/d/1xYFIxIM_CspAP5Q-5Zx_V0T_Ut3cjryrjd2hss28vGk/edit?usp=sharing"",""ลพบุรี!J288"")"),60)</f>
        <v>60</v>
      </c>
      <c r="W68" s="324">
        <f t="shared" ca="1" si="28"/>
        <v>100</v>
      </c>
      <c r="X68" s="323">
        <f ca="1">IFERROR(__xludf.DUMMYFUNCTION("IMPORTRANGE(""https://docs.google.com/spreadsheets/d/1xYFIxIM_CspAP5Q-5Zx_V0T_Ut3cjryrjd2hss28vGk/edit?usp=sharing"",""ลพบุรี!I290"")"),60)</f>
        <v>60</v>
      </c>
      <c r="Y68" s="323">
        <f ca="1">IFERROR(__xludf.DUMMYFUNCTION("IMPORTRANGE(""https://docs.google.com/spreadsheets/d/1xYFIxIM_CspAP5Q-5Zx_V0T_Ut3cjryrjd2hss28vGk/edit?usp=sharing"",""ลพบุรี!J290"")"),60)</f>
        <v>60</v>
      </c>
      <c r="Z68" s="324">
        <f t="shared" ca="1" si="29"/>
        <v>100</v>
      </c>
      <c r="AA68" s="323">
        <f ca="1">IFERROR(__xludf.DUMMYFUNCTION("IMPORTRANGE(""https://docs.google.com/spreadsheets/d/1xYFIxIM_CspAP5Q-5Zx_V0T_Ut3cjryrjd2hss28vGk/edit?usp=sharing"",""ลพบุรี!J291"")"),60)</f>
        <v>60</v>
      </c>
      <c r="AB68" s="324">
        <f t="shared" ca="1" si="15"/>
        <v>100</v>
      </c>
      <c r="AC68" s="323">
        <f ca="1">IFERROR(__xludf.DUMMYFUNCTION("IMPORTRANGE(""https://docs.google.com/spreadsheets/d/1xYFIxIM_CspAP5Q-5Zx_V0T_Ut3cjryrjd2hss28vGk/edit?usp=sharing"",""ลพบุรี!I293"")"),60)</f>
        <v>60</v>
      </c>
      <c r="AD68" s="323">
        <f ca="1">IFERROR(__xludf.DUMMYFUNCTION("IMPORTRANGE(""https://docs.google.com/spreadsheets/d/1xYFIxIM_CspAP5Q-5Zx_V0T_Ut3cjryrjd2hss28vGk/edit?usp=sharing"",""ลพบุรี!J293"")"),60)</f>
        <v>60</v>
      </c>
      <c r="AE68" s="324">
        <f t="shared" ca="1" si="30"/>
        <v>100</v>
      </c>
      <c r="AF68" s="323">
        <f ca="1">IFERROR(__xludf.DUMMYFUNCTION("IMPORTRANGE(""https://docs.google.com/spreadsheets/d/1xYFIxIM_CspAP5Q-5Zx_V0T_Ut3cjryrjd2hss28vGk/edit?usp=sharing"",""ลพบุรี!J294"")"),60)</f>
        <v>60</v>
      </c>
      <c r="AG68" s="324">
        <f t="shared" ca="1" si="18"/>
        <v>100</v>
      </c>
    </row>
    <row r="69" spans="1:33" ht="21" customHeight="1" x14ac:dyDescent="0.2">
      <c r="A69" s="73">
        <v>17</v>
      </c>
      <c r="B69" s="74" t="s">
        <v>91</v>
      </c>
      <c r="C69" s="75">
        <f t="shared" ca="1" si="0"/>
        <v>111710</v>
      </c>
      <c r="D69" s="76">
        <f t="shared" ca="1" si="49"/>
        <v>111710</v>
      </c>
      <c r="E69" s="77">
        <f ca="1">IFERROR(__xludf.DUMMYFUNCTION("IMPORTRANGE(""https://docs.google.com/spreadsheets/d/1MeEWN-I1oV_STSDYn1IFDPWt_1FKiwhDph83XaGc0o0/edit?usp=sharing"",""งบพรบ!DJ69"")"),0)</f>
        <v>0</v>
      </c>
      <c r="F69" s="77">
        <f ca="1">IFERROR(__xludf.DUMMYFUNCTION("IMPORTRANGE(""https://docs.google.com/spreadsheets/d/1MeEWN-I1oV_STSDYn1IFDPWt_1FKiwhDph83XaGc0o0/edit?usp=sharing"",""งบพรบ!DK69"")"),111710)</f>
        <v>111710</v>
      </c>
      <c r="G69" s="77">
        <f ca="1">IFERROR(__xludf.DUMMYFUNCTION("IMPORTRANGE(""https://docs.google.com/spreadsheets/d/1MeEWN-I1oV_STSDYn1IFDPWt_1FKiwhDph83XaGc0o0/edit?usp=sharing"",""งบพรบ!DL69"")"),0)</f>
        <v>0</v>
      </c>
      <c r="H69" s="77">
        <f ca="1">IFERROR(__xludf.DUMMYFUNCTION("IMPORTRANGE(""https://docs.google.com/spreadsheets/d/1MeEWN-I1oV_STSDYn1IFDPWt_1FKiwhDph83XaGc0o0/edit?usp=sharing"",""งบพรบ!DN69"")"),111710)</f>
        <v>111710</v>
      </c>
      <c r="I69" s="77">
        <f ca="1">IFERROR(__xludf.DUMMYFUNCTION("IMPORTRANGE(""https://docs.google.com/spreadsheets/d/1MeEWN-I1oV_STSDYn1IFDPWt_1FKiwhDph83XaGc0o0/edit?usp=sharing"",""งบพรบ!DO69"")"),0)</f>
        <v>0</v>
      </c>
      <c r="J69" s="77">
        <f t="shared" ca="1" si="3"/>
        <v>95040</v>
      </c>
      <c r="K69" s="78">
        <f t="shared" ca="1" si="4"/>
        <v>85.077432638080751</v>
      </c>
      <c r="L69" s="77">
        <f ca="1">IFERROR(__xludf.DUMMYFUNCTION("IMPORTRANGE(""https://docs.google.com/spreadsheets/d/1MeEWN-I1oV_STSDYn1IFDPWt_1FKiwhDph83XaGc0o0/edit?usp=sharing"",""งบพรบ!DP69"")"),95040)</f>
        <v>95040</v>
      </c>
      <c r="M69" s="79">
        <f t="shared" ca="1" si="5"/>
        <v>85.077432638080751</v>
      </c>
      <c r="N69" s="79">
        <f t="shared" ca="1" si="6"/>
        <v>85.077432638080751</v>
      </c>
      <c r="O69" s="80">
        <f ca="1">IFERROR(__xludf.DUMMYFUNCTION("IMPORTRANGE(""https://docs.google.com/spreadsheets/d/1MeEWN-I1oV_STSDYn1IFDPWt_1FKiwhDph83XaGc0o0/edit?usp=sharing"",""งบพรบ!DQ69"")"),0)</f>
        <v>0</v>
      </c>
      <c r="P69" s="80">
        <f t="shared" ca="1" si="32"/>
        <v>0</v>
      </c>
      <c r="Q69" s="79">
        <f t="shared" ca="1" si="8"/>
        <v>0</v>
      </c>
      <c r="R69" s="323">
        <f ca="1">IFERROR(__xludf.DUMMYFUNCTION("IMPORTRANGE(""https://docs.google.com/spreadsheets/d/11s9m3tKsCBdPWq6syhZm27eBGbKneDLZc75co106bio/edit?usp=sharing"",""สระแก้ว!I287"")"),300)</f>
        <v>300</v>
      </c>
      <c r="S69" s="323">
        <f ca="1">IFERROR(__xludf.DUMMYFUNCTION("IMPORTRANGE(""https://docs.google.com/spreadsheets/d/11s9m3tKsCBdPWq6syhZm27eBGbKneDLZc75co106bio/edit?usp=sharing"",""สระแก้ว!J287"")"),300)</f>
        <v>300</v>
      </c>
      <c r="T69" s="324">
        <f t="shared" ca="1" si="27"/>
        <v>100</v>
      </c>
      <c r="U69" s="323">
        <f ca="1">IFERROR(__xludf.DUMMYFUNCTION("IMPORTRANGE(""https://docs.google.com/spreadsheets/d/11s9m3tKsCBdPWq6syhZm27eBGbKneDLZc75co106bio/edit?usp=sharing"",""สระแก้ว!I288"")"),30)</f>
        <v>30</v>
      </c>
      <c r="V69" s="323">
        <f ca="1">IFERROR(__xludf.DUMMYFUNCTION("IMPORTRANGE(""https://docs.google.com/spreadsheets/d/11s9m3tKsCBdPWq6syhZm27eBGbKneDLZc75co106bio/edit?usp=sharing"",""สระแก้ว!J288"")"),30)</f>
        <v>30</v>
      </c>
      <c r="W69" s="324">
        <f t="shared" ca="1" si="28"/>
        <v>100</v>
      </c>
      <c r="X69" s="323">
        <f ca="1">IFERROR(__xludf.DUMMYFUNCTION("IMPORTRANGE(""https://docs.google.com/spreadsheets/d/11s9m3tKsCBdPWq6syhZm27eBGbKneDLZc75co106bio/edit?usp=sharing"",""สระแก้ว!I290"")"),30)</f>
        <v>30</v>
      </c>
      <c r="Y69" s="323">
        <f ca="1">IFERROR(__xludf.DUMMYFUNCTION("IMPORTRANGE(""https://docs.google.com/spreadsheets/d/11s9m3tKsCBdPWq6syhZm27eBGbKneDLZc75co106bio/edit?usp=sharing"",""สระแก้ว!J290"")"),30)</f>
        <v>30</v>
      </c>
      <c r="Z69" s="324">
        <f t="shared" ca="1" si="29"/>
        <v>100</v>
      </c>
      <c r="AA69" s="323">
        <f ca="1">IFERROR(__xludf.DUMMYFUNCTION("IMPORTRANGE(""https://docs.google.com/spreadsheets/d/11s9m3tKsCBdPWq6syhZm27eBGbKneDLZc75co106bio/edit?usp=sharing"",""สระแก้ว!J291"")"),30)</f>
        <v>30</v>
      </c>
      <c r="AB69" s="324">
        <f t="shared" ca="1" si="15"/>
        <v>100</v>
      </c>
      <c r="AC69" s="323">
        <f ca="1">IFERROR(__xludf.DUMMYFUNCTION("IMPORTRANGE(""https://docs.google.com/spreadsheets/d/11s9m3tKsCBdPWq6syhZm27eBGbKneDLZc75co106bio/edit?usp=sharing"",""สระแก้ว!I293"")"),30)</f>
        <v>30</v>
      </c>
      <c r="AD69" s="323">
        <f ca="1">IFERROR(__xludf.DUMMYFUNCTION("IMPORTRANGE(""https://docs.google.com/spreadsheets/d/11s9m3tKsCBdPWq6syhZm27eBGbKneDLZc75co106bio/edit?usp=sharing"",""สระแก้ว!J293"")"),30)</f>
        <v>30</v>
      </c>
      <c r="AE69" s="324">
        <f t="shared" ca="1" si="30"/>
        <v>100</v>
      </c>
      <c r="AF69" s="323">
        <f ca="1">IFERROR(__xludf.DUMMYFUNCTION("IMPORTRANGE(""https://docs.google.com/spreadsheets/d/11s9m3tKsCBdPWq6syhZm27eBGbKneDLZc75co106bio/edit?usp=sharing"",""สระแก้ว!J294"")"),30)</f>
        <v>30</v>
      </c>
      <c r="AG69" s="324">
        <f t="shared" ca="1" si="18"/>
        <v>100</v>
      </c>
    </row>
    <row r="70" spans="1:33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9"/>
        <v>0</v>
      </c>
      <c r="E70" s="77">
        <f ca="1">IFERROR(__xludf.DUMMYFUNCTION("IMPORTRANGE(""https://docs.google.com/spreadsheets/d/1MeEWN-I1oV_STSDYn1IFDPWt_1FKiwhDph83XaGc0o0/edit?usp=sharing"",""งบพรบ!DJ70"")"),0)</f>
        <v>0</v>
      </c>
      <c r="F70" s="77">
        <f ca="1">IFERROR(__xludf.DUMMYFUNCTION("IMPORTRANGE(""https://docs.google.com/spreadsheets/d/1MeEWN-I1oV_STSDYn1IFDPWt_1FKiwhDph83XaGc0o0/edit?usp=sharing"",""งบพรบ!DK70"")"),0)</f>
        <v>0</v>
      </c>
      <c r="G70" s="77">
        <f ca="1">IFERROR(__xludf.DUMMYFUNCTION("IMPORTRANGE(""https://docs.google.com/spreadsheets/d/1MeEWN-I1oV_STSDYn1IFDPWt_1FKiwhDph83XaGc0o0/edit?usp=sharing"",""งบพรบ!DL70"")"),0)</f>
        <v>0</v>
      </c>
      <c r="H70" s="77">
        <f ca="1">IFERROR(__xludf.DUMMYFUNCTION("IMPORTRANGE(""https://docs.google.com/spreadsheets/d/1MeEWN-I1oV_STSDYn1IFDPWt_1FKiwhDph83XaGc0o0/edit?usp=sharing"",""งบพรบ!DN70"")"),0)</f>
        <v>0</v>
      </c>
      <c r="I70" s="77">
        <f ca="1">IFERROR(__xludf.DUMMYFUNCTION("IMPORTRANGE(""https://docs.google.com/spreadsheets/d/1MeEWN-I1oV_STSDYn1IFDPWt_1FKiwhDph83XaGc0o0/edit?usp=sharing"",""งบพรบ!DO70"")"),0)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IFERROR(__xludf.DUMMYFUNCTION("IMPORTRANGE(""https://docs.google.com/spreadsheets/d/1MeEWN-I1oV_STSDYn1IFDPWt_1FKiwhDph83XaGc0o0/edit?usp=sharing"",""งบพรบ!DP70"")"),0)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IFERROR(__xludf.DUMMYFUNCTION("IMPORTRANGE(""https://docs.google.com/spreadsheets/d/1MeEWN-I1oV_STSDYn1IFDPWt_1FKiwhDph83XaGc0o0/edit?usp=sharing"",""งบพรบ!DQ70"")"),0)</f>
        <v>0</v>
      </c>
      <c r="P70" s="80">
        <f t="shared" ca="1" si="32"/>
        <v>0</v>
      </c>
      <c r="Q70" s="79">
        <f t="shared" ca="1" si="8"/>
        <v>0</v>
      </c>
      <c r="R70" s="323">
        <f ca="1">IFERROR(__xludf.DUMMYFUNCTION("IMPORTRANGE(""https://docs.google.com/spreadsheets/d/1Nn1EvsFPtXldgpgVb3Rcng2K2cls68LFQsBh2FyW0Bg/edit?usp=sharing"",""สระบุรี!I287"")"),0)</f>
        <v>0</v>
      </c>
      <c r="S70" s="323">
        <f ca="1">IFERROR(__xludf.DUMMYFUNCTION("IMPORTRANGE(""https://docs.google.com/spreadsheets/d/1Nn1EvsFPtXldgpgVb3Rcng2K2cls68LFQsBh2FyW0Bg/edit?usp=sharing"",""สระบุรี!J287"")"),0)</f>
        <v>0</v>
      </c>
      <c r="T70" s="324">
        <f t="shared" ca="1" si="27"/>
        <v>0</v>
      </c>
      <c r="U70" s="323">
        <f ca="1">IFERROR(__xludf.DUMMYFUNCTION("IMPORTRANGE(""https://docs.google.com/spreadsheets/d/1Nn1EvsFPtXldgpgVb3Rcng2K2cls68LFQsBh2FyW0Bg/edit?usp=sharing"",""สระบุรี!I288"")"),0)</f>
        <v>0</v>
      </c>
      <c r="V70" s="323">
        <f ca="1">IFERROR(__xludf.DUMMYFUNCTION("IMPORTRANGE(""https://docs.google.com/spreadsheets/d/1Nn1EvsFPtXldgpgVb3Rcng2K2cls68LFQsBh2FyW0Bg/edit?usp=sharing"",""สระบุรี!J288"")"),0)</f>
        <v>0</v>
      </c>
      <c r="W70" s="324">
        <f t="shared" ca="1" si="28"/>
        <v>0</v>
      </c>
      <c r="X70" s="323">
        <f ca="1">IFERROR(__xludf.DUMMYFUNCTION("IMPORTRANGE(""https://docs.google.com/spreadsheets/d/1Nn1EvsFPtXldgpgVb3Rcng2K2cls68LFQsBh2FyW0Bg/edit?usp=sharing"",""สระบุรี!I290"")"),0)</f>
        <v>0</v>
      </c>
      <c r="Y70" s="323">
        <f ca="1">IFERROR(__xludf.DUMMYFUNCTION("IMPORTRANGE(""https://docs.google.com/spreadsheets/d/1Nn1EvsFPtXldgpgVb3Rcng2K2cls68LFQsBh2FyW0Bg/edit?usp=sharing"",""สระบุรี!J290"")"),0)</f>
        <v>0</v>
      </c>
      <c r="Z70" s="324">
        <f t="shared" ca="1" si="29"/>
        <v>0</v>
      </c>
      <c r="AA70" s="323">
        <f ca="1">IFERROR(__xludf.DUMMYFUNCTION("IMPORTRANGE(""https://docs.google.com/spreadsheets/d/1Nn1EvsFPtXldgpgVb3Rcng2K2cls68LFQsBh2FyW0Bg/edit?usp=sharing"",""สระบุรี!J291"")"),0)</f>
        <v>0</v>
      </c>
      <c r="AB70" s="324">
        <f t="shared" ca="1" si="15"/>
        <v>0</v>
      </c>
      <c r="AC70" s="323">
        <f ca="1">IFERROR(__xludf.DUMMYFUNCTION("IMPORTRANGE(""https://docs.google.com/spreadsheets/d/1Nn1EvsFPtXldgpgVb3Rcng2K2cls68LFQsBh2FyW0Bg/edit?usp=sharing"",""สระบุรี!I293"")"),0)</f>
        <v>0</v>
      </c>
      <c r="AD70" s="323">
        <f ca="1">IFERROR(__xludf.DUMMYFUNCTION("IMPORTRANGE(""https://docs.google.com/spreadsheets/d/1Nn1EvsFPtXldgpgVb3Rcng2K2cls68LFQsBh2FyW0Bg/edit?usp=sharing"",""สระบุรี!J293"")"),0)</f>
        <v>0</v>
      </c>
      <c r="AE70" s="324">
        <f t="shared" ca="1" si="30"/>
        <v>0</v>
      </c>
      <c r="AF70" s="323">
        <f ca="1">IFERROR(__xludf.DUMMYFUNCTION("IMPORTRANGE(""https://docs.google.com/spreadsheets/d/1Nn1EvsFPtXldgpgVb3Rcng2K2cls68LFQsBh2FyW0Bg/edit?usp=sharing"",""สระบุรี!J294"")"),0)</f>
        <v>0</v>
      </c>
      <c r="AG70" s="324">
        <f t="shared" ca="1" si="18"/>
        <v>0</v>
      </c>
    </row>
    <row r="71" spans="1:33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9"/>
        <v>0</v>
      </c>
      <c r="E71" s="77">
        <f ca="1">IFERROR(__xludf.DUMMYFUNCTION("IMPORTRANGE(""https://docs.google.com/spreadsheets/d/1MeEWN-I1oV_STSDYn1IFDPWt_1FKiwhDph83XaGc0o0/edit?usp=sharing"",""งบพรบ!DJ71"")"),0)</f>
        <v>0</v>
      </c>
      <c r="F71" s="77">
        <f ca="1">IFERROR(__xludf.DUMMYFUNCTION("IMPORTRANGE(""https://docs.google.com/spreadsheets/d/1MeEWN-I1oV_STSDYn1IFDPWt_1FKiwhDph83XaGc0o0/edit?usp=sharing"",""งบพรบ!DK71"")"),0)</f>
        <v>0</v>
      </c>
      <c r="G71" s="77">
        <f ca="1">IFERROR(__xludf.DUMMYFUNCTION("IMPORTRANGE(""https://docs.google.com/spreadsheets/d/1MeEWN-I1oV_STSDYn1IFDPWt_1FKiwhDph83XaGc0o0/edit?usp=sharing"",""งบพรบ!DL71"")"),0)</f>
        <v>0</v>
      </c>
      <c r="H71" s="77">
        <f ca="1">IFERROR(__xludf.DUMMYFUNCTION("IMPORTRANGE(""https://docs.google.com/spreadsheets/d/1MeEWN-I1oV_STSDYn1IFDPWt_1FKiwhDph83XaGc0o0/edit?usp=sharing"",""งบพรบ!DN71"")"),0)</f>
        <v>0</v>
      </c>
      <c r="I71" s="77">
        <f ca="1">IFERROR(__xludf.DUMMYFUNCTION("IMPORTRANGE(""https://docs.google.com/spreadsheets/d/1MeEWN-I1oV_STSDYn1IFDPWt_1FKiwhDph83XaGc0o0/edit?usp=sharing"",""งบพรบ!DO71"")"),0)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IFERROR(__xludf.DUMMYFUNCTION("IMPORTRANGE(""https://docs.google.com/spreadsheets/d/1MeEWN-I1oV_STSDYn1IFDPWt_1FKiwhDph83XaGc0o0/edit?usp=sharing"",""งบพรบ!DP71"")"),0)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IFERROR(__xludf.DUMMYFUNCTION("IMPORTRANGE(""https://docs.google.com/spreadsheets/d/1MeEWN-I1oV_STSDYn1IFDPWt_1FKiwhDph83XaGc0o0/edit?usp=sharing"",""งบพรบ!DQ71"")"),0)</f>
        <v>0</v>
      </c>
      <c r="P71" s="80">
        <f t="shared" ca="1" si="32"/>
        <v>0</v>
      </c>
      <c r="Q71" s="79">
        <f t="shared" ca="1" si="8"/>
        <v>0</v>
      </c>
      <c r="R71" s="323">
        <f ca="1">IFERROR(__xludf.DUMMYFUNCTION("IMPORTRANGE(""https://docs.google.com/spreadsheets/d/149xufxukrnEciK3WPbNpHwUK8BKEJxp3UcBG3Al6dA4/edit?usp=sharing"",""สิงห์บุรี!I287"")"),0)</f>
        <v>0</v>
      </c>
      <c r="S71" s="323">
        <f ca="1">IFERROR(__xludf.DUMMYFUNCTION("IMPORTRANGE(""https://docs.google.com/spreadsheets/d/149xufxukrnEciK3WPbNpHwUK8BKEJxp3UcBG3Al6dA4/edit?usp=sharing"",""สิงห์บุรี!J287"")"),0)</f>
        <v>0</v>
      </c>
      <c r="T71" s="324">
        <f t="shared" ca="1" si="27"/>
        <v>0</v>
      </c>
      <c r="U71" s="323">
        <f ca="1">IFERROR(__xludf.DUMMYFUNCTION("IMPORTRANGE(""https://docs.google.com/spreadsheets/d/149xufxukrnEciK3WPbNpHwUK8BKEJxp3UcBG3Al6dA4/edit?usp=sharing"",""สิงห์บุรี!I288"")"),0)</f>
        <v>0</v>
      </c>
      <c r="V71" s="323">
        <f ca="1">IFERROR(__xludf.DUMMYFUNCTION("IMPORTRANGE(""https://docs.google.com/spreadsheets/d/149xufxukrnEciK3WPbNpHwUK8BKEJxp3UcBG3Al6dA4/edit?usp=sharing"",""สิงห์บุรี!J288"")"),0)</f>
        <v>0</v>
      </c>
      <c r="W71" s="324">
        <f t="shared" ca="1" si="28"/>
        <v>0</v>
      </c>
      <c r="X71" s="323">
        <f ca="1">IFERROR(__xludf.DUMMYFUNCTION("IMPORTRANGE(""https://docs.google.com/spreadsheets/d/149xufxukrnEciK3WPbNpHwUK8BKEJxp3UcBG3Al6dA4/edit?usp=sharing"",""สิงห์บุรี!I290"")"),0)</f>
        <v>0</v>
      </c>
      <c r="Y71" s="323">
        <f ca="1">IFERROR(__xludf.DUMMYFUNCTION("IMPORTRANGE(""https://docs.google.com/spreadsheets/d/149xufxukrnEciK3WPbNpHwUK8BKEJxp3UcBG3Al6dA4/edit?usp=sharing"",""สิงห์บุรี!J290"")"),0)</f>
        <v>0</v>
      </c>
      <c r="Z71" s="324">
        <f t="shared" ca="1" si="29"/>
        <v>0</v>
      </c>
      <c r="AA71" s="323">
        <f ca="1">IFERROR(__xludf.DUMMYFUNCTION("IMPORTRANGE(""https://docs.google.com/spreadsheets/d/149xufxukrnEciK3WPbNpHwUK8BKEJxp3UcBG3Al6dA4/edit?usp=sharing"",""สิงห์บุรี!J291"")"),0)</f>
        <v>0</v>
      </c>
      <c r="AB71" s="324">
        <f t="shared" ca="1" si="15"/>
        <v>0</v>
      </c>
      <c r="AC71" s="323">
        <f ca="1">IFERROR(__xludf.DUMMYFUNCTION("IMPORTRANGE(""https://docs.google.com/spreadsheets/d/149xufxukrnEciK3WPbNpHwUK8BKEJxp3UcBG3Al6dA4/edit?usp=sharing"",""สิงห์บุรี!I293"")"),0)</f>
        <v>0</v>
      </c>
      <c r="AD71" s="323">
        <f ca="1">IFERROR(__xludf.DUMMYFUNCTION("IMPORTRANGE(""https://docs.google.com/spreadsheets/d/149xufxukrnEciK3WPbNpHwUK8BKEJxp3UcBG3Al6dA4/edit?usp=sharing"",""สิงห์บุรี!J293"")"),0)</f>
        <v>0</v>
      </c>
      <c r="AE71" s="324">
        <f t="shared" ca="1" si="30"/>
        <v>0</v>
      </c>
      <c r="AF71" s="323">
        <f ca="1">IFERROR(__xludf.DUMMYFUNCTION("IMPORTRANGE(""https://docs.google.com/spreadsheets/d/149xufxukrnEciK3WPbNpHwUK8BKEJxp3UcBG3Al6dA4/edit?usp=sharing"",""สิงห์บุรี!J294"")"),0)</f>
        <v>0</v>
      </c>
      <c r="AG71" s="324">
        <f t="shared" ca="1" si="18"/>
        <v>0</v>
      </c>
    </row>
    <row r="72" spans="1:33" ht="21" customHeight="1" x14ac:dyDescent="0.2">
      <c r="A72" s="73">
        <v>20</v>
      </c>
      <c r="B72" s="74" t="s">
        <v>94</v>
      </c>
      <c r="C72" s="75">
        <f t="shared" ca="1" si="0"/>
        <v>41010</v>
      </c>
      <c r="D72" s="76">
        <f t="shared" ca="1" si="49"/>
        <v>41010</v>
      </c>
      <c r="E72" s="77">
        <f ca="1">IFERROR(__xludf.DUMMYFUNCTION("IMPORTRANGE(""https://docs.google.com/spreadsheets/d/1MeEWN-I1oV_STSDYn1IFDPWt_1FKiwhDph83XaGc0o0/edit?usp=sharing"",""งบพรบ!DJ72"")"),0)</f>
        <v>0</v>
      </c>
      <c r="F72" s="77">
        <f ca="1">IFERROR(__xludf.DUMMYFUNCTION("IMPORTRANGE(""https://docs.google.com/spreadsheets/d/1MeEWN-I1oV_STSDYn1IFDPWt_1FKiwhDph83XaGc0o0/edit?usp=sharing"",""งบพรบ!DK72"")"),41010)</f>
        <v>41010</v>
      </c>
      <c r="G72" s="77">
        <f ca="1">IFERROR(__xludf.DUMMYFUNCTION("IMPORTRANGE(""https://docs.google.com/spreadsheets/d/1MeEWN-I1oV_STSDYn1IFDPWt_1FKiwhDph83XaGc0o0/edit?usp=sharing"",""งบพรบ!DL72"")"),0)</f>
        <v>0</v>
      </c>
      <c r="H72" s="77">
        <f ca="1">IFERROR(__xludf.DUMMYFUNCTION("IMPORTRANGE(""https://docs.google.com/spreadsheets/d/1MeEWN-I1oV_STSDYn1IFDPWt_1FKiwhDph83XaGc0o0/edit?usp=sharing"",""งบพรบ!DN72"")"),41010)</f>
        <v>41010</v>
      </c>
      <c r="I72" s="77">
        <f ca="1">IFERROR(__xludf.DUMMYFUNCTION("IMPORTRANGE(""https://docs.google.com/spreadsheets/d/1MeEWN-I1oV_STSDYn1IFDPWt_1FKiwhDph83XaGc0o0/edit?usp=sharing"",""งบพรบ!DO72"")"),0)</f>
        <v>0</v>
      </c>
      <c r="J72" s="77">
        <f t="shared" ca="1" si="3"/>
        <v>41010</v>
      </c>
      <c r="K72" s="78">
        <f t="shared" ca="1" si="4"/>
        <v>100</v>
      </c>
      <c r="L72" s="77">
        <f ca="1">IFERROR(__xludf.DUMMYFUNCTION("IMPORTRANGE(""https://docs.google.com/spreadsheets/d/1MeEWN-I1oV_STSDYn1IFDPWt_1FKiwhDph83XaGc0o0/edit?usp=sharing"",""งบพรบ!DP72"")"),41010)</f>
        <v>41010</v>
      </c>
      <c r="M72" s="79">
        <f t="shared" ca="1" si="5"/>
        <v>100</v>
      </c>
      <c r="N72" s="79">
        <f t="shared" ca="1" si="6"/>
        <v>100</v>
      </c>
      <c r="O72" s="80">
        <f ca="1">IFERROR(__xludf.DUMMYFUNCTION("IMPORTRANGE(""https://docs.google.com/spreadsheets/d/1MeEWN-I1oV_STSDYn1IFDPWt_1FKiwhDph83XaGc0o0/edit?usp=sharing"",""งบพรบ!DQ72"")"),0)</f>
        <v>0</v>
      </c>
      <c r="P72" s="80">
        <f t="shared" ca="1" si="32"/>
        <v>0</v>
      </c>
      <c r="Q72" s="79">
        <f t="shared" ca="1" si="8"/>
        <v>0</v>
      </c>
      <c r="R72" s="323">
        <f ca="1">IFERROR(__xludf.DUMMYFUNCTION("IMPORTRANGE(""https://docs.google.com/spreadsheets/d/132g-zJpz2uMKimp17uOIx8A7o3w1Z25zwJyXnwsB56c/edit?usp=sharing"",""สุพรรณบุรี!I287"")"),100)</f>
        <v>100</v>
      </c>
      <c r="S72" s="323">
        <f ca="1">IFERROR(__xludf.DUMMYFUNCTION("IMPORTRANGE(""https://docs.google.com/spreadsheets/d/132g-zJpz2uMKimp17uOIx8A7o3w1Z25zwJyXnwsB56c/edit?usp=sharing"",""สุพรรณบุรี!J287"")"),100)</f>
        <v>100</v>
      </c>
      <c r="T72" s="324">
        <f t="shared" ca="1" si="27"/>
        <v>100</v>
      </c>
      <c r="U72" s="323">
        <f ca="1">IFERROR(__xludf.DUMMYFUNCTION("IMPORTRANGE(""https://docs.google.com/spreadsheets/d/132g-zJpz2uMKimp17uOIx8A7o3w1Z25zwJyXnwsB56c/edit?usp=sharing"",""สุพรรณบุรี!I288"")"),10)</f>
        <v>10</v>
      </c>
      <c r="V72" s="323">
        <f ca="1">IFERROR(__xludf.DUMMYFUNCTION("IMPORTRANGE(""https://docs.google.com/spreadsheets/d/132g-zJpz2uMKimp17uOIx8A7o3w1Z25zwJyXnwsB56c/edit?usp=sharing"",""สุพรรณบุรี!J288"")"),10)</f>
        <v>10</v>
      </c>
      <c r="W72" s="324">
        <f t="shared" ca="1" si="28"/>
        <v>100</v>
      </c>
      <c r="X72" s="323">
        <f ca="1">IFERROR(__xludf.DUMMYFUNCTION("IMPORTRANGE(""https://docs.google.com/spreadsheets/d/132g-zJpz2uMKimp17uOIx8A7o3w1Z25zwJyXnwsB56c/edit?usp=sharing"",""สุพรรณบุรี!I290"")"),10)</f>
        <v>10</v>
      </c>
      <c r="Y72" s="323">
        <f ca="1">IFERROR(__xludf.DUMMYFUNCTION("IMPORTRANGE(""https://docs.google.com/spreadsheets/d/132g-zJpz2uMKimp17uOIx8A7o3w1Z25zwJyXnwsB56c/edit?usp=sharing"",""สุพรรณบุรี!J290"")"),10)</f>
        <v>10</v>
      </c>
      <c r="Z72" s="324">
        <f t="shared" ca="1" si="29"/>
        <v>100</v>
      </c>
      <c r="AA72" s="323">
        <f ca="1">IFERROR(__xludf.DUMMYFUNCTION("IMPORTRANGE(""https://docs.google.com/spreadsheets/d/132g-zJpz2uMKimp17uOIx8A7o3w1Z25zwJyXnwsB56c/edit?usp=sharing"",""สุพรรณบุรี!J291"")"),10)</f>
        <v>10</v>
      </c>
      <c r="AB72" s="324">
        <f t="shared" ca="1" si="15"/>
        <v>100</v>
      </c>
      <c r="AC72" s="323">
        <f ca="1">IFERROR(__xludf.DUMMYFUNCTION("IMPORTRANGE(""https://docs.google.com/spreadsheets/d/132g-zJpz2uMKimp17uOIx8A7o3w1Z25zwJyXnwsB56c/edit?usp=sharing"",""สุพรรณบุรี!I293"")"),10)</f>
        <v>10</v>
      </c>
      <c r="AD72" s="323">
        <f ca="1">IFERROR(__xludf.DUMMYFUNCTION("IMPORTRANGE(""https://docs.google.com/spreadsheets/d/132g-zJpz2uMKimp17uOIx8A7o3w1Z25zwJyXnwsB56c/edit?usp=sharing"",""สุพรรณบุรี!J293"")"),10)</f>
        <v>10</v>
      </c>
      <c r="AE72" s="324">
        <f t="shared" ca="1" si="30"/>
        <v>100</v>
      </c>
      <c r="AF72" s="323">
        <f ca="1">IFERROR(__xludf.DUMMYFUNCTION("IMPORTRANGE(""https://docs.google.com/spreadsheets/d/132g-zJpz2uMKimp17uOIx8A7o3w1Z25zwJyXnwsB56c/edit?usp=sharing"",""สุพรรณบุรี!J294"")"),10)</f>
        <v>10</v>
      </c>
      <c r="AG72" s="324">
        <f t="shared" ca="1" si="18"/>
        <v>100</v>
      </c>
    </row>
    <row r="73" spans="1:33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9"/>
        <v>0</v>
      </c>
      <c r="E73" s="88">
        <f ca="1">IFERROR(__xludf.DUMMYFUNCTION("IMPORTRANGE(""https://docs.google.com/spreadsheets/d/1MeEWN-I1oV_STSDYn1IFDPWt_1FKiwhDph83XaGc0o0/edit?usp=sharing"",""งบพรบ!DJ73"")"),0)</f>
        <v>0</v>
      </c>
      <c r="F73" s="88">
        <f ca="1">IFERROR(__xludf.DUMMYFUNCTION("IMPORTRANGE(""https://docs.google.com/spreadsheets/d/1MeEWN-I1oV_STSDYn1IFDPWt_1FKiwhDph83XaGc0o0/edit?usp=sharing"",""งบพรบ!DK73"")"),0)</f>
        <v>0</v>
      </c>
      <c r="G73" s="88">
        <f ca="1">IFERROR(__xludf.DUMMYFUNCTION("IMPORTRANGE(""https://docs.google.com/spreadsheets/d/1MeEWN-I1oV_STSDYn1IFDPWt_1FKiwhDph83XaGc0o0/edit?usp=sharing"",""งบพรบ!DL73"")"),0)</f>
        <v>0</v>
      </c>
      <c r="H73" s="88">
        <f ca="1">IFERROR(__xludf.DUMMYFUNCTION("IMPORTRANGE(""https://docs.google.com/spreadsheets/d/1MeEWN-I1oV_STSDYn1IFDPWt_1FKiwhDph83XaGc0o0/edit?usp=sharing"",""งบพรบ!DN73"")"),0)</f>
        <v>0</v>
      </c>
      <c r="I73" s="88">
        <f ca="1">IFERROR(__xludf.DUMMYFUNCTION("IMPORTRANGE(""https://docs.google.com/spreadsheets/d/1MeEWN-I1oV_STSDYn1IFDPWt_1FKiwhDph83XaGc0o0/edit?usp=sharing"",""งบพรบ!DO73"")"),0)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IFERROR(__xludf.DUMMYFUNCTION("IMPORTRANGE(""https://docs.google.com/spreadsheets/d/1MeEWN-I1oV_STSDYn1IFDPWt_1FKiwhDph83XaGc0o0/edit?usp=sharing"",""งบพรบ!DP73"")"),0)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IFERROR(__xludf.DUMMYFUNCTION("IMPORTRANGE(""https://docs.google.com/spreadsheets/d/1MeEWN-I1oV_STSDYn1IFDPWt_1FKiwhDph83XaGc0o0/edit?usp=sharing"",""งบพรบ!DQ73"")"),0)</f>
        <v>0</v>
      </c>
      <c r="P73" s="91">
        <f t="shared" ca="1" si="32"/>
        <v>0</v>
      </c>
      <c r="Q73" s="90">
        <f t="shared" ca="1" si="8"/>
        <v>0</v>
      </c>
      <c r="R73" s="325">
        <f ca="1">IFERROR(__xludf.DUMMYFUNCTION("IMPORTRANGE(""https://docs.google.com/spreadsheets/d/12Q_U0nVnFdxDFwa0pej9xvx8ZvLC9Dpi_vRro_aiG5g/edit?usp=sharing"",""อ่างทอง!I287"")"),0)</f>
        <v>0</v>
      </c>
      <c r="S73" s="325">
        <f ca="1">IFERROR(__xludf.DUMMYFUNCTION("IMPORTRANGE(""https://docs.google.com/spreadsheets/d/12Q_U0nVnFdxDFwa0pej9xvx8ZvLC9Dpi_vRro_aiG5g/edit?usp=sharing"",""อ่างทอง!J287"")"),0)</f>
        <v>0</v>
      </c>
      <c r="T73" s="326">
        <f t="shared" ca="1" si="27"/>
        <v>0</v>
      </c>
      <c r="U73" s="325">
        <f ca="1">IFERROR(__xludf.DUMMYFUNCTION("IMPORTRANGE(""https://docs.google.com/spreadsheets/d/12Q_U0nVnFdxDFwa0pej9xvx8ZvLC9Dpi_vRro_aiG5g/edit?usp=sharing"",""อ่างทอง!I288"")"),0)</f>
        <v>0</v>
      </c>
      <c r="V73" s="325">
        <f ca="1">IFERROR(__xludf.DUMMYFUNCTION("IMPORTRANGE(""https://docs.google.com/spreadsheets/d/12Q_U0nVnFdxDFwa0pej9xvx8ZvLC9Dpi_vRro_aiG5g/edit?usp=sharing"",""อ่างทอง!J288"")"),0)</f>
        <v>0</v>
      </c>
      <c r="W73" s="326">
        <f t="shared" ca="1" si="28"/>
        <v>0</v>
      </c>
      <c r="X73" s="325">
        <f ca="1">IFERROR(__xludf.DUMMYFUNCTION("IMPORTRANGE(""https://docs.google.com/spreadsheets/d/12Q_U0nVnFdxDFwa0pej9xvx8ZvLC9Dpi_vRro_aiG5g/edit?usp=sharing"",""อ่างทอง!I290"")"),0)</f>
        <v>0</v>
      </c>
      <c r="Y73" s="325">
        <f ca="1">IFERROR(__xludf.DUMMYFUNCTION("IMPORTRANGE(""https://docs.google.com/spreadsheets/d/12Q_U0nVnFdxDFwa0pej9xvx8ZvLC9Dpi_vRro_aiG5g/edit?usp=sharing"",""อ่างทอง!J290"")"),0)</f>
        <v>0</v>
      </c>
      <c r="Z73" s="326">
        <f t="shared" ca="1" si="29"/>
        <v>0</v>
      </c>
      <c r="AA73" s="325">
        <f ca="1">IFERROR(__xludf.DUMMYFUNCTION("IMPORTRANGE(""https://docs.google.com/spreadsheets/d/12Q_U0nVnFdxDFwa0pej9xvx8ZvLC9Dpi_vRro_aiG5g/edit?usp=sharing"",""อ่างทอง!J291"")"),0)</f>
        <v>0</v>
      </c>
      <c r="AB73" s="326">
        <f t="shared" ca="1" si="15"/>
        <v>0</v>
      </c>
      <c r="AC73" s="325">
        <f ca="1">IFERROR(__xludf.DUMMYFUNCTION("IMPORTRANGE(""https://docs.google.com/spreadsheets/d/12Q_U0nVnFdxDFwa0pej9xvx8ZvLC9Dpi_vRro_aiG5g/edit?usp=sharing"",""อ่างทอง!I293"")"),0)</f>
        <v>0</v>
      </c>
      <c r="AD73" s="325">
        <f ca="1">IFERROR(__xludf.DUMMYFUNCTION("IMPORTRANGE(""https://docs.google.com/spreadsheets/d/12Q_U0nVnFdxDFwa0pej9xvx8ZvLC9Dpi_vRro_aiG5g/edit?usp=sharing"",""อ่างทอง!J293"")"),0)</f>
        <v>0</v>
      </c>
      <c r="AE73" s="326">
        <f t="shared" ca="1" si="30"/>
        <v>0</v>
      </c>
      <c r="AF73" s="325">
        <f ca="1">IFERROR(__xludf.DUMMYFUNCTION("IMPORTRANGE(""https://docs.google.com/spreadsheets/d/12Q_U0nVnFdxDFwa0pej9xvx8ZvLC9Dpi_vRro_aiG5g/edit?usp=sharing"",""อ่างทอง!J294"")"),0)</f>
        <v>0</v>
      </c>
      <c r="AG73" s="326">
        <f t="shared" ca="1" si="18"/>
        <v>0</v>
      </c>
    </row>
    <row r="74" spans="1:33" ht="21" customHeight="1" x14ac:dyDescent="0.2">
      <c r="A74" s="381" t="s">
        <v>96</v>
      </c>
      <c r="B74" s="370"/>
      <c r="C74" s="99">
        <f t="shared" ca="1" si="0"/>
        <v>86270</v>
      </c>
      <c r="D74" s="57">
        <f t="shared" ref="D74:I74" ca="1" si="50">SUM(D75:D88)</f>
        <v>86270</v>
      </c>
      <c r="E74" s="57">
        <f t="shared" ca="1" si="50"/>
        <v>0</v>
      </c>
      <c r="F74" s="57">
        <f t="shared" ca="1" si="50"/>
        <v>86270</v>
      </c>
      <c r="G74" s="57">
        <f t="shared" ca="1" si="50"/>
        <v>0</v>
      </c>
      <c r="H74" s="57">
        <f t="shared" ca="1" si="50"/>
        <v>86270</v>
      </c>
      <c r="I74" s="57">
        <f t="shared" ca="1" si="50"/>
        <v>0</v>
      </c>
      <c r="J74" s="57">
        <f t="shared" ca="1" si="3"/>
        <v>82180</v>
      </c>
      <c r="K74" s="95">
        <f t="shared" ca="1" si="4"/>
        <v>95.259070360496111</v>
      </c>
      <c r="L74" s="57">
        <f ca="1">SUM(L75:L88)</f>
        <v>82180</v>
      </c>
      <c r="M74" s="96">
        <f t="shared" ca="1" si="5"/>
        <v>95.259070360496111</v>
      </c>
      <c r="N74" s="96">
        <f t="shared" ca="1" si="6"/>
        <v>95.259070360496111</v>
      </c>
      <c r="O74" s="97">
        <f ca="1">SUM(O75:O88)</f>
        <v>0</v>
      </c>
      <c r="P74" s="97">
        <f t="shared" ca="1" si="32"/>
        <v>0</v>
      </c>
      <c r="Q74" s="96">
        <f t="shared" ca="1" si="8"/>
        <v>0</v>
      </c>
      <c r="R74" s="327">
        <f t="shared" ref="R74:S74" ca="1" si="51">SUM(R75:R88)</f>
        <v>200</v>
      </c>
      <c r="S74" s="327">
        <f t="shared" ca="1" si="51"/>
        <v>200</v>
      </c>
      <c r="T74" s="328">
        <f t="shared" ca="1" si="27"/>
        <v>100</v>
      </c>
      <c r="U74" s="327">
        <f t="shared" ref="U74:V74" ca="1" si="52">SUM(U75:U88)</f>
        <v>20</v>
      </c>
      <c r="V74" s="327">
        <f t="shared" ca="1" si="52"/>
        <v>25</v>
      </c>
      <c r="W74" s="328">
        <f t="shared" ca="1" si="28"/>
        <v>125</v>
      </c>
      <c r="X74" s="327">
        <f t="shared" ref="X74:Y74" ca="1" si="53">SUM(X75:X88)</f>
        <v>20</v>
      </c>
      <c r="Y74" s="327">
        <f t="shared" ca="1" si="53"/>
        <v>25</v>
      </c>
      <c r="Z74" s="328">
        <f t="shared" ca="1" si="29"/>
        <v>125</v>
      </c>
      <c r="AA74" s="327">
        <f ca="1">SUM(AA75:AA88)</f>
        <v>25</v>
      </c>
      <c r="AB74" s="328">
        <f t="shared" ca="1" si="15"/>
        <v>125</v>
      </c>
      <c r="AC74" s="327">
        <f t="shared" ref="AC74:AD74" ca="1" si="54">SUM(AC75:AC88)</f>
        <v>20</v>
      </c>
      <c r="AD74" s="327">
        <f t="shared" ca="1" si="54"/>
        <v>25</v>
      </c>
      <c r="AE74" s="328">
        <f t="shared" ca="1" si="30"/>
        <v>125</v>
      </c>
      <c r="AF74" s="327">
        <f ca="1">SUM(AF75:AF88)</f>
        <v>25</v>
      </c>
      <c r="AG74" s="328">
        <f t="shared" ca="1" si="18"/>
        <v>125</v>
      </c>
    </row>
    <row r="75" spans="1:33" ht="21" customHeight="1" x14ac:dyDescent="0.2">
      <c r="A75" s="63">
        <v>1</v>
      </c>
      <c r="B75" s="64" t="s">
        <v>97</v>
      </c>
      <c r="C75" s="98">
        <f t="shared" ca="1" si="0"/>
        <v>22630</v>
      </c>
      <c r="D75" s="66">
        <f t="shared" ref="D75:D88" ca="1" si="55">+E75+F75</f>
        <v>22630</v>
      </c>
      <c r="E75" s="67">
        <f ca="1">IFERROR(__xludf.DUMMYFUNCTION("IMPORTRANGE(""https://docs.google.com/spreadsheets/d/1MeEWN-I1oV_STSDYn1IFDPWt_1FKiwhDph83XaGc0o0/edit?usp=sharing"",""งบพรบ!DJ75"")"),0)</f>
        <v>0</v>
      </c>
      <c r="F75" s="67">
        <f ca="1">IFERROR(__xludf.DUMMYFUNCTION("IMPORTRANGE(""https://docs.google.com/spreadsheets/d/1MeEWN-I1oV_STSDYn1IFDPWt_1FKiwhDph83XaGc0o0/edit?usp=sharing"",""งบพรบ!DK75"")"),22630)</f>
        <v>22630</v>
      </c>
      <c r="G75" s="100">
        <f ca="1">IFERROR(__xludf.DUMMYFUNCTION("IMPORTRANGE(""https://docs.google.com/spreadsheets/d/1MeEWN-I1oV_STSDYn1IFDPWt_1FKiwhDph83XaGc0o0/edit?usp=sharing"",""งบพรบ!DL75"")"),0)</f>
        <v>0</v>
      </c>
      <c r="H75" s="100">
        <f ca="1">IFERROR(__xludf.DUMMYFUNCTION("IMPORTRANGE(""https://docs.google.com/spreadsheets/d/1MeEWN-I1oV_STSDYn1IFDPWt_1FKiwhDph83XaGc0o0/edit?usp=sharing"",""งบพรบ!DN75"")"),22630)</f>
        <v>22630</v>
      </c>
      <c r="I75" s="100">
        <f ca="1">IFERROR(__xludf.DUMMYFUNCTION("IMPORTRANGE(""https://docs.google.com/spreadsheets/d/1MeEWN-I1oV_STSDYn1IFDPWt_1FKiwhDph83XaGc0o0/edit?usp=sharing"",""งบพรบ!DO75"")"),0)</f>
        <v>0</v>
      </c>
      <c r="J75" s="100">
        <f t="shared" ca="1" si="3"/>
        <v>22630</v>
      </c>
      <c r="K75" s="101">
        <f t="shared" ca="1" si="4"/>
        <v>100</v>
      </c>
      <c r="L75" s="77">
        <f ca="1">IFERROR(__xludf.DUMMYFUNCTION("IMPORTRANGE(""https://docs.google.com/spreadsheets/d/1MeEWN-I1oV_STSDYn1IFDPWt_1FKiwhDph83XaGc0o0/edit?usp=sharing"",""งบพรบ!DP75"")"),22630)</f>
        <v>22630</v>
      </c>
      <c r="M75" s="70">
        <f t="shared" ca="1" si="5"/>
        <v>100</v>
      </c>
      <c r="N75" s="70">
        <f t="shared" ca="1" si="6"/>
        <v>100</v>
      </c>
      <c r="O75" s="71">
        <f ca="1">IFERROR(__xludf.DUMMYFUNCTION("IMPORTRANGE(""https://docs.google.com/spreadsheets/d/1MeEWN-I1oV_STSDYn1IFDPWt_1FKiwhDph83XaGc0o0/edit?usp=sharing"",""งบพรบ!DQ75"")"),0)</f>
        <v>0</v>
      </c>
      <c r="P75" s="71">
        <f t="shared" ca="1" si="32"/>
        <v>0</v>
      </c>
      <c r="Q75" s="70">
        <f t="shared" ca="1" si="8"/>
        <v>0</v>
      </c>
      <c r="R75" s="321">
        <f ca="1">IFERROR(__xludf.DUMMYFUNCTION("IMPORTRANGE(""https://docs.google.com/spreadsheets/d/1kC41EOXpGBFOW658Fs3oD8beYlym0-zO54WY-2Qnp9I/edit?usp=sharing"",""กระบี่!I287"")"),50)</f>
        <v>50</v>
      </c>
      <c r="S75" s="321">
        <f ca="1">IFERROR(__xludf.DUMMYFUNCTION("IMPORTRANGE(""https://docs.google.com/spreadsheets/d/1kC41EOXpGBFOW658Fs3oD8beYlym0-zO54WY-2Qnp9I/edit?usp=sharing"",""กระบี่!J287"")"),50)</f>
        <v>50</v>
      </c>
      <c r="T75" s="322">
        <f t="shared" ca="1" si="27"/>
        <v>100</v>
      </c>
      <c r="U75" s="321">
        <f ca="1">IFERROR(__xludf.DUMMYFUNCTION("IMPORTRANGE(""https://docs.google.com/spreadsheets/d/1kC41EOXpGBFOW658Fs3oD8beYlym0-zO54WY-2Qnp9I/edit?usp=sharing"",""กระบี่!I288"")"),5)</f>
        <v>5</v>
      </c>
      <c r="V75" s="321">
        <f ca="1">IFERROR(__xludf.DUMMYFUNCTION("IMPORTRANGE(""https://docs.google.com/spreadsheets/d/1kC41EOXpGBFOW658Fs3oD8beYlym0-zO54WY-2Qnp9I/edit?usp=sharing"",""กระบี่!J288"")"),5)</f>
        <v>5</v>
      </c>
      <c r="W75" s="322">
        <f t="shared" ca="1" si="28"/>
        <v>100</v>
      </c>
      <c r="X75" s="321">
        <f ca="1">IFERROR(__xludf.DUMMYFUNCTION("IMPORTRANGE(""https://docs.google.com/spreadsheets/d/1kC41EOXpGBFOW658Fs3oD8beYlym0-zO54WY-2Qnp9I/edit?usp=sharing"",""กระบี่!I290"")"),5)</f>
        <v>5</v>
      </c>
      <c r="Y75" s="321">
        <f ca="1">IFERROR(__xludf.DUMMYFUNCTION("IMPORTRANGE(""https://docs.google.com/spreadsheets/d/1kC41EOXpGBFOW658Fs3oD8beYlym0-zO54WY-2Qnp9I/edit?usp=sharing"",""กระบี่!J290"")"),5)</f>
        <v>5</v>
      </c>
      <c r="Z75" s="322">
        <f t="shared" ca="1" si="29"/>
        <v>100</v>
      </c>
      <c r="AA75" s="321">
        <f ca="1">IFERROR(__xludf.DUMMYFUNCTION("IMPORTRANGE(""https://docs.google.com/spreadsheets/d/1kC41EOXpGBFOW658Fs3oD8beYlym0-zO54WY-2Qnp9I/edit?usp=sharing"",""กระบี่!J291"")"),5)</f>
        <v>5</v>
      </c>
      <c r="AB75" s="322">
        <f t="shared" ca="1" si="15"/>
        <v>100</v>
      </c>
      <c r="AC75" s="321">
        <f ca="1">IFERROR(__xludf.DUMMYFUNCTION("IMPORTRANGE(""https://docs.google.com/spreadsheets/d/1kC41EOXpGBFOW658Fs3oD8beYlym0-zO54WY-2Qnp9I/edit?usp=sharing"",""กระบี่!I293"")"),5)</f>
        <v>5</v>
      </c>
      <c r="AD75" s="321">
        <f ca="1">IFERROR(__xludf.DUMMYFUNCTION("IMPORTRANGE(""https://docs.google.com/spreadsheets/d/1kC41EOXpGBFOW658Fs3oD8beYlym0-zO54WY-2Qnp9I/edit?usp=sharing"",""กระบี่!J293"")"),5)</f>
        <v>5</v>
      </c>
      <c r="AE75" s="322">
        <f t="shared" ca="1" si="30"/>
        <v>100</v>
      </c>
      <c r="AF75" s="321">
        <f ca="1">IFERROR(__xludf.DUMMYFUNCTION("IMPORTRANGE(""https://docs.google.com/spreadsheets/d/1kC41EOXpGBFOW658Fs3oD8beYlym0-zO54WY-2Qnp9I/edit?usp=sharing"",""กระบี่!J294"")"),5)</f>
        <v>5</v>
      </c>
      <c r="AG75" s="322">
        <f t="shared" ca="1" si="18"/>
        <v>100</v>
      </c>
    </row>
    <row r="76" spans="1:33" ht="21" customHeight="1" x14ac:dyDescent="0.2">
      <c r="A76" s="73">
        <v>2</v>
      </c>
      <c r="B76" s="74" t="s">
        <v>98</v>
      </c>
      <c r="C76" s="75">
        <f t="shared" ca="1" si="0"/>
        <v>22630</v>
      </c>
      <c r="D76" s="76">
        <f t="shared" ca="1" si="55"/>
        <v>22630</v>
      </c>
      <c r="E76" s="77">
        <f ca="1">IFERROR(__xludf.DUMMYFUNCTION("IMPORTRANGE(""https://docs.google.com/spreadsheets/d/1MeEWN-I1oV_STSDYn1IFDPWt_1FKiwhDph83XaGc0o0/edit?usp=sharing"",""งบพรบ!DJ76"")"),0)</f>
        <v>0</v>
      </c>
      <c r="F76" s="77">
        <f ca="1">IFERROR(__xludf.DUMMYFUNCTION("IMPORTRANGE(""https://docs.google.com/spreadsheets/d/1MeEWN-I1oV_STSDYn1IFDPWt_1FKiwhDph83XaGc0o0/edit?usp=sharing"",""งบพรบ!DK76"")"),22630)</f>
        <v>22630</v>
      </c>
      <c r="G76" s="77">
        <f ca="1">IFERROR(__xludf.DUMMYFUNCTION("IMPORTRANGE(""https://docs.google.com/spreadsheets/d/1MeEWN-I1oV_STSDYn1IFDPWt_1FKiwhDph83XaGc0o0/edit?usp=sharing"",""งบพรบ!DL76"")"),0)</f>
        <v>0</v>
      </c>
      <c r="H76" s="77">
        <f ca="1">IFERROR(__xludf.DUMMYFUNCTION("IMPORTRANGE(""https://docs.google.com/spreadsheets/d/1MeEWN-I1oV_STSDYn1IFDPWt_1FKiwhDph83XaGc0o0/edit?usp=sharing"",""งบพรบ!DN76"")"),22630)</f>
        <v>22630</v>
      </c>
      <c r="I76" s="77">
        <f ca="1">IFERROR(__xludf.DUMMYFUNCTION("IMPORTRANGE(""https://docs.google.com/spreadsheets/d/1MeEWN-I1oV_STSDYn1IFDPWt_1FKiwhDph83XaGc0o0/edit?usp=sharing"",""งบพรบ!DO76"")"),0)</f>
        <v>0</v>
      </c>
      <c r="J76" s="77">
        <f t="shared" ca="1" si="3"/>
        <v>18540</v>
      </c>
      <c r="K76" s="78">
        <f t="shared" ca="1" si="4"/>
        <v>81.926646045072914</v>
      </c>
      <c r="L76" s="77">
        <f ca="1">IFERROR(__xludf.DUMMYFUNCTION("IMPORTRANGE(""https://docs.google.com/spreadsheets/d/1MeEWN-I1oV_STSDYn1IFDPWt_1FKiwhDph83XaGc0o0/edit?usp=sharing"",""งบพรบ!DP76"")"),18540)</f>
        <v>18540</v>
      </c>
      <c r="M76" s="79">
        <f t="shared" ca="1" si="5"/>
        <v>81.926646045072914</v>
      </c>
      <c r="N76" s="79">
        <f t="shared" ca="1" si="6"/>
        <v>81.926646045072914</v>
      </c>
      <c r="O76" s="80">
        <f ca="1">IFERROR(__xludf.DUMMYFUNCTION("IMPORTRANGE(""https://docs.google.com/spreadsheets/d/1MeEWN-I1oV_STSDYn1IFDPWt_1FKiwhDph83XaGc0o0/edit?usp=sharing"",""งบพรบ!DQ76"")"),0)</f>
        <v>0</v>
      </c>
      <c r="P76" s="80">
        <f t="shared" ca="1" si="32"/>
        <v>0</v>
      </c>
      <c r="Q76" s="79">
        <f t="shared" ca="1" si="8"/>
        <v>0</v>
      </c>
      <c r="R76" s="323">
        <f ca="1">IFERROR(__xludf.DUMMYFUNCTION("IMPORTRANGE(""https://docs.google.com/spreadsheets/d/1FbzMZY_f3MDiEuK7RpCQKrilJ_kpX0Wm7QBZ1L7EjIU/edit?usp=sharing"",""ชุมพร!I287"")"),50)</f>
        <v>50</v>
      </c>
      <c r="S76" s="323">
        <f ca="1">IFERROR(__xludf.DUMMYFUNCTION("IMPORTRANGE(""https://docs.google.com/spreadsheets/d/1FbzMZY_f3MDiEuK7RpCQKrilJ_kpX0Wm7QBZ1L7EjIU/edit?usp=sharing"",""ชุมพร!J287"")"),50)</f>
        <v>50</v>
      </c>
      <c r="T76" s="324">
        <f t="shared" ca="1" si="27"/>
        <v>100</v>
      </c>
      <c r="U76" s="323">
        <f ca="1">IFERROR(__xludf.DUMMYFUNCTION("IMPORTRANGE(""https://docs.google.com/spreadsheets/d/1FbzMZY_f3MDiEuK7RpCQKrilJ_kpX0Wm7QBZ1L7EjIU/edit?usp=sharing"",""ชุมพร!I288"")"),5)</f>
        <v>5</v>
      </c>
      <c r="V76" s="323">
        <f ca="1">IFERROR(__xludf.DUMMYFUNCTION("IMPORTRANGE(""https://docs.google.com/spreadsheets/d/1FbzMZY_f3MDiEuK7RpCQKrilJ_kpX0Wm7QBZ1L7EjIU/edit?usp=sharing"",""ชุมพร!J288"")"),10)</f>
        <v>10</v>
      </c>
      <c r="W76" s="324">
        <f t="shared" ca="1" si="28"/>
        <v>200</v>
      </c>
      <c r="X76" s="323">
        <f ca="1">IFERROR(__xludf.DUMMYFUNCTION("IMPORTRANGE(""https://docs.google.com/spreadsheets/d/1FbzMZY_f3MDiEuK7RpCQKrilJ_kpX0Wm7QBZ1L7EjIU/edit?usp=sharing"",""ชุมพร!I290"")"),5)</f>
        <v>5</v>
      </c>
      <c r="Y76" s="323">
        <f ca="1">IFERROR(__xludf.DUMMYFUNCTION("IMPORTRANGE(""https://docs.google.com/spreadsheets/d/1FbzMZY_f3MDiEuK7RpCQKrilJ_kpX0Wm7QBZ1L7EjIU/edit?usp=sharing"",""ชุมพร!J290"")"),10)</f>
        <v>10</v>
      </c>
      <c r="Z76" s="324">
        <f t="shared" ca="1" si="29"/>
        <v>200</v>
      </c>
      <c r="AA76" s="323">
        <f ca="1">IFERROR(__xludf.DUMMYFUNCTION("IMPORTRANGE(""https://docs.google.com/spreadsheets/d/1FbzMZY_f3MDiEuK7RpCQKrilJ_kpX0Wm7QBZ1L7EjIU/edit?usp=sharing"",""ชุมพร!J291"")"),10)</f>
        <v>10</v>
      </c>
      <c r="AB76" s="324">
        <f t="shared" ca="1" si="15"/>
        <v>200</v>
      </c>
      <c r="AC76" s="323">
        <f ca="1">IFERROR(__xludf.DUMMYFUNCTION("IMPORTRANGE(""https://docs.google.com/spreadsheets/d/1FbzMZY_f3MDiEuK7RpCQKrilJ_kpX0Wm7QBZ1L7EjIU/edit?usp=sharing"",""ชุมพร!I293"")"),5)</f>
        <v>5</v>
      </c>
      <c r="AD76" s="323">
        <f ca="1">IFERROR(__xludf.DUMMYFUNCTION("IMPORTRANGE(""https://docs.google.com/spreadsheets/d/1FbzMZY_f3MDiEuK7RpCQKrilJ_kpX0Wm7QBZ1L7EjIU/edit?usp=sharing"",""ชุมพร!J293"")"),10)</f>
        <v>10</v>
      </c>
      <c r="AE76" s="324">
        <f t="shared" ca="1" si="30"/>
        <v>200</v>
      </c>
      <c r="AF76" s="323">
        <f ca="1">IFERROR(__xludf.DUMMYFUNCTION("IMPORTRANGE(""https://docs.google.com/spreadsheets/d/1FbzMZY_f3MDiEuK7RpCQKrilJ_kpX0Wm7QBZ1L7EjIU/edit?usp=sharing"",""ชุมพร!J294"")"),10)</f>
        <v>10</v>
      </c>
      <c r="AG76" s="324">
        <f t="shared" ca="1" si="18"/>
        <v>200</v>
      </c>
    </row>
    <row r="77" spans="1:33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55"/>
        <v>0</v>
      </c>
      <c r="E77" s="77">
        <f ca="1">IFERROR(__xludf.DUMMYFUNCTION("IMPORTRANGE(""https://docs.google.com/spreadsheets/d/1MeEWN-I1oV_STSDYn1IFDPWt_1FKiwhDph83XaGc0o0/edit?usp=sharing"",""งบพรบ!DJ77"")"),0)</f>
        <v>0</v>
      </c>
      <c r="F77" s="77">
        <f ca="1">IFERROR(__xludf.DUMMYFUNCTION("IMPORTRANGE(""https://docs.google.com/spreadsheets/d/1MeEWN-I1oV_STSDYn1IFDPWt_1FKiwhDph83XaGc0o0/edit?usp=sharing"",""งบพรบ!DK77"")"),0)</f>
        <v>0</v>
      </c>
      <c r="G77" s="77">
        <f ca="1">IFERROR(__xludf.DUMMYFUNCTION("IMPORTRANGE(""https://docs.google.com/spreadsheets/d/1MeEWN-I1oV_STSDYn1IFDPWt_1FKiwhDph83XaGc0o0/edit?usp=sharing"",""งบพรบ!DL77"")"),0)</f>
        <v>0</v>
      </c>
      <c r="H77" s="77">
        <f ca="1">IFERROR(__xludf.DUMMYFUNCTION("IMPORTRANGE(""https://docs.google.com/spreadsheets/d/1MeEWN-I1oV_STSDYn1IFDPWt_1FKiwhDph83XaGc0o0/edit?usp=sharing"",""งบพรบ!DN77"")"),0)</f>
        <v>0</v>
      </c>
      <c r="I77" s="77">
        <f ca="1">IFERROR(__xludf.DUMMYFUNCTION("IMPORTRANGE(""https://docs.google.com/spreadsheets/d/1MeEWN-I1oV_STSDYn1IFDPWt_1FKiwhDph83XaGc0o0/edit?usp=sharing"",""งบพรบ!DO77"")"),0)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IFERROR(__xludf.DUMMYFUNCTION("IMPORTRANGE(""https://docs.google.com/spreadsheets/d/1MeEWN-I1oV_STSDYn1IFDPWt_1FKiwhDph83XaGc0o0/edit?usp=sharing"",""งบพรบ!DP77"")"),0)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IFERROR(__xludf.DUMMYFUNCTION("IMPORTRANGE(""https://docs.google.com/spreadsheets/d/1MeEWN-I1oV_STSDYn1IFDPWt_1FKiwhDph83XaGc0o0/edit?usp=sharing"",""งบพรบ!DQ77"")"),0)</f>
        <v>0</v>
      </c>
      <c r="P77" s="80">
        <f t="shared" ca="1" si="32"/>
        <v>0</v>
      </c>
      <c r="Q77" s="79">
        <f t="shared" ca="1" si="8"/>
        <v>0</v>
      </c>
      <c r="R77" s="323">
        <f ca="1">IFERROR(__xludf.DUMMYFUNCTION("IMPORTRANGE(""https://docs.google.com/spreadsheets/d/1v5sN-00LrXuhBxw4dkh2GrG_z4l5oAqOdJRBCsUyMaM/edit?usp=sharing"",""ตรัง!I287"")"),0)</f>
        <v>0</v>
      </c>
      <c r="S77" s="323">
        <f ca="1">IFERROR(__xludf.DUMMYFUNCTION("IMPORTRANGE(""https://docs.google.com/spreadsheets/d/1v5sN-00LrXuhBxw4dkh2GrG_z4l5oAqOdJRBCsUyMaM/edit?usp=sharing"",""ตรัง!J287"")"),0)</f>
        <v>0</v>
      </c>
      <c r="T77" s="324">
        <f t="shared" ca="1" si="27"/>
        <v>0</v>
      </c>
      <c r="U77" s="323">
        <f ca="1">IFERROR(__xludf.DUMMYFUNCTION("IMPORTRANGE(""https://docs.google.com/spreadsheets/d/1v5sN-00LrXuhBxw4dkh2GrG_z4l5oAqOdJRBCsUyMaM/edit?usp=sharing"",""ตรัง!I288"")"),0)</f>
        <v>0</v>
      </c>
      <c r="V77" s="323">
        <f ca="1">IFERROR(__xludf.DUMMYFUNCTION("IMPORTRANGE(""https://docs.google.com/spreadsheets/d/1v5sN-00LrXuhBxw4dkh2GrG_z4l5oAqOdJRBCsUyMaM/edit?usp=sharing"",""ตรัง!J288"")"),0)</f>
        <v>0</v>
      </c>
      <c r="W77" s="324">
        <f t="shared" ca="1" si="28"/>
        <v>0</v>
      </c>
      <c r="X77" s="323">
        <f ca="1">IFERROR(__xludf.DUMMYFUNCTION("IMPORTRANGE(""https://docs.google.com/spreadsheets/d/1v5sN-00LrXuhBxw4dkh2GrG_z4l5oAqOdJRBCsUyMaM/edit?usp=sharing"",""ตรัง!I290"")"),0)</f>
        <v>0</v>
      </c>
      <c r="Y77" s="323">
        <f ca="1">IFERROR(__xludf.DUMMYFUNCTION("IMPORTRANGE(""https://docs.google.com/spreadsheets/d/1v5sN-00LrXuhBxw4dkh2GrG_z4l5oAqOdJRBCsUyMaM/edit?usp=sharing"",""ตรัง!J290"")"),0)</f>
        <v>0</v>
      </c>
      <c r="Z77" s="324">
        <f t="shared" ca="1" si="29"/>
        <v>0</v>
      </c>
      <c r="AA77" s="323">
        <f ca="1">IFERROR(__xludf.DUMMYFUNCTION("IMPORTRANGE(""https://docs.google.com/spreadsheets/d/1v5sN-00LrXuhBxw4dkh2GrG_z4l5oAqOdJRBCsUyMaM/edit?usp=sharing"",""ตรัง!J291"")"),0)</f>
        <v>0</v>
      </c>
      <c r="AB77" s="324">
        <f t="shared" ca="1" si="15"/>
        <v>0</v>
      </c>
      <c r="AC77" s="323">
        <f ca="1">IFERROR(__xludf.DUMMYFUNCTION("IMPORTRANGE(""https://docs.google.com/spreadsheets/d/1v5sN-00LrXuhBxw4dkh2GrG_z4l5oAqOdJRBCsUyMaM/edit?usp=sharing"",""ตรัง!I293"")"),0)</f>
        <v>0</v>
      </c>
      <c r="AD77" s="323">
        <f ca="1">IFERROR(__xludf.DUMMYFUNCTION("IMPORTRANGE(""https://docs.google.com/spreadsheets/d/1v5sN-00LrXuhBxw4dkh2GrG_z4l5oAqOdJRBCsUyMaM/edit?usp=sharing"",""ตรัง!J293"")"),0)</f>
        <v>0</v>
      </c>
      <c r="AE77" s="324">
        <f t="shared" ca="1" si="30"/>
        <v>0</v>
      </c>
      <c r="AF77" s="323">
        <f ca="1">IFERROR(__xludf.DUMMYFUNCTION("IMPORTRANGE(""https://docs.google.com/spreadsheets/d/1v5sN-00LrXuhBxw4dkh2GrG_z4l5oAqOdJRBCsUyMaM/edit?usp=sharing"",""ตรัง!J294"")"),0)</f>
        <v>0</v>
      </c>
      <c r="AG77" s="324">
        <f t="shared" ca="1" si="18"/>
        <v>0</v>
      </c>
    </row>
    <row r="78" spans="1:33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55"/>
        <v>0</v>
      </c>
      <c r="E78" s="77">
        <f ca="1">IFERROR(__xludf.DUMMYFUNCTION("IMPORTRANGE(""https://docs.google.com/spreadsheets/d/1MeEWN-I1oV_STSDYn1IFDPWt_1FKiwhDph83XaGc0o0/edit?usp=sharing"",""งบพรบ!DJ78"")"),0)</f>
        <v>0</v>
      </c>
      <c r="F78" s="77">
        <f ca="1">IFERROR(__xludf.DUMMYFUNCTION("IMPORTRANGE(""https://docs.google.com/spreadsheets/d/1MeEWN-I1oV_STSDYn1IFDPWt_1FKiwhDph83XaGc0o0/edit?usp=sharing"",""งบพรบ!DK78"")"),0)</f>
        <v>0</v>
      </c>
      <c r="G78" s="77">
        <f ca="1">IFERROR(__xludf.DUMMYFUNCTION("IMPORTRANGE(""https://docs.google.com/spreadsheets/d/1MeEWN-I1oV_STSDYn1IFDPWt_1FKiwhDph83XaGc0o0/edit?usp=sharing"",""งบพรบ!DL78"")"),0)</f>
        <v>0</v>
      </c>
      <c r="H78" s="77">
        <f ca="1">IFERROR(__xludf.DUMMYFUNCTION("IMPORTRANGE(""https://docs.google.com/spreadsheets/d/1MeEWN-I1oV_STSDYn1IFDPWt_1FKiwhDph83XaGc0o0/edit?usp=sharing"",""งบพรบ!DN78"")"),0)</f>
        <v>0</v>
      </c>
      <c r="I78" s="77">
        <f ca="1">IFERROR(__xludf.DUMMYFUNCTION("IMPORTRANGE(""https://docs.google.com/spreadsheets/d/1MeEWN-I1oV_STSDYn1IFDPWt_1FKiwhDph83XaGc0o0/edit?usp=sharing"",""งบพรบ!DO78"")"),0)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IFERROR(__xludf.DUMMYFUNCTION("IMPORTRANGE(""https://docs.google.com/spreadsheets/d/1MeEWN-I1oV_STSDYn1IFDPWt_1FKiwhDph83XaGc0o0/edit?usp=sharing"",""งบพรบ!DP78"")"),0)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IFERROR(__xludf.DUMMYFUNCTION("IMPORTRANGE(""https://docs.google.com/spreadsheets/d/1MeEWN-I1oV_STSDYn1IFDPWt_1FKiwhDph83XaGc0o0/edit?usp=sharing"",""งบพรบ!DQ78"")"),0)</f>
        <v>0</v>
      </c>
      <c r="P78" s="80">
        <f t="shared" ca="1" si="32"/>
        <v>0</v>
      </c>
      <c r="Q78" s="79">
        <f t="shared" ca="1" si="8"/>
        <v>0</v>
      </c>
      <c r="R78" s="323">
        <f ca="1">IFERROR(__xludf.DUMMYFUNCTION("IMPORTRANGE(""https://docs.google.com/spreadsheets/d/1T5rRTzFc79aSIvqnzkZNvwPstq829QYz_xALlO1Z0s8/edit?usp=sharing"",""นครศรีธรรมราช!I287"")"),0)</f>
        <v>0</v>
      </c>
      <c r="S78" s="323">
        <f ca="1">IFERROR(__xludf.DUMMYFUNCTION("IMPORTRANGE(""https://docs.google.com/spreadsheets/d/1T5rRTzFc79aSIvqnzkZNvwPstq829QYz_xALlO1Z0s8/edit?usp=sharing"",""นครศรีธรรมราช!J287"")"),0)</f>
        <v>0</v>
      </c>
      <c r="T78" s="324">
        <f t="shared" ca="1" si="27"/>
        <v>0</v>
      </c>
      <c r="U78" s="323">
        <f ca="1">IFERROR(__xludf.DUMMYFUNCTION("IMPORTRANGE(""https://docs.google.com/spreadsheets/d/1T5rRTzFc79aSIvqnzkZNvwPstq829QYz_xALlO1Z0s8/edit?usp=sharing"",""นครศรีธรรมราช!I288"")"),0)</f>
        <v>0</v>
      </c>
      <c r="V78" s="323">
        <f ca="1">IFERROR(__xludf.DUMMYFUNCTION("IMPORTRANGE(""https://docs.google.com/spreadsheets/d/1T5rRTzFc79aSIvqnzkZNvwPstq829QYz_xALlO1Z0s8/edit?usp=sharing"",""นครศรีธรรมราช!J288"")"),0)</f>
        <v>0</v>
      </c>
      <c r="W78" s="324">
        <f t="shared" ca="1" si="28"/>
        <v>0</v>
      </c>
      <c r="X78" s="323">
        <f ca="1">IFERROR(__xludf.DUMMYFUNCTION("IMPORTRANGE(""https://docs.google.com/spreadsheets/d/1T5rRTzFc79aSIvqnzkZNvwPstq829QYz_xALlO1Z0s8/edit?usp=sharing"",""นครศรีธรรมราช!I290"")"),0)</f>
        <v>0</v>
      </c>
      <c r="Y78" s="323">
        <f ca="1">IFERROR(__xludf.DUMMYFUNCTION("IMPORTRANGE(""https://docs.google.com/spreadsheets/d/1T5rRTzFc79aSIvqnzkZNvwPstq829QYz_xALlO1Z0s8/edit?usp=sharing"",""นครศรีธรรมราช!J290"")"),0)</f>
        <v>0</v>
      </c>
      <c r="Z78" s="324">
        <f t="shared" ca="1" si="29"/>
        <v>0</v>
      </c>
      <c r="AA78" s="323">
        <f ca="1">IFERROR(__xludf.DUMMYFUNCTION("IMPORTRANGE(""https://docs.google.com/spreadsheets/d/1T5rRTzFc79aSIvqnzkZNvwPstq829QYz_xALlO1Z0s8/edit?usp=sharing"",""นครศรีธรรมราช!J291"")"),0)</f>
        <v>0</v>
      </c>
      <c r="AB78" s="324">
        <f t="shared" ca="1" si="15"/>
        <v>0</v>
      </c>
      <c r="AC78" s="323">
        <f ca="1">IFERROR(__xludf.DUMMYFUNCTION("IMPORTRANGE(""https://docs.google.com/spreadsheets/d/1T5rRTzFc79aSIvqnzkZNvwPstq829QYz_xALlO1Z0s8/edit?usp=sharing"",""นครศรีธรรมราช!I293"")"),0)</f>
        <v>0</v>
      </c>
      <c r="AD78" s="323">
        <f ca="1">IFERROR(__xludf.DUMMYFUNCTION("IMPORTRANGE(""https://docs.google.com/spreadsheets/d/1T5rRTzFc79aSIvqnzkZNvwPstq829QYz_xALlO1Z0s8/edit?usp=sharing"",""นครศรีธรรมราช!J293"")"),0)</f>
        <v>0</v>
      </c>
      <c r="AE78" s="324">
        <f t="shared" ca="1" si="30"/>
        <v>0</v>
      </c>
      <c r="AF78" s="323">
        <f ca="1">IFERROR(__xludf.DUMMYFUNCTION("IMPORTRANGE(""https://docs.google.com/spreadsheets/d/1T5rRTzFc79aSIvqnzkZNvwPstq829QYz_xALlO1Z0s8/edit?usp=sharing"",""นครศรีธรรมราช!J294"")"),0)</f>
        <v>0</v>
      </c>
      <c r="AG78" s="324">
        <f t="shared" ca="1" si="18"/>
        <v>0</v>
      </c>
    </row>
    <row r="79" spans="1:33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55"/>
        <v>0</v>
      </c>
      <c r="E79" s="77">
        <f ca="1">IFERROR(__xludf.DUMMYFUNCTION("IMPORTRANGE(""https://docs.google.com/spreadsheets/d/1MeEWN-I1oV_STSDYn1IFDPWt_1FKiwhDph83XaGc0o0/edit?usp=sharing"",""งบพรบ!DJ79"")"),0)</f>
        <v>0</v>
      </c>
      <c r="F79" s="77">
        <f ca="1">IFERROR(__xludf.DUMMYFUNCTION("IMPORTRANGE(""https://docs.google.com/spreadsheets/d/1MeEWN-I1oV_STSDYn1IFDPWt_1FKiwhDph83XaGc0o0/edit?usp=sharing"",""งบพรบ!DK79"")"),0)</f>
        <v>0</v>
      </c>
      <c r="G79" s="77">
        <f ca="1">IFERROR(__xludf.DUMMYFUNCTION("IMPORTRANGE(""https://docs.google.com/spreadsheets/d/1MeEWN-I1oV_STSDYn1IFDPWt_1FKiwhDph83XaGc0o0/edit?usp=sharing"",""งบพรบ!DL79"")"),0)</f>
        <v>0</v>
      </c>
      <c r="H79" s="77">
        <f ca="1">IFERROR(__xludf.DUMMYFUNCTION("IMPORTRANGE(""https://docs.google.com/spreadsheets/d/1MeEWN-I1oV_STSDYn1IFDPWt_1FKiwhDph83XaGc0o0/edit?usp=sharing"",""งบพรบ!DN79"")"),0)</f>
        <v>0</v>
      </c>
      <c r="I79" s="77">
        <f ca="1">IFERROR(__xludf.DUMMYFUNCTION("IMPORTRANGE(""https://docs.google.com/spreadsheets/d/1MeEWN-I1oV_STSDYn1IFDPWt_1FKiwhDph83XaGc0o0/edit?usp=sharing"",""งบพรบ!DO79"")"),0)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IFERROR(__xludf.DUMMYFUNCTION("IMPORTRANGE(""https://docs.google.com/spreadsheets/d/1MeEWN-I1oV_STSDYn1IFDPWt_1FKiwhDph83XaGc0o0/edit?usp=sharing"",""งบพรบ!DP79"")"),0)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IFERROR(__xludf.DUMMYFUNCTION("IMPORTRANGE(""https://docs.google.com/spreadsheets/d/1MeEWN-I1oV_STSDYn1IFDPWt_1FKiwhDph83XaGc0o0/edit?usp=sharing"",""งบพรบ!DQ79"")"),0)</f>
        <v>0</v>
      </c>
      <c r="P79" s="80">
        <f t="shared" ca="1" si="32"/>
        <v>0</v>
      </c>
      <c r="Q79" s="79">
        <f t="shared" ca="1" si="8"/>
        <v>0</v>
      </c>
      <c r="R79" s="323">
        <f ca="1">IFERROR(__xludf.DUMMYFUNCTION("IMPORTRANGE(""https://docs.google.com/spreadsheets/d/1BeghqumK0IvCmRd2QOy6_afsZq7ZtAGrSnVJy2u7WmY/edit?usp=sharing"",""นราธิวาส!I287"")"),0)</f>
        <v>0</v>
      </c>
      <c r="S79" s="323">
        <f ca="1">IFERROR(__xludf.DUMMYFUNCTION("IMPORTRANGE(""https://docs.google.com/spreadsheets/d/1BeghqumK0IvCmRd2QOy6_afsZq7ZtAGrSnVJy2u7WmY/edit?usp=sharing"",""นราธิวาส!J287"")"),0)</f>
        <v>0</v>
      </c>
      <c r="T79" s="324">
        <f t="shared" ca="1" si="27"/>
        <v>0</v>
      </c>
      <c r="U79" s="323">
        <f ca="1">IFERROR(__xludf.DUMMYFUNCTION("IMPORTRANGE(""https://docs.google.com/spreadsheets/d/1BeghqumK0IvCmRd2QOy6_afsZq7ZtAGrSnVJy2u7WmY/edit?usp=sharing"",""นราธิวาส!I288"")"),0)</f>
        <v>0</v>
      </c>
      <c r="V79" s="323">
        <f ca="1">IFERROR(__xludf.DUMMYFUNCTION("IMPORTRANGE(""https://docs.google.com/spreadsheets/d/1BeghqumK0IvCmRd2QOy6_afsZq7ZtAGrSnVJy2u7WmY/edit?usp=sharing"",""นราธิวาส!J288"")"),0)</f>
        <v>0</v>
      </c>
      <c r="W79" s="324">
        <f t="shared" ca="1" si="28"/>
        <v>0</v>
      </c>
      <c r="X79" s="323">
        <f ca="1">IFERROR(__xludf.DUMMYFUNCTION("IMPORTRANGE(""https://docs.google.com/spreadsheets/d/1BeghqumK0IvCmRd2QOy6_afsZq7ZtAGrSnVJy2u7WmY/edit?usp=sharing"",""นราธิวาส!I290"")"),0)</f>
        <v>0</v>
      </c>
      <c r="Y79" s="323">
        <f ca="1">IFERROR(__xludf.DUMMYFUNCTION("IMPORTRANGE(""https://docs.google.com/spreadsheets/d/1BeghqumK0IvCmRd2QOy6_afsZq7ZtAGrSnVJy2u7WmY/edit?usp=sharing"",""นราธิวาส!J290"")"),0)</f>
        <v>0</v>
      </c>
      <c r="Z79" s="324">
        <f t="shared" ca="1" si="29"/>
        <v>0</v>
      </c>
      <c r="AA79" s="323">
        <f ca="1">IFERROR(__xludf.DUMMYFUNCTION("IMPORTRANGE(""https://docs.google.com/spreadsheets/d/1BeghqumK0IvCmRd2QOy6_afsZq7ZtAGrSnVJy2u7WmY/edit?usp=sharing"",""นราธิวาส!J291"")"),0)</f>
        <v>0</v>
      </c>
      <c r="AB79" s="324">
        <f t="shared" ca="1" si="15"/>
        <v>0</v>
      </c>
      <c r="AC79" s="323">
        <f ca="1">IFERROR(__xludf.DUMMYFUNCTION("IMPORTRANGE(""https://docs.google.com/spreadsheets/d/1BeghqumK0IvCmRd2QOy6_afsZq7ZtAGrSnVJy2u7WmY/edit?usp=sharing"",""นราธิวาส!I293"")"),0)</f>
        <v>0</v>
      </c>
      <c r="AD79" s="323">
        <f ca="1">IFERROR(__xludf.DUMMYFUNCTION("IMPORTRANGE(""https://docs.google.com/spreadsheets/d/1BeghqumK0IvCmRd2QOy6_afsZq7ZtAGrSnVJy2u7WmY/edit?usp=sharing"",""นราธิวาส!J293"")"),0)</f>
        <v>0</v>
      </c>
      <c r="AE79" s="324">
        <f t="shared" ca="1" si="30"/>
        <v>0</v>
      </c>
      <c r="AF79" s="323">
        <f ca="1">IFERROR(__xludf.DUMMYFUNCTION("IMPORTRANGE(""https://docs.google.com/spreadsheets/d/1BeghqumK0IvCmRd2QOy6_afsZq7ZtAGrSnVJy2u7WmY/edit?usp=sharing"",""นราธิวาส!J294"")"),0)</f>
        <v>0</v>
      </c>
      <c r="AG79" s="324">
        <f t="shared" ca="1" si="18"/>
        <v>0</v>
      </c>
    </row>
    <row r="80" spans="1:33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55"/>
        <v>0</v>
      </c>
      <c r="E80" s="77">
        <f ca="1">IFERROR(__xludf.DUMMYFUNCTION("IMPORTRANGE(""https://docs.google.com/spreadsheets/d/1MeEWN-I1oV_STSDYn1IFDPWt_1FKiwhDph83XaGc0o0/edit?usp=sharing"",""งบพรบ!DJ80"")"),0)</f>
        <v>0</v>
      </c>
      <c r="F80" s="77">
        <f ca="1">IFERROR(__xludf.DUMMYFUNCTION("IMPORTRANGE(""https://docs.google.com/spreadsheets/d/1MeEWN-I1oV_STSDYn1IFDPWt_1FKiwhDph83XaGc0o0/edit?usp=sharing"",""งบพรบ!DK80"")"),0)</f>
        <v>0</v>
      </c>
      <c r="G80" s="77">
        <f ca="1">IFERROR(__xludf.DUMMYFUNCTION("IMPORTRANGE(""https://docs.google.com/spreadsheets/d/1MeEWN-I1oV_STSDYn1IFDPWt_1FKiwhDph83XaGc0o0/edit?usp=sharing"",""งบพรบ!DL80"")"),0)</f>
        <v>0</v>
      </c>
      <c r="H80" s="77">
        <f ca="1">IFERROR(__xludf.DUMMYFUNCTION("IMPORTRANGE(""https://docs.google.com/spreadsheets/d/1MeEWN-I1oV_STSDYn1IFDPWt_1FKiwhDph83XaGc0o0/edit?usp=sharing"",""งบพรบ!DN80"")"),0)</f>
        <v>0</v>
      </c>
      <c r="I80" s="77">
        <f ca="1">IFERROR(__xludf.DUMMYFUNCTION("IMPORTRANGE(""https://docs.google.com/spreadsheets/d/1MeEWN-I1oV_STSDYn1IFDPWt_1FKiwhDph83XaGc0o0/edit?usp=sharing"",""งบพรบ!DO80"")"),0)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IFERROR(__xludf.DUMMYFUNCTION("IMPORTRANGE(""https://docs.google.com/spreadsheets/d/1MeEWN-I1oV_STSDYn1IFDPWt_1FKiwhDph83XaGc0o0/edit?usp=sharing"",""งบพรบ!DP80"")"),0)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IFERROR(__xludf.DUMMYFUNCTION("IMPORTRANGE(""https://docs.google.com/spreadsheets/d/1MeEWN-I1oV_STSDYn1IFDPWt_1FKiwhDph83XaGc0o0/edit?usp=sharing"",""งบพรบ!DQ80"")"),0)</f>
        <v>0</v>
      </c>
      <c r="P80" s="80">
        <f t="shared" ca="1" si="32"/>
        <v>0</v>
      </c>
      <c r="Q80" s="79">
        <f t="shared" ca="1" si="8"/>
        <v>0</v>
      </c>
      <c r="R80" s="323">
        <f ca="1">IFERROR(__xludf.DUMMYFUNCTION("IMPORTRANGE(""https://docs.google.com/spreadsheets/d/1IwnW3-jjRf74MCLW-6PiFwMUffRQXZwZA7YM609NmRc/edit?usp=sharing"",""ปัตตานี!I287"")"),0)</f>
        <v>0</v>
      </c>
      <c r="S80" s="323">
        <f ca="1">IFERROR(__xludf.DUMMYFUNCTION("IMPORTRANGE(""https://docs.google.com/spreadsheets/d/1IwnW3-jjRf74MCLW-6PiFwMUffRQXZwZA7YM609NmRc/edit?usp=sharing"",""ปัตตานี!J287"")"),0)</f>
        <v>0</v>
      </c>
      <c r="T80" s="324">
        <f t="shared" ca="1" si="27"/>
        <v>0</v>
      </c>
      <c r="U80" s="323">
        <f ca="1">IFERROR(__xludf.DUMMYFUNCTION("IMPORTRANGE(""https://docs.google.com/spreadsheets/d/1IwnW3-jjRf74MCLW-6PiFwMUffRQXZwZA7YM609NmRc/edit?usp=sharing"",""ปัตตานี!I288"")"),0)</f>
        <v>0</v>
      </c>
      <c r="V80" s="323">
        <f ca="1">IFERROR(__xludf.DUMMYFUNCTION("IMPORTRANGE(""https://docs.google.com/spreadsheets/d/1IwnW3-jjRf74MCLW-6PiFwMUffRQXZwZA7YM609NmRc/edit?usp=sharing"",""ปัตตานี!J288"")"),0)</f>
        <v>0</v>
      </c>
      <c r="W80" s="324">
        <f t="shared" ca="1" si="28"/>
        <v>0</v>
      </c>
      <c r="X80" s="323">
        <f ca="1">IFERROR(__xludf.DUMMYFUNCTION("IMPORTRANGE(""https://docs.google.com/spreadsheets/d/1IwnW3-jjRf74MCLW-6PiFwMUffRQXZwZA7YM609NmRc/edit?usp=sharing"",""ปัตตานี!I290"")"),0)</f>
        <v>0</v>
      </c>
      <c r="Y80" s="323">
        <f ca="1">IFERROR(__xludf.DUMMYFUNCTION("IMPORTRANGE(""https://docs.google.com/spreadsheets/d/1IwnW3-jjRf74MCLW-6PiFwMUffRQXZwZA7YM609NmRc/edit?usp=sharing"",""ปัตตานี!J290"")"),0)</f>
        <v>0</v>
      </c>
      <c r="Z80" s="324">
        <f t="shared" ca="1" si="29"/>
        <v>0</v>
      </c>
      <c r="AA80" s="323">
        <f ca="1">IFERROR(__xludf.DUMMYFUNCTION("IMPORTRANGE(""https://docs.google.com/spreadsheets/d/1IwnW3-jjRf74MCLW-6PiFwMUffRQXZwZA7YM609NmRc/edit?usp=sharing"",""ปัตตานี!J291"")"),0)</f>
        <v>0</v>
      </c>
      <c r="AB80" s="324">
        <f t="shared" ca="1" si="15"/>
        <v>0</v>
      </c>
      <c r="AC80" s="323">
        <f ca="1">IFERROR(__xludf.DUMMYFUNCTION("IMPORTRANGE(""https://docs.google.com/spreadsheets/d/1IwnW3-jjRf74MCLW-6PiFwMUffRQXZwZA7YM609NmRc/edit?usp=sharing"",""ปัตตานี!I293"")"),0)</f>
        <v>0</v>
      </c>
      <c r="AD80" s="323">
        <f ca="1">IFERROR(__xludf.DUMMYFUNCTION("IMPORTRANGE(""https://docs.google.com/spreadsheets/d/1IwnW3-jjRf74MCLW-6PiFwMUffRQXZwZA7YM609NmRc/edit?usp=sharing"",""ปัตตานี!J293"")"),0)</f>
        <v>0</v>
      </c>
      <c r="AE80" s="324">
        <f t="shared" ca="1" si="30"/>
        <v>0</v>
      </c>
      <c r="AF80" s="323">
        <f ca="1">IFERROR(__xludf.DUMMYFUNCTION("IMPORTRANGE(""https://docs.google.com/spreadsheets/d/1IwnW3-jjRf74MCLW-6PiFwMUffRQXZwZA7YM609NmRc/edit?usp=sharing"",""ปัตตานี!J294"")"),0)</f>
        <v>0</v>
      </c>
      <c r="AG80" s="324">
        <f t="shared" ca="1" si="18"/>
        <v>0</v>
      </c>
    </row>
    <row r="81" spans="1:33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55"/>
        <v>0</v>
      </c>
      <c r="E81" s="77">
        <f ca="1">IFERROR(__xludf.DUMMYFUNCTION("IMPORTRANGE(""https://docs.google.com/spreadsheets/d/1MeEWN-I1oV_STSDYn1IFDPWt_1FKiwhDph83XaGc0o0/edit?usp=sharing"",""งบพรบ!DJ81"")"),0)</f>
        <v>0</v>
      </c>
      <c r="F81" s="77">
        <f ca="1">IFERROR(__xludf.DUMMYFUNCTION("IMPORTRANGE(""https://docs.google.com/spreadsheets/d/1MeEWN-I1oV_STSDYn1IFDPWt_1FKiwhDph83XaGc0o0/edit?usp=sharing"",""งบพรบ!DK81"")"),0)</f>
        <v>0</v>
      </c>
      <c r="G81" s="77">
        <f ca="1">IFERROR(__xludf.DUMMYFUNCTION("IMPORTRANGE(""https://docs.google.com/spreadsheets/d/1MeEWN-I1oV_STSDYn1IFDPWt_1FKiwhDph83XaGc0o0/edit?usp=sharing"",""งบพรบ!DL81"")"),0)</f>
        <v>0</v>
      </c>
      <c r="H81" s="77">
        <f ca="1">IFERROR(__xludf.DUMMYFUNCTION("IMPORTRANGE(""https://docs.google.com/spreadsheets/d/1MeEWN-I1oV_STSDYn1IFDPWt_1FKiwhDph83XaGc0o0/edit?usp=sharing"",""งบพรบ!DN81"")"),0)</f>
        <v>0</v>
      </c>
      <c r="I81" s="77">
        <f ca="1">IFERROR(__xludf.DUMMYFUNCTION("IMPORTRANGE(""https://docs.google.com/spreadsheets/d/1MeEWN-I1oV_STSDYn1IFDPWt_1FKiwhDph83XaGc0o0/edit?usp=sharing"",""งบพรบ!DO81"")"),0)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IFERROR(__xludf.DUMMYFUNCTION("IMPORTRANGE(""https://docs.google.com/spreadsheets/d/1MeEWN-I1oV_STSDYn1IFDPWt_1FKiwhDph83XaGc0o0/edit?usp=sharing"",""งบพรบ!DP81"")"),0)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IFERROR(__xludf.DUMMYFUNCTION("IMPORTRANGE(""https://docs.google.com/spreadsheets/d/1MeEWN-I1oV_STSDYn1IFDPWt_1FKiwhDph83XaGc0o0/edit?usp=sharing"",""งบพรบ!DQ81"")"),0)</f>
        <v>0</v>
      </c>
      <c r="P81" s="80">
        <f t="shared" ca="1" si="32"/>
        <v>0</v>
      </c>
      <c r="Q81" s="79">
        <f t="shared" ca="1" si="8"/>
        <v>0</v>
      </c>
      <c r="R81" s="323">
        <f ca="1">IFERROR(__xludf.DUMMYFUNCTION("IMPORTRANGE(""https://docs.google.com/spreadsheets/d/1vl4QWbWdFruual5o_wdo6ZSqXZ_it806oja4CctTLKs/edit?usp=sharing"",""พังงา!I287"")"),0)</f>
        <v>0</v>
      </c>
      <c r="S81" s="323">
        <f ca="1">IFERROR(__xludf.DUMMYFUNCTION("IMPORTRANGE(""https://docs.google.com/spreadsheets/d/1vl4QWbWdFruual5o_wdo6ZSqXZ_it806oja4CctTLKs/edit?usp=sharing"",""พังงา!J287"")"),0)</f>
        <v>0</v>
      </c>
      <c r="T81" s="324">
        <f t="shared" ca="1" si="27"/>
        <v>0</v>
      </c>
      <c r="U81" s="323">
        <f ca="1">IFERROR(__xludf.DUMMYFUNCTION("IMPORTRANGE(""https://docs.google.com/spreadsheets/d/1vl4QWbWdFruual5o_wdo6ZSqXZ_it806oja4CctTLKs/edit?usp=sharing"",""พังงา!I288"")"),0)</f>
        <v>0</v>
      </c>
      <c r="V81" s="323">
        <f ca="1">IFERROR(__xludf.DUMMYFUNCTION("IMPORTRANGE(""https://docs.google.com/spreadsheets/d/1vl4QWbWdFruual5o_wdo6ZSqXZ_it806oja4CctTLKs/edit?usp=sharing"",""พังงา!J288"")"),0)</f>
        <v>0</v>
      </c>
      <c r="W81" s="324">
        <f t="shared" ca="1" si="28"/>
        <v>0</v>
      </c>
      <c r="X81" s="323">
        <f ca="1">IFERROR(__xludf.DUMMYFUNCTION("IMPORTRANGE(""https://docs.google.com/spreadsheets/d/1vl4QWbWdFruual5o_wdo6ZSqXZ_it806oja4CctTLKs/edit?usp=sharing"",""พังงา!I290"")"),0)</f>
        <v>0</v>
      </c>
      <c r="Y81" s="323">
        <f ca="1">IFERROR(__xludf.DUMMYFUNCTION("IMPORTRANGE(""https://docs.google.com/spreadsheets/d/1vl4QWbWdFruual5o_wdo6ZSqXZ_it806oja4CctTLKs/edit?usp=sharing"",""พังงา!J290"")"),0)</f>
        <v>0</v>
      </c>
      <c r="Z81" s="324">
        <f t="shared" ca="1" si="29"/>
        <v>0</v>
      </c>
      <c r="AA81" s="323">
        <f ca="1">IFERROR(__xludf.DUMMYFUNCTION("IMPORTRANGE(""https://docs.google.com/spreadsheets/d/1vl4QWbWdFruual5o_wdo6ZSqXZ_it806oja4CctTLKs/edit?usp=sharing"",""พังงา!J291"")"),0)</f>
        <v>0</v>
      </c>
      <c r="AB81" s="324">
        <f t="shared" ca="1" si="15"/>
        <v>0</v>
      </c>
      <c r="AC81" s="323">
        <f ca="1">IFERROR(__xludf.DUMMYFUNCTION("IMPORTRANGE(""https://docs.google.com/spreadsheets/d/1vl4QWbWdFruual5o_wdo6ZSqXZ_it806oja4CctTLKs/edit?usp=sharing"",""พังงา!I293"")"),0)</f>
        <v>0</v>
      </c>
      <c r="AD81" s="323">
        <f ca="1">IFERROR(__xludf.DUMMYFUNCTION("IMPORTRANGE(""https://docs.google.com/spreadsheets/d/1vl4QWbWdFruual5o_wdo6ZSqXZ_it806oja4CctTLKs/edit?usp=sharing"",""พังงา!J293"")"),0)</f>
        <v>0</v>
      </c>
      <c r="AE81" s="324">
        <f t="shared" ca="1" si="30"/>
        <v>0</v>
      </c>
      <c r="AF81" s="323">
        <f ca="1">IFERROR(__xludf.DUMMYFUNCTION("IMPORTRANGE(""https://docs.google.com/spreadsheets/d/1vl4QWbWdFruual5o_wdo6ZSqXZ_it806oja4CctTLKs/edit?usp=sharing"",""พังงา!J294"")"),0)</f>
        <v>0</v>
      </c>
      <c r="AG81" s="324">
        <f t="shared" ca="1" si="18"/>
        <v>0</v>
      </c>
    </row>
    <row r="82" spans="1:33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55"/>
        <v>0</v>
      </c>
      <c r="E82" s="77">
        <f ca="1">IFERROR(__xludf.DUMMYFUNCTION("IMPORTRANGE(""https://docs.google.com/spreadsheets/d/1MeEWN-I1oV_STSDYn1IFDPWt_1FKiwhDph83XaGc0o0/edit?usp=sharing"",""งบพรบ!DJ82"")"),0)</f>
        <v>0</v>
      </c>
      <c r="F82" s="77">
        <f ca="1">IFERROR(__xludf.DUMMYFUNCTION("IMPORTRANGE(""https://docs.google.com/spreadsheets/d/1MeEWN-I1oV_STSDYn1IFDPWt_1FKiwhDph83XaGc0o0/edit?usp=sharing"",""งบพรบ!DK82"")"),0)</f>
        <v>0</v>
      </c>
      <c r="G82" s="77">
        <f ca="1">IFERROR(__xludf.DUMMYFUNCTION("IMPORTRANGE(""https://docs.google.com/spreadsheets/d/1MeEWN-I1oV_STSDYn1IFDPWt_1FKiwhDph83XaGc0o0/edit?usp=sharing"",""งบพรบ!DL82"")"),0)</f>
        <v>0</v>
      </c>
      <c r="H82" s="77">
        <f ca="1">IFERROR(__xludf.DUMMYFUNCTION("IMPORTRANGE(""https://docs.google.com/spreadsheets/d/1MeEWN-I1oV_STSDYn1IFDPWt_1FKiwhDph83XaGc0o0/edit?usp=sharing"",""งบพรบ!DN82"")"),0)</f>
        <v>0</v>
      </c>
      <c r="I82" s="77">
        <f ca="1">IFERROR(__xludf.DUMMYFUNCTION("IMPORTRANGE(""https://docs.google.com/spreadsheets/d/1MeEWN-I1oV_STSDYn1IFDPWt_1FKiwhDph83XaGc0o0/edit?usp=sharing"",""งบพรบ!DO82"")"),0)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IFERROR(__xludf.DUMMYFUNCTION("IMPORTRANGE(""https://docs.google.com/spreadsheets/d/1MeEWN-I1oV_STSDYn1IFDPWt_1FKiwhDph83XaGc0o0/edit?usp=sharing"",""งบพรบ!DP82"")"),0)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IFERROR(__xludf.DUMMYFUNCTION("IMPORTRANGE(""https://docs.google.com/spreadsheets/d/1MeEWN-I1oV_STSDYn1IFDPWt_1FKiwhDph83XaGc0o0/edit?usp=sharing"",""งบพรบ!DQ82"")"),0)</f>
        <v>0</v>
      </c>
      <c r="P82" s="80">
        <f t="shared" ca="1" si="32"/>
        <v>0</v>
      </c>
      <c r="Q82" s="79">
        <f t="shared" ca="1" si="8"/>
        <v>0</v>
      </c>
      <c r="R82" s="323">
        <f ca="1">IFERROR(__xludf.DUMMYFUNCTION("IMPORTRANGE(""https://docs.google.com/spreadsheets/d/1b6QssHQp2FoAPSMKHOy273KNzAomaIKhtdlvuZ_zDNE/edit?usp=sharing"",""พัทลุง!I287"")"),0)</f>
        <v>0</v>
      </c>
      <c r="S82" s="323">
        <f ca="1">IFERROR(__xludf.DUMMYFUNCTION("IMPORTRANGE(""https://docs.google.com/spreadsheets/d/1b6QssHQp2FoAPSMKHOy273KNzAomaIKhtdlvuZ_zDNE/edit?usp=sharing"",""พัทลุง!J287"")"),0)</f>
        <v>0</v>
      </c>
      <c r="T82" s="324">
        <f t="shared" ca="1" si="27"/>
        <v>0</v>
      </c>
      <c r="U82" s="323">
        <f ca="1">IFERROR(__xludf.DUMMYFUNCTION("IMPORTRANGE(""https://docs.google.com/spreadsheets/d/1b6QssHQp2FoAPSMKHOy273KNzAomaIKhtdlvuZ_zDNE/edit?usp=sharing"",""พัทลุง!I288"")"),0)</f>
        <v>0</v>
      </c>
      <c r="V82" s="323">
        <f ca="1">IFERROR(__xludf.DUMMYFUNCTION("IMPORTRANGE(""https://docs.google.com/spreadsheets/d/1b6QssHQp2FoAPSMKHOy273KNzAomaIKhtdlvuZ_zDNE/edit?usp=sharing"",""พัทลุง!J288"")"),0)</f>
        <v>0</v>
      </c>
      <c r="W82" s="324">
        <f t="shared" ca="1" si="28"/>
        <v>0</v>
      </c>
      <c r="X82" s="323">
        <f ca="1">IFERROR(__xludf.DUMMYFUNCTION("IMPORTRANGE(""https://docs.google.com/spreadsheets/d/1b6QssHQp2FoAPSMKHOy273KNzAomaIKhtdlvuZ_zDNE/edit?usp=sharing"",""พัทลุง!I290"")"),0)</f>
        <v>0</v>
      </c>
      <c r="Y82" s="323">
        <f ca="1">IFERROR(__xludf.DUMMYFUNCTION("IMPORTRANGE(""https://docs.google.com/spreadsheets/d/1b6QssHQp2FoAPSMKHOy273KNzAomaIKhtdlvuZ_zDNE/edit?usp=sharing"",""พัทลุง!J290"")"),0)</f>
        <v>0</v>
      </c>
      <c r="Z82" s="324">
        <f t="shared" ca="1" si="29"/>
        <v>0</v>
      </c>
      <c r="AA82" s="323">
        <f ca="1">IFERROR(__xludf.DUMMYFUNCTION("IMPORTRANGE(""https://docs.google.com/spreadsheets/d/1b6QssHQp2FoAPSMKHOy273KNzAomaIKhtdlvuZ_zDNE/edit?usp=sharing"",""พัทลุง!J291"")"),0)</f>
        <v>0</v>
      </c>
      <c r="AB82" s="324">
        <f t="shared" ca="1" si="15"/>
        <v>0</v>
      </c>
      <c r="AC82" s="323">
        <f ca="1">IFERROR(__xludf.DUMMYFUNCTION("IMPORTRANGE(""https://docs.google.com/spreadsheets/d/1b6QssHQp2FoAPSMKHOy273KNzAomaIKhtdlvuZ_zDNE/edit?usp=sharing"",""พัทลุง!I293"")"),0)</f>
        <v>0</v>
      </c>
      <c r="AD82" s="323">
        <f ca="1">IFERROR(__xludf.DUMMYFUNCTION("IMPORTRANGE(""https://docs.google.com/spreadsheets/d/1b6QssHQp2FoAPSMKHOy273KNzAomaIKhtdlvuZ_zDNE/edit?usp=sharing"",""พัทลุง!J293"")"),0)</f>
        <v>0</v>
      </c>
      <c r="AE82" s="324">
        <f t="shared" ca="1" si="30"/>
        <v>0</v>
      </c>
      <c r="AF82" s="323">
        <f ca="1">IFERROR(__xludf.DUMMYFUNCTION("IMPORTRANGE(""https://docs.google.com/spreadsheets/d/1b6QssHQp2FoAPSMKHOy273KNzAomaIKhtdlvuZ_zDNE/edit?usp=sharing"",""พัทลุง!J294"")"),0)</f>
        <v>0</v>
      </c>
      <c r="AG82" s="324">
        <f t="shared" ca="1" si="18"/>
        <v>0</v>
      </c>
    </row>
    <row r="83" spans="1:33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55"/>
        <v>0</v>
      </c>
      <c r="E83" s="77">
        <f ca="1">IFERROR(__xludf.DUMMYFUNCTION("IMPORTRANGE(""https://docs.google.com/spreadsheets/d/1MeEWN-I1oV_STSDYn1IFDPWt_1FKiwhDph83XaGc0o0/edit?usp=sharing"",""งบพรบ!DJ83"")"),0)</f>
        <v>0</v>
      </c>
      <c r="F83" s="77">
        <f ca="1">IFERROR(__xludf.DUMMYFUNCTION("IMPORTRANGE(""https://docs.google.com/spreadsheets/d/1MeEWN-I1oV_STSDYn1IFDPWt_1FKiwhDph83XaGc0o0/edit?usp=sharing"",""งบพรบ!DK83"")"),0)</f>
        <v>0</v>
      </c>
      <c r="G83" s="77">
        <f ca="1">IFERROR(__xludf.DUMMYFUNCTION("IMPORTRANGE(""https://docs.google.com/spreadsheets/d/1MeEWN-I1oV_STSDYn1IFDPWt_1FKiwhDph83XaGc0o0/edit?usp=sharing"",""งบพรบ!DL83"")"),0)</f>
        <v>0</v>
      </c>
      <c r="H83" s="77">
        <f ca="1">IFERROR(__xludf.DUMMYFUNCTION("IMPORTRANGE(""https://docs.google.com/spreadsheets/d/1MeEWN-I1oV_STSDYn1IFDPWt_1FKiwhDph83XaGc0o0/edit?usp=sharing"",""งบพรบ!DN83"")"),0)</f>
        <v>0</v>
      </c>
      <c r="I83" s="77">
        <f ca="1">IFERROR(__xludf.DUMMYFUNCTION("IMPORTRANGE(""https://docs.google.com/spreadsheets/d/1MeEWN-I1oV_STSDYn1IFDPWt_1FKiwhDph83XaGc0o0/edit?usp=sharing"",""งบพรบ!DO83"")"),0)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IFERROR(__xludf.DUMMYFUNCTION("IMPORTRANGE(""https://docs.google.com/spreadsheets/d/1MeEWN-I1oV_STSDYn1IFDPWt_1FKiwhDph83XaGc0o0/edit?usp=sharing"",""งบพรบ!DP83"")"),0)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IFERROR(__xludf.DUMMYFUNCTION("IMPORTRANGE(""https://docs.google.com/spreadsheets/d/1MeEWN-I1oV_STSDYn1IFDPWt_1FKiwhDph83XaGc0o0/edit?usp=sharing"",""งบพรบ!DQ83"")"),0)</f>
        <v>0</v>
      </c>
      <c r="P83" s="80">
        <f t="shared" ca="1" si="32"/>
        <v>0</v>
      </c>
      <c r="Q83" s="79">
        <f t="shared" ca="1" si="8"/>
        <v>0</v>
      </c>
      <c r="R83" s="323">
        <f ca="1">IFERROR(__xludf.DUMMYFUNCTION("IMPORTRANGE(""https://docs.google.com/spreadsheets/d/1o7UZe4_OqlqtLDHrj01Z2YFRSZDf1DMy1n3XViHaxRc/edit?usp=sharing"",""ภูเก็ต!I287"")"),0)</f>
        <v>0</v>
      </c>
      <c r="S83" s="323">
        <f ca="1">IFERROR(__xludf.DUMMYFUNCTION("IMPORTRANGE(""https://docs.google.com/spreadsheets/d/1o7UZe4_OqlqtLDHrj01Z2YFRSZDf1DMy1n3XViHaxRc/edit?usp=sharing"",""ภูเก็ต!J287"")"),0)</f>
        <v>0</v>
      </c>
      <c r="T83" s="324">
        <f t="shared" ca="1" si="27"/>
        <v>0</v>
      </c>
      <c r="U83" s="323">
        <f ca="1">IFERROR(__xludf.DUMMYFUNCTION("IMPORTRANGE(""https://docs.google.com/spreadsheets/d/1o7UZe4_OqlqtLDHrj01Z2YFRSZDf1DMy1n3XViHaxRc/edit?usp=sharing"",""ภูเก็ต!I288"")"),0)</f>
        <v>0</v>
      </c>
      <c r="V83" s="323">
        <f ca="1">IFERROR(__xludf.DUMMYFUNCTION("IMPORTRANGE(""https://docs.google.com/spreadsheets/d/1o7UZe4_OqlqtLDHrj01Z2YFRSZDf1DMy1n3XViHaxRc/edit?usp=sharing"",""ภูเก็ต!J288"")"),0)</f>
        <v>0</v>
      </c>
      <c r="W83" s="324">
        <f t="shared" ca="1" si="28"/>
        <v>0</v>
      </c>
      <c r="X83" s="323">
        <f ca="1">IFERROR(__xludf.DUMMYFUNCTION("IMPORTRANGE(""https://docs.google.com/spreadsheets/d/1o7UZe4_OqlqtLDHrj01Z2YFRSZDf1DMy1n3XViHaxRc/edit?usp=sharing"",""ภูเก็ต!I290"")"),0)</f>
        <v>0</v>
      </c>
      <c r="Y83" s="323">
        <f ca="1">IFERROR(__xludf.DUMMYFUNCTION("IMPORTRANGE(""https://docs.google.com/spreadsheets/d/1o7UZe4_OqlqtLDHrj01Z2YFRSZDf1DMy1n3XViHaxRc/edit?usp=sharing"",""ภูเก็ต!J290"")"),0)</f>
        <v>0</v>
      </c>
      <c r="Z83" s="324">
        <f t="shared" ca="1" si="29"/>
        <v>0</v>
      </c>
      <c r="AA83" s="323">
        <f ca="1">IFERROR(__xludf.DUMMYFUNCTION("IMPORTRANGE(""https://docs.google.com/spreadsheets/d/1o7UZe4_OqlqtLDHrj01Z2YFRSZDf1DMy1n3XViHaxRc/edit?usp=sharing"",""ภูเก็ต!J291"")"),0)</f>
        <v>0</v>
      </c>
      <c r="AB83" s="324">
        <f t="shared" ca="1" si="15"/>
        <v>0</v>
      </c>
      <c r="AC83" s="323">
        <f ca="1">IFERROR(__xludf.DUMMYFUNCTION("IMPORTRANGE(""https://docs.google.com/spreadsheets/d/1o7UZe4_OqlqtLDHrj01Z2YFRSZDf1DMy1n3XViHaxRc/edit?usp=sharing"",""ภูเก็ต!I293"")"),0)</f>
        <v>0</v>
      </c>
      <c r="AD83" s="323">
        <f ca="1">IFERROR(__xludf.DUMMYFUNCTION("IMPORTRANGE(""https://docs.google.com/spreadsheets/d/1o7UZe4_OqlqtLDHrj01Z2YFRSZDf1DMy1n3XViHaxRc/edit?usp=sharing"",""ภูเก็ต!J293"")"),0)</f>
        <v>0</v>
      </c>
      <c r="AE83" s="324">
        <f t="shared" ca="1" si="30"/>
        <v>0</v>
      </c>
      <c r="AF83" s="323">
        <f ca="1">IFERROR(__xludf.DUMMYFUNCTION("IMPORTRANGE(""https://docs.google.com/spreadsheets/d/1o7UZe4_OqlqtLDHrj01Z2YFRSZDf1DMy1n3XViHaxRc/edit?usp=sharing"",""ภูเก็ต!J294"")"),0)</f>
        <v>0</v>
      </c>
      <c r="AG83" s="324">
        <f t="shared" ca="1" si="18"/>
        <v>0</v>
      </c>
    </row>
    <row r="84" spans="1:33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55"/>
        <v>0</v>
      </c>
      <c r="E84" s="77">
        <f ca="1">IFERROR(__xludf.DUMMYFUNCTION("IMPORTRANGE(""https://docs.google.com/spreadsheets/d/1MeEWN-I1oV_STSDYn1IFDPWt_1FKiwhDph83XaGc0o0/edit?usp=sharing"",""งบพรบ!DJ84"")"),0)</f>
        <v>0</v>
      </c>
      <c r="F84" s="77">
        <f ca="1">IFERROR(__xludf.DUMMYFUNCTION("IMPORTRANGE(""https://docs.google.com/spreadsheets/d/1MeEWN-I1oV_STSDYn1IFDPWt_1FKiwhDph83XaGc0o0/edit?usp=sharing"",""งบพรบ!DK84"")"),0)</f>
        <v>0</v>
      </c>
      <c r="G84" s="77">
        <f ca="1">IFERROR(__xludf.DUMMYFUNCTION("IMPORTRANGE(""https://docs.google.com/spreadsheets/d/1MeEWN-I1oV_STSDYn1IFDPWt_1FKiwhDph83XaGc0o0/edit?usp=sharing"",""งบพรบ!DL84"")"),0)</f>
        <v>0</v>
      </c>
      <c r="H84" s="77">
        <f ca="1">IFERROR(__xludf.DUMMYFUNCTION("IMPORTRANGE(""https://docs.google.com/spreadsheets/d/1MeEWN-I1oV_STSDYn1IFDPWt_1FKiwhDph83XaGc0o0/edit?usp=sharing"",""งบพรบ!DN84"")"),0)</f>
        <v>0</v>
      </c>
      <c r="I84" s="77">
        <f ca="1">IFERROR(__xludf.DUMMYFUNCTION("IMPORTRANGE(""https://docs.google.com/spreadsheets/d/1MeEWN-I1oV_STSDYn1IFDPWt_1FKiwhDph83XaGc0o0/edit?usp=sharing"",""งบพรบ!DO84"")"),0)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IFERROR(__xludf.DUMMYFUNCTION("IMPORTRANGE(""https://docs.google.com/spreadsheets/d/1MeEWN-I1oV_STSDYn1IFDPWt_1FKiwhDph83XaGc0o0/edit?usp=sharing"",""งบพรบ!DP84"")"),0)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IFERROR(__xludf.DUMMYFUNCTION("IMPORTRANGE(""https://docs.google.com/spreadsheets/d/1MeEWN-I1oV_STSDYn1IFDPWt_1FKiwhDph83XaGc0o0/edit?usp=sharing"",""งบพรบ!DQ84"")"),0)</f>
        <v>0</v>
      </c>
      <c r="P84" s="80">
        <f t="shared" ca="1" si="32"/>
        <v>0</v>
      </c>
      <c r="Q84" s="79">
        <f t="shared" ca="1" si="8"/>
        <v>0</v>
      </c>
      <c r="R84" s="323">
        <f ca="1">IFERROR(__xludf.DUMMYFUNCTION("IMPORTRANGE(""https://docs.google.com/spreadsheets/d/1ctPm1vUzcUCPuOj9-eoHUD85PqINFqUB0TjdSWmR5-c/edit?usp=sharing"",""ยะลา!I287"")"),0)</f>
        <v>0</v>
      </c>
      <c r="S84" s="323">
        <f ca="1">IFERROR(__xludf.DUMMYFUNCTION("IMPORTRANGE(""https://docs.google.com/spreadsheets/d/1ctPm1vUzcUCPuOj9-eoHUD85PqINFqUB0TjdSWmR5-c/edit?usp=sharing"",""ยะลา!J287"")"),0)</f>
        <v>0</v>
      </c>
      <c r="T84" s="324">
        <f t="shared" ca="1" si="27"/>
        <v>0</v>
      </c>
      <c r="U84" s="323">
        <f ca="1">IFERROR(__xludf.DUMMYFUNCTION("IMPORTRANGE(""https://docs.google.com/spreadsheets/d/1ctPm1vUzcUCPuOj9-eoHUD85PqINFqUB0TjdSWmR5-c/edit?usp=sharing"",""ยะลา!I288"")"),0)</f>
        <v>0</v>
      </c>
      <c r="V84" s="323">
        <f ca="1">IFERROR(__xludf.DUMMYFUNCTION("IMPORTRANGE(""https://docs.google.com/spreadsheets/d/1ctPm1vUzcUCPuOj9-eoHUD85PqINFqUB0TjdSWmR5-c/edit?usp=sharing"",""ยะลา!J288"")"),0)</f>
        <v>0</v>
      </c>
      <c r="W84" s="324">
        <f t="shared" ca="1" si="28"/>
        <v>0</v>
      </c>
      <c r="X84" s="323">
        <f ca="1">IFERROR(__xludf.DUMMYFUNCTION("IMPORTRANGE(""https://docs.google.com/spreadsheets/d/1ctPm1vUzcUCPuOj9-eoHUD85PqINFqUB0TjdSWmR5-c/edit?usp=sharing"",""ยะลา!I290"")"),0)</f>
        <v>0</v>
      </c>
      <c r="Y84" s="323">
        <f ca="1">IFERROR(__xludf.DUMMYFUNCTION("IMPORTRANGE(""https://docs.google.com/spreadsheets/d/1ctPm1vUzcUCPuOj9-eoHUD85PqINFqUB0TjdSWmR5-c/edit?usp=sharing"",""ยะลา!J290"")"),0)</f>
        <v>0</v>
      </c>
      <c r="Z84" s="324">
        <f t="shared" ca="1" si="29"/>
        <v>0</v>
      </c>
      <c r="AA84" s="323">
        <f ca="1">IFERROR(__xludf.DUMMYFUNCTION("IMPORTRANGE(""https://docs.google.com/spreadsheets/d/1ctPm1vUzcUCPuOj9-eoHUD85PqINFqUB0TjdSWmR5-c/edit?usp=sharing"",""ยะลา!J291"")"),0)</f>
        <v>0</v>
      </c>
      <c r="AB84" s="324">
        <f t="shared" ca="1" si="15"/>
        <v>0</v>
      </c>
      <c r="AC84" s="323">
        <f ca="1">IFERROR(__xludf.DUMMYFUNCTION("IMPORTRANGE(""https://docs.google.com/spreadsheets/d/1ctPm1vUzcUCPuOj9-eoHUD85PqINFqUB0TjdSWmR5-c/edit?usp=sharing"",""ยะลา!I293"")"),0)</f>
        <v>0</v>
      </c>
      <c r="AD84" s="323">
        <f ca="1">IFERROR(__xludf.DUMMYFUNCTION("IMPORTRANGE(""https://docs.google.com/spreadsheets/d/1ctPm1vUzcUCPuOj9-eoHUD85PqINFqUB0TjdSWmR5-c/edit?usp=sharing"",""ยะลา!J293"")"),0)</f>
        <v>0</v>
      </c>
      <c r="AE84" s="324">
        <f t="shared" ca="1" si="30"/>
        <v>0</v>
      </c>
      <c r="AF84" s="323">
        <f ca="1">IFERROR(__xludf.DUMMYFUNCTION("IMPORTRANGE(""https://docs.google.com/spreadsheets/d/1ctPm1vUzcUCPuOj9-eoHUD85PqINFqUB0TjdSWmR5-c/edit?usp=sharing"",""ยะลา!J294"")"),0)</f>
        <v>0</v>
      </c>
      <c r="AG84" s="324">
        <f t="shared" ca="1" si="18"/>
        <v>0</v>
      </c>
    </row>
    <row r="85" spans="1:33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55"/>
        <v>0</v>
      </c>
      <c r="E85" s="77">
        <f ca="1">IFERROR(__xludf.DUMMYFUNCTION("IMPORTRANGE(""https://docs.google.com/spreadsheets/d/1MeEWN-I1oV_STSDYn1IFDPWt_1FKiwhDph83XaGc0o0/edit?usp=sharing"",""งบพรบ!DJ85"")"),0)</f>
        <v>0</v>
      </c>
      <c r="F85" s="77">
        <f ca="1">IFERROR(__xludf.DUMMYFUNCTION("IMPORTRANGE(""https://docs.google.com/spreadsheets/d/1MeEWN-I1oV_STSDYn1IFDPWt_1FKiwhDph83XaGc0o0/edit?usp=sharing"",""งบพรบ!DK85"")"),0)</f>
        <v>0</v>
      </c>
      <c r="G85" s="77">
        <f ca="1">IFERROR(__xludf.DUMMYFUNCTION("IMPORTRANGE(""https://docs.google.com/spreadsheets/d/1MeEWN-I1oV_STSDYn1IFDPWt_1FKiwhDph83XaGc0o0/edit?usp=sharing"",""งบพรบ!DL85"")"),0)</f>
        <v>0</v>
      </c>
      <c r="H85" s="77">
        <f ca="1">IFERROR(__xludf.DUMMYFUNCTION("IMPORTRANGE(""https://docs.google.com/spreadsheets/d/1MeEWN-I1oV_STSDYn1IFDPWt_1FKiwhDph83XaGc0o0/edit?usp=sharing"",""งบพรบ!DN85"")"),0)</f>
        <v>0</v>
      </c>
      <c r="I85" s="77">
        <f ca="1">IFERROR(__xludf.DUMMYFUNCTION("IMPORTRANGE(""https://docs.google.com/spreadsheets/d/1MeEWN-I1oV_STSDYn1IFDPWt_1FKiwhDph83XaGc0o0/edit?usp=sharing"",""งบพรบ!DO85"")"),0)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IFERROR(__xludf.DUMMYFUNCTION("IMPORTRANGE(""https://docs.google.com/spreadsheets/d/1MeEWN-I1oV_STSDYn1IFDPWt_1FKiwhDph83XaGc0o0/edit?usp=sharing"",""งบพรบ!DP85"")"),0)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IFERROR(__xludf.DUMMYFUNCTION("IMPORTRANGE(""https://docs.google.com/spreadsheets/d/1MeEWN-I1oV_STSDYn1IFDPWt_1FKiwhDph83XaGc0o0/edit?usp=sharing"",""งบพรบ!DQ85"")"),0)</f>
        <v>0</v>
      </c>
      <c r="P85" s="80">
        <f t="shared" ca="1" si="32"/>
        <v>0</v>
      </c>
      <c r="Q85" s="79">
        <f t="shared" ca="1" si="8"/>
        <v>0</v>
      </c>
      <c r="R85" s="323">
        <f ca="1">IFERROR(__xludf.DUMMYFUNCTION("IMPORTRANGE(""https://docs.google.com/spreadsheets/d/1YiDIE7Klmt8osgdapRqYWNr7iPGFSsiJqq46S7PYRE0/edit?usp=sharing"",""ระนอง!I287"")"),0)</f>
        <v>0</v>
      </c>
      <c r="S85" s="323">
        <f ca="1">IFERROR(__xludf.DUMMYFUNCTION("IMPORTRANGE(""https://docs.google.com/spreadsheets/d/1YiDIE7Klmt8osgdapRqYWNr7iPGFSsiJqq46S7PYRE0/edit?usp=sharing"",""ระนอง!J287"")"),0)</f>
        <v>0</v>
      </c>
      <c r="T85" s="324">
        <f t="shared" ca="1" si="27"/>
        <v>0</v>
      </c>
      <c r="U85" s="323">
        <f ca="1">IFERROR(__xludf.DUMMYFUNCTION("IMPORTRANGE(""https://docs.google.com/spreadsheets/d/1YiDIE7Klmt8osgdapRqYWNr7iPGFSsiJqq46S7PYRE0/edit?usp=sharing"",""ระนอง!I288"")"),0)</f>
        <v>0</v>
      </c>
      <c r="V85" s="323">
        <f ca="1">IFERROR(__xludf.DUMMYFUNCTION("IMPORTRANGE(""https://docs.google.com/spreadsheets/d/1YiDIE7Klmt8osgdapRqYWNr7iPGFSsiJqq46S7PYRE0/edit?usp=sharing"",""ระนอง!J288"")"),0)</f>
        <v>0</v>
      </c>
      <c r="W85" s="324">
        <f t="shared" ca="1" si="28"/>
        <v>0</v>
      </c>
      <c r="X85" s="323">
        <f ca="1">IFERROR(__xludf.DUMMYFUNCTION("IMPORTRANGE(""https://docs.google.com/spreadsheets/d/1YiDIE7Klmt8osgdapRqYWNr7iPGFSsiJqq46S7PYRE0/edit?usp=sharing"",""ระนอง!I290"")"),0)</f>
        <v>0</v>
      </c>
      <c r="Y85" s="323">
        <f ca="1">IFERROR(__xludf.DUMMYFUNCTION("IMPORTRANGE(""https://docs.google.com/spreadsheets/d/1YiDIE7Klmt8osgdapRqYWNr7iPGFSsiJqq46S7PYRE0/edit?usp=sharing"",""ระนอง!J290"")"),0)</f>
        <v>0</v>
      </c>
      <c r="Z85" s="324">
        <f t="shared" ca="1" si="29"/>
        <v>0</v>
      </c>
      <c r="AA85" s="323">
        <f ca="1">IFERROR(__xludf.DUMMYFUNCTION("IMPORTRANGE(""https://docs.google.com/spreadsheets/d/1YiDIE7Klmt8osgdapRqYWNr7iPGFSsiJqq46S7PYRE0/edit?usp=sharing"",""ระนอง!J291"")"),0)</f>
        <v>0</v>
      </c>
      <c r="AB85" s="324">
        <f t="shared" ca="1" si="15"/>
        <v>0</v>
      </c>
      <c r="AC85" s="323">
        <f ca="1">IFERROR(__xludf.DUMMYFUNCTION("IMPORTRANGE(""https://docs.google.com/spreadsheets/d/1YiDIE7Klmt8osgdapRqYWNr7iPGFSsiJqq46S7PYRE0/edit?usp=sharing"",""ระนอง!I293"")"),0)</f>
        <v>0</v>
      </c>
      <c r="AD85" s="323">
        <f ca="1">IFERROR(__xludf.DUMMYFUNCTION("IMPORTRANGE(""https://docs.google.com/spreadsheets/d/1YiDIE7Klmt8osgdapRqYWNr7iPGFSsiJqq46S7PYRE0/edit?usp=sharing"",""ระนอง!J293"")"),0)</f>
        <v>0</v>
      </c>
      <c r="AE85" s="324">
        <f t="shared" ca="1" si="30"/>
        <v>0</v>
      </c>
      <c r="AF85" s="323">
        <f ca="1">IFERROR(__xludf.DUMMYFUNCTION("IMPORTRANGE(""https://docs.google.com/spreadsheets/d/1YiDIE7Klmt8osgdapRqYWNr7iPGFSsiJqq46S7PYRE0/edit?usp=sharing"",""ระนอง!J294"")"),0)</f>
        <v>0</v>
      </c>
      <c r="AG85" s="324">
        <f t="shared" ca="1" si="18"/>
        <v>0</v>
      </c>
    </row>
    <row r="86" spans="1:33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55"/>
        <v>0</v>
      </c>
      <c r="E86" s="77">
        <f ca="1">IFERROR(__xludf.DUMMYFUNCTION("IMPORTRANGE(""https://docs.google.com/spreadsheets/d/1MeEWN-I1oV_STSDYn1IFDPWt_1FKiwhDph83XaGc0o0/edit?usp=sharing"",""งบพรบ!DJ86"")"),0)</f>
        <v>0</v>
      </c>
      <c r="F86" s="77">
        <f ca="1">IFERROR(__xludf.DUMMYFUNCTION("IMPORTRANGE(""https://docs.google.com/spreadsheets/d/1MeEWN-I1oV_STSDYn1IFDPWt_1FKiwhDph83XaGc0o0/edit?usp=sharing"",""งบพรบ!DK86"")"),0)</f>
        <v>0</v>
      </c>
      <c r="G86" s="77">
        <f ca="1">IFERROR(__xludf.DUMMYFUNCTION("IMPORTRANGE(""https://docs.google.com/spreadsheets/d/1MeEWN-I1oV_STSDYn1IFDPWt_1FKiwhDph83XaGc0o0/edit?usp=sharing"",""งบพรบ!DL86"")"),0)</f>
        <v>0</v>
      </c>
      <c r="H86" s="77">
        <f ca="1">IFERROR(__xludf.DUMMYFUNCTION("IMPORTRANGE(""https://docs.google.com/spreadsheets/d/1MeEWN-I1oV_STSDYn1IFDPWt_1FKiwhDph83XaGc0o0/edit?usp=sharing"",""งบพรบ!DN86"")"),0)</f>
        <v>0</v>
      </c>
      <c r="I86" s="77">
        <f ca="1">IFERROR(__xludf.DUMMYFUNCTION("IMPORTRANGE(""https://docs.google.com/spreadsheets/d/1MeEWN-I1oV_STSDYn1IFDPWt_1FKiwhDph83XaGc0o0/edit?usp=sharing"",""งบพรบ!DO86"")"),0)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IFERROR(__xludf.DUMMYFUNCTION("IMPORTRANGE(""https://docs.google.com/spreadsheets/d/1MeEWN-I1oV_STSDYn1IFDPWt_1FKiwhDph83XaGc0o0/edit?usp=sharing"",""งบพรบ!DP86"")"),0)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IFERROR(__xludf.DUMMYFUNCTION("IMPORTRANGE(""https://docs.google.com/spreadsheets/d/1MeEWN-I1oV_STSDYn1IFDPWt_1FKiwhDph83XaGc0o0/edit?usp=sharing"",""งบพรบ!DQ86"")"),0)</f>
        <v>0</v>
      </c>
      <c r="P86" s="80">
        <f t="shared" ca="1" si="32"/>
        <v>0</v>
      </c>
      <c r="Q86" s="79">
        <f t="shared" ca="1" si="8"/>
        <v>0</v>
      </c>
      <c r="R86" s="323">
        <f ca="1">IFERROR(__xludf.DUMMYFUNCTION("IMPORTRANGE(""https://docs.google.com/spreadsheets/d/16o_4B-V7AWw_6E93bSpXj_XxVv1oVQctk-B6z1dNEWU/edit?usp=sharing"",""สงขลา!I287"")"),0)</f>
        <v>0</v>
      </c>
      <c r="S86" s="323">
        <f ca="1">IFERROR(__xludf.DUMMYFUNCTION("IMPORTRANGE(""https://docs.google.com/spreadsheets/d/16o_4B-V7AWw_6E93bSpXj_XxVv1oVQctk-B6z1dNEWU/edit?usp=sharing"",""สงขลา!J287"")"),0)</f>
        <v>0</v>
      </c>
      <c r="T86" s="324">
        <f t="shared" ca="1" si="27"/>
        <v>0</v>
      </c>
      <c r="U86" s="323">
        <f ca="1">IFERROR(__xludf.DUMMYFUNCTION("IMPORTRANGE(""https://docs.google.com/spreadsheets/d/16o_4B-V7AWw_6E93bSpXj_XxVv1oVQctk-B6z1dNEWU/edit?usp=sharing"",""สงขลา!I288"")"),0)</f>
        <v>0</v>
      </c>
      <c r="V86" s="323">
        <f ca="1">IFERROR(__xludf.DUMMYFUNCTION("IMPORTRANGE(""https://docs.google.com/spreadsheets/d/16o_4B-V7AWw_6E93bSpXj_XxVv1oVQctk-B6z1dNEWU/edit?usp=sharing"",""สงขลา!J288"")"),0)</f>
        <v>0</v>
      </c>
      <c r="W86" s="324">
        <f t="shared" ca="1" si="28"/>
        <v>0</v>
      </c>
      <c r="X86" s="323">
        <f ca="1">IFERROR(__xludf.DUMMYFUNCTION("IMPORTRANGE(""https://docs.google.com/spreadsheets/d/16o_4B-V7AWw_6E93bSpXj_XxVv1oVQctk-B6z1dNEWU/edit?usp=sharing"",""สงขลา!I290"")"),0)</f>
        <v>0</v>
      </c>
      <c r="Y86" s="323">
        <f ca="1">IFERROR(__xludf.DUMMYFUNCTION("IMPORTRANGE(""https://docs.google.com/spreadsheets/d/16o_4B-V7AWw_6E93bSpXj_XxVv1oVQctk-B6z1dNEWU/edit?usp=sharing"",""สงขลา!J290"")"),0)</f>
        <v>0</v>
      </c>
      <c r="Z86" s="324">
        <f t="shared" ca="1" si="29"/>
        <v>0</v>
      </c>
      <c r="AA86" s="323">
        <f ca="1">IFERROR(__xludf.DUMMYFUNCTION("IMPORTRANGE(""https://docs.google.com/spreadsheets/d/16o_4B-V7AWw_6E93bSpXj_XxVv1oVQctk-B6z1dNEWU/edit?usp=sharing"",""สงขลา!J291"")"),0)</f>
        <v>0</v>
      </c>
      <c r="AB86" s="324">
        <f t="shared" ca="1" si="15"/>
        <v>0</v>
      </c>
      <c r="AC86" s="323">
        <f ca="1">IFERROR(__xludf.DUMMYFUNCTION("IMPORTRANGE(""https://docs.google.com/spreadsheets/d/16o_4B-V7AWw_6E93bSpXj_XxVv1oVQctk-B6z1dNEWU/edit?usp=sharing"",""สงขลา!I293"")"),0)</f>
        <v>0</v>
      </c>
      <c r="AD86" s="323">
        <f ca="1">IFERROR(__xludf.DUMMYFUNCTION("IMPORTRANGE(""https://docs.google.com/spreadsheets/d/16o_4B-V7AWw_6E93bSpXj_XxVv1oVQctk-B6z1dNEWU/edit?usp=sharing"",""สงขลา!J293"")"),0)</f>
        <v>0</v>
      </c>
      <c r="AE86" s="324">
        <f t="shared" ca="1" si="30"/>
        <v>0</v>
      </c>
      <c r="AF86" s="323">
        <f ca="1">IFERROR(__xludf.DUMMYFUNCTION("IMPORTRANGE(""https://docs.google.com/spreadsheets/d/16o_4B-V7AWw_6E93bSpXj_XxVv1oVQctk-B6z1dNEWU/edit?usp=sharing"",""สงขลา!J294"")"),0)</f>
        <v>0</v>
      </c>
      <c r="AG86" s="324">
        <f t="shared" ca="1" si="18"/>
        <v>0</v>
      </c>
    </row>
    <row r="87" spans="1:33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55"/>
        <v>0</v>
      </c>
      <c r="E87" s="77">
        <f ca="1">IFERROR(__xludf.DUMMYFUNCTION("IMPORTRANGE(""https://docs.google.com/spreadsheets/d/1MeEWN-I1oV_STSDYn1IFDPWt_1FKiwhDph83XaGc0o0/edit?usp=sharing"",""งบพรบ!DJ87"")"),0)</f>
        <v>0</v>
      </c>
      <c r="F87" s="77">
        <f ca="1">IFERROR(__xludf.DUMMYFUNCTION("IMPORTRANGE(""https://docs.google.com/spreadsheets/d/1MeEWN-I1oV_STSDYn1IFDPWt_1FKiwhDph83XaGc0o0/edit?usp=sharing"",""งบพรบ!DK87"")"),0)</f>
        <v>0</v>
      </c>
      <c r="G87" s="77">
        <f ca="1">IFERROR(__xludf.DUMMYFUNCTION("IMPORTRANGE(""https://docs.google.com/spreadsheets/d/1MeEWN-I1oV_STSDYn1IFDPWt_1FKiwhDph83XaGc0o0/edit?usp=sharing"",""งบพรบ!DL87"")"),0)</f>
        <v>0</v>
      </c>
      <c r="H87" s="77">
        <f ca="1">IFERROR(__xludf.DUMMYFUNCTION("IMPORTRANGE(""https://docs.google.com/spreadsheets/d/1MeEWN-I1oV_STSDYn1IFDPWt_1FKiwhDph83XaGc0o0/edit?usp=sharing"",""งบพรบ!DN87"")"),0)</f>
        <v>0</v>
      </c>
      <c r="I87" s="77">
        <f ca="1">IFERROR(__xludf.DUMMYFUNCTION("IMPORTRANGE(""https://docs.google.com/spreadsheets/d/1MeEWN-I1oV_STSDYn1IFDPWt_1FKiwhDph83XaGc0o0/edit?usp=sharing"",""งบพรบ!DO87"")"),0)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IFERROR(__xludf.DUMMYFUNCTION("IMPORTRANGE(""https://docs.google.com/spreadsheets/d/1MeEWN-I1oV_STSDYn1IFDPWt_1FKiwhDph83XaGc0o0/edit?usp=sharing"",""งบพรบ!DP87"")"),0)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IFERROR(__xludf.DUMMYFUNCTION("IMPORTRANGE(""https://docs.google.com/spreadsheets/d/1MeEWN-I1oV_STSDYn1IFDPWt_1FKiwhDph83XaGc0o0/edit?usp=sharing"",""งบพรบ!DQ87"")"),0)</f>
        <v>0</v>
      </c>
      <c r="P87" s="80">
        <f t="shared" ca="1" si="32"/>
        <v>0</v>
      </c>
      <c r="Q87" s="79">
        <f t="shared" ca="1" si="8"/>
        <v>0</v>
      </c>
      <c r="R87" s="323">
        <f ca="1">IFERROR(__xludf.DUMMYFUNCTION("IMPORTRANGE(""https://docs.google.com/spreadsheets/d/16cywr71Fj4fA5OGRHsZh30ZG2gwJhMAQv69oVBzYHv0/edit?usp=sharing"",""สตูล!I287"")"),0)</f>
        <v>0</v>
      </c>
      <c r="S87" s="323">
        <f ca="1">IFERROR(__xludf.DUMMYFUNCTION("IMPORTRANGE(""https://docs.google.com/spreadsheets/d/16cywr71Fj4fA5OGRHsZh30ZG2gwJhMAQv69oVBzYHv0/edit?usp=sharing"",""สตูล!J287"")"),0)</f>
        <v>0</v>
      </c>
      <c r="T87" s="324">
        <f t="shared" ca="1" si="27"/>
        <v>0</v>
      </c>
      <c r="U87" s="323">
        <f ca="1">IFERROR(__xludf.DUMMYFUNCTION("IMPORTRANGE(""https://docs.google.com/spreadsheets/d/16cywr71Fj4fA5OGRHsZh30ZG2gwJhMAQv69oVBzYHv0/edit?usp=sharing"",""สตูล!I288"")"),0)</f>
        <v>0</v>
      </c>
      <c r="V87" s="323">
        <f ca="1">IFERROR(__xludf.DUMMYFUNCTION("IMPORTRANGE(""https://docs.google.com/spreadsheets/d/16cywr71Fj4fA5OGRHsZh30ZG2gwJhMAQv69oVBzYHv0/edit?usp=sharing"",""สตูล!J288"")"),0)</f>
        <v>0</v>
      </c>
      <c r="W87" s="324">
        <f t="shared" ca="1" si="28"/>
        <v>0</v>
      </c>
      <c r="X87" s="323">
        <f ca="1">IFERROR(__xludf.DUMMYFUNCTION("IMPORTRANGE(""https://docs.google.com/spreadsheets/d/16cywr71Fj4fA5OGRHsZh30ZG2gwJhMAQv69oVBzYHv0/edit?usp=sharing"",""สตูล!I290"")"),0)</f>
        <v>0</v>
      </c>
      <c r="Y87" s="323">
        <f ca="1">IFERROR(__xludf.DUMMYFUNCTION("IMPORTRANGE(""https://docs.google.com/spreadsheets/d/16cywr71Fj4fA5OGRHsZh30ZG2gwJhMAQv69oVBzYHv0/edit?usp=sharing"",""สตูล!J290"")"),0)</f>
        <v>0</v>
      </c>
      <c r="Z87" s="324">
        <f t="shared" ca="1" si="29"/>
        <v>0</v>
      </c>
      <c r="AA87" s="323">
        <f ca="1">IFERROR(__xludf.DUMMYFUNCTION("IMPORTRANGE(""https://docs.google.com/spreadsheets/d/16cywr71Fj4fA5OGRHsZh30ZG2gwJhMAQv69oVBzYHv0/edit?usp=sharing"",""สตูล!J291"")"),0)</f>
        <v>0</v>
      </c>
      <c r="AB87" s="324">
        <f t="shared" ca="1" si="15"/>
        <v>0</v>
      </c>
      <c r="AC87" s="323">
        <f ca="1">IFERROR(__xludf.DUMMYFUNCTION("IMPORTRANGE(""https://docs.google.com/spreadsheets/d/16cywr71Fj4fA5OGRHsZh30ZG2gwJhMAQv69oVBzYHv0/edit?usp=sharing"",""สตูล!I293"")"),0)</f>
        <v>0</v>
      </c>
      <c r="AD87" s="323">
        <f ca="1">IFERROR(__xludf.DUMMYFUNCTION("IMPORTRANGE(""https://docs.google.com/spreadsheets/d/16cywr71Fj4fA5OGRHsZh30ZG2gwJhMAQv69oVBzYHv0/edit?usp=sharing"",""สตูล!J293"")"),0)</f>
        <v>0</v>
      </c>
      <c r="AE87" s="324">
        <f t="shared" ca="1" si="30"/>
        <v>0</v>
      </c>
      <c r="AF87" s="323">
        <f ca="1">IFERROR(__xludf.DUMMYFUNCTION("IMPORTRANGE(""https://docs.google.com/spreadsheets/d/16cywr71Fj4fA5OGRHsZh30ZG2gwJhMAQv69oVBzYHv0/edit?usp=sharing"",""สตูล!J294"")"),0)</f>
        <v>0</v>
      </c>
      <c r="AG87" s="324">
        <f t="shared" ca="1" si="18"/>
        <v>0</v>
      </c>
    </row>
    <row r="88" spans="1:33" ht="24" customHeight="1" x14ac:dyDescent="0.2">
      <c r="A88" s="84">
        <v>14</v>
      </c>
      <c r="B88" s="85" t="s">
        <v>110</v>
      </c>
      <c r="C88" s="86">
        <f t="shared" ca="1" si="0"/>
        <v>41010</v>
      </c>
      <c r="D88" s="87">
        <f t="shared" ca="1" si="55"/>
        <v>41010</v>
      </c>
      <c r="E88" s="88">
        <f ca="1">IFERROR(__xludf.DUMMYFUNCTION("IMPORTRANGE(""https://docs.google.com/spreadsheets/d/1MeEWN-I1oV_STSDYn1IFDPWt_1FKiwhDph83XaGc0o0/edit?usp=sharing"",""งบพรบ!DJ88"")"),0)</f>
        <v>0</v>
      </c>
      <c r="F88" s="88">
        <f ca="1">IFERROR(__xludf.DUMMYFUNCTION("IMPORTRANGE(""https://docs.google.com/spreadsheets/d/1MeEWN-I1oV_STSDYn1IFDPWt_1FKiwhDph83XaGc0o0/edit?usp=sharing"",""งบพรบ!DK88"")"),41010)</f>
        <v>41010</v>
      </c>
      <c r="G88" s="88">
        <f ca="1">IFERROR(__xludf.DUMMYFUNCTION("IMPORTRANGE(""https://docs.google.com/spreadsheets/d/1MeEWN-I1oV_STSDYn1IFDPWt_1FKiwhDph83XaGc0o0/edit?usp=sharing"",""งบพรบ!DL88"")"),0)</f>
        <v>0</v>
      </c>
      <c r="H88" s="88">
        <f ca="1">IFERROR(__xludf.DUMMYFUNCTION("IMPORTRANGE(""https://docs.google.com/spreadsheets/d/1MeEWN-I1oV_STSDYn1IFDPWt_1FKiwhDph83XaGc0o0/edit?usp=sharing"",""งบพรบ!DN88"")"),41010)</f>
        <v>41010</v>
      </c>
      <c r="I88" s="88">
        <f ca="1">IFERROR(__xludf.DUMMYFUNCTION("IMPORTRANGE(""https://docs.google.com/spreadsheets/d/1MeEWN-I1oV_STSDYn1IFDPWt_1FKiwhDph83XaGc0o0/edit?usp=sharing"",""งบพรบ!DO88"")"),0)</f>
        <v>0</v>
      </c>
      <c r="J88" s="88">
        <f t="shared" ca="1" si="3"/>
        <v>41010</v>
      </c>
      <c r="K88" s="89">
        <f t="shared" ca="1" si="4"/>
        <v>100</v>
      </c>
      <c r="L88" s="88">
        <f ca="1">IFERROR(__xludf.DUMMYFUNCTION("IMPORTRANGE(""https://docs.google.com/spreadsheets/d/1MeEWN-I1oV_STSDYn1IFDPWt_1FKiwhDph83XaGc0o0/edit?usp=sharing"",""งบพรบ!DP88"")"),41010)</f>
        <v>41010</v>
      </c>
      <c r="M88" s="90">
        <f t="shared" ca="1" si="5"/>
        <v>100</v>
      </c>
      <c r="N88" s="90">
        <f t="shared" ca="1" si="6"/>
        <v>100</v>
      </c>
      <c r="O88" s="91">
        <f ca="1">IFERROR(__xludf.DUMMYFUNCTION("IMPORTRANGE(""https://docs.google.com/spreadsheets/d/1MeEWN-I1oV_STSDYn1IFDPWt_1FKiwhDph83XaGc0o0/edit?usp=sharing"",""งบพรบ!DQ88"")"),0)</f>
        <v>0</v>
      </c>
      <c r="P88" s="91">
        <f t="shared" ca="1" si="32"/>
        <v>0</v>
      </c>
      <c r="Q88" s="90">
        <f t="shared" ca="1" si="8"/>
        <v>0</v>
      </c>
      <c r="R88" s="325">
        <f ca="1">IFERROR(__xludf.DUMMYFUNCTION("IMPORTRANGE(""https://docs.google.com/spreadsheets/d/1vO9Sws6kMtrVtyvrAJptINXjK8TFBoX9xLYOVK_C8bQ/edit?usp=sharing"",""สุราษฎร์ธานี!I287"")"),100)</f>
        <v>100</v>
      </c>
      <c r="S88" s="325">
        <f ca="1">IFERROR(__xludf.DUMMYFUNCTION("IMPORTRANGE(""https://docs.google.com/spreadsheets/d/1vO9Sws6kMtrVtyvrAJptINXjK8TFBoX9xLYOVK_C8bQ/edit?usp=sharing"",""สุราษฎร์ธานี!J287"")"),100)</f>
        <v>100</v>
      </c>
      <c r="T88" s="326">
        <f t="shared" ca="1" si="27"/>
        <v>100</v>
      </c>
      <c r="U88" s="325">
        <f ca="1">IFERROR(__xludf.DUMMYFUNCTION("IMPORTRANGE(""https://docs.google.com/spreadsheets/d/1vO9Sws6kMtrVtyvrAJptINXjK8TFBoX9xLYOVK_C8bQ/edit?usp=sharing"",""สุราษฎร์ธานี!I288"")"),10)</f>
        <v>10</v>
      </c>
      <c r="V88" s="325">
        <f ca="1">IFERROR(__xludf.DUMMYFUNCTION("IMPORTRANGE(""https://docs.google.com/spreadsheets/d/1vO9Sws6kMtrVtyvrAJptINXjK8TFBoX9xLYOVK_C8bQ/edit?usp=sharing"",""สุราษฎร์ธานี!J288"")"),10)</f>
        <v>10</v>
      </c>
      <c r="W88" s="326">
        <f t="shared" ca="1" si="28"/>
        <v>100</v>
      </c>
      <c r="X88" s="325">
        <f ca="1">IFERROR(__xludf.DUMMYFUNCTION("IMPORTRANGE(""https://docs.google.com/spreadsheets/d/1vO9Sws6kMtrVtyvrAJptINXjK8TFBoX9xLYOVK_C8bQ/edit?usp=sharing"",""สุราษฎร์ธานี!I290"")"),10)</f>
        <v>10</v>
      </c>
      <c r="Y88" s="325">
        <f ca="1">IFERROR(__xludf.DUMMYFUNCTION("IMPORTRANGE(""https://docs.google.com/spreadsheets/d/1vO9Sws6kMtrVtyvrAJptINXjK8TFBoX9xLYOVK_C8bQ/edit?usp=sharing"",""สุราษฎร์ธานี!J290"")"),10)</f>
        <v>10</v>
      </c>
      <c r="Z88" s="326">
        <f t="shared" ca="1" si="29"/>
        <v>100</v>
      </c>
      <c r="AA88" s="325">
        <f ca="1">IFERROR(__xludf.DUMMYFUNCTION("IMPORTRANGE(""https://docs.google.com/spreadsheets/d/1vO9Sws6kMtrVtyvrAJptINXjK8TFBoX9xLYOVK_C8bQ/edit?usp=sharing"",""สุราษฎร์ธานี!J291"")"),10)</f>
        <v>10</v>
      </c>
      <c r="AB88" s="326">
        <f t="shared" ca="1" si="15"/>
        <v>100</v>
      </c>
      <c r="AC88" s="325">
        <f ca="1">IFERROR(__xludf.DUMMYFUNCTION("IMPORTRANGE(""https://docs.google.com/spreadsheets/d/1vO9Sws6kMtrVtyvrAJptINXjK8TFBoX9xLYOVK_C8bQ/edit?usp=sharing"",""สุราษฎร์ธานี!I293"")"),10)</f>
        <v>10</v>
      </c>
      <c r="AD88" s="325">
        <f ca="1">IFERROR(__xludf.DUMMYFUNCTION("IMPORTRANGE(""https://docs.google.com/spreadsheets/d/1vO9Sws6kMtrVtyvrAJptINXjK8TFBoX9xLYOVK_C8bQ/edit?usp=sharing"",""สุราษฎร์ธานี!J293"")"),10)</f>
        <v>10</v>
      </c>
      <c r="AE88" s="326">
        <f t="shared" ca="1" si="30"/>
        <v>100</v>
      </c>
      <c r="AF88" s="325">
        <f ca="1">IFERROR(__xludf.DUMMYFUNCTION("IMPORTRANGE(""https://docs.google.com/spreadsheets/d/1vO9Sws6kMtrVtyvrAJptINXjK8TFBoX9xLYOVK_C8bQ/edit?usp=sharing"",""สุราษฎร์ธานี!J294"")"),10)</f>
        <v>10</v>
      </c>
      <c r="AG88" s="326">
        <f t="shared" ca="1" si="18"/>
        <v>100</v>
      </c>
    </row>
    <row r="89" spans="1:33" ht="21" hidden="1" customHeight="1" x14ac:dyDescent="0.2">
      <c r="A89" s="369" t="s">
        <v>111</v>
      </c>
      <c r="B89" s="370"/>
      <c r="C89" s="102">
        <f t="shared" ca="1" si="0"/>
        <v>333950</v>
      </c>
      <c r="D89" s="41">
        <f t="shared" ref="D89:I89" ca="1" si="56">+D90+D91+D92+D93+D94+D95+D96+D97+D98+D99+D100+D101+D102+D103</f>
        <v>333950</v>
      </c>
      <c r="E89" s="41">
        <f t="shared" ca="1" si="56"/>
        <v>200800</v>
      </c>
      <c r="F89" s="41">
        <f t="shared" ca="1" si="56"/>
        <v>133150</v>
      </c>
      <c r="G89" s="41">
        <f t="shared" ca="1" si="56"/>
        <v>0</v>
      </c>
      <c r="H89" s="41">
        <f t="shared" ca="1" si="56"/>
        <v>344100</v>
      </c>
      <c r="I89" s="41">
        <f t="shared" ca="1" si="56"/>
        <v>0</v>
      </c>
      <c r="J89" s="41">
        <f t="shared" ca="1" si="3"/>
        <v>316089.08</v>
      </c>
      <c r="K89" s="43">
        <f t="shared" ca="1" si="4"/>
        <v>94.651618505764333</v>
      </c>
      <c r="L89" s="41">
        <f ca="1">+L90+L91+L92+L93+L94+L95+L96+L97+L98+L99+L100+L101+L102+L103</f>
        <v>316089.08</v>
      </c>
      <c r="M89" s="44">
        <f t="shared" ca="1" si="5"/>
        <v>94.651618505764333</v>
      </c>
      <c r="N89" s="44">
        <f t="shared" ca="1" si="6"/>
        <v>91.859657076431276</v>
      </c>
      <c r="O89" s="45">
        <f ca="1">+O90+O91+O92+O93+O94+O95+O96+O97+O98+O99+O100+O101+O102+O103</f>
        <v>0</v>
      </c>
      <c r="P89" s="45">
        <f t="shared" ca="1" si="32"/>
        <v>0</v>
      </c>
      <c r="Q89" s="44">
        <f t="shared" ca="1" si="8"/>
        <v>0</v>
      </c>
      <c r="R89" s="315"/>
      <c r="S89" s="315"/>
      <c r="T89" s="316"/>
      <c r="U89" s="315"/>
      <c r="V89" s="315"/>
      <c r="W89" s="316"/>
      <c r="X89" s="315"/>
      <c r="Y89" s="315"/>
      <c r="Z89" s="316"/>
      <c r="AA89" s="315"/>
      <c r="AB89" s="316"/>
      <c r="AC89" s="315"/>
      <c r="AD89" s="315"/>
      <c r="AE89" s="316"/>
      <c r="AF89" s="315"/>
      <c r="AG89" s="316"/>
    </row>
    <row r="90" spans="1:33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7">+E90+F90</f>
        <v>0</v>
      </c>
      <c r="E90" s="67">
        <f ca="1">IFERROR(__xludf.DUMMYFUNCTION("IMPORTRANGE(""https://docs.google.com/spreadsheets/d/1MeEWN-I1oV_STSDYn1IFDPWt_1FKiwhDph83XaGc0o0/edit?usp=sharing"",""งบพรบ!DJ90"")"),0)</f>
        <v>0</v>
      </c>
      <c r="F90" s="67">
        <f ca="1">IFERROR(__xludf.DUMMYFUNCTION("IMPORTRANGE(""https://docs.google.com/spreadsheets/d/1MeEWN-I1oV_STSDYn1IFDPWt_1FKiwhDph83XaGc0o0/edit?usp=sharing"",""งบพรบ!DK90"")"),0)</f>
        <v>0</v>
      </c>
      <c r="G90" s="67">
        <f ca="1">IFERROR(__xludf.DUMMYFUNCTION("IMPORTRANGE(""https://docs.google.com/spreadsheets/d/1MeEWN-I1oV_STSDYn1IFDPWt_1FKiwhDph83XaGc0o0/edit?usp=sharing"",""งบพรบ!DL90"")"),0)</f>
        <v>0</v>
      </c>
      <c r="H90" s="67">
        <f ca="1">IFERROR(__xludf.DUMMYFUNCTION("IMPORTRANGE(""https://docs.google.com/spreadsheets/d/1MeEWN-I1oV_STSDYn1IFDPWt_1FKiwhDph83XaGc0o0/edit?usp=sharing"",""งบพรบ!DN90"")"),0)</f>
        <v>0</v>
      </c>
      <c r="I90" s="67">
        <f ca="1">IFERROR(__xludf.DUMMYFUNCTION("IMPORTRANGE(""https://docs.google.com/spreadsheets/d/1MeEWN-I1oV_STSDYn1IFDPWt_1FKiwhDph83XaGc0o0/edit?usp=sharing"",""งบพรบ!DO90"")"),0)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IFERROR(__xludf.DUMMYFUNCTION("IMPORTRANGE(""https://docs.google.com/spreadsheets/d/1MeEWN-I1oV_STSDYn1IFDPWt_1FKiwhDph83XaGc0o0/edit?usp=sharing"",""งบพรบ!DP90"")"),0)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IFERROR(__xludf.DUMMYFUNCTION("IMPORTRANGE(""https://docs.google.com/spreadsheets/d/1MeEWN-I1oV_STSDYn1IFDPWt_1FKiwhDph83XaGc0o0/edit?usp=sharing"",""งบพรบ!DQ90"")"),0)</f>
        <v>0</v>
      </c>
      <c r="P90" s="71">
        <f t="shared" ca="1" si="32"/>
        <v>0</v>
      </c>
      <c r="Q90" s="70">
        <f t="shared" ca="1" si="8"/>
        <v>0</v>
      </c>
      <c r="R90" s="329"/>
      <c r="S90" s="329"/>
      <c r="T90" s="330"/>
      <c r="U90" s="329"/>
      <c r="V90" s="329"/>
      <c r="W90" s="330"/>
      <c r="X90" s="329"/>
      <c r="Y90" s="329"/>
      <c r="Z90" s="330"/>
      <c r="AA90" s="329"/>
      <c r="AB90" s="330"/>
      <c r="AC90" s="329"/>
      <c r="AD90" s="329"/>
      <c r="AE90" s="330"/>
      <c r="AF90" s="329"/>
      <c r="AG90" s="330"/>
    </row>
    <row r="91" spans="1:33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7"/>
        <v>0</v>
      </c>
      <c r="E91" s="77">
        <f ca="1">IFERROR(__xludf.DUMMYFUNCTION("IMPORTRANGE(""https://docs.google.com/spreadsheets/d/1MeEWN-I1oV_STSDYn1IFDPWt_1FKiwhDph83XaGc0o0/edit?usp=sharing"",""งบพรบ!DJ91"")"),0)</f>
        <v>0</v>
      </c>
      <c r="F91" s="77">
        <f ca="1">IFERROR(__xludf.DUMMYFUNCTION("IMPORTRANGE(""https://docs.google.com/spreadsheets/d/1MeEWN-I1oV_STSDYn1IFDPWt_1FKiwhDph83XaGc0o0/edit?usp=sharing"",""งบพรบ!DK91"")"),0)</f>
        <v>0</v>
      </c>
      <c r="G91" s="77">
        <f ca="1">IFERROR(__xludf.DUMMYFUNCTION("IMPORTRANGE(""https://docs.google.com/spreadsheets/d/1MeEWN-I1oV_STSDYn1IFDPWt_1FKiwhDph83XaGc0o0/edit?usp=sharing"",""งบพรบ!DL91"")"),0)</f>
        <v>0</v>
      </c>
      <c r="H91" s="77">
        <f ca="1">IFERROR(__xludf.DUMMYFUNCTION("IMPORTRANGE(""https://docs.google.com/spreadsheets/d/1MeEWN-I1oV_STSDYn1IFDPWt_1FKiwhDph83XaGc0o0/edit?usp=sharing"",""งบพรบ!DN91"")"),0)</f>
        <v>0</v>
      </c>
      <c r="I91" s="77">
        <f ca="1">IFERROR(__xludf.DUMMYFUNCTION("IMPORTRANGE(""https://docs.google.com/spreadsheets/d/1MeEWN-I1oV_STSDYn1IFDPWt_1FKiwhDph83XaGc0o0/edit?usp=sharing"",""งบพรบ!DO91"")"),0)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IFERROR(__xludf.DUMMYFUNCTION("IMPORTRANGE(""https://docs.google.com/spreadsheets/d/1MeEWN-I1oV_STSDYn1IFDPWt_1FKiwhDph83XaGc0o0/edit?usp=sharing"",""งบพรบ!DP91"")"),0)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IFERROR(__xludf.DUMMYFUNCTION("IMPORTRANGE(""https://docs.google.com/spreadsheets/d/1MeEWN-I1oV_STSDYn1IFDPWt_1FKiwhDph83XaGc0o0/edit?usp=sharing"",""งบพรบ!DQ91"")"),0)</f>
        <v>0</v>
      </c>
      <c r="P91" s="80">
        <f t="shared" ca="1" si="32"/>
        <v>0</v>
      </c>
      <c r="Q91" s="79">
        <f t="shared" ca="1" si="8"/>
        <v>0</v>
      </c>
      <c r="R91" s="331"/>
      <c r="S91" s="331"/>
      <c r="T91" s="332"/>
      <c r="U91" s="331"/>
      <c r="V91" s="331"/>
      <c r="W91" s="332"/>
      <c r="X91" s="331"/>
      <c r="Y91" s="331"/>
      <c r="Z91" s="332"/>
      <c r="AA91" s="331"/>
      <c r="AB91" s="332"/>
      <c r="AC91" s="331"/>
      <c r="AD91" s="331"/>
      <c r="AE91" s="332"/>
      <c r="AF91" s="331"/>
      <c r="AG91" s="332"/>
    </row>
    <row r="92" spans="1:33" ht="24" hidden="1" customHeight="1" x14ac:dyDescent="0.2">
      <c r="A92" s="106">
        <v>3</v>
      </c>
      <c r="B92" s="107" t="s">
        <v>114</v>
      </c>
      <c r="C92" s="75">
        <f t="shared" ca="1" si="0"/>
        <v>100000</v>
      </c>
      <c r="D92" s="76">
        <f t="shared" ca="1" si="57"/>
        <v>100000</v>
      </c>
      <c r="E92" s="77">
        <f ca="1">IFERROR(__xludf.DUMMYFUNCTION("IMPORTRANGE(""https://docs.google.com/spreadsheets/d/1MeEWN-I1oV_STSDYn1IFDPWt_1FKiwhDph83XaGc0o0/edit?usp=sharing"",""งบพรบ!DJ92"")"),100000)</f>
        <v>100000</v>
      </c>
      <c r="F92" s="77">
        <f ca="1">IFERROR(__xludf.DUMMYFUNCTION("IMPORTRANGE(""https://docs.google.com/spreadsheets/d/1MeEWN-I1oV_STSDYn1IFDPWt_1FKiwhDph83XaGc0o0/edit?usp=sharing"",""งบพรบ!DK92"")"),0)</f>
        <v>0</v>
      </c>
      <c r="G92" s="77">
        <f ca="1">IFERROR(__xludf.DUMMYFUNCTION("IMPORTRANGE(""https://docs.google.com/spreadsheets/d/1MeEWN-I1oV_STSDYn1IFDPWt_1FKiwhDph83XaGc0o0/edit?usp=sharing"",""งบพรบ!DL92"")"),0)</f>
        <v>0</v>
      </c>
      <c r="H92" s="77">
        <f ca="1">IFERROR(__xludf.DUMMYFUNCTION("IMPORTRANGE(""https://docs.google.com/spreadsheets/d/1MeEWN-I1oV_STSDYn1IFDPWt_1FKiwhDph83XaGc0o0/edit?usp=sharing"",""งบพรบ!DN92"")"),110150)</f>
        <v>110150</v>
      </c>
      <c r="I92" s="77">
        <f ca="1">IFERROR(__xludf.DUMMYFUNCTION("IMPORTRANGE(""https://docs.google.com/spreadsheets/d/1MeEWN-I1oV_STSDYn1IFDPWt_1FKiwhDph83XaGc0o0/edit?usp=sharing"",""งบพรบ!DO92"")"),0)</f>
        <v>0</v>
      </c>
      <c r="J92" s="77">
        <f t="shared" ca="1" si="3"/>
        <v>98218.5</v>
      </c>
      <c r="K92" s="78">
        <f t="shared" ca="1" si="4"/>
        <v>98.218500000000006</v>
      </c>
      <c r="L92" s="77">
        <f ca="1">IFERROR(__xludf.DUMMYFUNCTION("IMPORTRANGE(""https://docs.google.com/spreadsheets/d/1MeEWN-I1oV_STSDYn1IFDPWt_1FKiwhDph83XaGc0o0/edit?usp=sharing"",""งบพรบ!DP92"")"),98218.5)</f>
        <v>98218.5</v>
      </c>
      <c r="M92" s="79">
        <f t="shared" ca="1" si="5"/>
        <v>98.218500000000006</v>
      </c>
      <c r="N92" s="79">
        <f t="shared" ca="1" si="6"/>
        <v>89.16795279164775</v>
      </c>
      <c r="O92" s="80">
        <f ca="1">IFERROR(__xludf.DUMMYFUNCTION("IMPORTRANGE(""https://docs.google.com/spreadsheets/d/1MeEWN-I1oV_STSDYn1IFDPWt_1FKiwhDph83XaGc0o0/edit?usp=sharing"",""งบพรบ!DQ92"")"),0)</f>
        <v>0</v>
      </c>
      <c r="P92" s="80">
        <f t="shared" ca="1" si="32"/>
        <v>0</v>
      </c>
      <c r="Q92" s="79">
        <f t="shared" ca="1" si="8"/>
        <v>0</v>
      </c>
      <c r="R92" s="331"/>
      <c r="S92" s="331"/>
      <c r="T92" s="332"/>
      <c r="U92" s="331"/>
      <c r="V92" s="331"/>
      <c r="W92" s="332"/>
      <c r="X92" s="331"/>
      <c r="Y92" s="331"/>
      <c r="Z92" s="332"/>
      <c r="AA92" s="331"/>
      <c r="AB92" s="332"/>
      <c r="AC92" s="331"/>
      <c r="AD92" s="331"/>
      <c r="AE92" s="332"/>
      <c r="AF92" s="331"/>
      <c r="AG92" s="332"/>
    </row>
    <row r="93" spans="1:33" ht="24" hidden="1" customHeight="1" x14ac:dyDescent="0.2">
      <c r="A93" s="106">
        <f t="shared" ref="A93:A103" si="58">+A92+1</f>
        <v>4</v>
      </c>
      <c r="B93" s="107" t="s">
        <v>115</v>
      </c>
      <c r="C93" s="75">
        <f t="shared" ca="1" si="0"/>
        <v>100800</v>
      </c>
      <c r="D93" s="76">
        <f t="shared" ca="1" si="57"/>
        <v>100800</v>
      </c>
      <c r="E93" s="77">
        <f ca="1">IFERROR(__xludf.DUMMYFUNCTION("IMPORTRANGE(""https://docs.google.com/spreadsheets/d/1MeEWN-I1oV_STSDYn1IFDPWt_1FKiwhDph83XaGc0o0/edit?usp=sharing"",""งบพรบ!DJ93"")"),100800)</f>
        <v>100800</v>
      </c>
      <c r="F93" s="77">
        <f ca="1">IFERROR(__xludf.DUMMYFUNCTION("IMPORTRANGE(""https://docs.google.com/spreadsheets/d/1MeEWN-I1oV_STSDYn1IFDPWt_1FKiwhDph83XaGc0o0/edit?usp=sharing"",""งบพรบ!DK93"")"),0)</f>
        <v>0</v>
      </c>
      <c r="G93" s="77">
        <f ca="1">IFERROR(__xludf.DUMMYFUNCTION("IMPORTRANGE(""https://docs.google.com/spreadsheets/d/1MeEWN-I1oV_STSDYn1IFDPWt_1FKiwhDph83XaGc0o0/edit?usp=sharing"",""งบพรบ!DL93"")"),0)</f>
        <v>0</v>
      </c>
      <c r="H93" s="77">
        <f ca="1">IFERROR(__xludf.DUMMYFUNCTION("IMPORTRANGE(""https://docs.google.com/spreadsheets/d/1MeEWN-I1oV_STSDYn1IFDPWt_1FKiwhDph83XaGc0o0/edit?usp=sharing"",""งบพรบ!DN93"")"),100800)</f>
        <v>100800</v>
      </c>
      <c r="I93" s="77">
        <f ca="1">IFERROR(__xludf.DUMMYFUNCTION("IMPORTRANGE(""https://docs.google.com/spreadsheets/d/1MeEWN-I1oV_STSDYn1IFDPWt_1FKiwhDph83XaGc0o0/edit?usp=sharing"",""งบพรบ!DO93"")"),0)</f>
        <v>0</v>
      </c>
      <c r="J93" s="77">
        <f t="shared" ca="1" si="3"/>
        <v>102760</v>
      </c>
      <c r="K93" s="78">
        <f t="shared" ca="1" si="4"/>
        <v>101.94444444444444</v>
      </c>
      <c r="L93" s="77">
        <f ca="1">IFERROR(__xludf.DUMMYFUNCTION("IMPORTRANGE(""https://docs.google.com/spreadsheets/d/1MeEWN-I1oV_STSDYn1IFDPWt_1FKiwhDph83XaGc0o0/edit?usp=sharing"",""งบพรบ!DP93"")"),102760)</f>
        <v>102760</v>
      </c>
      <c r="M93" s="79">
        <f t="shared" ca="1" si="5"/>
        <v>101.94444444444444</v>
      </c>
      <c r="N93" s="79">
        <f t="shared" ca="1" si="6"/>
        <v>101.94444444444444</v>
      </c>
      <c r="O93" s="80">
        <f ca="1">IFERROR(__xludf.DUMMYFUNCTION("IMPORTRANGE(""https://docs.google.com/spreadsheets/d/1MeEWN-I1oV_STSDYn1IFDPWt_1FKiwhDph83XaGc0o0/edit?usp=sharing"",""งบพรบ!DQ93"")"),0)</f>
        <v>0</v>
      </c>
      <c r="P93" s="80">
        <f t="shared" ca="1" si="32"/>
        <v>0</v>
      </c>
      <c r="Q93" s="79">
        <f t="shared" ca="1" si="8"/>
        <v>0</v>
      </c>
      <c r="R93" s="331"/>
      <c r="S93" s="331"/>
      <c r="T93" s="332"/>
      <c r="U93" s="331"/>
      <c r="V93" s="331"/>
      <c r="W93" s="332"/>
      <c r="X93" s="331"/>
      <c r="Y93" s="331"/>
      <c r="Z93" s="332"/>
      <c r="AA93" s="331"/>
      <c r="AB93" s="332"/>
      <c r="AC93" s="331"/>
      <c r="AD93" s="331"/>
      <c r="AE93" s="332"/>
      <c r="AF93" s="331"/>
      <c r="AG93" s="332"/>
    </row>
    <row r="94" spans="1:33" ht="24" hidden="1" customHeight="1" x14ac:dyDescent="0.2">
      <c r="A94" s="106">
        <f t="shared" si="58"/>
        <v>5</v>
      </c>
      <c r="B94" s="107" t="s">
        <v>116</v>
      </c>
      <c r="C94" s="75">
        <f t="shared" ca="1" si="0"/>
        <v>0</v>
      </c>
      <c r="D94" s="76">
        <f t="shared" ca="1" si="57"/>
        <v>0</v>
      </c>
      <c r="E94" s="77">
        <f ca="1">IFERROR(__xludf.DUMMYFUNCTION("IMPORTRANGE(""https://docs.google.com/spreadsheets/d/1MeEWN-I1oV_STSDYn1IFDPWt_1FKiwhDph83XaGc0o0/edit?usp=sharing"",""งบพรบ!DJ94"")"),0)</f>
        <v>0</v>
      </c>
      <c r="F94" s="77">
        <f ca="1">IFERROR(__xludf.DUMMYFUNCTION("IMPORTRANGE(""https://docs.google.com/spreadsheets/d/1MeEWN-I1oV_STSDYn1IFDPWt_1FKiwhDph83XaGc0o0/edit?usp=sharing"",""งบพรบ!DK94"")"),0)</f>
        <v>0</v>
      </c>
      <c r="G94" s="77">
        <f ca="1">IFERROR(__xludf.DUMMYFUNCTION("IMPORTRANGE(""https://docs.google.com/spreadsheets/d/1MeEWN-I1oV_STSDYn1IFDPWt_1FKiwhDph83XaGc0o0/edit?usp=sharing"",""งบพรบ!DL94"")"),0)</f>
        <v>0</v>
      </c>
      <c r="H94" s="77">
        <f ca="1">IFERROR(__xludf.DUMMYFUNCTION("IMPORTRANGE(""https://docs.google.com/spreadsheets/d/1MeEWN-I1oV_STSDYn1IFDPWt_1FKiwhDph83XaGc0o0/edit?usp=sharing"",""งบพรบ!DN94"")"),0)</f>
        <v>0</v>
      </c>
      <c r="I94" s="77">
        <f ca="1">IFERROR(__xludf.DUMMYFUNCTION("IMPORTRANGE(""https://docs.google.com/spreadsheets/d/1MeEWN-I1oV_STSDYn1IFDPWt_1FKiwhDph83XaGc0o0/edit?usp=sharing"",""งบพรบ!DO94"")"),0)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IFERROR(__xludf.DUMMYFUNCTION("IMPORTRANGE(""https://docs.google.com/spreadsheets/d/1MeEWN-I1oV_STSDYn1IFDPWt_1FKiwhDph83XaGc0o0/edit?usp=sharing"",""งบพรบ!DP94"")"),0)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IFERROR(__xludf.DUMMYFUNCTION("IMPORTRANGE(""https://docs.google.com/spreadsheets/d/1MeEWN-I1oV_STSDYn1IFDPWt_1FKiwhDph83XaGc0o0/edit?usp=sharing"",""งบพรบ!DQ94"")"),0)</f>
        <v>0</v>
      </c>
      <c r="P94" s="80">
        <f t="shared" ca="1" si="32"/>
        <v>0</v>
      </c>
      <c r="Q94" s="79">
        <f t="shared" ca="1" si="8"/>
        <v>0</v>
      </c>
      <c r="R94" s="331"/>
      <c r="S94" s="331"/>
      <c r="T94" s="332"/>
      <c r="U94" s="331"/>
      <c r="V94" s="331"/>
      <c r="W94" s="332"/>
      <c r="X94" s="331"/>
      <c r="Y94" s="331"/>
      <c r="Z94" s="332"/>
      <c r="AA94" s="331"/>
      <c r="AB94" s="332"/>
      <c r="AC94" s="331"/>
      <c r="AD94" s="331"/>
      <c r="AE94" s="332"/>
      <c r="AF94" s="331"/>
      <c r="AG94" s="332"/>
    </row>
    <row r="95" spans="1:33" ht="24" hidden="1" customHeight="1" x14ac:dyDescent="0.2">
      <c r="A95" s="106">
        <f t="shared" si="58"/>
        <v>6</v>
      </c>
      <c r="B95" s="107" t="s">
        <v>117</v>
      </c>
      <c r="C95" s="75">
        <f t="shared" ca="1" si="0"/>
        <v>0</v>
      </c>
      <c r="D95" s="76">
        <f t="shared" ca="1" si="57"/>
        <v>0</v>
      </c>
      <c r="E95" s="77">
        <f ca="1">IFERROR(__xludf.DUMMYFUNCTION("IMPORTRANGE(""https://docs.google.com/spreadsheets/d/1MeEWN-I1oV_STSDYn1IFDPWt_1FKiwhDph83XaGc0o0/edit?usp=sharing"",""งบพรบ!DJ95"")"),0)</f>
        <v>0</v>
      </c>
      <c r="F95" s="77">
        <f ca="1">IFERROR(__xludf.DUMMYFUNCTION("IMPORTRANGE(""https://docs.google.com/spreadsheets/d/1MeEWN-I1oV_STSDYn1IFDPWt_1FKiwhDph83XaGc0o0/edit?usp=sharing"",""งบพรบ!DK95"")"),0)</f>
        <v>0</v>
      </c>
      <c r="G95" s="77">
        <f ca="1">IFERROR(__xludf.DUMMYFUNCTION("IMPORTRANGE(""https://docs.google.com/spreadsheets/d/1MeEWN-I1oV_STSDYn1IFDPWt_1FKiwhDph83XaGc0o0/edit?usp=sharing"",""งบพรบ!DL95"")"),0)</f>
        <v>0</v>
      </c>
      <c r="H95" s="77">
        <f ca="1">IFERROR(__xludf.DUMMYFUNCTION("IMPORTRANGE(""https://docs.google.com/spreadsheets/d/1MeEWN-I1oV_STSDYn1IFDPWt_1FKiwhDph83XaGc0o0/edit?usp=sharing"",""งบพรบ!DN95"")"),0)</f>
        <v>0</v>
      </c>
      <c r="I95" s="77">
        <f ca="1">IFERROR(__xludf.DUMMYFUNCTION("IMPORTRANGE(""https://docs.google.com/spreadsheets/d/1MeEWN-I1oV_STSDYn1IFDPWt_1FKiwhDph83XaGc0o0/edit?usp=sharing"",""งบพรบ!DO95"")"),0)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IFERROR(__xludf.DUMMYFUNCTION("IMPORTRANGE(""https://docs.google.com/spreadsheets/d/1MeEWN-I1oV_STSDYn1IFDPWt_1FKiwhDph83XaGc0o0/edit?usp=sharing"",""งบพรบ!DP95"")"),0)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IFERROR(__xludf.DUMMYFUNCTION("IMPORTRANGE(""https://docs.google.com/spreadsheets/d/1MeEWN-I1oV_STSDYn1IFDPWt_1FKiwhDph83XaGc0o0/edit?usp=sharing"",""งบพรบ!DQ95"")"),0)</f>
        <v>0</v>
      </c>
      <c r="P95" s="80">
        <f t="shared" ca="1" si="32"/>
        <v>0</v>
      </c>
      <c r="Q95" s="79">
        <f t="shared" ca="1" si="8"/>
        <v>0</v>
      </c>
      <c r="R95" s="331"/>
      <c r="S95" s="331"/>
      <c r="T95" s="332"/>
      <c r="U95" s="331"/>
      <c r="V95" s="331"/>
      <c r="W95" s="332"/>
      <c r="X95" s="331"/>
      <c r="Y95" s="331"/>
      <c r="Z95" s="332"/>
      <c r="AA95" s="331"/>
      <c r="AB95" s="332"/>
      <c r="AC95" s="331"/>
      <c r="AD95" s="331"/>
      <c r="AE95" s="332"/>
      <c r="AF95" s="331"/>
      <c r="AG95" s="332"/>
    </row>
    <row r="96" spans="1:33" ht="24" hidden="1" customHeight="1" x14ac:dyDescent="0.2">
      <c r="A96" s="106">
        <f t="shared" si="58"/>
        <v>7</v>
      </c>
      <c r="B96" s="107" t="s">
        <v>118</v>
      </c>
      <c r="C96" s="75">
        <f t="shared" ca="1" si="0"/>
        <v>133150</v>
      </c>
      <c r="D96" s="76">
        <f t="shared" ca="1" si="57"/>
        <v>133150</v>
      </c>
      <c r="E96" s="77">
        <f ca="1">IFERROR(__xludf.DUMMYFUNCTION("IMPORTRANGE(""https://docs.google.com/spreadsheets/d/1MeEWN-I1oV_STSDYn1IFDPWt_1FKiwhDph83XaGc0o0/edit?usp=sharing"",""งบพรบ!DJ96"")"),0)</f>
        <v>0</v>
      </c>
      <c r="F96" s="77">
        <f ca="1">IFERROR(__xludf.DUMMYFUNCTION("IMPORTRANGE(""https://docs.google.com/spreadsheets/d/1MeEWN-I1oV_STSDYn1IFDPWt_1FKiwhDph83XaGc0o0/edit?usp=sharing"",""งบพรบ!DK96"")"),133150)</f>
        <v>133150</v>
      </c>
      <c r="G96" s="77">
        <f ca="1">IFERROR(__xludf.DUMMYFUNCTION("IMPORTRANGE(""https://docs.google.com/spreadsheets/d/1MeEWN-I1oV_STSDYn1IFDPWt_1FKiwhDph83XaGc0o0/edit?usp=sharing"",""งบพรบ!DL96"")"),0)</f>
        <v>0</v>
      </c>
      <c r="H96" s="77">
        <f ca="1">IFERROR(__xludf.DUMMYFUNCTION("IMPORTRANGE(""https://docs.google.com/spreadsheets/d/1MeEWN-I1oV_STSDYn1IFDPWt_1FKiwhDph83XaGc0o0/edit?usp=sharing"",""งบพรบ!DN96"")"),133150)</f>
        <v>133150</v>
      </c>
      <c r="I96" s="77">
        <f ca="1">IFERROR(__xludf.DUMMYFUNCTION("IMPORTRANGE(""https://docs.google.com/spreadsheets/d/1MeEWN-I1oV_STSDYn1IFDPWt_1FKiwhDph83XaGc0o0/edit?usp=sharing"",""งบพรบ!DO96"")"),0)</f>
        <v>0</v>
      </c>
      <c r="J96" s="77">
        <f t="shared" ca="1" si="3"/>
        <v>115110.58</v>
      </c>
      <c r="K96" s="78">
        <f t="shared" ca="1" si="4"/>
        <v>86.451806233571162</v>
      </c>
      <c r="L96" s="77">
        <f ca="1">IFERROR(__xludf.DUMMYFUNCTION("IMPORTRANGE(""https://docs.google.com/spreadsheets/d/1MeEWN-I1oV_STSDYn1IFDPWt_1FKiwhDph83XaGc0o0/edit?usp=sharing"",""งบพรบ!DP96"")"),115110.58)</f>
        <v>115110.58</v>
      </c>
      <c r="M96" s="79">
        <f t="shared" ca="1" si="5"/>
        <v>86.451806233571162</v>
      </c>
      <c r="N96" s="79">
        <f t="shared" ca="1" si="6"/>
        <v>86.451806233571162</v>
      </c>
      <c r="O96" s="80">
        <f ca="1">IFERROR(__xludf.DUMMYFUNCTION("IMPORTRANGE(""https://docs.google.com/spreadsheets/d/1MeEWN-I1oV_STSDYn1IFDPWt_1FKiwhDph83XaGc0o0/edit?usp=sharing"",""งบพรบ!DQ96"")"),0)</f>
        <v>0</v>
      </c>
      <c r="P96" s="80">
        <f t="shared" ca="1" si="32"/>
        <v>0</v>
      </c>
      <c r="Q96" s="79">
        <f t="shared" ca="1" si="8"/>
        <v>0</v>
      </c>
      <c r="R96" s="331"/>
      <c r="S96" s="331"/>
      <c r="T96" s="332"/>
      <c r="U96" s="331"/>
      <c r="V96" s="331"/>
      <c r="W96" s="332"/>
      <c r="X96" s="331"/>
      <c r="Y96" s="331"/>
      <c r="Z96" s="332"/>
      <c r="AA96" s="331"/>
      <c r="AB96" s="332"/>
      <c r="AC96" s="331"/>
      <c r="AD96" s="331"/>
      <c r="AE96" s="332"/>
      <c r="AF96" s="331"/>
      <c r="AG96" s="332"/>
    </row>
    <row r="97" spans="1:33" ht="24" hidden="1" customHeight="1" x14ac:dyDescent="0.2">
      <c r="A97" s="106">
        <f t="shared" si="58"/>
        <v>8</v>
      </c>
      <c r="B97" s="107" t="s">
        <v>119</v>
      </c>
      <c r="C97" s="75">
        <f t="shared" ca="1" si="0"/>
        <v>0</v>
      </c>
      <c r="D97" s="76">
        <f t="shared" ca="1" si="57"/>
        <v>0</v>
      </c>
      <c r="E97" s="77">
        <f ca="1">IFERROR(__xludf.DUMMYFUNCTION("IMPORTRANGE(""https://docs.google.com/spreadsheets/d/1MeEWN-I1oV_STSDYn1IFDPWt_1FKiwhDph83XaGc0o0/edit?usp=sharing"",""งบพรบ!DJ97"")"),0)</f>
        <v>0</v>
      </c>
      <c r="F97" s="77">
        <f ca="1">IFERROR(__xludf.DUMMYFUNCTION("IMPORTRANGE(""https://docs.google.com/spreadsheets/d/1MeEWN-I1oV_STSDYn1IFDPWt_1FKiwhDph83XaGc0o0/edit?usp=sharing"",""งบพรบ!DK97"")"),0)</f>
        <v>0</v>
      </c>
      <c r="G97" s="77">
        <f ca="1">IFERROR(__xludf.DUMMYFUNCTION("IMPORTRANGE(""https://docs.google.com/spreadsheets/d/1MeEWN-I1oV_STSDYn1IFDPWt_1FKiwhDph83XaGc0o0/edit?usp=sharing"",""งบพรบ!DL97"")"),0)</f>
        <v>0</v>
      </c>
      <c r="H97" s="77">
        <f ca="1">IFERROR(__xludf.DUMMYFUNCTION("IMPORTRANGE(""https://docs.google.com/spreadsheets/d/1MeEWN-I1oV_STSDYn1IFDPWt_1FKiwhDph83XaGc0o0/edit?usp=sharing"",""งบพรบ!DN97"")"),0)</f>
        <v>0</v>
      </c>
      <c r="I97" s="77">
        <f ca="1">IFERROR(__xludf.DUMMYFUNCTION("IMPORTRANGE(""https://docs.google.com/spreadsheets/d/1MeEWN-I1oV_STSDYn1IFDPWt_1FKiwhDph83XaGc0o0/edit?usp=sharing"",""งบพรบ!DO97"")"),0)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IFERROR(__xludf.DUMMYFUNCTION("IMPORTRANGE(""https://docs.google.com/spreadsheets/d/1MeEWN-I1oV_STSDYn1IFDPWt_1FKiwhDph83XaGc0o0/edit?usp=sharing"",""งบพรบ!DP97"")"),0)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IFERROR(__xludf.DUMMYFUNCTION("IMPORTRANGE(""https://docs.google.com/spreadsheets/d/1MeEWN-I1oV_STSDYn1IFDPWt_1FKiwhDph83XaGc0o0/edit?usp=sharing"",""งบพรบ!DQ97"")"),0)</f>
        <v>0</v>
      </c>
      <c r="P97" s="80">
        <f t="shared" ca="1" si="32"/>
        <v>0</v>
      </c>
      <c r="Q97" s="79">
        <f t="shared" ca="1" si="8"/>
        <v>0</v>
      </c>
      <c r="R97" s="331"/>
      <c r="S97" s="331"/>
      <c r="T97" s="332"/>
      <c r="U97" s="331"/>
      <c r="V97" s="331"/>
      <c r="W97" s="332"/>
      <c r="X97" s="331"/>
      <c r="Y97" s="331"/>
      <c r="Z97" s="332"/>
      <c r="AA97" s="331"/>
      <c r="AB97" s="332"/>
      <c r="AC97" s="331"/>
      <c r="AD97" s="331"/>
      <c r="AE97" s="332"/>
      <c r="AF97" s="331"/>
      <c r="AG97" s="332"/>
    </row>
    <row r="98" spans="1:33" ht="24" hidden="1" customHeight="1" x14ac:dyDescent="0.2">
      <c r="A98" s="106">
        <f t="shared" si="58"/>
        <v>9</v>
      </c>
      <c r="B98" s="107" t="s">
        <v>120</v>
      </c>
      <c r="C98" s="75">
        <f t="shared" ca="1" si="0"/>
        <v>0</v>
      </c>
      <c r="D98" s="76">
        <f t="shared" ca="1" si="57"/>
        <v>0</v>
      </c>
      <c r="E98" s="77">
        <f ca="1">IFERROR(__xludf.DUMMYFUNCTION("IMPORTRANGE(""https://docs.google.com/spreadsheets/d/1MeEWN-I1oV_STSDYn1IFDPWt_1FKiwhDph83XaGc0o0/edit?usp=sharing"",""งบพรบ!DJ98"")"),0)</f>
        <v>0</v>
      </c>
      <c r="F98" s="77">
        <f ca="1">IFERROR(__xludf.DUMMYFUNCTION("IMPORTRANGE(""https://docs.google.com/spreadsheets/d/1MeEWN-I1oV_STSDYn1IFDPWt_1FKiwhDph83XaGc0o0/edit?usp=sharing"",""งบพรบ!DK98"")"),0)</f>
        <v>0</v>
      </c>
      <c r="G98" s="77">
        <f ca="1">IFERROR(__xludf.DUMMYFUNCTION("IMPORTRANGE(""https://docs.google.com/spreadsheets/d/1MeEWN-I1oV_STSDYn1IFDPWt_1FKiwhDph83XaGc0o0/edit?usp=sharing"",""งบพรบ!DL98"")"),0)</f>
        <v>0</v>
      </c>
      <c r="H98" s="77">
        <f ca="1">IFERROR(__xludf.DUMMYFUNCTION("IMPORTRANGE(""https://docs.google.com/spreadsheets/d/1MeEWN-I1oV_STSDYn1IFDPWt_1FKiwhDph83XaGc0o0/edit?usp=sharing"",""งบพรบ!DN98"")"),0)</f>
        <v>0</v>
      </c>
      <c r="I98" s="77">
        <f ca="1">IFERROR(__xludf.DUMMYFUNCTION("IMPORTRANGE(""https://docs.google.com/spreadsheets/d/1MeEWN-I1oV_STSDYn1IFDPWt_1FKiwhDph83XaGc0o0/edit?usp=sharing"",""งบพรบ!DO98"")"),0)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IFERROR(__xludf.DUMMYFUNCTION("IMPORTRANGE(""https://docs.google.com/spreadsheets/d/1MeEWN-I1oV_STSDYn1IFDPWt_1FKiwhDph83XaGc0o0/edit?usp=sharing"",""งบพรบ!DP98"")"),0)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IFERROR(__xludf.DUMMYFUNCTION("IMPORTRANGE(""https://docs.google.com/spreadsheets/d/1MeEWN-I1oV_STSDYn1IFDPWt_1FKiwhDph83XaGc0o0/edit?usp=sharing"",""งบพรบ!DQ98"")"),0)</f>
        <v>0</v>
      </c>
      <c r="P98" s="80">
        <f t="shared" ca="1" si="32"/>
        <v>0</v>
      </c>
      <c r="Q98" s="79">
        <f t="shared" ca="1" si="8"/>
        <v>0</v>
      </c>
      <c r="R98" s="331"/>
      <c r="S98" s="331"/>
      <c r="T98" s="332"/>
      <c r="U98" s="331"/>
      <c r="V98" s="331"/>
      <c r="W98" s="332"/>
      <c r="X98" s="331"/>
      <c r="Y98" s="331"/>
      <c r="Z98" s="332"/>
      <c r="AA98" s="331"/>
      <c r="AB98" s="332"/>
      <c r="AC98" s="331"/>
      <c r="AD98" s="331"/>
      <c r="AE98" s="332"/>
      <c r="AF98" s="331"/>
      <c r="AG98" s="332"/>
    </row>
    <row r="99" spans="1:33" ht="24" hidden="1" customHeight="1" x14ac:dyDescent="0.2">
      <c r="A99" s="106">
        <f t="shared" si="58"/>
        <v>10</v>
      </c>
      <c r="B99" s="107" t="s">
        <v>121</v>
      </c>
      <c r="C99" s="75">
        <f t="shared" ca="1" si="0"/>
        <v>0</v>
      </c>
      <c r="D99" s="76">
        <f t="shared" ca="1" si="57"/>
        <v>0</v>
      </c>
      <c r="E99" s="77">
        <f ca="1">IFERROR(__xludf.DUMMYFUNCTION("IMPORTRANGE(""https://docs.google.com/spreadsheets/d/1MeEWN-I1oV_STSDYn1IFDPWt_1FKiwhDph83XaGc0o0/edit?usp=sharing"",""งบพรบ!DJ99"")"),0)</f>
        <v>0</v>
      </c>
      <c r="F99" s="77">
        <f ca="1">IFERROR(__xludf.DUMMYFUNCTION("IMPORTRANGE(""https://docs.google.com/spreadsheets/d/1MeEWN-I1oV_STSDYn1IFDPWt_1FKiwhDph83XaGc0o0/edit?usp=sharing"",""งบพรบ!DK99"")"),0)</f>
        <v>0</v>
      </c>
      <c r="G99" s="77">
        <f ca="1">IFERROR(__xludf.DUMMYFUNCTION("IMPORTRANGE(""https://docs.google.com/spreadsheets/d/1MeEWN-I1oV_STSDYn1IFDPWt_1FKiwhDph83XaGc0o0/edit?usp=sharing"",""งบพรบ!DL99"")"),0)</f>
        <v>0</v>
      </c>
      <c r="H99" s="77">
        <f ca="1">IFERROR(__xludf.DUMMYFUNCTION("IMPORTRANGE(""https://docs.google.com/spreadsheets/d/1MeEWN-I1oV_STSDYn1IFDPWt_1FKiwhDph83XaGc0o0/edit?usp=sharing"",""งบพรบ!DN99"")"),0)</f>
        <v>0</v>
      </c>
      <c r="I99" s="77">
        <f ca="1">IFERROR(__xludf.DUMMYFUNCTION("IMPORTRANGE(""https://docs.google.com/spreadsheets/d/1MeEWN-I1oV_STSDYn1IFDPWt_1FKiwhDph83XaGc0o0/edit?usp=sharing"",""งบพรบ!DO99"")"),0)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IFERROR(__xludf.DUMMYFUNCTION("IMPORTRANGE(""https://docs.google.com/spreadsheets/d/1MeEWN-I1oV_STSDYn1IFDPWt_1FKiwhDph83XaGc0o0/edit?usp=sharing"",""งบพรบ!DP99"")"),0)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IFERROR(__xludf.DUMMYFUNCTION("IMPORTRANGE(""https://docs.google.com/spreadsheets/d/1MeEWN-I1oV_STSDYn1IFDPWt_1FKiwhDph83XaGc0o0/edit?usp=sharing"",""งบพรบ!DQ99"")"),0)</f>
        <v>0</v>
      </c>
      <c r="P99" s="80">
        <f t="shared" ca="1" si="32"/>
        <v>0</v>
      </c>
      <c r="Q99" s="79">
        <f t="shared" ca="1" si="8"/>
        <v>0</v>
      </c>
      <c r="R99" s="331"/>
      <c r="S99" s="331"/>
      <c r="T99" s="332"/>
      <c r="U99" s="331"/>
      <c r="V99" s="331"/>
      <c r="W99" s="332"/>
      <c r="X99" s="331"/>
      <c r="Y99" s="331"/>
      <c r="Z99" s="332"/>
      <c r="AA99" s="331"/>
      <c r="AB99" s="332"/>
      <c r="AC99" s="331"/>
      <c r="AD99" s="331"/>
      <c r="AE99" s="332"/>
      <c r="AF99" s="331"/>
      <c r="AG99" s="332"/>
    </row>
    <row r="100" spans="1:33" ht="24" hidden="1" customHeight="1" x14ac:dyDescent="0.2">
      <c r="A100" s="106">
        <f t="shared" si="58"/>
        <v>11</v>
      </c>
      <c r="B100" s="107" t="s">
        <v>122</v>
      </c>
      <c r="C100" s="75">
        <f t="shared" ca="1" si="0"/>
        <v>0</v>
      </c>
      <c r="D100" s="76">
        <f t="shared" ca="1" si="57"/>
        <v>0</v>
      </c>
      <c r="E100" s="77">
        <f ca="1">IFERROR(__xludf.DUMMYFUNCTION("IMPORTRANGE(""https://docs.google.com/spreadsheets/d/1MeEWN-I1oV_STSDYn1IFDPWt_1FKiwhDph83XaGc0o0/edit?usp=sharing"",""งบพรบ!DJ100"")"),0)</f>
        <v>0</v>
      </c>
      <c r="F100" s="77">
        <f ca="1">IFERROR(__xludf.DUMMYFUNCTION("IMPORTRANGE(""https://docs.google.com/spreadsheets/d/1MeEWN-I1oV_STSDYn1IFDPWt_1FKiwhDph83XaGc0o0/edit?usp=sharing"",""งบพรบ!DK100"")"),0)</f>
        <v>0</v>
      </c>
      <c r="G100" s="77">
        <f ca="1">IFERROR(__xludf.DUMMYFUNCTION("IMPORTRANGE(""https://docs.google.com/spreadsheets/d/1MeEWN-I1oV_STSDYn1IFDPWt_1FKiwhDph83XaGc0o0/edit?usp=sharing"",""งบพรบ!DL100"")"),0)</f>
        <v>0</v>
      </c>
      <c r="H100" s="77">
        <f ca="1">IFERROR(__xludf.DUMMYFUNCTION("IMPORTRANGE(""https://docs.google.com/spreadsheets/d/1MeEWN-I1oV_STSDYn1IFDPWt_1FKiwhDph83XaGc0o0/edit?usp=sharing"",""งบพรบ!DN100"")"),0)</f>
        <v>0</v>
      </c>
      <c r="I100" s="77">
        <f ca="1">IFERROR(__xludf.DUMMYFUNCTION("IMPORTRANGE(""https://docs.google.com/spreadsheets/d/1MeEWN-I1oV_STSDYn1IFDPWt_1FKiwhDph83XaGc0o0/edit?usp=sharing"",""งบพรบ!DO100"")"),0)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IFERROR(__xludf.DUMMYFUNCTION("IMPORTRANGE(""https://docs.google.com/spreadsheets/d/1MeEWN-I1oV_STSDYn1IFDPWt_1FKiwhDph83XaGc0o0/edit?usp=sharing"",""งบพรบ!DP100"")"),0)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IFERROR(__xludf.DUMMYFUNCTION("IMPORTRANGE(""https://docs.google.com/spreadsheets/d/1MeEWN-I1oV_STSDYn1IFDPWt_1FKiwhDph83XaGc0o0/edit?usp=sharing"",""งบพรบ!DQ100"")"),0)</f>
        <v>0</v>
      </c>
      <c r="P100" s="80">
        <f t="shared" ca="1" si="32"/>
        <v>0</v>
      </c>
      <c r="Q100" s="79">
        <f t="shared" ca="1" si="8"/>
        <v>0</v>
      </c>
      <c r="R100" s="331"/>
      <c r="S100" s="331"/>
      <c r="T100" s="332"/>
      <c r="U100" s="331"/>
      <c r="V100" s="331"/>
      <c r="W100" s="332"/>
      <c r="X100" s="331"/>
      <c r="Y100" s="331"/>
      <c r="Z100" s="332"/>
      <c r="AA100" s="331"/>
      <c r="AB100" s="332"/>
      <c r="AC100" s="331"/>
      <c r="AD100" s="331"/>
      <c r="AE100" s="332"/>
      <c r="AF100" s="331"/>
      <c r="AG100" s="332"/>
    </row>
    <row r="101" spans="1:33" ht="24" hidden="1" customHeight="1" x14ac:dyDescent="0.2">
      <c r="A101" s="106">
        <f t="shared" si="58"/>
        <v>12</v>
      </c>
      <c r="B101" s="107" t="s">
        <v>123</v>
      </c>
      <c r="C101" s="75">
        <f t="shared" ca="1" si="0"/>
        <v>0</v>
      </c>
      <c r="D101" s="76">
        <f t="shared" ca="1" si="57"/>
        <v>0</v>
      </c>
      <c r="E101" s="77">
        <f ca="1">IFERROR(__xludf.DUMMYFUNCTION("IMPORTRANGE(""https://docs.google.com/spreadsheets/d/1MeEWN-I1oV_STSDYn1IFDPWt_1FKiwhDph83XaGc0o0/edit?usp=sharing"",""งบพรบ!DJ101"")"),0)</f>
        <v>0</v>
      </c>
      <c r="F101" s="77">
        <f ca="1">IFERROR(__xludf.DUMMYFUNCTION("IMPORTRANGE(""https://docs.google.com/spreadsheets/d/1MeEWN-I1oV_STSDYn1IFDPWt_1FKiwhDph83XaGc0o0/edit?usp=sharing"",""งบพรบ!DK101"")"),0)</f>
        <v>0</v>
      </c>
      <c r="G101" s="77">
        <f ca="1">IFERROR(__xludf.DUMMYFUNCTION("IMPORTRANGE(""https://docs.google.com/spreadsheets/d/1MeEWN-I1oV_STSDYn1IFDPWt_1FKiwhDph83XaGc0o0/edit?usp=sharing"",""งบพรบ!DL101"")"),0)</f>
        <v>0</v>
      </c>
      <c r="H101" s="77">
        <f ca="1">IFERROR(__xludf.DUMMYFUNCTION("IMPORTRANGE(""https://docs.google.com/spreadsheets/d/1MeEWN-I1oV_STSDYn1IFDPWt_1FKiwhDph83XaGc0o0/edit?usp=sharing"",""งบพรบ!DN101"")"),0)</f>
        <v>0</v>
      </c>
      <c r="I101" s="77">
        <f ca="1">IFERROR(__xludf.DUMMYFUNCTION("IMPORTRANGE(""https://docs.google.com/spreadsheets/d/1MeEWN-I1oV_STSDYn1IFDPWt_1FKiwhDph83XaGc0o0/edit?usp=sharing"",""งบพรบ!DO101"")"),0)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IFERROR(__xludf.DUMMYFUNCTION("IMPORTRANGE(""https://docs.google.com/spreadsheets/d/1MeEWN-I1oV_STSDYn1IFDPWt_1FKiwhDph83XaGc0o0/edit?usp=sharing"",""งบพรบ!DP101"")"),0)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IFERROR(__xludf.DUMMYFUNCTION("IMPORTRANGE(""https://docs.google.com/spreadsheets/d/1MeEWN-I1oV_STSDYn1IFDPWt_1FKiwhDph83XaGc0o0/edit?usp=sharing"",""งบพรบ!DQ101"")"),0)</f>
        <v>0</v>
      </c>
      <c r="P101" s="80">
        <f t="shared" ca="1" si="32"/>
        <v>0</v>
      </c>
      <c r="Q101" s="79">
        <f t="shared" ca="1" si="8"/>
        <v>0</v>
      </c>
      <c r="R101" s="331"/>
      <c r="S101" s="331"/>
      <c r="T101" s="332"/>
      <c r="U101" s="331"/>
      <c r="V101" s="331"/>
      <c r="W101" s="332"/>
      <c r="X101" s="331"/>
      <c r="Y101" s="331"/>
      <c r="Z101" s="332"/>
      <c r="AA101" s="331"/>
      <c r="AB101" s="332"/>
      <c r="AC101" s="331"/>
      <c r="AD101" s="331"/>
      <c r="AE101" s="332"/>
      <c r="AF101" s="331"/>
      <c r="AG101" s="332"/>
    </row>
    <row r="102" spans="1:33" ht="24" hidden="1" customHeight="1" x14ac:dyDescent="0.2">
      <c r="A102" s="106">
        <f t="shared" si="58"/>
        <v>13</v>
      </c>
      <c r="B102" s="107" t="s">
        <v>124</v>
      </c>
      <c r="C102" s="75">
        <f t="shared" ca="1" si="0"/>
        <v>0</v>
      </c>
      <c r="D102" s="76">
        <f t="shared" ca="1" si="57"/>
        <v>0</v>
      </c>
      <c r="E102" s="77">
        <f ca="1">IFERROR(__xludf.DUMMYFUNCTION("IMPORTRANGE(""https://docs.google.com/spreadsheets/d/1MeEWN-I1oV_STSDYn1IFDPWt_1FKiwhDph83XaGc0o0/edit?usp=sharing"",""งบพรบ!DJ102"")"),0)</f>
        <v>0</v>
      </c>
      <c r="F102" s="77">
        <f ca="1">IFERROR(__xludf.DUMMYFUNCTION("IMPORTRANGE(""https://docs.google.com/spreadsheets/d/1MeEWN-I1oV_STSDYn1IFDPWt_1FKiwhDph83XaGc0o0/edit?usp=sharing"",""งบพรบ!DK102"")"),0)</f>
        <v>0</v>
      </c>
      <c r="G102" s="77">
        <f ca="1">IFERROR(__xludf.DUMMYFUNCTION("IMPORTRANGE(""https://docs.google.com/spreadsheets/d/1MeEWN-I1oV_STSDYn1IFDPWt_1FKiwhDph83XaGc0o0/edit?usp=sharing"",""งบพรบ!DL102"")"),0)</f>
        <v>0</v>
      </c>
      <c r="H102" s="77">
        <f ca="1">IFERROR(__xludf.DUMMYFUNCTION("IMPORTRANGE(""https://docs.google.com/spreadsheets/d/1MeEWN-I1oV_STSDYn1IFDPWt_1FKiwhDph83XaGc0o0/edit?usp=sharing"",""งบพรบ!DN102"")"),0)</f>
        <v>0</v>
      </c>
      <c r="I102" s="77">
        <f ca="1">IFERROR(__xludf.DUMMYFUNCTION("IMPORTRANGE(""https://docs.google.com/spreadsheets/d/1MeEWN-I1oV_STSDYn1IFDPWt_1FKiwhDph83XaGc0o0/edit?usp=sharing"",""งบพรบ!DO102"")"),0)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IFERROR(__xludf.DUMMYFUNCTION("IMPORTRANGE(""https://docs.google.com/spreadsheets/d/1MeEWN-I1oV_STSDYn1IFDPWt_1FKiwhDph83XaGc0o0/edit?usp=sharing"",""งบพรบ!DP102"")"),0)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IFERROR(__xludf.DUMMYFUNCTION("IMPORTRANGE(""https://docs.google.com/spreadsheets/d/1MeEWN-I1oV_STSDYn1IFDPWt_1FKiwhDph83XaGc0o0/edit?usp=sharing"",""งบพรบ!DQ102"")"),0)</f>
        <v>0</v>
      </c>
      <c r="P102" s="80">
        <f t="shared" ca="1" si="32"/>
        <v>0</v>
      </c>
      <c r="Q102" s="79">
        <f t="shared" ca="1" si="8"/>
        <v>0</v>
      </c>
      <c r="R102" s="331"/>
      <c r="S102" s="331"/>
      <c r="T102" s="332"/>
      <c r="U102" s="331"/>
      <c r="V102" s="331"/>
      <c r="W102" s="332"/>
      <c r="X102" s="331"/>
      <c r="Y102" s="331"/>
      <c r="Z102" s="332"/>
      <c r="AA102" s="331"/>
      <c r="AB102" s="332"/>
      <c r="AC102" s="331"/>
      <c r="AD102" s="331"/>
      <c r="AE102" s="332"/>
      <c r="AF102" s="331"/>
      <c r="AG102" s="332"/>
    </row>
    <row r="103" spans="1:33" ht="24" hidden="1" customHeight="1" x14ac:dyDescent="0.2">
      <c r="A103" s="108">
        <f t="shared" si="58"/>
        <v>14</v>
      </c>
      <c r="B103" s="109" t="s">
        <v>125</v>
      </c>
      <c r="C103" s="86">
        <f t="shared" ca="1" si="0"/>
        <v>0</v>
      </c>
      <c r="D103" s="87">
        <f t="shared" ca="1" si="57"/>
        <v>0</v>
      </c>
      <c r="E103" s="88">
        <f ca="1">IFERROR(__xludf.DUMMYFUNCTION("IMPORTRANGE(""https://docs.google.com/spreadsheets/d/1MeEWN-I1oV_STSDYn1IFDPWt_1FKiwhDph83XaGc0o0/edit?usp=sharing"",""งบพรบ!DJ103"")"),0)</f>
        <v>0</v>
      </c>
      <c r="F103" s="88">
        <f ca="1">IFERROR(__xludf.DUMMYFUNCTION("IMPORTRANGE(""https://docs.google.com/spreadsheets/d/1MeEWN-I1oV_STSDYn1IFDPWt_1FKiwhDph83XaGc0o0/edit?usp=sharing"",""งบพรบ!DK103"")"),0)</f>
        <v>0</v>
      </c>
      <c r="G103" s="88">
        <f ca="1">IFERROR(__xludf.DUMMYFUNCTION("IMPORTRANGE(""https://docs.google.com/spreadsheets/d/1MeEWN-I1oV_STSDYn1IFDPWt_1FKiwhDph83XaGc0o0/edit?usp=sharing"",""งบพรบ!DL103"")"),0)</f>
        <v>0</v>
      </c>
      <c r="H103" s="88">
        <f ca="1">IFERROR(__xludf.DUMMYFUNCTION("IMPORTRANGE(""https://docs.google.com/spreadsheets/d/1MeEWN-I1oV_STSDYn1IFDPWt_1FKiwhDph83XaGc0o0/edit?usp=sharing"",""งบพรบ!DN103"")"),0)</f>
        <v>0</v>
      </c>
      <c r="I103" s="88">
        <f ca="1">IFERROR(__xludf.DUMMYFUNCTION("IMPORTRANGE(""https://docs.google.com/spreadsheets/d/1MeEWN-I1oV_STSDYn1IFDPWt_1FKiwhDph83XaGc0o0/edit?usp=sharing"",""งบพรบ!DO103"")"),0)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IFERROR(__xludf.DUMMYFUNCTION("IMPORTRANGE(""https://docs.google.com/spreadsheets/d/1MeEWN-I1oV_STSDYn1IFDPWt_1FKiwhDph83XaGc0o0/edit?usp=sharing"",""งบพรบ!DP103"")"),0)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IFERROR(__xludf.DUMMYFUNCTION("IMPORTRANGE(""https://docs.google.com/spreadsheets/d/1MeEWN-I1oV_STSDYn1IFDPWt_1FKiwhDph83XaGc0o0/edit?usp=sharing"",""งบพรบ!DQ103"")"),0)</f>
        <v>0</v>
      </c>
      <c r="P103" s="91">
        <f t="shared" ca="1" si="32"/>
        <v>0</v>
      </c>
      <c r="Q103" s="90">
        <f t="shared" ca="1" si="8"/>
        <v>0</v>
      </c>
      <c r="R103" s="333"/>
      <c r="S103" s="333"/>
      <c r="T103" s="334"/>
      <c r="U103" s="333"/>
      <c r="V103" s="333"/>
      <c r="W103" s="334"/>
      <c r="X103" s="333"/>
      <c r="Y103" s="333"/>
      <c r="Z103" s="334"/>
      <c r="AA103" s="333"/>
      <c r="AB103" s="334"/>
      <c r="AC103" s="333"/>
      <c r="AD103" s="333"/>
      <c r="AE103" s="334"/>
      <c r="AF103" s="333"/>
      <c r="AG103" s="334"/>
    </row>
    <row r="104" spans="1:33" ht="21" hidden="1" customHeight="1" x14ac:dyDescent="0.2">
      <c r="A104" s="369" t="s">
        <v>126</v>
      </c>
      <c r="B104" s="370"/>
      <c r="C104" s="102">
        <f t="shared" ca="1" si="0"/>
        <v>81300</v>
      </c>
      <c r="D104" s="41">
        <f ca="1">SUM(D105:D116)</f>
        <v>81300</v>
      </c>
      <c r="E104" s="41">
        <f ca="1">IFERROR(__xludf.DUMMYFUNCTION("IMPORTRANGE(""https://docs.google.com/spreadsheets/d/1MeEWN-I1oV_STSDYn1IFDPWt_1FKiwhDph83XaGc0o0/edit?usp=sharing"",""งบพรบ!DJ104"")"),81300)</f>
        <v>81300</v>
      </c>
      <c r="F104" s="41">
        <f ca="1">IFERROR(__xludf.DUMMYFUNCTION("IMPORTRANGE(""https://docs.google.com/spreadsheets/d/1MeEWN-I1oV_STSDYn1IFDPWt_1FKiwhDph83XaGc0o0/edit?usp=sharing"",""งบพรบ!DK104"")"),0)</f>
        <v>0</v>
      </c>
      <c r="G104" s="41">
        <f ca="1">IFERROR(__xludf.DUMMYFUNCTION("IMPORTRANGE(""https://docs.google.com/spreadsheets/d/1MeEWN-I1oV_STSDYn1IFDPWt_1FKiwhDph83XaGc0o0/edit?usp=sharing"",""งบพรบ!DL104"")"),0)</f>
        <v>0</v>
      </c>
      <c r="H104" s="41">
        <f ca="1">IFERROR(__xludf.DUMMYFUNCTION("IMPORTRANGE(""https://docs.google.com/spreadsheets/d/1MeEWN-I1oV_STSDYn1IFDPWt_1FKiwhDph83XaGc0o0/edit?usp=sharing"",""งบพรบ!DN104"")"),179370)</f>
        <v>179370</v>
      </c>
      <c r="I104" s="41">
        <f ca="1">IFERROR(__xludf.DUMMYFUNCTION("IMPORTRANGE(""https://docs.google.com/spreadsheets/d/1MeEWN-I1oV_STSDYn1IFDPWt_1FKiwhDph83XaGc0o0/edit?usp=sharing"",""งบพรบ!DO104"")"),0)</f>
        <v>0</v>
      </c>
      <c r="J104" s="41">
        <f t="shared" ca="1" si="3"/>
        <v>62150</v>
      </c>
      <c r="K104" s="43">
        <f t="shared" ca="1" si="4"/>
        <v>76.445264452644523</v>
      </c>
      <c r="L104" s="41">
        <f ca="1">IFERROR(__xludf.DUMMYFUNCTION("IMPORTRANGE(""https://docs.google.com/spreadsheets/d/1MeEWN-I1oV_STSDYn1IFDPWt_1FKiwhDph83XaGc0o0/edit?usp=sharing"",""งบพรบ!DP104"")"),62150)</f>
        <v>62150</v>
      </c>
      <c r="M104" s="43">
        <f t="shared" ca="1" si="5"/>
        <v>76.445264452644523</v>
      </c>
      <c r="N104" s="43">
        <f t="shared" ca="1" si="6"/>
        <v>34.64904945085577</v>
      </c>
      <c r="O104" s="41">
        <f ca="1">IFERROR(__xludf.DUMMYFUNCTION("IMPORTRANGE(""https://docs.google.com/spreadsheets/d/1MeEWN-I1oV_STSDYn1IFDPWt_1FKiwhDph83XaGc0o0/edit?usp=sharing"",""งบพรบ!DQ104"")"),0)</f>
        <v>0</v>
      </c>
      <c r="P104" s="41">
        <f t="shared" ca="1" si="32"/>
        <v>0</v>
      </c>
      <c r="Q104" s="41">
        <f t="shared" ca="1" si="8"/>
        <v>0</v>
      </c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</row>
    <row r="105" spans="1:33" ht="24" hidden="1" customHeight="1" x14ac:dyDescent="0.2">
      <c r="A105" s="103">
        <v>1</v>
      </c>
      <c r="B105" s="110" t="s">
        <v>127</v>
      </c>
      <c r="C105" s="111">
        <f t="shared" ca="1" si="0"/>
        <v>81300</v>
      </c>
      <c r="D105" s="66">
        <f t="shared" ref="D105:D116" ca="1" si="59">+E105+F105</f>
        <v>81300</v>
      </c>
      <c r="E105" s="67">
        <f ca="1">IFERROR(__xludf.DUMMYFUNCTION("IMPORTRANGE(""https://docs.google.com/spreadsheets/d/1MeEWN-I1oV_STSDYn1IFDPWt_1FKiwhDph83XaGc0o0/edit?usp=sharing"",""งบพรบ!DJ105"")"),81300)</f>
        <v>81300</v>
      </c>
      <c r="F105" s="67">
        <f ca="1">IFERROR(__xludf.DUMMYFUNCTION("IMPORTRANGE(""https://docs.google.com/spreadsheets/d/1MeEWN-I1oV_STSDYn1IFDPWt_1FKiwhDph83XaGc0o0/edit?usp=sharing"",""งบพรบ!DK105"")"),0)</f>
        <v>0</v>
      </c>
      <c r="G105" s="67">
        <f ca="1">IFERROR(__xludf.DUMMYFUNCTION("IMPORTRANGE(""https://docs.google.com/spreadsheets/d/1MeEWN-I1oV_STSDYn1IFDPWt_1FKiwhDph83XaGc0o0/edit?usp=sharing"",""งบพรบ!DL105"")"),0)</f>
        <v>0</v>
      </c>
      <c r="H105" s="67">
        <f ca="1">IFERROR(__xludf.DUMMYFUNCTION("IMPORTRANGE(""https://docs.google.com/spreadsheets/d/1MeEWN-I1oV_STSDYn1IFDPWt_1FKiwhDph83XaGc0o0/edit?usp=sharing"",""งบพรบ!DN105"")"),32500)</f>
        <v>32500</v>
      </c>
      <c r="I105" s="67">
        <f ca="1">IFERROR(__xludf.DUMMYFUNCTION("IMPORTRANGE(""https://docs.google.com/spreadsheets/d/1MeEWN-I1oV_STSDYn1IFDPWt_1FKiwhDph83XaGc0o0/edit?usp=sharing"",""งบพรบ!DO105"")"),0)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IFERROR(__xludf.DUMMYFUNCTION("IMPORTRANGE(""https://docs.google.com/spreadsheets/d/1MeEWN-I1oV_STSDYn1IFDPWt_1FKiwhDph83XaGc0o0/edit?usp=sharing"",""งบพรบ!DP105"")"),0)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IFERROR(__xludf.DUMMYFUNCTION("IMPORTRANGE(""https://docs.google.com/spreadsheets/d/1MeEWN-I1oV_STSDYn1IFDPWt_1FKiwhDph83XaGc0o0/edit?usp=sharing"",""งบพรบ!DQ105"")"),0)</f>
        <v>0</v>
      </c>
      <c r="P105" s="71">
        <f t="shared" ca="1" si="32"/>
        <v>0</v>
      </c>
      <c r="Q105" s="70">
        <f t="shared" ca="1" si="8"/>
        <v>0</v>
      </c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</row>
    <row r="106" spans="1:33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9"/>
        <v>0</v>
      </c>
      <c r="E106" s="77">
        <f ca="1">IFERROR(__xludf.DUMMYFUNCTION("IMPORTRANGE(""https://docs.google.com/spreadsheets/d/1MeEWN-I1oV_STSDYn1IFDPWt_1FKiwhDph83XaGc0o0/edit?usp=sharing"",""งบพรบ!DJ106"")"),0)</f>
        <v>0</v>
      </c>
      <c r="F106" s="77">
        <f ca="1">IFERROR(__xludf.DUMMYFUNCTION("IMPORTRANGE(""https://docs.google.com/spreadsheets/d/1MeEWN-I1oV_STSDYn1IFDPWt_1FKiwhDph83XaGc0o0/edit?usp=sharing"",""งบพรบ!DK106"")"),0)</f>
        <v>0</v>
      </c>
      <c r="G106" s="77">
        <f ca="1">IFERROR(__xludf.DUMMYFUNCTION("IMPORTRANGE(""https://docs.google.com/spreadsheets/d/1MeEWN-I1oV_STSDYn1IFDPWt_1FKiwhDph83XaGc0o0/edit?usp=sharing"",""งบพรบ!DL106"")"),0)</f>
        <v>0</v>
      </c>
      <c r="H106" s="77">
        <f ca="1">IFERROR(__xludf.DUMMYFUNCTION("IMPORTRANGE(""https://docs.google.com/spreadsheets/d/1MeEWN-I1oV_STSDYn1IFDPWt_1FKiwhDph83XaGc0o0/edit?usp=sharing"",""งบพรบ!DN106"")"),0)</f>
        <v>0</v>
      </c>
      <c r="I106" s="77">
        <f ca="1">IFERROR(__xludf.DUMMYFUNCTION("IMPORTRANGE(""https://docs.google.com/spreadsheets/d/1MeEWN-I1oV_STSDYn1IFDPWt_1FKiwhDph83XaGc0o0/edit?usp=sharing"",""งบพรบ!DO106"")"),0)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IFERROR(__xludf.DUMMYFUNCTION("IMPORTRANGE(""https://docs.google.com/spreadsheets/d/1MeEWN-I1oV_STSDYn1IFDPWt_1FKiwhDph83XaGc0o0/edit?usp=sharing"",""งบพรบ!DP106"")"),0)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IFERROR(__xludf.DUMMYFUNCTION("IMPORTRANGE(""https://docs.google.com/spreadsheets/d/1MeEWN-I1oV_STSDYn1IFDPWt_1FKiwhDph83XaGc0o0/edit?usp=sharing"",""งบพรบ!DQ106"")"),0)</f>
        <v>0</v>
      </c>
      <c r="P106" s="80">
        <f t="shared" ca="1" si="32"/>
        <v>0</v>
      </c>
      <c r="Q106" s="79">
        <f t="shared" ca="1" si="8"/>
        <v>0</v>
      </c>
      <c r="R106" s="331"/>
      <c r="S106" s="331"/>
      <c r="T106" s="331"/>
      <c r="U106" s="331"/>
      <c r="V106" s="331"/>
      <c r="W106" s="331"/>
      <c r="X106" s="331"/>
      <c r="Y106" s="331"/>
      <c r="Z106" s="331"/>
      <c r="AA106" s="331"/>
      <c r="AB106" s="331"/>
      <c r="AC106" s="331"/>
      <c r="AD106" s="331"/>
      <c r="AE106" s="331"/>
      <c r="AF106" s="331"/>
      <c r="AG106" s="331"/>
    </row>
    <row r="107" spans="1:33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9"/>
        <v>0</v>
      </c>
      <c r="E107" s="77">
        <f ca="1">IFERROR(__xludf.DUMMYFUNCTION("IMPORTRANGE(""https://docs.google.com/spreadsheets/d/1MeEWN-I1oV_STSDYn1IFDPWt_1FKiwhDph83XaGc0o0/edit?usp=sharing"",""งบพรบ!DJ107"")"),0)</f>
        <v>0</v>
      </c>
      <c r="F107" s="77">
        <f ca="1">IFERROR(__xludf.DUMMYFUNCTION("IMPORTRANGE(""https://docs.google.com/spreadsheets/d/1MeEWN-I1oV_STSDYn1IFDPWt_1FKiwhDph83XaGc0o0/edit?usp=sharing"",""งบพรบ!DK107"")"),0)</f>
        <v>0</v>
      </c>
      <c r="G107" s="77">
        <f ca="1">IFERROR(__xludf.DUMMYFUNCTION("IMPORTRANGE(""https://docs.google.com/spreadsheets/d/1MeEWN-I1oV_STSDYn1IFDPWt_1FKiwhDph83XaGc0o0/edit?usp=sharing"",""งบพรบ!DL107"")"),0)</f>
        <v>0</v>
      </c>
      <c r="H107" s="77">
        <f ca="1">IFERROR(__xludf.DUMMYFUNCTION("IMPORTRANGE(""https://docs.google.com/spreadsheets/d/1MeEWN-I1oV_STSDYn1IFDPWt_1FKiwhDph83XaGc0o0/edit?usp=sharing"",""งบพรบ!DN107"")"),0)</f>
        <v>0</v>
      </c>
      <c r="I107" s="77">
        <f ca="1">IFERROR(__xludf.DUMMYFUNCTION("IMPORTRANGE(""https://docs.google.com/spreadsheets/d/1MeEWN-I1oV_STSDYn1IFDPWt_1FKiwhDph83XaGc0o0/edit?usp=sharing"",""งบพรบ!DO107"")"),0)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IFERROR(__xludf.DUMMYFUNCTION("IMPORTRANGE(""https://docs.google.com/spreadsheets/d/1MeEWN-I1oV_STSDYn1IFDPWt_1FKiwhDph83XaGc0o0/edit?usp=sharing"",""งบพรบ!DP107"")"),0)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IFERROR(__xludf.DUMMYFUNCTION("IMPORTRANGE(""https://docs.google.com/spreadsheets/d/1MeEWN-I1oV_STSDYn1IFDPWt_1FKiwhDph83XaGc0o0/edit?usp=sharing"",""งบพรบ!DQ107"")"),0)</f>
        <v>0</v>
      </c>
      <c r="P107" s="80">
        <f t="shared" ca="1" si="32"/>
        <v>0</v>
      </c>
      <c r="Q107" s="79">
        <f t="shared" ca="1" si="8"/>
        <v>0</v>
      </c>
      <c r="R107" s="331"/>
      <c r="S107" s="331"/>
      <c r="T107" s="331"/>
      <c r="U107" s="331"/>
      <c r="V107" s="331"/>
      <c r="W107" s="331"/>
      <c r="X107" s="331"/>
      <c r="Y107" s="331"/>
      <c r="Z107" s="331"/>
      <c r="AA107" s="331"/>
      <c r="AB107" s="331"/>
      <c r="AC107" s="331"/>
      <c r="AD107" s="331"/>
      <c r="AE107" s="331"/>
      <c r="AF107" s="331"/>
      <c r="AG107" s="331"/>
    </row>
    <row r="108" spans="1:33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9"/>
        <v>0</v>
      </c>
      <c r="E108" s="77">
        <f ca="1">IFERROR(__xludf.DUMMYFUNCTION("IMPORTRANGE(""https://docs.google.com/spreadsheets/d/1MeEWN-I1oV_STSDYn1IFDPWt_1FKiwhDph83XaGc0o0/edit?usp=sharing"",""งบพรบ!DJ108"")"),0)</f>
        <v>0</v>
      </c>
      <c r="F108" s="77">
        <f ca="1">IFERROR(__xludf.DUMMYFUNCTION("IMPORTRANGE(""https://docs.google.com/spreadsheets/d/1MeEWN-I1oV_STSDYn1IFDPWt_1FKiwhDph83XaGc0o0/edit?usp=sharing"",""งบพรบ!DK108"")"),0)</f>
        <v>0</v>
      </c>
      <c r="G108" s="77">
        <f ca="1">IFERROR(__xludf.DUMMYFUNCTION("IMPORTRANGE(""https://docs.google.com/spreadsheets/d/1MeEWN-I1oV_STSDYn1IFDPWt_1FKiwhDph83XaGc0o0/edit?usp=sharing"",""งบพรบ!DL108"")"),0)</f>
        <v>0</v>
      </c>
      <c r="H108" s="77">
        <f ca="1">IFERROR(__xludf.DUMMYFUNCTION("IMPORTRANGE(""https://docs.google.com/spreadsheets/d/1MeEWN-I1oV_STSDYn1IFDPWt_1FKiwhDph83XaGc0o0/edit?usp=sharing"",""งบพรบ!DN108"")"),0)</f>
        <v>0</v>
      </c>
      <c r="I108" s="77">
        <f ca="1">IFERROR(__xludf.DUMMYFUNCTION("IMPORTRANGE(""https://docs.google.com/spreadsheets/d/1MeEWN-I1oV_STSDYn1IFDPWt_1FKiwhDph83XaGc0o0/edit?usp=sharing"",""งบพรบ!DO108"")"),0)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IFERROR(__xludf.DUMMYFUNCTION("IMPORTRANGE(""https://docs.google.com/spreadsheets/d/1MeEWN-I1oV_STSDYn1IFDPWt_1FKiwhDph83XaGc0o0/edit?usp=sharing"",""งบพรบ!DP108"")"),0)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IFERROR(__xludf.DUMMYFUNCTION("IMPORTRANGE(""https://docs.google.com/spreadsheets/d/1MeEWN-I1oV_STSDYn1IFDPWt_1FKiwhDph83XaGc0o0/edit?usp=sharing"",""งบพรบ!DQ108"")"),0)</f>
        <v>0</v>
      </c>
      <c r="P108" s="80">
        <f t="shared" ca="1" si="32"/>
        <v>0</v>
      </c>
      <c r="Q108" s="79">
        <f t="shared" ca="1" si="8"/>
        <v>0</v>
      </c>
      <c r="R108" s="331"/>
      <c r="S108" s="331"/>
      <c r="T108" s="331"/>
      <c r="U108" s="331"/>
      <c r="V108" s="331"/>
      <c r="W108" s="331"/>
      <c r="X108" s="331"/>
      <c r="Y108" s="331"/>
      <c r="Z108" s="331"/>
      <c r="AA108" s="331"/>
      <c r="AB108" s="331"/>
      <c r="AC108" s="331"/>
      <c r="AD108" s="331"/>
      <c r="AE108" s="331"/>
      <c r="AF108" s="331"/>
      <c r="AG108" s="331"/>
    </row>
    <row r="109" spans="1:33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9"/>
        <v>0</v>
      </c>
      <c r="E109" s="77">
        <f ca="1">IFERROR(__xludf.DUMMYFUNCTION("IMPORTRANGE(""https://docs.google.com/spreadsheets/d/1MeEWN-I1oV_STSDYn1IFDPWt_1FKiwhDph83XaGc0o0/edit?usp=sharing"",""งบพรบ!DJ109"")"),0)</f>
        <v>0</v>
      </c>
      <c r="F109" s="77">
        <f ca="1">IFERROR(__xludf.DUMMYFUNCTION("IMPORTRANGE(""https://docs.google.com/spreadsheets/d/1MeEWN-I1oV_STSDYn1IFDPWt_1FKiwhDph83XaGc0o0/edit?usp=sharing"",""งบพรบ!DK109"")"),0)</f>
        <v>0</v>
      </c>
      <c r="G109" s="77">
        <f ca="1">IFERROR(__xludf.DUMMYFUNCTION("IMPORTRANGE(""https://docs.google.com/spreadsheets/d/1MeEWN-I1oV_STSDYn1IFDPWt_1FKiwhDph83XaGc0o0/edit?usp=sharing"",""งบพรบ!DL109"")"),0)</f>
        <v>0</v>
      </c>
      <c r="H109" s="77">
        <f ca="1">IFERROR(__xludf.DUMMYFUNCTION("IMPORTRANGE(""https://docs.google.com/spreadsheets/d/1MeEWN-I1oV_STSDYn1IFDPWt_1FKiwhDph83XaGc0o0/edit?usp=sharing"",""งบพรบ!DN109"")"),0)</f>
        <v>0</v>
      </c>
      <c r="I109" s="77">
        <f ca="1">IFERROR(__xludf.DUMMYFUNCTION("IMPORTRANGE(""https://docs.google.com/spreadsheets/d/1MeEWN-I1oV_STSDYn1IFDPWt_1FKiwhDph83XaGc0o0/edit?usp=sharing"",""งบพรบ!DO109"")"),0)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IFERROR(__xludf.DUMMYFUNCTION("IMPORTRANGE(""https://docs.google.com/spreadsheets/d/1MeEWN-I1oV_STSDYn1IFDPWt_1FKiwhDph83XaGc0o0/edit?usp=sharing"",""งบพรบ!DP109"")"),0)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IFERROR(__xludf.DUMMYFUNCTION("IMPORTRANGE(""https://docs.google.com/spreadsheets/d/1MeEWN-I1oV_STSDYn1IFDPWt_1FKiwhDph83XaGc0o0/edit?usp=sharing"",""งบพรบ!DQ109"")"),0)</f>
        <v>0</v>
      </c>
      <c r="P109" s="80">
        <f t="shared" ca="1" si="32"/>
        <v>0</v>
      </c>
      <c r="Q109" s="79">
        <f t="shared" ca="1" si="8"/>
        <v>0</v>
      </c>
      <c r="R109" s="331"/>
      <c r="S109" s="331"/>
      <c r="T109" s="331"/>
      <c r="U109" s="331"/>
      <c r="V109" s="331"/>
      <c r="W109" s="331"/>
      <c r="X109" s="331"/>
      <c r="Y109" s="331"/>
      <c r="Z109" s="331"/>
      <c r="AA109" s="331"/>
      <c r="AB109" s="331"/>
      <c r="AC109" s="331"/>
      <c r="AD109" s="331"/>
      <c r="AE109" s="331"/>
      <c r="AF109" s="331"/>
      <c r="AG109" s="331"/>
    </row>
    <row r="110" spans="1:33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9"/>
        <v>0</v>
      </c>
      <c r="E110" s="77">
        <f ca="1">IFERROR(__xludf.DUMMYFUNCTION("IMPORTRANGE(""https://docs.google.com/spreadsheets/d/1MeEWN-I1oV_STSDYn1IFDPWt_1FKiwhDph83XaGc0o0/edit?usp=sharing"",""งบพรบ!DJ110"")"),0)</f>
        <v>0</v>
      </c>
      <c r="F110" s="77">
        <f ca="1">IFERROR(__xludf.DUMMYFUNCTION("IMPORTRANGE(""https://docs.google.com/spreadsheets/d/1MeEWN-I1oV_STSDYn1IFDPWt_1FKiwhDph83XaGc0o0/edit?usp=sharing"",""งบพรบ!DK110"")"),0)</f>
        <v>0</v>
      </c>
      <c r="G110" s="77">
        <f ca="1">IFERROR(__xludf.DUMMYFUNCTION("IMPORTRANGE(""https://docs.google.com/spreadsheets/d/1MeEWN-I1oV_STSDYn1IFDPWt_1FKiwhDph83XaGc0o0/edit?usp=sharing"",""งบพรบ!DL110"")"),0)</f>
        <v>0</v>
      </c>
      <c r="H110" s="77">
        <f ca="1">IFERROR(__xludf.DUMMYFUNCTION("IMPORTRANGE(""https://docs.google.com/spreadsheets/d/1MeEWN-I1oV_STSDYn1IFDPWt_1FKiwhDph83XaGc0o0/edit?usp=sharing"",""งบพรบ!DN110"")"),0)</f>
        <v>0</v>
      </c>
      <c r="I110" s="77">
        <f ca="1">IFERROR(__xludf.DUMMYFUNCTION("IMPORTRANGE(""https://docs.google.com/spreadsheets/d/1MeEWN-I1oV_STSDYn1IFDPWt_1FKiwhDph83XaGc0o0/edit?usp=sharing"",""งบพรบ!DO110"")"),0)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IFERROR(__xludf.DUMMYFUNCTION("IMPORTRANGE(""https://docs.google.com/spreadsheets/d/1MeEWN-I1oV_STSDYn1IFDPWt_1FKiwhDph83XaGc0o0/edit?usp=sharing"",""งบพรบ!DP110"")"),0)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IFERROR(__xludf.DUMMYFUNCTION("IMPORTRANGE(""https://docs.google.com/spreadsheets/d/1MeEWN-I1oV_STSDYn1IFDPWt_1FKiwhDph83XaGc0o0/edit?usp=sharing"",""งบพรบ!DQ110"")"),0)</f>
        <v>0</v>
      </c>
      <c r="P110" s="80">
        <f t="shared" ca="1" si="32"/>
        <v>0</v>
      </c>
      <c r="Q110" s="79">
        <f t="shared" ca="1" si="8"/>
        <v>0</v>
      </c>
      <c r="R110" s="331"/>
      <c r="S110" s="331"/>
      <c r="T110" s="331"/>
      <c r="U110" s="331"/>
      <c r="V110" s="331"/>
      <c r="W110" s="331"/>
      <c r="X110" s="331"/>
      <c r="Y110" s="331"/>
      <c r="Z110" s="331"/>
      <c r="AA110" s="331"/>
      <c r="AB110" s="331"/>
      <c r="AC110" s="331"/>
      <c r="AD110" s="331"/>
      <c r="AE110" s="331"/>
      <c r="AF110" s="331"/>
      <c r="AG110" s="331"/>
    </row>
    <row r="111" spans="1:33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9"/>
        <v>0</v>
      </c>
      <c r="E111" s="77">
        <f ca="1">IFERROR(__xludf.DUMMYFUNCTION("IMPORTRANGE(""https://docs.google.com/spreadsheets/d/1MeEWN-I1oV_STSDYn1IFDPWt_1FKiwhDph83XaGc0o0/edit?usp=sharing"",""งบพรบ!DJ111"")"),0)</f>
        <v>0</v>
      </c>
      <c r="F111" s="77">
        <f ca="1">IFERROR(__xludf.DUMMYFUNCTION("IMPORTRANGE(""https://docs.google.com/spreadsheets/d/1MeEWN-I1oV_STSDYn1IFDPWt_1FKiwhDph83XaGc0o0/edit?usp=sharing"",""งบพรบ!DK111"")"),0)</f>
        <v>0</v>
      </c>
      <c r="G111" s="77">
        <f ca="1">IFERROR(__xludf.DUMMYFUNCTION("IMPORTRANGE(""https://docs.google.com/spreadsheets/d/1MeEWN-I1oV_STSDYn1IFDPWt_1FKiwhDph83XaGc0o0/edit?usp=sharing"",""งบพรบ!DL111"")"),0)</f>
        <v>0</v>
      </c>
      <c r="H111" s="77">
        <f ca="1">IFERROR(__xludf.DUMMYFUNCTION("IMPORTRANGE(""https://docs.google.com/spreadsheets/d/1MeEWN-I1oV_STSDYn1IFDPWt_1FKiwhDph83XaGc0o0/edit?usp=sharing"",""งบพรบ!DN111"")"),38650)</f>
        <v>38650</v>
      </c>
      <c r="I111" s="77">
        <f ca="1">IFERROR(__xludf.DUMMYFUNCTION("IMPORTRANGE(""https://docs.google.com/spreadsheets/d/1MeEWN-I1oV_STSDYn1IFDPWt_1FKiwhDph83XaGc0o0/edit?usp=sharing"",""งบพรบ!DO111"")"),0)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IFERROR(__xludf.DUMMYFUNCTION("IMPORTRANGE(""https://docs.google.com/spreadsheets/d/1MeEWN-I1oV_STSDYn1IFDPWt_1FKiwhDph83XaGc0o0/edit?usp=sharing"",""งบพรบ!DP111"")"),0)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IFERROR(__xludf.DUMMYFUNCTION("IMPORTRANGE(""https://docs.google.com/spreadsheets/d/1MeEWN-I1oV_STSDYn1IFDPWt_1FKiwhDph83XaGc0o0/edit?usp=sharing"",""งบพรบ!DQ111"")"),0)</f>
        <v>0</v>
      </c>
      <c r="P111" s="80">
        <f t="shared" ca="1" si="32"/>
        <v>0</v>
      </c>
      <c r="Q111" s="79">
        <f t="shared" ca="1" si="8"/>
        <v>0</v>
      </c>
      <c r="R111" s="331"/>
      <c r="S111" s="331"/>
      <c r="T111" s="331"/>
      <c r="U111" s="331"/>
      <c r="V111" s="331"/>
      <c r="W111" s="331"/>
      <c r="X111" s="331"/>
      <c r="Y111" s="331"/>
      <c r="Z111" s="331"/>
      <c r="AA111" s="331"/>
      <c r="AB111" s="331"/>
      <c r="AC111" s="331"/>
      <c r="AD111" s="331"/>
      <c r="AE111" s="331"/>
      <c r="AF111" s="331"/>
      <c r="AG111" s="331"/>
    </row>
    <row r="112" spans="1:33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9"/>
        <v>0</v>
      </c>
      <c r="E112" s="77">
        <f ca="1">IFERROR(__xludf.DUMMYFUNCTION("IMPORTRANGE(""https://docs.google.com/spreadsheets/d/1MeEWN-I1oV_STSDYn1IFDPWt_1FKiwhDph83XaGc0o0/edit?usp=sharing"",""งบพรบ!DJ112"")"),0)</f>
        <v>0</v>
      </c>
      <c r="F112" s="77">
        <f ca="1">IFERROR(__xludf.DUMMYFUNCTION("IMPORTRANGE(""https://docs.google.com/spreadsheets/d/1MeEWN-I1oV_STSDYn1IFDPWt_1FKiwhDph83XaGc0o0/edit?usp=sharing"",""งบพรบ!DK112"")"),0)</f>
        <v>0</v>
      </c>
      <c r="G112" s="77">
        <f ca="1">IFERROR(__xludf.DUMMYFUNCTION("IMPORTRANGE(""https://docs.google.com/spreadsheets/d/1MeEWN-I1oV_STSDYn1IFDPWt_1FKiwhDph83XaGc0o0/edit?usp=sharing"",""งบพรบ!DL112"")"),0)</f>
        <v>0</v>
      </c>
      <c r="H112" s="77">
        <f ca="1">IFERROR(__xludf.DUMMYFUNCTION("IMPORTRANGE(""https://docs.google.com/spreadsheets/d/1MeEWN-I1oV_STSDYn1IFDPWt_1FKiwhDph83XaGc0o0/edit?usp=sharing"",""งบพรบ!DN112"")"),0)</f>
        <v>0</v>
      </c>
      <c r="I112" s="77">
        <f ca="1">IFERROR(__xludf.DUMMYFUNCTION("IMPORTRANGE(""https://docs.google.com/spreadsheets/d/1MeEWN-I1oV_STSDYn1IFDPWt_1FKiwhDph83XaGc0o0/edit?usp=sharing"",""งบพรบ!DO112"")"),0)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IFERROR(__xludf.DUMMYFUNCTION("IMPORTRANGE(""https://docs.google.com/spreadsheets/d/1MeEWN-I1oV_STSDYn1IFDPWt_1FKiwhDph83XaGc0o0/edit?usp=sharing"",""งบพรบ!DP112"")"),0)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IFERROR(__xludf.DUMMYFUNCTION("IMPORTRANGE(""https://docs.google.com/spreadsheets/d/1MeEWN-I1oV_STSDYn1IFDPWt_1FKiwhDph83XaGc0o0/edit?usp=sharing"",""งบพรบ!DQ112"")"),0)</f>
        <v>0</v>
      </c>
      <c r="P112" s="80">
        <f t="shared" ca="1" si="32"/>
        <v>0</v>
      </c>
      <c r="Q112" s="79">
        <f t="shared" ca="1" si="8"/>
        <v>0</v>
      </c>
      <c r="R112" s="331"/>
      <c r="S112" s="331"/>
      <c r="T112" s="331"/>
      <c r="U112" s="331"/>
      <c r="V112" s="331"/>
      <c r="W112" s="331"/>
      <c r="X112" s="331"/>
      <c r="Y112" s="331"/>
      <c r="Z112" s="331"/>
      <c r="AA112" s="331"/>
      <c r="AB112" s="331"/>
      <c r="AC112" s="331"/>
      <c r="AD112" s="331"/>
      <c r="AE112" s="331"/>
      <c r="AF112" s="331"/>
      <c r="AG112" s="331"/>
    </row>
    <row r="113" spans="1:33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9"/>
        <v>0</v>
      </c>
      <c r="E113" s="77">
        <f ca="1">IFERROR(__xludf.DUMMYFUNCTION("IMPORTRANGE(""https://docs.google.com/spreadsheets/d/1MeEWN-I1oV_STSDYn1IFDPWt_1FKiwhDph83XaGc0o0/edit?usp=sharing"",""งบพรบ!DJ113"")"),0)</f>
        <v>0</v>
      </c>
      <c r="F113" s="77">
        <f ca="1">IFERROR(__xludf.DUMMYFUNCTION("IMPORTRANGE(""https://docs.google.com/spreadsheets/d/1MeEWN-I1oV_STSDYn1IFDPWt_1FKiwhDph83XaGc0o0/edit?usp=sharing"",""งบพรบ!DK113"")"),0)</f>
        <v>0</v>
      </c>
      <c r="G113" s="77">
        <f ca="1">IFERROR(__xludf.DUMMYFUNCTION("IMPORTRANGE(""https://docs.google.com/spreadsheets/d/1MeEWN-I1oV_STSDYn1IFDPWt_1FKiwhDph83XaGc0o0/edit?usp=sharing"",""งบพรบ!DL113"")"),0)</f>
        <v>0</v>
      </c>
      <c r="H113" s="77">
        <f ca="1">IFERROR(__xludf.DUMMYFUNCTION("IMPORTRANGE(""https://docs.google.com/spreadsheets/d/1MeEWN-I1oV_STSDYn1IFDPWt_1FKiwhDph83XaGc0o0/edit?usp=sharing"",""งบพรบ!DN113"")"),0)</f>
        <v>0</v>
      </c>
      <c r="I113" s="77">
        <f ca="1">IFERROR(__xludf.DUMMYFUNCTION("IMPORTRANGE(""https://docs.google.com/spreadsheets/d/1MeEWN-I1oV_STSDYn1IFDPWt_1FKiwhDph83XaGc0o0/edit?usp=sharing"",""งบพรบ!DO113"")"),0)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IFERROR(__xludf.DUMMYFUNCTION("IMPORTRANGE(""https://docs.google.com/spreadsheets/d/1MeEWN-I1oV_STSDYn1IFDPWt_1FKiwhDph83XaGc0o0/edit?usp=sharing"",""งบพรบ!DP113"")"),0)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IFERROR(__xludf.DUMMYFUNCTION("IMPORTRANGE(""https://docs.google.com/spreadsheets/d/1MeEWN-I1oV_STSDYn1IFDPWt_1FKiwhDph83XaGc0o0/edit?usp=sharing"",""งบพรบ!DQ113"")"),0)</f>
        <v>0</v>
      </c>
      <c r="P113" s="80">
        <f t="shared" ca="1" si="32"/>
        <v>0</v>
      </c>
      <c r="Q113" s="79">
        <f t="shared" ca="1" si="8"/>
        <v>0</v>
      </c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</row>
    <row r="114" spans="1:33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9"/>
        <v>0</v>
      </c>
      <c r="E114" s="77">
        <f ca="1">IFERROR(__xludf.DUMMYFUNCTION("IMPORTRANGE(""https://docs.google.com/spreadsheets/d/1MeEWN-I1oV_STSDYn1IFDPWt_1FKiwhDph83XaGc0o0/edit?usp=sharing"",""งบพรบ!DJ114"")"),0)</f>
        <v>0</v>
      </c>
      <c r="F114" s="77">
        <f ca="1">IFERROR(__xludf.DUMMYFUNCTION("IMPORTRANGE(""https://docs.google.com/spreadsheets/d/1MeEWN-I1oV_STSDYn1IFDPWt_1FKiwhDph83XaGc0o0/edit?usp=sharing"",""งบพรบ!DK114"")"),0)</f>
        <v>0</v>
      </c>
      <c r="G114" s="77">
        <f ca="1">IFERROR(__xludf.DUMMYFUNCTION("IMPORTRANGE(""https://docs.google.com/spreadsheets/d/1MeEWN-I1oV_STSDYn1IFDPWt_1FKiwhDph83XaGc0o0/edit?usp=sharing"",""งบพรบ!DL114"")"),0)</f>
        <v>0</v>
      </c>
      <c r="H114" s="77">
        <f ca="1">IFERROR(__xludf.DUMMYFUNCTION("IMPORTRANGE(""https://docs.google.com/spreadsheets/d/1MeEWN-I1oV_STSDYn1IFDPWt_1FKiwhDph83XaGc0o0/edit?usp=sharing"",""งบพรบ!DN114"")"),108220)</f>
        <v>108220</v>
      </c>
      <c r="I114" s="77">
        <f ca="1">IFERROR(__xludf.DUMMYFUNCTION("IMPORTRANGE(""https://docs.google.com/spreadsheets/d/1MeEWN-I1oV_STSDYn1IFDPWt_1FKiwhDph83XaGc0o0/edit?usp=sharing"",""งบพรบ!DO114"")"),0)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IFERROR(__xludf.DUMMYFUNCTION("IMPORTRANGE(""https://docs.google.com/spreadsheets/d/1MeEWN-I1oV_STSDYn1IFDPWt_1FKiwhDph83XaGc0o0/edit?usp=sharing"",""งบพรบ!DP114"")"),0)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IFERROR(__xludf.DUMMYFUNCTION("IMPORTRANGE(""https://docs.google.com/spreadsheets/d/1MeEWN-I1oV_STSDYn1IFDPWt_1FKiwhDph83XaGc0o0/edit?usp=sharing"",""งบพรบ!DQ114"")"),0)</f>
        <v>0</v>
      </c>
      <c r="P114" s="80">
        <f t="shared" ca="1" si="32"/>
        <v>0</v>
      </c>
      <c r="Q114" s="79">
        <f t="shared" ca="1" si="8"/>
        <v>0</v>
      </c>
      <c r="R114" s="331"/>
      <c r="S114" s="331"/>
      <c r="T114" s="331"/>
      <c r="U114" s="331"/>
      <c r="V114" s="331"/>
      <c r="W114" s="331"/>
      <c r="X114" s="331"/>
      <c r="Y114" s="331"/>
      <c r="Z114" s="331"/>
      <c r="AA114" s="331"/>
      <c r="AB114" s="331"/>
      <c r="AC114" s="331"/>
      <c r="AD114" s="331"/>
      <c r="AE114" s="331"/>
      <c r="AF114" s="331"/>
      <c r="AG114" s="331"/>
    </row>
    <row r="115" spans="1:33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9"/>
        <v>0</v>
      </c>
      <c r="E115" s="77">
        <f ca="1">IFERROR(__xludf.DUMMYFUNCTION("IMPORTRANGE(""https://docs.google.com/spreadsheets/d/1MeEWN-I1oV_STSDYn1IFDPWt_1FKiwhDph83XaGc0o0/edit?usp=sharing"",""งบพรบ!DJ115"")"),0)</f>
        <v>0</v>
      </c>
      <c r="F115" s="77">
        <f ca="1">IFERROR(__xludf.DUMMYFUNCTION("IMPORTRANGE(""https://docs.google.com/spreadsheets/d/1MeEWN-I1oV_STSDYn1IFDPWt_1FKiwhDph83XaGc0o0/edit?usp=sharing"",""งบพรบ!DK115"")"),0)</f>
        <v>0</v>
      </c>
      <c r="G115" s="77">
        <f ca="1">IFERROR(__xludf.DUMMYFUNCTION("IMPORTRANGE(""https://docs.google.com/spreadsheets/d/1MeEWN-I1oV_STSDYn1IFDPWt_1FKiwhDph83XaGc0o0/edit?usp=sharing"",""งบพรบ!DL115"")"),0)</f>
        <v>0</v>
      </c>
      <c r="H115" s="77">
        <f ca="1">IFERROR(__xludf.DUMMYFUNCTION("IMPORTRANGE(""https://docs.google.com/spreadsheets/d/1MeEWN-I1oV_STSDYn1IFDPWt_1FKiwhDph83XaGc0o0/edit?usp=sharing"",""งบพรบ!DN115"")"),0)</f>
        <v>0</v>
      </c>
      <c r="I115" s="77">
        <f ca="1">IFERROR(__xludf.DUMMYFUNCTION("IMPORTRANGE(""https://docs.google.com/spreadsheets/d/1MeEWN-I1oV_STSDYn1IFDPWt_1FKiwhDph83XaGc0o0/edit?usp=sharing"",""งบพรบ!DO115"")"),0)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IFERROR(__xludf.DUMMYFUNCTION("IMPORTRANGE(""https://docs.google.com/spreadsheets/d/1MeEWN-I1oV_STSDYn1IFDPWt_1FKiwhDph83XaGc0o0/edit?usp=sharing"",""งบพรบ!DP115"")"),0)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IFERROR(__xludf.DUMMYFUNCTION("IMPORTRANGE(""https://docs.google.com/spreadsheets/d/1MeEWN-I1oV_STSDYn1IFDPWt_1FKiwhDph83XaGc0o0/edit?usp=sharing"",""งบพรบ!DQ115"")"),0)</f>
        <v>0</v>
      </c>
      <c r="P115" s="80">
        <f t="shared" ca="1" si="32"/>
        <v>0</v>
      </c>
      <c r="Q115" s="79">
        <f t="shared" ca="1" si="8"/>
        <v>0</v>
      </c>
      <c r="R115" s="331"/>
      <c r="S115" s="331"/>
      <c r="T115" s="331"/>
      <c r="U115" s="331"/>
      <c r="V115" s="331"/>
      <c r="W115" s="331"/>
      <c r="X115" s="331"/>
      <c r="Y115" s="331"/>
      <c r="Z115" s="331"/>
      <c r="AA115" s="331"/>
      <c r="AB115" s="331"/>
      <c r="AC115" s="331"/>
      <c r="AD115" s="331"/>
      <c r="AE115" s="331"/>
      <c r="AF115" s="331"/>
      <c r="AG115" s="331"/>
    </row>
    <row r="116" spans="1:33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9"/>
        <v>0</v>
      </c>
      <c r="E116" s="77">
        <f ca="1">IFERROR(__xludf.DUMMYFUNCTION("IMPORTRANGE(""https://docs.google.com/spreadsheets/d/1MeEWN-I1oV_STSDYn1IFDPWt_1FKiwhDph83XaGc0o0/edit?usp=sharing"",""งบพรบ!DJ116"")"),0)</f>
        <v>0</v>
      </c>
      <c r="F116" s="77">
        <f ca="1">IFERROR(__xludf.DUMMYFUNCTION("IMPORTRANGE(""https://docs.google.com/spreadsheets/d/1MeEWN-I1oV_STSDYn1IFDPWt_1FKiwhDph83XaGc0o0/edit?usp=sharing"",""งบพรบ!DK116"")"),0)</f>
        <v>0</v>
      </c>
      <c r="G116" s="77">
        <f ca="1">IFERROR(__xludf.DUMMYFUNCTION("IMPORTRANGE(""https://docs.google.com/spreadsheets/d/1MeEWN-I1oV_STSDYn1IFDPWt_1FKiwhDph83XaGc0o0/edit?usp=sharing"",""งบพรบ!DL116"")"),0)</f>
        <v>0</v>
      </c>
      <c r="H116" s="77">
        <f ca="1">IFERROR(__xludf.DUMMYFUNCTION("IMPORTRANGE(""https://docs.google.com/spreadsheets/d/1MeEWN-I1oV_STSDYn1IFDPWt_1FKiwhDph83XaGc0o0/edit?usp=sharing"",""งบพรบ!DN116"")"),0)</f>
        <v>0</v>
      </c>
      <c r="I116" s="77">
        <f ca="1">IFERROR(__xludf.DUMMYFUNCTION("IMPORTRANGE(""https://docs.google.com/spreadsheets/d/1MeEWN-I1oV_STSDYn1IFDPWt_1FKiwhDph83XaGc0o0/edit?usp=sharing"",""งบพรบ!DO116"")"),0)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IFERROR(__xludf.DUMMYFUNCTION("IMPORTRANGE(""https://docs.google.com/spreadsheets/d/1MeEWN-I1oV_STSDYn1IFDPWt_1FKiwhDph83XaGc0o0/edit?usp=sharing"",""งบพรบ!DP116"")"),0)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IFERROR(__xludf.DUMMYFUNCTION("IMPORTRANGE(""https://docs.google.com/spreadsheets/d/1MeEWN-I1oV_STSDYn1IFDPWt_1FKiwhDph83XaGc0o0/edit?usp=sharing"",""งบพรบ!DQ116"")"),0)</f>
        <v>0</v>
      </c>
      <c r="P116" s="80">
        <f t="shared" ca="1" si="32"/>
        <v>0</v>
      </c>
      <c r="Q116" s="79">
        <f t="shared" ca="1" si="8"/>
        <v>0</v>
      </c>
      <c r="R116" s="331"/>
      <c r="S116" s="331"/>
      <c r="T116" s="331"/>
      <c r="U116" s="331"/>
      <c r="V116" s="331"/>
      <c r="W116" s="331"/>
      <c r="X116" s="331"/>
      <c r="Y116" s="331"/>
      <c r="Z116" s="331"/>
      <c r="AA116" s="331"/>
      <c r="AB116" s="331"/>
      <c r="AC116" s="331"/>
      <c r="AD116" s="331"/>
      <c r="AE116" s="331"/>
      <c r="AF116" s="331"/>
      <c r="AG116" s="331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301"/>
      <c r="S117" s="301"/>
      <c r="T117" s="301"/>
      <c r="U117" s="302"/>
      <c r="V117" s="302"/>
      <c r="W117" s="302"/>
      <c r="X117" s="302"/>
      <c r="Y117" s="302"/>
      <c r="Z117" s="302"/>
      <c r="AA117" s="302"/>
      <c r="AB117" s="302"/>
      <c r="AC117" s="302"/>
      <c r="AD117" s="302"/>
      <c r="AE117" s="302"/>
      <c r="AF117" s="302"/>
      <c r="AG117" s="302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301"/>
      <c r="S118" s="301"/>
      <c r="T118" s="301"/>
      <c r="U118" s="302"/>
      <c r="V118" s="302"/>
      <c r="W118" s="302"/>
      <c r="X118" s="302"/>
      <c r="Y118" s="302"/>
      <c r="Z118" s="302"/>
      <c r="AA118" s="302"/>
      <c r="AB118" s="302"/>
      <c r="AC118" s="302"/>
      <c r="AD118" s="302"/>
      <c r="AE118" s="302"/>
      <c r="AF118" s="302"/>
      <c r="AG118" s="302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301"/>
      <c r="S119" s="301"/>
      <c r="T119" s="301"/>
      <c r="U119" s="302"/>
      <c r="V119" s="302"/>
      <c r="W119" s="302"/>
      <c r="X119" s="302"/>
      <c r="Y119" s="302"/>
      <c r="Z119" s="302"/>
      <c r="AA119" s="302"/>
      <c r="AB119" s="302"/>
      <c r="AC119" s="302"/>
      <c r="AD119" s="302"/>
      <c r="AE119" s="302"/>
      <c r="AF119" s="302"/>
      <c r="AG119" s="302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301"/>
      <c r="S120" s="301"/>
      <c r="T120" s="301"/>
      <c r="U120" s="302"/>
      <c r="V120" s="302"/>
      <c r="W120" s="302"/>
      <c r="X120" s="302"/>
      <c r="Y120" s="302"/>
      <c r="Z120" s="302"/>
      <c r="AA120" s="302"/>
      <c r="AB120" s="302"/>
      <c r="AC120" s="302"/>
      <c r="AD120" s="302"/>
      <c r="AE120" s="302"/>
      <c r="AF120" s="302"/>
      <c r="AG120" s="302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301"/>
      <c r="S121" s="301"/>
      <c r="T121" s="301"/>
      <c r="U121" s="302"/>
      <c r="V121" s="302"/>
      <c r="W121" s="302"/>
      <c r="X121" s="302"/>
      <c r="Y121" s="302"/>
      <c r="Z121" s="302"/>
      <c r="AA121" s="302"/>
      <c r="AB121" s="302"/>
      <c r="AC121" s="302"/>
      <c r="AD121" s="302"/>
      <c r="AE121" s="302"/>
      <c r="AF121" s="302"/>
      <c r="AG121" s="302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301"/>
      <c r="S122" s="301"/>
      <c r="T122" s="301"/>
      <c r="U122" s="302"/>
      <c r="V122" s="302"/>
      <c r="W122" s="302"/>
      <c r="X122" s="302"/>
      <c r="Y122" s="302"/>
      <c r="Z122" s="302"/>
      <c r="AA122" s="302"/>
      <c r="AB122" s="302"/>
      <c r="AC122" s="302"/>
      <c r="AD122" s="302"/>
      <c r="AE122" s="302"/>
      <c r="AF122" s="302"/>
      <c r="AG122" s="302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301"/>
      <c r="S123" s="301"/>
      <c r="T123" s="301"/>
      <c r="U123" s="302"/>
      <c r="V123" s="302"/>
      <c r="W123" s="302"/>
      <c r="X123" s="302"/>
      <c r="Y123" s="302"/>
      <c r="Z123" s="302"/>
      <c r="AA123" s="302"/>
      <c r="AB123" s="302"/>
      <c r="AC123" s="302"/>
      <c r="AD123" s="302"/>
      <c r="AE123" s="302"/>
      <c r="AF123" s="302"/>
      <c r="AG123" s="302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301"/>
      <c r="S124" s="301"/>
      <c r="T124" s="301"/>
      <c r="U124" s="302"/>
      <c r="V124" s="302"/>
      <c r="W124" s="302"/>
      <c r="X124" s="302"/>
      <c r="Y124" s="302"/>
      <c r="Z124" s="302"/>
      <c r="AA124" s="302"/>
      <c r="AB124" s="302"/>
      <c r="AC124" s="302"/>
      <c r="AD124" s="302"/>
      <c r="AE124" s="302"/>
      <c r="AF124" s="302"/>
      <c r="AG124" s="302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301"/>
      <c r="S125" s="301"/>
      <c r="T125" s="301"/>
      <c r="U125" s="302"/>
      <c r="V125" s="302"/>
      <c r="W125" s="302"/>
      <c r="X125" s="302"/>
      <c r="Y125" s="302"/>
      <c r="Z125" s="302"/>
      <c r="AA125" s="302"/>
      <c r="AB125" s="302"/>
      <c r="AC125" s="302"/>
      <c r="AD125" s="302"/>
      <c r="AE125" s="302"/>
      <c r="AF125" s="302"/>
      <c r="AG125" s="302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301"/>
      <c r="S126" s="301"/>
      <c r="T126" s="301"/>
      <c r="U126" s="302"/>
      <c r="V126" s="302"/>
      <c r="W126" s="302"/>
      <c r="X126" s="302"/>
      <c r="Y126" s="302"/>
      <c r="Z126" s="302"/>
      <c r="AA126" s="302"/>
      <c r="AB126" s="302"/>
      <c r="AC126" s="302"/>
      <c r="AD126" s="302"/>
      <c r="AE126" s="302"/>
      <c r="AF126" s="302"/>
      <c r="AG126" s="302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301"/>
      <c r="S127" s="301"/>
      <c r="T127" s="301"/>
      <c r="U127" s="302"/>
      <c r="V127" s="302"/>
      <c r="W127" s="302"/>
      <c r="X127" s="302"/>
      <c r="Y127" s="302"/>
      <c r="Z127" s="302"/>
      <c r="AA127" s="302"/>
      <c r="AB127" s="302"/>
      <c r="AC127" s="302"/>
      <c r="AD127" s="302"/>
      <c r="AE127" s="302"/>
      <c r="AF127" s="302"/>
      <c r="AG127" s="302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301"/>
      <c r="S128" s="301"/>
      <c r="T128" s="301"/>
      <c r="U128" s="302"/>
      <c r="V128" s="302"/>
      <c r="W128" s="302"/>
      <c r="X128" s="302"/>
      <c r="Y128" s="302"/>
      <c r="Z128" s="302"/>
      <c r="AA128" s="302"/>
      <c r="AB128" s="302"/>
      <c r="AC128" s="302"/>
      <c r="AD128" s="302"/>
      <c r="AE128" s="302"/>
      <c r="AF128" s="302"/>
      <c r="AG128" s="302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301"/>
      <c r="S129" s="301"/>
      <c r="T129" s="301"/>
      <c r="U129" s="302"/>
      <c r="V129" s="302"/>
      <c r="W129" s="302"/>
      <c r="X129" s="302"/>
      <c r="Y129" s="302"/>
      <c r="Z129" s="302"/>
      <c r="AA129" s="302"/>
      <c r="AB129" s="302"/>
      <c r="AC129" s="302"/>
      <c r="AD129" s="302"/>
      <c r="AE129" s="302"/>
      <c r="AF129" s="302"/>
      <c r="AG129" s="302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301"/>
      <c r="S130" s="301"/>
      <c r="T130" s="301"/>
      <c r="U130" s="302"/>
      <c r="V130" s="302"/>
      <c r="W130" s="302"/>
      <c r="X130" s="302"/>
      <c r="Y130" s="302"/>
      <c r="Z130" s="302"/>
      <c r="AA130" s="302"/>
      <c r="AB130" s="302"/>
      <c r="AC130" s="302"/>
      <c r="AD130" s="302"/>
      <c r="AE130" s="302"/>
      <c r="AF130" s="302"/>
      <c r="AG130" s="302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301"/>
      <c r="S131" s="301"/>
      <c r="T131" s="301"/>
      <c r="U131" s="302"/>
      <c r="V131" s="302"/>
      <c r="W131" s="302"/>
      <c r="X131" s="302"/>
      <c r="Y131" s="302"/>
      <c r="Z131" s="302"/>
      <c r="AA131" s="302"/>
      <c r="AB131" s="302"/>
      <c r="AC131" s="302"/>
      <c r="AD131" s="302"/>
      <c r="AE131" s="302"/>
      <c r="AF131" s="302"/>
      <c r="AG131" s="302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301"/>
      <c r="S132" s="301"/>
      <c r="T132" s="301"/>
      <c r="U132" s="302"/>
      <c r="V132" s="302"/>
      <c r="W132" s="302"/>
      <c r="X132" s="302"/>
      <c r="Y132" s="302"/>
      <c r="Z132" s="302"/>
      <c r="AA132" s="302"/>
      <c r="AB132" s="302"/>
      <c r="AC132" s="302"/>
      <c r="AD132" s="302"/>
      <c r="AE132" s="302"/>
      <c r="AF132" s="302"/>
      <c r="AG132" s="302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301"/>
      <c r="S133" s="301"/>
      <c r="T133" s="301"/>
      <c r="U133" s="302"/>
      <c r="V133" s="302"/>
      <c r="W133" s="302"/>
      <c r="X133" s="302"/>
      <c r="Y133" s="302"/>
      <c r="Z133" s="302"/>
      <c r="AA133" s="302"/>
      <c r="AB133" s="302"/>
      <c r="AC133" s="302"/>
      <c r="AD133" s="302"/>
      <c r="AE133" s="302"/>
      <c r="AF133" s="302"/>
      <c r="AG133" s="302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301"/>
      <c r="S134" s="301"/>
      <c r="T134" s="301"/>
      <c r="U134" s="302"/>
      <c r="V134" s="302"/>
      <c r="W134" s="302"/>
      <c r="X134" s="302"/>
      <c r="Y134" s="302"/>
      <c r="Z134" s="302"/>
      <c r="AA134" s="302"/>
      <c r="AB134" s="302"/>
      <c r="AC134" s="302"/>
      <c r="AD134" s="302"/>
      <c r="AE134" s="302"/>
      <c r="AF134" s="302"/>
      <c r="AG134" s="302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301"/>
      <c r="S135" s="301"/>
      <c r="T135" s="301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301"/>
      <c r="S136" s="301"/>
      <c r="T136" s="301"/>
      <c r="U136" s="302"/>
      <c r="V136" s="302"/>
      <c r="W136" s="302"/>
      <c r="X136" s="302"/>
      <c r="Y136" s="302"/>
      <c r="Z136" s="302"/>
      <c r="AA136" s="302"/>
      <c r="AB136" s="302"/>
      <c r="AC136" s="302"/>
      <c r="AD136" s="302"/>
      <c r="AE136" s="302"/>
      <c r="AF136" s="302"/>
      <c r="AG136" s="302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301"/>
      <c r="S137" s="301"/>
      <c r="T137" s="301"/>
      <c r="U137" s="302"/>
      <c r="V137" s="302"/>
      <c r="W137" s="302"/>
      <c r="X137" s="302"/>
      <c r="Y137" s="302"/>
      <c r="Z137" s="302"/>
      <c r="AA137" s="302"/>
      <c r="AB137" s="302"/>
      <c r="AC137" s="302"/>
      <c r="AD137" s="302"/>
      <c r="AE137" s="302"/>
      <c r="AF137" s="302"/>
      <c r="AG137" s="302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301"/>
      <c r="S138" s="301"/>
      <c r="T138" s="301"/>
      <c r="U138" s="302"/>
      <c r="V138" s="302"/>
      <c r="W138" s="302"/>
      <c r="X138" s="302"/>
      <c r="Y138" s="302"/>
      <c r="Z138" s="302"/>
      <c r="AA138" s="302"/>
      <c r="AB138" s="302"/>
      <c r="AC138" s="302"/>
      <c r="AD138" s="302"/>
      <c r="AE138" s="302"/>
      <c r="AF138" s="302"/>
      <c r="AG138" s="302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301"/>
      <c r="S139" s="301"/>
      <c r="T139" s="301"/>
      <c r="U139" s="302"/>
      <c r="V139" s="302"/>
      <c r="W139" s="302"/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301"/>
      <c r="S140" s="301"/>
      <c r="T140" s="301"/>
      <c r="U140" s="302"/>
      <c r="V140" s="302"/>
      <c r="W140" s="302"/>
      <c r="X140" s="302"/>
      <c r="Y140" s="302"/>
      <c r="Z140" s="302"/>
      <c r="AA140" s="302"/>
      <c r="AB140" s="302"/>
      <c r="AC140" s="302"/>
      <c r="AD140" s="302"/>
      <c r="AE140" s="302"/>
      <c r="AF140" s="302"/>
      <c r="AG140" s="302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301"/>
      <c r="S141" s="301"/>
      <c r="T141" s="301"/>
      <c r="U141" s="302"/>
      <c r="V141" s="302"/>
      <c r="W141" s="302"/>
      <c r="X141" s="302"/>
      <c r="Y141" s="302"/>
      <c r="Z141" s="302"/>
      <c r="AA141" s="302"/>
      <c r="AB141" s="302"/>
      <c r="AC141" s="302"/>
      <c r="AD141" s="302"/>
      <c r="AE141" s="302"/>
      <c r="AF141" s="302"/>
      <c r="AG141" s="302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301"/>
      <c r="S142" s="301"/>
      <c r="T142" s="301"/>
      <c r="U142" s="302"/>
      <c r="V142" s="302"/>
      <c r="W142" s="302"/>
      <c r="X142" s="302"/>
      <c r="Y142" s="302"/>
      <c r="Z142" s="302"/>
      <c r="AA142" s="302"/>
      <c r="AB142" s="302"/>
      <c r="AC142" s="302"/>
      <c r="AD142" s="302"/>
      <c r="AE142" s="302"/>
      <c r="AF142" s="302"/>
      <c r="AG142" s="302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301"/>
      <c r="S143" s="301"/>
      <c r="T143" s="301"/>
      <c r="U143" s="302"/>
      <c r="V143" s="302"/>
      <c r="W143" s="302"/>
      <c r="X143" s="302"/>
      <c r="Y143" s="302"/>
      <c r="Z143" s="302"/>
      <c r="AA143" s="302"/>
      <c r="AB143" s="302"/>
      <c r="AC143" s="302"/>
      <c r="AD143" s="302"/>
      <c r="AE143" s="302"/>
      <c r="AF143" s="302"/>
      <c r="AG143" s="302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301"/>
      <c r="S144" s="301"/>
      <c r="T144" s="301"/>
      <c r="U144" s="302"/>
      <c r="V144" s="302"/>
      <c r="W144" s="302"/>
      <c r="X144" s="302"/>
      <c r="Y144" s="302"/>
      <c r="Z144" s="302"/>
      <c r="AA144" s="302"/>
      <c r="AB144" s="302"/>
      <c r="AC144" s="302"/>
      <c r="AD144" s="302"/>
      <c r="AE144" s="302"/>
      <c r="AF144" s="302"/>
      <c r="AG144" s="302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301"/>
      <c r="S145" s="301"/>
      <c r="T145" s="301"/>
      <c r="U145" s="302"/>
      <c r="V145" s="302"/>
      <c r="W145" s="302"/>
      <c r="X145" s="302"/>
      <c r="Y145" s="302"/>
      <c r="Z145" s="302"/>
      <c r="AA145" s="302"/>
      <c r="AB145" s="302"/>
      <c r="AC145" s="302"/>
      <c r="AD145" s="302"/>
      <c r="AE145" s="302"/>
      <c r="AF145" s="302"/>
      <c r="AG145" s="302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301"/>
      <c r="S146" s="301"/>
      <c r="T146" s="301"/>
      <c r="U146" s="302"/>
      <c r="V146" s="302"/>
      <c r="W146" s="302"/>
      <c r="X146" s="302"/>
      <c r="Y146" s="302"/>
      <c r="Z146" s="302"/>
      <c r="AA146" s="302"/>
      <c r="AB146" s="302"/>
      <c r="AC146" s="302"/>
      <c r="AD146" s="302"/>
      <c r="AE146" s="302"/>
      <c r="AF146" s="302"/>
      <c r="AG146" s="302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301"/>
      <c r="S147" s="301"/>
      <c r="T147" s="301"/>
      <c r="U147" s="302"/>
      <c r="V147" s="302"/>
      <c r="W147" s="302"/>
      <c r="X147" s="302"/>
      <c r="Y147" s="302"/>
      <c r="Z147" s="302"/>
      <c r="AA147" s="302"/>
      <c r="AB147" s="302"/>
      <c r="AC147" s="302"/>
      <c r="AD147" s="302"/>
      <c r="AE147" s="302"/>
      <c r="AF147" s="302"/>
      <c r="AG147" s="302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301"/>
      <c r="S148" s="301"/>
      <c r="T148" s="301"/>
      <c r="U148" s="302"/>
      <c r="V148" s="302"/>
      <c r="W148" s="302"/>
      <c r="X148" s="302"/>
      <c r="Y148" s="302"/>
      <c r="Z148" s="302"/>
      <c r="AA148" s="302"/>
      <c r="AB148" s="302"/>
      <c r="AC148" s="302"/>
      <c r="AD148" s="302"/>
      <c r="AE148" s="302"/>
      <c r="AF148" s="302"/>
      <c r="AG148" s="302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301"/>
      <c r="S149" s="301"/>
      <c r="T149" s="301"/>
      <c r="U149" s="302"/>
      <c r="V149" s="302"/>
      <c r="W149" s="302"/>
      <c r="X149" s="302"/>
      <c r="Y149" s="302"/>
      <c r="Z149" s="302"/>
      <c r="AA149" s="302"/>
      <c r="AB149" s="302"/>
      <c r="AC149" s="302"/>
      <c r="AD149" s="302"/>
      <c r="AE149" s="302"/>
      <c r="AF149" s="302"/>
      <c r="AG149" s="302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301"/>
      <c r="S150" s="301"/>
      <c r="T150" s="301"/>
      <c r="U150" s="302"/>
      <c r="V150" s="302"/>
      <c r="W150" s="302"/>
      <c r="X150" s="302"/>
      <c r="Y150" s="302"/>
      <c r="Z150" s="302"/>
      <c r="AA150" s="302"/>
      <c r="AB150" s="302"/>
      <c r="AC150" s="302"/>
      <c r="AD150" s="302"/>
      <c r="AE150" s="302"/>
      <c r="AF150" s="302"/>
      <c r="AG150" s="302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301"/>
      <c r="S151" s="301"/>
      <c r="T151" s="301"/>
      <c r="U151" s="302"/>
      <c r="V151" s="302"/>
      <c r="W151" s="302"/>
      <c r="X151" s="302"/>
      <c r="Y151" s="302"/>
      <c r="Z151" s="302"/>
      <c r="AA151" s="302"/>
      <c r="AB151" s="302"/>
      <c r="AC151" s="302"/>
      <c r="AD151" s="302"/>
      <c r="AE151" s="302"/>
      <c r="AF151" s="302"/>
      <c r="AG151" s="302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301"/>
      <c r="S152" s="301"/>
      <c r="T152" s="301"/>
      <c r="U152" s="302"/>
      <c r="V152" s="302"/>
      <c r="W152" s="302"/>
      <c r="X152" s="302"/>
      <c r="Y152" s="302"/>
      <c r="Z152" s="302"/>
      <c r="AA152" s="302"/>
      <c r="AB152" s="302"/>
      <c r="AC152" s="302"/>
      <c r="AD152" s="302"/>
      <c r="AE152" s="302"/>
      <c r="AF152" s="302"/>
      <c r="AG152" s="302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301"/>
      <c r="S153" s="301"/>
      <c r="T153" s="301"/>
      <c r="U153" s="302"/>
      <c r="V153" s="302"/>
      <c r="W153" s="302"/>
      <c r="X153" s="302"/>
      <c r="Y153" s="302"/>
      <c r="Z153" s="302"/>
      <c r="AA153" s="302"/>
      <c r="AB153" s="302"/>
      <c r="AC153" s="302"/>
      <c r="AD153" s="302"/>
      <c r="AE153" s="302"/>
      <c r="AF153" s="302"/>
      <c r="AG153" s="302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301"/>
      <c r="S154" s="301"/>
      <c r="T154" s="301"/>
      <c r="U154" s="302"/>
      <c r="V154" s="302"/>
      <c r="W154" s="302"/>
      <c r="X154" s="302"/>
      <c r="Y154" s="302"/>
      <c r="Z154" s="302"/>
      <c r="AA154" s="302"/>
      <c r="AB154" s="302"/>
      <c r="AC154" s="302"/>
      <c r="AD154" s="302"/>
      <c r="AE154" s="302"/>
      <c r="AF154" s="302"/>
      <c r="AG154" s="302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301"/>
      <c r="S155" s="301"/>
      <c r="T155" s="301"/>
      <c r="U155" s="302"/>
      <c r="V155" s="302"/>
      <c r="W155" s="302"/>
      <c r="X155" s="302"/>
      <c r="Y155" s="302"/>
      <c r="Z155" s="302"/>
      <c r="AA155" s="302"/>
      <c r="AB155" s="302"/>
      <c r="AC155" s="302"/>
      <c r="AD155" s="302"/>
      <c r="AE155" s="302"/>
      <c r="AF155" s="302"/>
      <c r="AG155" s="302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301"/>
      <c r="S156" s="301"/>
      <c r="T156" s="301"/>
      <c r="U156" s="302"/>
      <c r="V156" s="302"/>
      <c r="W156" s="302"/>
      <c r="X156" s="302"/>
      <c r="Y156" s="302"/>
      <c r="Z156" s="302"/>
      <c r="AA156" s="302"/>
      <c r="AB156" s="302"/>
      <c r="AC156" s="302"/>
      <c r="AD156" s="302"/>
      <c r="AE156" s="302"/>
      <c r="AF156" s="302"/>
      <c r="AG156" s="302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301"/>
      <c r="S157" s="301"/>
      <c r="T157" s="301"/>
      <c r="U157" s="302"/>
      <c r="V157" s="302"/>
      <c r="W157" s="302"/>
      <c r="X157" s="302"/>
      <c r="Y157" s="302"/>
      <c r="Z157" s="302"/>
      <c r="AA157" s="302"/>
      <c r="AB157" s="302"/>
      <c r="AC157" s="302"/>
      <c r="AD157" s="302"/>
      <c r="AE157" s="302"/>
      <c r="AF157" s="302"/>
      <c r="AG157" s="302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301"/>
      <c r="S158" s="301"/>
      <c r="T158" s="301"/>
      <c r="U158" s="302"/>
      <c r="V158" s="302"/>
      <c r="W158" s="302"/>
      <c r="X158" s="302"/>
      <c r="Y158" s="302"/>
      <c r="Z158" s="302"/>
      <c r="AA158" s="302"/>
      <c r="AB158" s="302"/>
      <c r="AC158" s="302"/>
      <c r="AD158" s="302"/>
      <c r="AE158" s="302"/>
      <c r="AF158" s="302"/>
      <c r="AG158" s="302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301"/>
      <c r="S159" s="301"/>
      <c r="T159" s="301"/>
      <c r="U159" s="302"/>
      <c r="V159" s="302"/>
      <c r="W159" s="302"/>
      <c r="X159" s="302"/>
      <c r="Y159" s="302"/>
      <c r="Z159" s="302"/>
      <c r="AA159" s="302"/>
      <c r="AB159" s="302"/>
      <c r="AC159" s="302"/>
      <c r="AD159" s="302"/>
      <c r="AE159" s="302"/>
      <c r="AF159" s="302"/>
      <c r="AG159" s="302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301"/>
      <c r="S160" s="301"/>
      <c r="T160" s="301"/>
      <c r="U160" s="302"/>
      <c r="V160" s="302"/>
      <c r="W160" s="302"/>
      <c r="X160" s="302"/>
      <c r="Y160" s="302"/>
      <c r="Z160" s="302"/>
      <c r="AA160" s="302"/>
      <c r="AB160" s="302"/>
      <c r="AC160" s="302"/>
      <c r="AD160" s="302"/>
      <c r="AE160" s="302"/>
      <c r="AF160" s="302"/>
      <c r="AG160" s="302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301"/>
      <c r="S161" s="301"/>
      <c r="T161" s="301"/>
      <c r="U161" s="302"/>
      <c r="V161" s="302"/>
      <c r="W161" s="302"/>
      <c r="X161" s="302"/>
      <c r="Y161" s="302"/>
      <c r="Z161" s="302"/>
      <c r="AA161" s="302"/>
      <c r="AB161" s="302"/>
      <c r="AC161" s="302"/>
      <c r="AD161" s="302"/>
      <c r="AE161" s="302"/>
      <c r="AF161" s="302"/>
      <c r="AG161" s="302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301"/>
      <c r="S162" s="301"/>
      <c r="T162" s="301"/>
      <c r="U162" s="302"/>
      <c r="V162" s="302"/>
      <c r="W162" s="302"/>
      <c r="X162" s="302"/>
      <c r="Y162" s="302"/>
      <c r="Z162" s="302"/>
      <c r="AA162" s="302"/>
      <c r="AB162" s="302"/>
      <c r="AC162" s="302"/>
      <c r="AD162" s="302"/>
      <c r="AE162" s="302"/>
      <c r="AF162" s="302"/>
      <c r="AG162" s="302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301"/>
      <c r="S163" s="301"/>
      <c r="T163" s="301"/>
      <c r="U163" s="302"/>
      <c r="V163" s="302"/>
      <c r="W163" s="302"/>
      <c r="X163" s="302"/>
      <c r="Y163" s="302"/>
      <c r="Z163" s="302"/>
      <c r="AA163" s="302"/>
      <c r="AB163" s="302"/>
      <c r="AC163" s="302"/>
      <c r="AD163" s="302"/>
      <c r="AE163" s="302"/>
      <c r="AF163" s="302"/>
      <c r="AG163" s="302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301"/>
      <c r="S164" s="301"/>
      <c r="T164" s="301"/>
      <c r="U164" s="302"/>
      <c r="V164" s="302"/>
      <c r="W164" s="302"/>
      <c r="X164" s="302"/>
      <c r="Y164" s="302"/>
      <c r="Z164" s="302"/>
      <c r="AA164" s="302"/>
      <c r="AB164" s="302"/>
      <c r="AC164" s="302"/>
      <c r="AD164" s="302"/>
      <c r="AE164" s="302"/>
      <c r="AF164" s="302"/>
      <c r="AG164" s="302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301"/>
      <c r="S165" s="301"/>
      <c r="T165" s="301"/>
      <c r="U165" s="302"/>
      <c r="V165" s="302"/>
      <c r="W165" s="302"/>
      <c r="X165" s="302"/>
      <c r="Y165" s="302"/>
      <c r="Z165" s="302"/>
      <c r="AA165" s="302"/>
      <c r="AB165" s="302"/>
      <c r="AC165" s="302"/>
      <c r="AD165" s="302"/>
      <c r="AE165" s="302"/>
      <c r="AF165" s="302"/>
      <c r="AG165" s="302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301"/>
      <c r="S166" s="301"/>
      <c r="T166" s="301"/>
      <c r="U166" s="302"/>
      <c r="V166" s="302"/>
      <c r="W166" s="302"/>
      <c r="X166" s="302"/>
      <c r="Y166" s="302"/>
      <c r="Z166" s="302"/>
      <c r="AA166" s="302"/>
      <c r="AB166" s="302"/>
      <c r="AC166" s="302"/>
      <c r="AD166" s="302"/>
      <c r="AE166" s="302"/>
      <c r="AF166" s="302"/>
      <c r="AG166" s="302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301"/>
      <c r="S167" s="301"/>
      <c r="T167" s="301"/>
      <c r="U167" s="302"/>
      <c r="V167" s="302"/>
      <c r="W167" s="302"/>
      <c r="X167" s="302"/>
      <c r="Y167" s="302"/>
      <c r="Z167" s="302"/>
      <c r="AA167" s="302"/>
      <c r="AB167" s="302"/>
      <c r="AC167" s="302"/>
      <c r="AD167" s="302"/>
      <c r="AE167" s="302"/>
      <c r="AF167" s="302"/>
      <c r="AG167" s="302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301"/>
      <c r="S168" s="301"/>
      <c r="T168" s="301"/>
      <c r="U168" s="302"/>
      <c r="V168" s="302"/>
      <c r="W168" s="302"/>
      <c r="X168" s="302"/>
      <c r="Y168" s="302"/>
      <c r="Z168" s="302"/>
      <c r="AA168" s="302"/>
      <c r="AB168" s="302"/>
      <c r="AC168" s="302"/>
      <c r="AD168" s="302"/>
      <c r="AE168" s="302"/>
      <c r="AF168" s="302"/>
      <c r="AG168" s="302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301"/>
      <c r="S169" s="301"/>
      <c r="T169" s="301"/>
      <c r="U169" s="302"/>
      <c r="V169" s="302"/>
      <c r="W169" s="302"/>
      <c r="X169" s="302"/>
      <c r="Y169" s="302"/>
      <c r="Z169" s="302"/>
      <c r="AA169" s="302"/>
      <c r="AB169" s="302"/>
      <c r="AC169" s="302"/>
      <c r="AD169" s="302"/>
      <c r="AE169" s="302"/>
      <c r="AF169" s="302"/>
      <c r="AG169" s="302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301"/>
      <c r="S170" s="301"/>
      <c r="T170" s="301"/>
      <c r="U170" s="302"/>
      <c r="V170" s="302"/>
      <c r="W170" s="302"/>
      <c r="X170" s="302"/>
      <c r="Y170" s="302"/>
      <c r="Z170" s="302"/>
      <c r="AA170" s="302"/>
      <c r="AB170" s="302"/>
      <c r="AC170" s="302"/>
      <c r="AD170" s="302"/>
      <c r="AE170" s="302"/>
      <c r="AF170" s="302"/>
      <c r="AG170" s="302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301"/>
      <c r="S171" s="301"/>
      <c r="T171" s="301"/>
      <c r="U171" s="302"/>
      <c r="V171" s="302"/>
      <c r="W171" s="302"/>
      <c r="X171" s="302"/>
      <c r="Y171" s="302"/>
      <c r="Z171" s="302"/>
      <c r="AA171" s="302"/>
      <c r="AB171" s="302"/>
      <c r="AC171" s="302"/>
      <c r="AD171" s="302"/>
      <c r="AE171" s="302"/>
      <c r="AF171" s="302"/>
      <c r="AG171" s="302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301"/>
      <c r="S172" s="301"/>
      <c r="T172" s="301"/>
      <c r="U172" s="302"/>
      <c r="V172" s="302"/>
      <c r="W172" s="302"/>
      <c r="X172" s="302"/>
      <c r="Y172" s="302"/>
      <c r="Z172" s="302"/>
      <c r="AA172" s="302"/>
      <c r="AB172" s="302"/>
      <c r="AC172" s="302"/>
      <c r="AD172" s="302"/>
      <c r="AE172" s="302"/>
      <c r="AF172" s="302"/>
      <c r="AG172" s="302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301"/>
      <c r="S173" s="301"/>
      <c r="T173" s="301"/>
      <c r="U173" s="302"/>
      <c r="V173" s="302"/>
      <c r="W173" s="302"/>
      <c r="X173" s="302"/>
      <c r="Y173" s="302"/>
      <c r="Z173" s="302"/>
      <c r="AA173" s="302"/>
      <c r="AB173" s="302"/>
      <c r="AC173" s="302"/>
      <c r="AD173" s="302"/>
      <c r="AE173" s="302"/>
      <c r="AF173" s="302"/>
      <c r="AG173" s="302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301"/>
      <c r="S174" s="301"/>
      <c r="T174" s="301"/>
      <c r="U174" s="302"/>
      <c r="V174" s="302"/>
      <c r="W174" s="302"/>
      <c r="X174" s="302"/>
      <c r="Y174" s="302"/>
      <c r="Z174" s="302"/>
      <c r="AA174" s="302"/>
      <c r="AB174" s="302"/>
      <c r="AC174" s="302"/>
      <c r="AD174" s="302"/>
      <c r="AE174" s="302"/>
      <c r="AF174" s="302"/>
      <c r="AG174" s="302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301"/>
      <c r="S175" s="301"/>
      <c r="T175" s="301"/>
      <c r="U175" s="302"/>
      <c r="V175" s="302"/>
      <c r="W175" s="302"/>
      <c r="X175" s="302"/>
      <c r="Y175" s="302"/>
      <c r="Z175" s="302"/>
      <c r="AA175" s="302"/>
      <c r="AB175" s="302"/>
      <c r="AC175" s="302"/>
      <c r="AD175" s="302"/>
      <c r="AE175" s="302"/>
      <c r="AF175" s="302"/>
      <c r="AG175" s="302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301"/>
      <c r="S176" s="301"/>
      <c r="T176" s="301"/>
      <c r="U176" s="302"/>
      <c r="V176" s="302"/>
      <c r="W176" s="302"/>
      <c r="X176" s="302"/>
      <c r="Y176" s="302"/>
      <c r="Z176" s="302"/>
      <c r="AA176" s="302"/>
      <c r="AB176" s="302"/>
      <c r="AC176" s="302"/>
      <c r="AD176" s="302"/>
      <c r="AE176" s="302"/>
      <c r="AF176" s="302"/>
      <c r="AG176" s="302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301"/>
      <c r="S177" s="301"/>
      <c r="T177" s="301"/>
      <c r="U177" s="302"/>
      <c r="V177" s="302"/>
      <c r="W177" s="302"/>
      <c r="X177" s="302"/>
      <c r="Y177" s="302"/>
      <c r="Z177" s="302"/>
      <c r="AA177" s="302"/>
      <c r="AB177" s="302"/>
      <c r="AC177" s="302"/>
      <c r="AD177" s="302"/>
      <c r="AE177" s="302"/>
      <c r="AF177" s="302"/>
      <c r="AG177" s="302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301"/>
      <c r="S178" s="301"/>
      <c r="T178" s="301"/>
      <c r="U178" s="302"/>
      <c r="V178" s="302"/>
      <c r="W178" s="302"/>
      <c r="X178" s="302"/>
      <c r="Y178" s="302"/>
      <c r="Z178" s="302"/>
      <c r="AA178" s="302"/>
      <c r="AB178" s="302"/>
      <c r="AC178" s="302"/>
      <c r="AD178" s="302"/>
      <c r="AE178" s="302"/>
      <c r="AF178" s="302"/>
      <c r="AG178" s="302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301"/>
      <c r="S179" s="301"/>
      <c r="T179" s="301"/>
      <c r="U179" s="302"/>
      <c r="V179" s="302"/>
      <c r="W179" s="302"/>
      <c r="X179" s="302"/>
      <c r="Y179" s="302"/>
      <c r="Z179" s="302"/>
      <c r="AA179" s="302"/>
      <c r="AB179" s="302"/>
      <c r="AC179" s="302"/>
      <c r="AD179" s="302"/>
      <c r="AE179" s="302"/>
      <c r="AF179" s="302"/>
      <c r="AG179" s="302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301"/>
      <c r="S180" s="301"/>
      <c r="T180" s="301"/>
      <c r="U180" s="302"/>
      <c r="V180" s="302"/>
      <c r="W180" s="302"/>
      <c r="X180" s="302"/>
      <c r="Y180" s="302"/>
      <c r="Z180" s="302"/>
      <c r="AA180" s="302"/>
      <c r="AB180" s="302"/>
      <c r="AC180" s="302"/>
      <c r="AD180" s="302"/>
      <c r="AE180" s="302"/>
      <c r="AF180" s="302"/>
      <c r="AG180" s="302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301"/>
      <c r="S181" s="301"/>
      <c r="T181" s="301"/>
      <c r="U181" s="302"/>
      <c r="V181" s="302"/>
      <c r="W181" s="302"/>
      <c r="X181" s="302"/>
      <c r="Y181" s="302"/>
      <c r="Z181" s="302"/>
      <c r="AA181" s="302"/>
      <c r="AB181" s="302"/>
      <c r="AC181" s="302"/>
      <c r="AD181" s="302"/>
      <c r="AE181" s="302"/>
      <c r="AF181" s="302"/>
      <c r="AG181" s="302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301"/>
      <c r="S182" s="301"/>
      <c r="T182" s="301"/>
      <c r="U182" s="302"/>
      <c r="V182" s="302"/>
      <c r="W182" s="302"/>
      <c r="X182" s="302"/>
      <c r="Y182" s="302"/>
      <c r="Z182" s="302"/>
      <c r="AA182" s="302"/>
      <c r="AB182" s="302"/>
      <c r="AC182" s="302"/>
      <c r="AD182" s="302"/>
      <c r="AE182" s="302"/>
      <c r="AF182" s="302"/>
      <c r="AG182" s="302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301"/>
      <c r="S183" s="301"/>
      <c r="T183" s="301"/>
      <c r="U183" s="302"/>
      <c r="V183" s="302"/>
      <c r="W183" s="302"/>
      <c r="X183" s="302"/>
      <c r="Y183" s="302"/>
      <c r="Z183" s="302"/>
      <c r="AA183" s="302"/>
      <c r="AB183" s="302"/>
      <c r="AC183" s="302"/>
      <c r="AD183" s="302"/>
      <c r="AE183" s="302"/>
      <c r="AF183" s="302"/>
      <c r="AG183" s="302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301"/>
      <c r="S184" s="301"/>
      <c r="T184" s="301"/>
      <c r="U184" s="302"/>
      <c r="V184" s="302"/>
      <c r="W184" s="302"/>
      <c r="X184" s="302"/>
      <c r="Y184" s="302"/>
      <c r="Z184" s="302"/>
      <c r="AA184" s="302"/>
      <c r="AB184" s="302"/>
      <c r="AC184" s="302"/>
      <c r="AD184" s="302"/>
      <c r="AE184" s="302"/>
      <c r="AF184" s="302"/>
      <c r="AG184" s="302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301"/>
      <c r="S185" s="301"/>
      <c r="T185" s="301"/>
      <c r="U185" s="302"/>
      <c r="V185" s="302"/>
      <c r="W185" s="302"/>
      <c r="X185" s="302"/>
      <c r="Y185" s="302"/>
      <c r="Z185" s="302"/>
      <c r="AA185" s="302"/>
      <c r="AB185" s="302"/>
      <c r="AC185" s="302"/>
      <c r="AD185" s="302"/>
      <c r="AE185" s="302"/>
      <c r="AF185" s="302"/>
      <c r="AG185" s="302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301"/>
      <c r="S186" s="301"/>
      <c r="T186" s="301"/>
      <c r="U186" s="302"/>
      <c r="V186" s="302"/>
      <c r="W186" s="302"/>
      <c r="X186" s="302"/>
      <c r="Y186" s="302"/>
      <c r="Z186" s="302"/>
      <c r="AA186" s="302"/>
      <c r="AB186" s="302"/>
      <c r="AC186" s="302"/>
      <c r="AD186" s="302"/>
      <c r="AE186" s="302"/>
      <c r="AF186" s="302"/>
      <c r="AG186" s="302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301"/>
      <c r="S187" s="301"/>
      <c r="T187" s="301"/>
      <c r="U187" s="302"/>
      <c r="V187" s="302"/>
      <c r="W187" s="302"/>
      <c r="X187" s="302"/>
      <c r="Y187" s="302"/>
      <c r="Z187" s="302"/>
      <c r="AA187" s="302"/>
      <c r="AB187" s="302"/>
      <c r="AC187" s="302"/>
      <c r="AD187" s="302"/>
      <c r="AE187" s="302"/>
      <c r="AF187" s="302"/>
      <c r="AG187" s="302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301"/>
      <c r="S188" s="301"/>
      <c r="T188" s="301"/>
      <c r="U188" s="302"/>
      <c r="V188" s="302"/>
      <c r="W188" s="302"/>
      <c r="X188" s="302"/>
      <c r="Y188" s="302"/>
      <c r="Z188" s="302"/>
      <c r="AA188" s="302"/>
      <c r="AB188" s="302"/>
      <c r="AC188" s="302"/>
      <c r="AD188" s="302"/>
      <c r="AE188" s="302"/>
      <c r="AF188" s="302"/>
      <c r="AG188" s="302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301"/>
      <c r="S189" s="301"/>
      <c r="T189" s="301"/>
      <c r="U189" s="302"/>
      <c r="V189" s="302"/>
      <c r="W189" s="302"/>
      <c r="X189" s="302"/>
      <c r="Y189" s="302"/>
      <c r="Z189" s="302"/>
      <c r="AA189" s="302"/>
      <c r="AB189" s="302"/>
      <c r="AC189" s="302"/>
      <c r="AD189" s="302"/>
      <c r="AE189" s="302"/>
      <c r="AF189" s="302"/>
      <c r="AG189" s="302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301"/>
      <c r="S190" s="301"/>
      <c r="T190" s="301"/>
      <c r="U190" s="302"/>
      <c r="V190" s="302"/>
      <c r="W190" s="302"/>
      <c r="X190" s="302"/>
      <c r="Y190" s="302"/>
      <c r="Z190" s="302"/>
      <c r="AA190" s="302"/>
      <c r="AB190" s="302"/>
      <c r="AC190" s="302"/>
      <c r="AD190" s="302"/>
      <c r="AE190" s="302"/>
      <c r="AF190" s="302"/>
      <c r="AG190" s="302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301"/>
      <c r="S191" s="301"/>
      <c r="T191" s="301"/>
      <c r="U191" s="302"/>
      <c r="V191" s="302"/>
      <c r="W191" s="302"/>
      <c r="X191" s="302"/>
      <c r="Y191" s="302"/>
      <c r="Z191" s="302"/>
      <c r="AA191" s="302"/>
      <c r="AB191" s="302"/>
      <c r="AC191" s="302"/>
      <c r="AD191" s="302"/>
      <c r="AE191" s="302"/>
      <c r="AF191" s="302"/>
      <c r="AG191" s="302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301"/>
      <c r="S192" s="301"/>
      <c r="T192" s="301"/>
      <c r="U192" s="302"/>
      <c r="V192" s="302"/>
      <c r="W192" s="302"/>
      <c r="X192" s="302"/>
      <c r="Y192" s="302"/>
      <c r="Z192" s="302"/>
      <c r="AA192" s="302"/>
      <c r="AB192" s="302"/>
      <c r="AC192" s="302"/>
      <c r="AD192" s="302"/>
      <c r="AE192" s="302"/>
      <c r="AF192" s="302"/>
      <c r="AG192" s="302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301"/>
      <c r="S193" s="301"/>
      <c r="T193" s="301"/>
      <c r="U193" s="302"/>
      <c r="V193" s="302"/>
      <c r="W193" s="302"/>
      <c r="X193" s="302"/>
      <c r="Y193" s="302"/>
      <c r="Z193" s="302"/>
      <c r="AA193" s="302"/>
      <c r="AB193" s="302"/>
      <c r="AC193" s="302"/>
      <c r="AD193" s="302"/>
      <c r="AE193" s="302"/>
      <c r="AF193" s="302"/>
      <c r="AG193" s="302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301"/>
      <c r="S194" s="301"/>
      <c r="T194" s="301"/>
      <c r="U194" s="302"/>
      <c r="V194" s="302"/>
      <c r="W194" s="302"/>
      <c r="X194" s="302"/>
      <c r="Y194" s="302"/>
      <c r="Z194" s="302"/>
      <c r="AA194" s="302"/>
      <c r="AB194" s="302"/>
      <c r="AC194" s="302"/>
      <c r="AD194" s="302"/>
      <c r="AE194" s="302"/>
      <c r="AF194" s="302"/>
      <c r="AG194" s="302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301"/>
      <c r="S195" s="301"/>
      <c r="T195" s="301"/>
      <c r="U195" s="302"/>
      <c r="V195" s="302"/>
      <c r="W195" s="302"/>
      <c r="X195" s="302"/>
      <c r="Y195" s="302"/>
      <c r="Z195" s="302"/>
      <c r="AA195" s="302"/>
      <c r="AB195" s="302"/>
      <c r="AC195" s="302"/>
      <c r="AD195" s="302"/>
      <c r="AE195" s="302"/>
      <c r="AF195" s="302"/>
      <c r="AG195" s="302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301"/>
      <c r="S196" s="301"/>
      <c r="T196" s="301"/>
      <c r="U196" s="302"/>
      <c r="V196" s="302"/>
      <c r="W196" s="302"/>
      <c r="X196" s="302"/>
      <c r="Y196" s="302"/>
      <c r="Z196" s="302"/>
      <c r="AA196" s="302"/>
      <c r="AB196" s="302"/>
      <c r="AC196" s="302"/>
      <c r="AD196" s="302"/>
      <c r="AE196" s="302"/>
      <c r="AF196" s="302"/>
      <c r="AG196" s="302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301"/>
      <c r="S197" s="301"/>
      <c r="T197" s="301"/>
      <c r="U197" s="302"/>
      <c r="V197" s="302"/>
      <c r="W197" s="302"/>
      <c r="X197" s="302"/>
      <c r="Y197" s="302"/>
      <c r="Z197" s="302"/>
      <c r="AA197" s="302"/>
      <c r="AB197" s="302"/>
      <c r="AC197" s="302"/>
      <c r="AD197" s="302"/>
      <c r="AE197" s="302"/>
      <c r="AF197" s="302"/>
      <c r="AG197" s="302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301"/>
      <c r="S198" s="301"/>
      <c r="T198" s="301"/>
      <c r="U198" s="302"/>
      <c r="V198" s="302"/>
      <c r="W198" s="302"/>
      <c r="X198" s="302"/>
      <c r="Y198" s="302"/>
      <c r="Z198" s="302"/>
      <c r="AA198" s="302"/>
      <c r="AB198" s="302"/>
      <c r="AC198" s="302"/>
      <c r="AD198" s="302"/>
      <c r="AE198" s="302"/>
      <c r="AF198" s="302"/>
      <c r="AG198" s="302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301"/>
      <c r="S199" s="301"/>
      <c r="T199" s="301"/>
      <c r="U199" s="302"/>
      <c r="V199" s="302"/>
      <c r="W199" s="302"/>
      <c r="X199" s="302"/>
      <c r="Y199" s="302"/>
      <c r="Z199" s="302"/>
      <c r="AA199" s="302"/>
      <c r="AB199" s="302"/>
      <c r="AC199" s="302"/>
      <c r="AD199" s="302"/>
      <c r="AE199" s="302"/>
      <c r="AF199" s="302"/>
      <c r="AG199" s="302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301"/>
      <c r="S200" s="301"/>
      <c r="T200" s="301"/>
      <c r="U200" s="302"/>
      <c r="V200" s="302"/>
      <c r="W200" s="302"/>
      <c r="X200" s="302"/>
      <c r="Y200" s="302"/>
      <c r="Z200" s="302"/>
      <c r="AA200" s="302"/>
      <c r="AB200" s="302"/>
      <c r="AC200" s="302"/>
      <c r="AD200" s="302"/>
      <c r="AE200" s="302"/>
      <c r="AF200" s="302"/>
      <c r="AG200" s="302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301"/>
      <c r="S201" s="301"/>
      <c r="T201" s="301"/>
      <c r="U201" s="302"/>
      <c r="V201" s="302"/>
      <c r="W201" s="302"/>
      <c r="X201" s="302"/>
      <c r="Y201" s="302"/>
      <c r="Z201" s="302"/>
      <c r="AA201" s="302"/>
      <c r="AB201" s="302"/>
      <c r="AC201" s="302"/>
      <c r="AD201" s="302"/>
      <c r="AE201" s="302"/>
      <c r="AF201" s="302"/>
      <c r="AG201" s="302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301"/>
      <c r="S202" s="301"/>
      <c r="T202" s="301"/>
      <c r="U202" s="302"/>
      <c r="V202" s="302"/>
      <c r="W202" s="302"/>
      <c r="X202" s="302"/>
      <c r="Y202" s="302"/>
      <c r="Z202" s="302"/>
      <c r="AA202" s="302"/>
      <c r="AB202" s="302"/>
      <c r="AC202" s="302"/>
      <c r="AD202" s="302"/>
      <c r="AE202" s="302"/>
      <c r="AF202" s="302"/>
      <c r="AG202" s="302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301"/>
      <c r="S203" s="301"/>
      <c r="T203" s="301"/>
      <c r="U203" s="302"/>
      <c r="V203" s="302"/>
      <c r="W203" s="302"/>
      <c r="X203" s="302"/>
      <c r="Y203" s="302"/>
      <c r="Z203" s="302"/>
      <c r="AA203" s="302"/>
      <c r="AB203" s="302"/>
      <c r="AC203" s="302"/>
      <c r="AD203" s="302"/>
      <c r="AE203" s="302"/>
      <c r="AF203" s="302"/>
      <c r="AG203" s="302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301"/>
      <c r="S204" s="301"/>
      <c r="T204" s="301"/>
      <c r="U204" s="302"/>
      <c r="V204" s="302"/>
      <c r="W204" s="302"/>
      <c r="X204" s="302"/>
      <c r="Y204" s="302"/>
      <c r="Z204" s="302"/>
      <c r="AA204" s="302"/>
      <c r="AB204" s="302"/>
      <c r="AC204" s="302"/>
      <c r="AD204" s="302"/>
      <c r="AE204" s="302"/>
      <c r="AF204" s="302"/>
      <c r="AG204" s="302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301"/>
      <c r="S205" s="301"/>
      <c r="T205" s="301"/>
      <c r="U205" s="302"/>
      <c r="V205" s="302"/>
      <c r="W205" s="302"/>
      <c r="X205" s="302"/>
      <c r="Y205" s="302"/>
      <c r="Z205" s="302"/>
      <c r="AA205" s="302"/>
      <c r="AB205" s="302"/>
      <c r="AC205" s="302"/>
      <c r="AD205" s="302"/>
      <c r="AE205" s="302"/>
      <c r="AF205" s="302"/>
      <c r="AG205" s="302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301"/>
      <c r="S206" s="301"/>
      <c r="T206" s="301"/>
      <c r="U206" s="302"/>
      <c r="V206" s="302"/>
      <c r="W206" s="302"/>
      <c r="X206" s="302"/>
      <c r="Y206" s="302"/>
      <c r="Z206" s="302"/>
      <c r="AA206" s="302"/>
      <c r="AB206" s="302"/>
      <c r="AC206" s="302"/>
      <c r="AD206" s="302"/>
      <c r="AE206" s="302"/>
      <c r="AF206" s="302"/>
      <c r="AG206" s="302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301"/>
      <c r="S207" s="301"/>
      <c r="T207" s="301"/>
      <c r="U207" s="302"/>
      <c r="V207" s="302"/>
      <c r="W207" s="302"/>
      <c r="X207" s="302"/>
      <c r="Y207" s="302"/>
      <c r="Z207" s="302"/>
      <c r="AA207" s="302"/>
      <c r="AB207" s="302"/>
      <c r="AC207" s="302"/>
      <c r="AD207" s="302"/>
      <c r="AE207" s="302"/>
      <c r="AF207" s="302"/>
      <c r="AG207" s="302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301"/>
      <c r="S208" s="301"/>
      <c r="T208" s="301"/>
      <c r="U208" s="302"/>
      <c r="V208" s="302"/>
      <c r="W208" s="302"/>
      <c r="X208" s="302"/>
      <c r="Y208" s="302"/>
      <c r="Z208" s="302"/>
      <c r="AA208" s="302"/>
      <c r="AB208" s="302"/>
      <c r="AC208" s="302"/>
      <c r="AD208" s="302"/>
      <c r="AE208" s="302"/>
      <c r="AF208" s="302"/>
      <c r="AG208" s="302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301"/>
      <c r="S209" s="301"/>
      <c r="T209" s="301"/>
      <c r="U209" s="302"/>
      <c r="V209" s="302"/>
      <c r="W209" s="302"/>
      <c r="X209" s="302"/>
      <c r="Y209" s="302"/>
      <c r="Z209" s="302"/>
      <c r="AA209" s="302"/>
      <c r="AB209" s="302"/>
      <c r="AC209" s="302"/>
      <c r="AD209" s="302"/>
      <c r="AE209" s="302"/>
      <c r="AF209" s="302"/>
      <c r="AG209" s="302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301"/>
      <c r="S210" s="301"/>
      <c r="T210" s="301"/>
      <c r="U210" s="302"/>
      <c r="V210" s="302"/>
      <c r="W210" s="302"/>
      <c r="X210" s="302"/>
      <c r="Y210" s="302"/>
      <c r="Z210" s="302"/>
      <c r="AA210" s="302"/>
      <c r="AB210" s="302"/>
      <c r="AC210" s="302"/>
      <c r="AD210" s="302"/>
      <c r="AE210" s="302"/>
      <c r="AF210" s="302"/>
      <c r="AG210" s="302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301"/>
      <c r="S211" s="301"/>
      <c r="T211" s="301"/>
      <c r="U211" s="302"/>
      <c r="V211" s="302"/>
      <c r="W211" s="302"/>
      <c r="X211" s="302"/>
      <c r="Y211" s="302"/>
      <c r="Z211" s="302"/>
      <c r="AA211" s="302"/>
      <c r="AB211" s="302"/>
      <c r="AC211" s="302"/>
      <c r="AD211" s="302"/>
      <c r="AE211" s="302"/>
      <c r="AF211" s="302"/>
      <c r="AG211" s="302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301"/>
      <c r="S212" s="301"/>
      <c r="T212" s="301"/>
      <c r="U212" s="302"/>
      <c r="V212" s="302"/>
      <c r="W212" s="302"/>
      <c r="X212" s="302"/>
      <c r="Y212" s="302"/>
      <c r="Z212" s="302"/>
      <c r="AA212" s="302"/>
      <c r="AB212" s="302"/>
      <c r="AC212" s="302"/>
      <c r="AD212" s="302"/>
      <c r="AE212" s="302"/>
      <c r="AF212" s="302"/>
      <c r="AG212" s="302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301"/>
      <c r="S213" s="301"/>
      <c r="T213" s="301"/>
      <c r="U213" s="302"/>
      <c r="V213" s="302"/>
      <c r="W213" s="302"/>
      <c r="X213" s="302"/>
      <c r="Y213" s="302"/>
      <c r="Z213" s="302"/>
      <c r="AA213" s="302"/>
      <c r="AB213" s="302"/>
      <c r="AC213" s="302"/>
      <c r="AD213" s="302"/>
      <c r="AE213" s="302"/>
      <c r="AF213" s="302"/>
      <c r="AG213" s="302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301"/>
      <c r="S214" s="301"/>
      <c r="T214" s="301"/>
      <c r="U214" s="302"/>
      <c r="V214" s="302"/>
      <c r="W214" s="302"/>
      <c r="X214" s="302"/>
      <c r="Y214" s="302"/>
      <c r="Z214" s="302"/>
      <c r="AA214" s="302"/>
      <c r="AB214" s="302"/>
      <c r="AC214" s="302"/>
      <c r="AD214" s="302"/>
      <c r="AE214" s="302"/>
      <c r="AF214" s="302"/>
      <c r="AG214" s="302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301"/>
      <c r="S215" s="301"/>
      <c r="T215" s="301"/>
      <c r="U215" s="302"/>
      <c r="V215" s="302"/>
      <c r="W215" s="302"/>
      <c r="X215" s="302"/>
      <c r="Y215" s="302"/>
      <c r="Z215" s="302"/>
      <c r="AA215" s="302"/>
      <c r="AB215" s="302"/>
      <c r="AC215" s="302"/>
      <c r="AD215" s="302"/>
      <c r="AE215" s="302"/>
      <c r="AF215" s="302"/>
      <c r="AG215" s="302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301"/>
      <c r="S216" s="301"/>
      <c r="T216" s="301"/>
      <c r="U216" s="302"/>
      <c r="V216" s="302"/>
      <c r="W216" s="302"/>
      <c r="X216" s="302"/>
      <c r="Y216" s="302"/>
      <c r="Z216" s="302"/>
      <c r="AA216" s="302"/>
      <c r="AB216" s="302"/>
      <c r="AC216" s="302"/>
      <c r="AD216" s="302"/>
      <c r="AE216" s="302"/>
      <c r="AF216" s="302"/>
      <c r="AG216" s="302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301"/>
      <c r="S217" s="301"/>
      <c r="T217" s="301"/>
      <c r="U217" s="302"/>
      <c r="V217" s="302"/>
      <c r="W217" s="302"/>
      <c r="X217" s="302"/>
      <c r="Y217" s="302"/>
      <c r="Z217" s="302"/>
      <c r="AA217" s="302"/>
      <c r="AB217" s="302"/>
      <c r="AC217" s="302"/>
      <c r="AD217" s="302"/>
      <c r="AE217" s="302"/>
      <c r="AF217" s="302"/>
      <c r="AG217" s="302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301"/>
      <c r="S218" s="301"/>
      <c r="T218" s="301"/>
      <c r="U218" s="302"/>
      <c r="V218" s="302"/>
      <c r="W218" s="302"/>
      <c r="X218" s="302"/>
      <c r="Y218" s="302"/>
      <c r="Z218" s="302"/>
      <c r="AA218" s="302"/>
      <c r="AB218" s="302"/>
      <c r="AC218" s="302"/>
      <c r="AD218" s="302"/>
      <c r="AE218" s="302"/>
      <c r="AF218" s="302"/>
      <c r="AG218" s="302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301"/>
      <c r="S219" s="301"/>
      <c r="T219" s="301"/>
      <c r="U219" s="302"/>
      <c r="V219" s="302"/>
      <c r="W219" s="302"/>
      <c r="X219" s="302"/>
      <c r="Y219" s="302"/>
      <c r="Z219" s="302"/>
      <c r="AA219" s="302"/>
      <c r="AB219" s="302"/>
      <c r="AC219" s="302"/>
      <c r="AD219" s="302"/>
      <c r="AE219" s="302"/>
      <c r="AF219" s="302"/>
      <c r="AG219" s="302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301"/>
      <c r="S220" s="301"/>
      <c r="T220" s="301"/>
      <c r="U220" s="302"/>
      <c r="V220" s="302"/>
      <c r="W220" s="302"/>
      <c r="X220" s="302"/>
      <c r="Y220" s="302"/>
      <c r="Z220" s="302"/>
      <c r="AA220" s="302"/>
      <c r="AB220" s="302"/>
      <c r="AC220" s="302"/>
      <c r="AD220" s="302"/>
      <c r="AE220" s="302"/>
      <c r="AF220" s="302"/>
      <c r="AG220" s="302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301"/>
      <c r="S221" s="301"/>
      <c r="T221" s="301"/>
      <c r="U221" s="302"/>
      <c r="V221" s="302"/>
      <c r="W221" s="302"/>
      <c r="X221" s="302"/>
      <c r="Y221" s="302"/>
      <c r="Z221" s="302"/>
      <c r="AA221" s="302"/>
      <c r="AB221" s="302"/>
      <c r="AC221" s="302"/>
      <c r="AD221" s="302"/>
      <c r="AE221" s="302"/>
      <c r="AF221" s="302"/>
      <c r="AG221" s="302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301"/>
      <c r="S222" s="301"/>
      <c r="T222" s="301"/>
      <c r="U222" s="302"/>
      <c r="V222" s="302"/>
      <c r="W222" s="302"/>
      <c r="X222" s="302"/>
      <c r="Y222" s="302"/>
      <c r="Z222" s="302"/>
      <c r="AA222" s="302"/>
      <c r="AB222" s="302"/>
      <c r="AC222" s="302"/>
      <c r="AD222" s="302"/>
      <c r="AE222" s="302"/>
      <c r="AF222" s="302"/>
      <c r="AG222" s="302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301"/>
      <c r="S223" s="301"/>
      <c r="T223" s="301"/>
      <c r="U223" s="302"/>
      <c r="V223" s="302"/>
      <c r="W223" s="302"/>
      <c r="X223" s="302"/>
      <c r="Y223" s="302"/>
      <c r="Z223" s="302"/>
      <c r="AA223" s="302"/>
      <c r="AB223" s="302"/>
      <c r="AC223" s="302"/>
      <c r="AD223" s="302"/>
      <c r="AE223" s="302"/>
      <c r="AF223" s="302"/>
      <c r="AG223" s="302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301"/>
      <c r="S224" s="301"/>
      <c r="T224" s="301"/>
      <c r="U224" s="302"/>
      <c r="V224" s="302"/>
      <c r="W224" s="302"/>
      <c r="X224" s="302"/>
      <c r="Y224" s="302"/>
      <c r="Z224" s="302"/>
      <c r="AA224" s="302"/>
      <c r="AB224" s="302"/>
      <c r="AC224" s="302"/>
      <c r="AD224" s="302"/>
      <c r="AE224" s="302"/>
      <c r="AF224" s="302"/>
      <c r="AG224" s="302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301"/>
      <c r="S225" s="301"/>
      <c r="T225" s="301"/>
      <c r="U225" s="302"/>
      <c r="V225" s="302"/>
      <c r="W225" s="302"/>
      <c r="X225" s="302"/>
      <c r="Y225" s="302"/>
      <c r="Z225" s="302"/>
      <c r="AA225" s="302"/>
      <c r="AB225" s="302"/>
      <c r="AC225" s="302"/>
      <c r="AD225" s="302"/>
      <c r="AE225" s="302"/>
      <c r="AF225" s="302"/>
      <c r="AG225" s="302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301"/>
      <c r="S226" s="301"/>
      <c r="T226" s="301"/>
      <c r="U226" s="302"/>
      <c r="V226" s="302"/>
      <c r="W226" s="302"/>
      <c r="X226" s="302"/>
      <c r="Y226" s="302"/>
      <c r="Z226" s="302"/>
      <c r="AA226" s="302"/>
      <c r="AB226" s="302"/>
      <c r="AC226" s="302"/>
      <c r="AD226" s="302"/>
      <c r="AE226" s="302"/>
      <c r="AF226" s="302"/>
      <c r="AG226" s="302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301"/>
      <c r="S227" s="301"/>
      <c r="T227" s="301"/>
      <c r="U227" s="302"/>
      <c r="V227" s="302"/>
      <c r="W227" s="302"/>
      <c r="X227" s="302"/>
      <c r="Y227" s="302"/>
      <c r="Z227" s="302"/>
      <c r="AA227" s="302"/>
      <c r="AB227" s="302"/>
      <c r="AC227" s="302"/>
      <c r="AD227" s="302"/>
      <c r="AE227" s="302"/>
      <c r="AF227" s="302"/>
      <c r="AG227" s="302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301"/>
      <c r="S228" s="301"/>
      <c r="T228" s="301"/>
      <c r="U228" s="302"/>
      <c r="V228" s="302"/>
      <c r="W228" s="302"/>
      <c r="X228" s="302"/>
      <c r="Y228" s="302"/>
      <c r="Z228" s="302"/>
      <c r="AA228" s="302"/>
      <c r="AB228" s="302"/>
      <c r="AC228" s="302"/>
      <c r="AD228" s="302"/>
      <c r="AE228" s="302"/>
      <c r="AF228" s="302"/>
      <c r="AG228" s="302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301"/>
      <c r="S229" s="301"/>
      <c r="T229" s="301"/>
      <c r="U229" s="302"/>
      <c r="V229" s="302"/>
      <c r="W229" s="302"/>
      <c r="X229" s="302"/>
      <c r="Y229" s="302"/>
      <c r="Z229" s="302"/>
      <c r="AA229" s="302"/>
      <c r="AB229" s="302"/>
      <c r="AC229" s="302"/>
      <c r="AD229" s="302"/>
      <c r="AE229" s="302"/>
      <c r="AF229" s="302"/>
      <c r="AG229" s="302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301"/>
      <c r="S230" s="301"/>
      <c r="T230" s="301"/>
      <c r="U230" s="302"/>
      <c r="V230" s="302"/>
      <c r="W230" s="302"/>
      <c r="X230" s="302"/>
      <c r="Y230" s="302"/>
      <c r="Z230" s="302"/>
      <c r="AA230" s="302"/>
      <c r="AB230" s="302"/>
      <c r="AC230" s="302"/>
      <c r="AD230" s="302"/>
      <c r="AE230" s="302"/>
      <c r="AF230" s="302"/>
      <c r="AG230" s="302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301"/>
      <c r="S231" s="301"/>
      <c r="T231" s="301"/>
      <c r="U231" s="302"/>
      <c r="V231" s="302"/>
      <c r="W231" s="302"/>
      <c r="X231" s="302"/>
      <c r="Y231" s="302"/>
      <c r="Z231" s="302"/>
      <c r="AA231" s="302"/>
      <c r="AB231" s="302"/>
      <c r="AC231" s="302"/>
      <c r="AD231" s="302"/>
      <c r="AE231" s="302"/>
      <c r="AF231" s="302"/>
      <c r="AG231" s="302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301"/>
      <c r="S232" s="301"/>
      <c r="T232" s="301"/>
      <c r="U232" s="302"/>
      <c r="V232" s="302"/>
      <c r="W232" s="302"/>
      <c r="X232" s="302"/>
      <c r="Y232" s="302"/>
      <c r="Z232" s="302"/>
      <c r="AA232" s="302"/>
      <c r="AB232" s="302"/>
      <c r="AC232" s="302"/>
      <c r="AD232" s="302"/>
      <c r="AE232" s="302"/>
      <c r="AF232" s="302"/>
      <c r="AG232" s="302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301"/>
      <c r="S233" s="301"/>
      <c r="T233" s="301"/>
      <c r="U233" s="302"/>
      <c r="V233" s="302"/>
      <c r="W233" s="302"/>
      <c r="X233" s="302"/>
      <c r="Y233" s="302"/>
      <c r="Z233" s="302"/>
      <c r="AA233" s="302"/>
      <c r="AB233" s="302"/>
      <c r="AC233" s="302"/>
      <c r="AD233" s="302"/>
      <c r="AE233" s="302"/>
      <c r="AF233" s="302"/>
      <c r="AG233" s="302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301"/>
      <c r="S234" s="301"/>
      <c r="T234" s="301"/>
      <c r="U234" s="302"/>
      <c r="V234" s="302"/>
      <c r="W234" s="302"/>
      <c r="X234" s="302"/>
      <c r="Y234" s="302"/>
      <c r="Z234" s="302"/>
      <c r="AA234" s="302"/>
      <c r="AB234" s="302"/>
      <c r="AC234" s="302"/>
      <c r="AD234" s="302"/>
      <c r="AE234" s="302"/>
      <c r="AF234" s="302"/>
      <c r="AG234" s="302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301"/>
      <c r="S235" s="301"/>
      <c r="T235" s="301"/>
      <c r="U235" s="302"/>
      <c r="V235" s="302"/>
      <c r="W235" s="302"/>
      <c r="X235" s="302"/>
      <c r="Y235" s="302"/>
      <c r="Z235" s="302"/>
      <c r="AA235" s="302"/>
      <c r="AB235" s="302"/>
      <c r="AC235" s="302"/>
      <c r="AD235" s="302"/>
      <c r="AE235" s="302"/>
      <c r="AF235" s="302"/>
      <c r="AG235" s="302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301"/>
      <c r="S236" s="301"/>
      <c r="T236" s="301"/>
      <c r="U236" s="302"/>
      <c r="V236" s="302"/>
      <c r="W236" s="302"/>
      <c r="X236" s="302"/>
      <c r="Y236" s="302"/>
      <c r="Z236" s="302"/>
      <c r="AA236" s="302"/>
      <c r="AB236" s="302"/>
      <c r="AC236" s="302"/>
      <c r="AD236" s="302"/>
      <c r="AE236" s="302"/>
      <c r="AF236" s="302"/>
      <c r="AG236" s="302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301"/>
      <c r="S237" s="301"/>
      <c r="T237" s="301"/>
      <c r="U237" s="302"/>
      <c r="V237" s="302"/>
      <c r="W237" s="302"/>
      <c r="X237" s="302"/>
      <c r="Y237" s="302"/>
      <c r="Z237" s="302"/>
      <c r="AA237" s="302"/>
      <c r="AB237" s="302"/>
      <c r="AC237" s="302"/>
      <c r="AD237" s="302"/>
      <c r="AE237" s="302"/>
      <c r="AF237" s="302"/>
      <c r="AG237" s="302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301"/>
      <c r="S238" s="301"/>
      <c r="T238" s="301"/>
      <c r="U238" s="302"/>
      <c r="V238" s="302"/>
      <c r="W238" s="302"/>
      <c r="X238" s="302"/>
      <c r="Y238" s="302"/>
      <c r="Z238" s="302"/>
      <c r="AA238" s="302"/>
      <c r="AB238" s="302"/>
      <c r="AC238" s="302"/>
      <c r="AD238" s="302"/>
      <c r="AE238" s="302"/>
      <c r="AF238" s="302"/>
      <c r="AG238" s="302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301"/>
      <c r="S239" s="301"/>
      <c r="T239" s="301"/>
      <c r="U239" s="302"/>
      <c r="V239" s="302"/>
      <c r="W239" s="302"/>
      <c r="X239" s="302"/>
      <c r="Y239" s="302"/>
      <c r="Z239" s="302"/>
      <c r="AA239" s="302"/>
      <c r="AB239" s="302"/>
      <c r="AC239" s="302"/>
      <c r="AD239" s="302"/>
      <c r="AE239" s="302"/>
      <c r="AF239" s="302"/>
      <c r="AG239" s="302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301"/>
      <c r="S240" s="301"/>
      <c r="T240" s="301"/>
      <c r="U240" s="302"/>
      <c r="V240" s="302"/>
      <c r="W240" s="302"/>
      <c r="X240" s="302"/>
      <c r="Y240" s="302"/>
      <c r="Z240" s="302"/>
      <c r="AA240" s="302"/>
      <c r="AB240" s="302"/>
      <c r="AC240" s="302"/>
      <c r="AD240" s="302"/>
      <c r="AE240" s="302"/>
      <c r="AF240" s="302"/>
      <c r="AG240" s="302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301"/>
      <c r="S241" s="301"/>
      <c r="T241" s="301"/>
      <c r="U241" s="302"/>
      <c r="V241" s="302"/>
      <c r="W241" s="302"/>
      <c r="X241" s="302"/>
      <c r="Y241" s="302"/>
      <c r="Z241" s="302"/>
      <c r="AA241" s="302"/>
      <c r="AB241" s="302"/>
      <c r="AC241" s="302"/>
      <c r="AD241" s="302"/>
      <c r="AE241" s="302"/>
      <c r="AF241" s="302"/>
      <c r="AG241" s="302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301"/>
      <c r="S242" s="301"/>
      <c r="T242" s="301"/>
      <c r="U242" s="302"/>
      <c r="V242" s="302"/>
      <c r="W242" s="302"/>
      <c r="X242" s="302"/>
      <c r="Y242" s="302"/>
      <c r="Z242" s="302"/>
      <c r="AA242" s="302"/>
      <c r="AB242" s="302"/>
      <c r="AC242" s="302"/>
      <c r="AD242" s="302"/>
      <c r="AE242" s="302"/>
      <c r="AF242" s="302"/>
      <c r="AG242" s="302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301"/>
      <c r="S243" s="301"/>
      <c r="T243" s="301"/>
      <c r="U243" s="302"/>
      <c r="V243" s="302"/>
      <c r="W243" s="302"/>
      <c r="X243" s="302"/>
      <c r="Y243" s="302"/>
      <c r="Z243" s="302"/>
      <c r="AA243" s="302"/>
      <c r="AB243" s="302"/>
      <c r="AC243" s="302"/>
      <c r="AD243" s="302"/>
      <c r="AE243" s="302"/>
      <c r="AF243" s="302"/>
      <c r="AG243" s="302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301"/>
      <c r="S244" s="301"/>
      <c r="T244" s="301"/>
      <c r="U244" s="302"/>
      <c r="V244" s="302"/>
      <c r="W244" s="302"/>
      <c r="X244" s="302"/>
      <c r="Y244" s="302"/>
      <c r="Z244" s="302"/>
      <c r="AA244" s="302"/>
      <c r="AB244" s="302"/>
      <c r="AC244" s="302"/>
      <c r="AD244" s="302"/>
      <c r="AE244" s="302"/>
      <c r="AF244" s="302"/>
      <c r="AG244" s="302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301"/>
      <c r="S245" s="301"/>
      <c r="T245" s="301"/>
      <c r="U245" s="302"/>
      <c r="V245" s="302"/>
      <c r="W245" s="302"/>
      <c r="X245" s="302"/>
      <c r="Y245" s="302"/>
      <c r="Z245" s="302"/>
      <c r="AA245" s="302"/>
      <c r="AB245" s="302"/>
      <c r="AC245" s="302"/>
      <c r="AD245" s="302"/>
      <c r="AE245" s="302"/>
      <c r="AF245" s="302"/>
      <c r="AG245" s="302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301"/>
      <c r="S246" s="301"/>
      <c r="T246" s="301"/>
      <c r="U246" s="302"/>
      <c r="V246" s="302"/>
      <c r="W246" s="302"/>
      <c r="X246" s="302"/>
      <c r="Y246" s="302"/>
      <c r="Z246" s="302"/>
      <c r="AA246" s="302"/>
      <c r="AB246" s="302"/>
      <c r="AC246" s="302"/>
      <c r="AD246" s="302"/>
      <c r="AE246" s="302"/>
      <c r="AF246" s="302"/>
      <c r="AG246" s="302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301"/>
      <c r="S247" s="301"/>
      <c r="T247" s="301"/>
      <c r="U247" s="302"/>
      <c r="V247" s="302"/>
      <c r="W247" s="302"/>
      <c r="X247" s="302"/>
      <c r="Y247" s="302"/>
      <c r="Z247" s="302"/>
      <c r="AA247" s="302"/>
      <c r="AB247" s="302"/>
      <c r="AC247" s="302"/>
      <c r="AD247" s="302"/>
      <c r="AE247" s="302"/>
      <c r="AF247" s="302"/>
      <c r="AG247" s="302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301"/>
      <c r="S248" s="301"/>
      <c r="T248" s="301"/>
      <c r="U248" s="302"/>
      <c r="V248" s="302"/>
      <c r="W248" s="302"/>
      <c r="X248" s="302"/>
      <c r="Y248" s="302"/>
      <c r="Z248" s="302"/>
      <c r="AA248" s="302"/>
      <c r="AB248" s="302"/>
      <c r="AC248" s="302"/>
      <c r="AD248" s="302"/>
      <c r="AE248" s="302"/>
      <c r="AF248" s="302"/>
      <c r="AG248" s="302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301"/>
      <c r="S249" s="301"/>
      <c r="T249" s="301"/>
      <c r="U249" s="302"/>
      <c r="V249" s="302"/>
      <c r="W249" s="302"/>
      <c r="X249" s="302"/>
      <c r="Y249" s="302"/>
      <c r="Z249" s="302"/>
      <c r="AA249" s="302"/>
      <c r="AB249" s="302"/>
      <c r="AC249" s="302"/>
      <c r="AD249" s="302"/>
      <c r="AE249" s="302"/>
      <c r="AF249" s="302"/>
      <c r="AG249" s="302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301"/>
      <c r="S250" s="301"/>
      <c r="T250" s="301"/>
      <c r="U250" s="302"/>
      <c r="V250" s="302"/>
      <c r="W250" s="302"/>
      <c r="X250" s="302"/>
      <c r="Y250" s="302"/>
      <c r="Z250" s="302"/>
      <c r="AA250" s="302"/>
      <c r="AB250" s="302"/>
      <c r="AC250" s="302"/>
      <c r="AD250" s="302"/>
      <c r="AE250" s="302"/>
      <c r="AF250" s="302"/>
      <c r="AG250" s="302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301"/>
      <c r="S251" s="301"/>
      <c r="T251" s="301"/>
      <c r="U251" s="302"/>
      <c r="V251" s="302"/>
      <c r="W251" s="302"/>
      <c r="X251" s="302"/>
      <c r="Y251" s="302"/>
      <c r="Z251" s="302"/>
      <c r="AA251" s="302"/>
      <c r="AB251" s="302"/>
      <c r="AC251" s="302"/>
      <c r="AD251" s="302"/>
      <c r="AE251" s="302"/>
      <c r="AF251" s="302"/>
      <c r="AG251" s="302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301"/>
      <c r="S252" s="301"/>
      <c r="T252" s="301"/>
      <c r="U252" s="302"/>
      <c r="V252" s="302"/>
      <c r="W252" s="302"/>
      <c r="X252" s="302"/>
      <c r="Y252" s="302"/>
      <c r="Z252" s="302"/>
      <c r="AA252" s="302"/>
      <c r="AB252" s="302"/>
      <c r="AC252" s="302"/>
      <c r="AD252" s="302"/>
      <c r="AE252" s="302"/>
      <c r="AF252" s="302"/>
      <c r="AG252" s="302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301"/>
      <c r="S253" s="301"/>
      <c r="T253" s="301"/>
      <c r="U253" s="302"/>
      <c r="V253" s="302"/>
      <c r="W253" s="302"/>
      <c r="X253" s="302"/>
      <c r="Y253" s="302"/>
      <c r="Z253" s="302"/>
      <c r="AA253" s="302"/>
      <c r="AB253" s="302"/>
      <c r="AC253" s="302"/>
      <c r="AD253" s="302"/>
      <c r="AE253" s="302"/>
      <c r="AF253" s="302"/>
      <c r="AG253" s="302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301"/>
      <c r="S254" s="301"/>
      <c r="T254" s="301"/>
      <c r="U254" s="302"/>
      <c r="V254" s="302"/>
      <c r="W254" s="302"/>
      <c r="X254" s="302"/>
      <c r="Y254" s="302"/>
      <c r="Z254" s="302"/>
      <c r="AA254" s="302"/>
      <c r="AB254" s="302"/>
      <c r="AC254" s="302"/>
      <c r="AD254" s="302"/>
      <c r="AE254" s="302"/>
      <c r="AF254" s="302"/>
      <c r="AG254" s="302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301"/>
      <c r="S255" s="301"/>
      <c r="T255" s="301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301"/>
      <c r="S256" s="301"/>
      <c r="T256" s="301"/>
      <c r="U256" s="302"/>
      <c r="V256" s="302"/>
      <c r="W256" s="302"/>
      <c r="X256" s="302"/>
      <c r="Y256" s="302"/>
      <c r="Z256" s="302"/>
      <c r="AA256" s="302"/>
      <c r="AB256" s="302"/>
      <c r="AC256" s="302"/>
      <c r="AD256" s="302"/>
      <c r="AE256" s="302"/>
      <c r="AF256" s="302"/>
      <c r="AG256" s="302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301"/>
      <c r="S257" s="301"/>
      <c r="T257" s="301"/>
      <c r="U257" s="302"/>
      <c r="V257" s="302"/>
      <c r="W257" s="302"/>
      <c r="X257" s="302"/>
      <c r="Y257" s="302"/>
      <c r="Z257" s="302"/>
      <c r="AA257" s="302"/>
      <c r="AB257" s="302"/>
      <c r="AC257" s="302"/>
      <c r="AD257" s="302"/>
      <c r="AE257" s="302"/>
      <c r="AF257" s="302"/>
      <c r="AG257" s="302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301"/>
      <c r="S258" s="301"/>
      <c r="T258" s="301"/>
      <c r="U258" s="302"/>
      <c r="V258" s="302"/>
      <c r="W258" s="302"/>
      <c r="X258" s="302"/>
      <c r="Y258" s="302"/>
      <c r="Z258" s="302"/>
      <c r="AA258" s="302"/>
      <c r="AB258" s="302"/>
      <c r="AC258" s="302"/>
      <c r="AD258" s="302"/>
      <c r="AE258" s="302"/>
      <c r="AF258" s="302"/>
      <c r="AG258" s="302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301"/>
      <c r="S259" s="301"/>
      <c r="T259" s="301"/>
      <c r="U259" s="302"/>
      <c r="V259" s="302"/>
      <c r="W259" s="302"/>
      <c r="X259" s="302"/>
      <c r="Y259" s="302"/>
      <c r="Z259" s="302"/>
      <c r="AA259" s="302"/>
      <c r="AB259" s="302"/>
      <c r="AC259" s="302"/>
      <c r="AD259" s="302"/>
      <c r="AE259" s="302"/>
      <c r="AF259" s="302"/>
      <c r="AG259" s="302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301"/>
      <c r="S260" s="301"/>
      <c r="T260" s="301"/>
      <c r="U260" s="302"/>
      <c r="V260" s="302"/>
      <c r="W260" s="302"/>
      <c r="X260" s="302"/>
      <c r="Y260" s="302"/>
      <c r="Z260" s="302"/>
      <c r="AA260" s="302"/>
      <c r="AB260" s="302"/>
      <c r="AC260" s="302"/>
      <c r="AD260" s="302"/>
      <c r="AE260" s="302"/>
      <c r="AF260" s="302"/>
      <c r="AG260" s="302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301"/>
      <c r="S261" s="301"/>
      <c r="T261" s="301"/>
      <c r="U261" s="302"/>
      <c r="V261" s="302"/>
      <c r="W261" s="302"/>
      <c r="X261" s="302"/>
      <c r="Y261" s="302"/>
      <c r="Z261" s="302"/>
      <c r="AA261" s="302"/>
      <c r="AB261" s="302"/>
      <c r="AC261" s="302"/>
      <c r="AD261" s="302"/>
      <c r="AE261" s="302"/>
      <c r="AF261" s="302"/>
      <c r="AG261" s="302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301"/>
      <c r="S262" s="301"/>
      <c r="T262" s="301"/>
      <c r="U262" s="302"/>
      <c r="V262" s="302"/>
      <c r="W262" s="302"/>
      <c r="X262" s="302"/>
      <c r="Y262" s="302"/>
      <c r="Z262" s="302"/>
      <c r="AA262" s="302"/>
      <c r="AB262" s="302"/>
      <c r="AC262" s="302"/>
      <c r="AD262" s="302"/>
      <c r="AE262" s="302"/>
      <c r="AF262" s="302"/>
      <c r="AG262" s="302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301"/>
      <c r="S263" s="301"/>
      <c r="T263" s="301"/>
      <c r="U263" s="302"/>
      <c r="V263" s="302"/>
      <c r="W263" s="302"/>
      <c r="X263" s="302"/>
      <c r="Y263" s="302"/>
      <c r="Z263" s="302"/>
      <c r="AA263" s="302"/>
      <c r="AB263" s="302"/>
      <c r="AC263" s="302"/>
      <c r="AD263" s="302"/>
      <c r="AE263" s="302"/>
      <c r="AF263" s="302"/>
      <c r="AG263" s="302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301"/>
      <c r="S264" s="301"/>
      <c r="T264" s="301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301"/>
      <c r="S265" s="301"/>
      <c r="T265" s="301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301"/>
      <c r="S266" s="301"/>
      <c r="T266" s="301"/>
      <c r="U266" s="302"/>
      <c r="V266" s="302"/>
      <c r="W266" s="302"/>
      <c r="X266" s="302"/>
      <c r="Y266" s="302"/>
      <c r="Z266" s="302"/>
      <c r="AA266" s="302"/>
      <c r="AB266" s="302"/>
      <c r="AC266" s="302"/>
      <c r="AD266" s="302"/>
      <c r="AE266" s="302"/>
      <c r="AF266" s="302"/>
      <c r="AG266" s="302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301"/>
      <c r="S267" s="301"/>
      <c r="T267" s="301"/>
      <c r="U267" s="302"/>
      <c r="V267" s="302"/>
      <c r="W267" s="302"/>
      <c r="X267" s="302"/>
      <c r="Y267" s="302"/>
      <c r="Z267" s="302"/>
      <c r="AA267" s="302"/>
      <c r="AB267" s="302"/>
      <c r="AC267" s="302"/>
      <c r="AD267" s="302"/>
      <c r="AE267" s="302"/>
      <c r="AF267" s="302"/>
      <c r="AG267" s="302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301"/>
      <c r="S268" s="301"/>
      <c r="T268" s="301"/>
      <c r="U268" s="302"/>
      <c r="V268" s="302"/>
      <c r="W268" s="302"/>
      <c r="X268" s="302"/>
      <c r="Y268" s="302"/>
      <c r="Z268" s="302"/>
      <c r="AA268" s="302"/>
      <c r="AB268" s="302"/>
      <c r="AC268" s="302"/>
      <c r="AD268" s="302"/>
      <c r="AE268" s="302"/>
      <c r="AF268" s="302"/>
      <c r="AG268" s="302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301"/>
      <c r="S269" s="301"/>
      <c r="T269" s="301"/>
      <c r="U269" s="302"/>
      <c r="V269" s="302"/>
      <c r="W269" s="302"/>
      <c r="X269" s="302"/>
      <c r="Y269" s="302"/>
      <c r="Z269" s="302"/>
      <c r="AA269" s="302"/>
      <c r="AB269" s="302"/>
      <c r="AC269" s="302"/>
      <c r="AD269" s="302"/>
      <c r="AE269" s="302"/>
      <c r="AF269" s="302"/>
      <c r="AG269" s="302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301"/>
      <c r="S270" s="301"/>
      <c r="T270" s="301"/>
      <c r="U270" s="302"/>
      <c r="V270" s="302"/>
      <c r="W270" s="302"/>
      <c r="X270" s="302"/>
      <c r="Y270" s="302"/>
      <c r="Z270" s="302"/>
      <c r="AA270" s="302"/>
      <c r="AB270" s="302"/>
      <c r="AC270" s="302"/>
      <c r="AD270" s="302"/>
      <c r="AE270" s="302"/>
      <c r="AF270" s="302"/>
      <c r="AG270" s="302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301"/>
      <c r="S271" s="301"/>
      <c r="T271" s="301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301"/>
      <c r="S272" s="301"/>
      <c r="T272" s="301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301"/>
      <c r="S273" s="301"/>
      <c r="T273" s="301"/>
      <c r="U273" s="302"/>
      <c r="V273" s="302"/>
      <c r="W273" s="302"/>
      <c r="X273" s="302"/>
      <c r="Y273" s="302"/>
      <c r="Z273" s="302"/>
      <c r="AA273" s="302"/>
      <c r="AB273" s="302"/>
      <c r="AC273" s="302"/>
      <c r="AD273" s="302"/>
      <c r="AE273" s="302"/>
      <c r="AF273" s="302"/>
      <c r="AG273" s="302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301"/>
      <c r="S274" s="301"/>
      <c r="T274" s="301"/>
      <c r="U274" s="302"/>
      <c r="V274" s="302"/>
      <c r="W274" s="302"/>
      <c r="X274" s="302"/>
      <c r="Y274" s="302"/>
      <c r="Z274" s="302"/>
      <c r="AA274" s="302"/>
      <c r="AB274" s="302"/>
      <c r="AC274" s="302"/>
      <c r="AD274" s="302"/>
      <c r="AE274" s="302"/>
      <c r="AF274" s="302"/>
      <c r="AG274" s="302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301"/>
      <c r="S275" s="301"/>
      <c r="T275" s="301"/>
      <c r="U275" s="302"/>
      <c r="V275" s="302"/>
      <c r="W275" s="302"/>
      <c r="X275" s="302"/>
      <c r="Y275" s="302"/>
      <c r="Z275" s="302"/>
      <c r="AA275" s="302"/>
      <c r="AB275" s="302"/>
      <c r="AC275" s="302"/>
      <c r="AD275" s="302"/>
      <c r="AE275" s="302"/>
      <c r="AF275" s="302"/>
      <c r="AG275" s="302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301"/>
      <c r="S276" s="301"/>
      <c r="T276" s="301"/>
      <c r="U276" s="302"/>
      <c r="V276" s="302"/>
      <c r="W276" s="302"/>
      <c r="X276" s="302"/>
      <c r="Y276" s="302"/>
      <c r="Z276" s="302"/>
      <c r="AA276" s="302"/>
      <c r="AB276" s="302"/>
      <c r="AC276" s="302"/>
      <c r="AD276" s="302"/>
      <c r="AE276" s="302"/>
      <c r="AF276" s="302"/>
      <c r="AG276" s="302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301"/>
      <c r="S277" s="301"/>
      <c r="T277" s="301"/>
      <c r="U277" s="302"/>
      <c r="V277" s="302"/>
      <c r="W277" s="302"/>
      <c r="X277" s="302"/>
      <c r="Y277" s="302"/>
      <c r="Z277" s="302"/>
      <c r="AA277" s="302"/>
      <c r="AB277" s="302"/>
      <c r="AC277" s="302"/>
      <c r="AD277" s="302"/>
      <c r="AE277" s="302"/>
      <c r="AF277" s="302"/>
      <c r="AG277" s="302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301"/>
      <c r="S278" s="301"/>
      <c r="T278" s="301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301"/>
      <c r="S279" s="301"/>
      <c r="T279" s="301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301"/>
      <c r="S280" s="301"/>
      <c r="T280" s="301"/>
      <c r="U280" s="302"/>
      <c r="V280" s="302"/>
      <c r="W280" s="302"/>
      <c r="X280" s="302"/>
      <c r="Y280" s="302"/>
      <c r="Z280" s="302"/>
      <c r="AA280" s="302"/>
      <c r="AB280" s="302"/>
      <c r="AC280" s="302"/>
      <c r="AD280" s="302"/>
      <c r="AE280" s="302"/>
      <c r="AF280" s="302"/>
      <c r="AG280" s="302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301"/>
      <c r="S281" s="301"/>
      <c r="T281" s="301"/>
      <c r="U281" s="302"/>
      <c r="V281" s="302"/>
      <c r="W281" s="302"/>
      <c r="X281" s="302"/>
      <c r="Y281" s="302"/>
      <c r="Z281" s="302"/>
      <c r="AA281" s="302"/>
      <c r="AB281" s="302"/>
      <c r="AC281" s="302"/>
      <c r="AD281" s="302"/>
      <c r="AE281" s="302"/>
      <c r="AF281" s="302"/>
      <c r="AG281" s="302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301"/>
      <c r="S282" s="301"/>
      <c r="T282" s="301"/>
      <c r="U282" s="302"/>
      <c r="V282" s="302"/>
      <c r="W282" s="302"/>
      <c r="X282" s="302"/>
      <c r="Y282" s="302"/>
      <c r="Z282" s="302"/>
      <c r="AA282" s="302"/>
      <c r="AB282" s="302"/>
      <c r="AC282" s="302"/>
      <c r="AD282" s="302"/>
      <c r="AE282" s="302"/>
      <c r="AF282" s="302"/>
      <c r="AG282" s="302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301"/>
      <c r="S283" s="301"/>
      <c r="T283" s="301"/>
      <c r="U283" s="302"/>
      <c r="V283" s="302"/>
      <c r="W283" s="302"/>
      <c r="X283" s="302"/>
      <c r="Y283" s="302"/>
      <c r="Z283" s="302"/>
      <c r="AA283" s="302"/>
      <c r="AB283" s="302"/>
      <c r="AC283" s="302"/>
      <c r="AD283" s="302"/>
      <c r="AE283" s="302"/>
      <c r="AF283" s="302"/>
      <c r="AG283" s="302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301"/>
      <c r="S284" s="301"/>
      <c r="T284" s="301"/>
      <c r="U284" s="302"/>
      <c r="V284" s="302"/>
      <c r="W284" s="302"/>
      <c r="X284" s="302"/>
      <c r="Y284" s="302"/>
      <c r="Z284" s="302"/>
      <c r="AA284" s="302"/>
      <c r="AB284" s="302"/>
      <c r="AC284" s="302"/>
      <c r="AD284" s="302"/>
      <c r="AE284" s="302"/>
      <c r="AF284" s="302"/>
      <c r="AG284" s="302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301"/>
      <c r="S285" s="301"/>
      <c r="T285" s="301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301"/>
      <c r="S286" s="301"/>
      <c r="T286" s="301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301"/>
      <c r="S287" s="301"/>
      <c r="T287" s="301"/>
      <c r="U287" s="302"/>
      <c r="V287" s="302"/>
      <c r="W287" s="302"/>
      <c r="X287" s="302"/>
      <c r="Y287" s="302"/>
      <c r="Z287" s="302"/>
      <c r="AA287" s="302"/>
      <c r="AB287" s="302"/>
      <c r="AC287" s="302"/>
      <c r="AD287" s="302"/>
      <c r="AE287" s="302"/>
      <c r="AF287" s="302"/>
      <c r="AG287" s="302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301"/>
      <c r="S288" s="301"/>
      <c r="T288" s="301"/>
      <c r="U288" s="302"/>
      <c r="V288" s="302"/>
      <c r="W288" s="302"/>
      <c r="X288" s="302"/>
      <c r="Y288" s="302"/>
      <c r="Z288" s="302"/>
      <c r="AA288" s="302"/>
      <c r="AB288" s="302"/>
      <c r="AC288" s="302"/>
      <c r="AD288" s="302"/>
      <c r="AE288" s="302"/>
      <c r="AF288" s="302"/>
      <c r="AG288" s="302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301"/>
      <c r="S289" s="301"/>
      <c r="T289" s="301"/>
      <c r="U289" s="302"/>
      <c r="V289" s="302"/>
      <c r="W289" s="302"/>
      <c r="X289" s="302"/>
      <c r="Y289" s="302"/>
      <c r="Z289" s="302"/>
      <c r="AA289" s="302"/>
      <c r="AB289" s="302"/>
      <c r="AC289" s="302"/>
      <c r="AD289" s="302"/>
      <c r="AE289" s="302"/>
      <c r="AF289" s="302"/>
      <c r="AG289" s="302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301"/>
      <c r="S290" s="301"/>
      <c r="T290" s="301"/>
      <c r="U290" s="302"/>
      <c r="V290" s="302"/>
      <c r="W290" s="302"/>
      <c r="X290" s="302"/>
      <c r="Y290" s="302"/>
      <c r="Z290" s="302"/>
      <c r="AA290" s="302"/>
      <c r="AB290" s="302"/>
      <c r="AC290" s="302"/>
      <c r="AD290" s="302"/>
      <c r="AE290" s="302"/>
      <c r="AF290" s="302"/>
      <c r="AG290" s="302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301"/>
      <c r="S291" s="301"/>
      <c r="T291" s="301"/>
      <c r="U291" s="302"/>
      <c r="V291" s="302"/>
      <c r="W291" s="302"/>
      <c r="X291" s="302"/>
      <c r="Y291" s="302"/>
      <c r="Z291" s="302"/>
      <c r="AA291" s="302"/>
      <c r="AB291" s="302"/>
      <c r="AC291" s="302"/>
      <c r="AD291" s="302"/>
      <c r="AE291" s="302"/>
      <c r="AF291" s="302"/>
      <c r="AG291" s="302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301"/>
      <c r="S292" s="301"/>
      <c r="T292" s="301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301"/>
      <c r="S293" s="301"/>
      <c r="T293" s="301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301"/>
      <c r="S294" s="301"/>
      <c r="T294" s="301"/>
      <c r="U294" s="302"/>
      <c r="V294" s="302"/>
      <c r="W294" s="302"/>
      <c r="X294" s="302"/>
      <c r="Y294" s="302"/>
      <c r="Z294" s="302"/>
      <c r="AA294" s="302"/>
      <c r="AB294" s="302"/>
      <c r="AC294" s="302"/>
      <c r="AD294" s="302"/>
      <c r="AE294" s="302"/>
      <c r="AF294" s="302"/>
      <c r="AG294" s="302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301"/>
      <c r="S295" s="301"/>
      <c r="T295" s="301"/>
      <c r="U295" s="302"/>
      <c r="V295" s="302"/>
      <c r="W295" s="302"/>
      <c r="X295" s="302"/>
      <c r="Y295" s="302"/>
      <c r="Z295" s="302"/>
      <c r="AA295" s="302"/>
      <c r="AB295" s="302"/>
      <c r="AC295" s="302"/>
      <c r="AD295" s="302"/>
      <c r="AE295" s="302"/>
      <c r="AF295" s="302"/>
      <c r="AG295" s="302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301"/>
      <c r="S296" s="301"/>
      <c r="T296" s="301"/>
      <c r="U296" s="302"/>
      <c r="V296" s="302"/>
      <c r="W296" s="302"/>
      <c r="X296" s="302"/>
      <c r="Y296" s="302"/>
      <c r="Z296" s="302"/>
      <c r="AA296" s="302"/>
      <c r="AB296" s="302"/>
      <c r="AC296" s="302"/>
      <c r="AD296" s="302"/>
      <c r="AE296" s="302"/>
      <c r="AF296" s="302"/>
      <c r="AG296" s="302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301"/>
      <c r="S297" s="301"/>
      <c r="T297" s="301"/>
      <c r="U297" s="302"/>
      <c r="V297" s="302"/>
      <c r="W297" s="302"/>
      <c r="X297" s="302"/>
      <c r="Y297" s="302"/>
      <c r="Z297" s="302"/>
      <c r="AA297" s="302"/>
      <c r="AB297" s="302"/>
      <c r="AC297" s="302"/>
      <c r="AD297" s="302"/>
      <c r="AE297" s="302"/>
      <c r="AF297" s="302"/>
      <c r="AG297" s="302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301"/>
      <c r="S298" s="301"/>
      <c r="T298" s="301"/>
      <c r="U298" s="302"/>
      <c r="V298" s="302"/>
      <c r="W298" s="302"/>
      <c r="X298" s="302"/>
      <c r="Y298" s="302"/>
      <c r="Z298" s="302"/>
      <c r="AA298" s="302"/>
      <c r="AB298" s="302"/>
      <c r="AC298" s="302"/>
      <c r="AD298" s="302"/>
      <c r="AE298" s="302"/>
      <c r="AF298" s="302"/>
      <c r="AG298" s="302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301"/>
      <c r="S299" s="301"/>
      <c r="T299" s="301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301"/>
      <c r="S300" s="301"/>
      <c r="T300" s="301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301"/>
      <c r="S301" s="301"/>
      <c r="T301" s="301"/>
      <c r="U301" s="302"/>
      <c r="V301" s="302"/>
      <c r="W301" s="302"/>
      <c r="X301" s="302"/>
      <c r="Y301" s="302"/>
      <c r="Z301" s="302"/>
      <c r="AA301" s="302"/>
      <c r="AB301" s="302"/>
      <c r="AC301" s="302"/>
      <c r="AD301" s="302"/>
      <c r="AE301" s="302"/>
      <c r="AF301" s="302"/>
      <c r="AG301" s="302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301"/>
      <c r="S302" s="301"/>
      <c r="T302" s="301"/>
      <c r="U302" s="302"/>
      <c r="V302" s="302"/>
      <c r="W302" s="302"/>
      <c r="X302" s="302"/>
      <c r="Y302" s="302"/>
      <c r="Z302" s="302"/>
      <c r="AA302" s="302"/>
      <c r="AB302" s="302"/>
      <c r="AC302" s="302"/>
      <c r="AD302" s="302"/>
      <c r="AE302" s="302"/>
      <c r="AF302" s="302"/>
      <c r="AG302" s="302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301"/>
      <c r="S303" s="301"/>
      <c r="T303" s="301"/>
      <c r="U303" s="302"/>
      <c r="V303" s="302"/>
      <c r="W303" s="302"/>
      <c r="X303" s="302"/>
      <c r="Y303" s="302"/>
      <c r="Z303" s="302"/>
      <c r="AA303" s="302"/>
      <c r="AB303" s="302"/>
      <c r="AC303" s="302"/>
      <c r="AD303" s="302"/>
      <c r="AE303" s="302"/>
      <c r="AF303" s="302"/>
      <c r="AG303" s="302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301"/>
      <c r="S304" s="301"/>
      <c r="T304" s="301"/>
      <c r="U304" s="302"/>
      <c r="V304" s="302"/>
      <c r="W304" s="302"/>
      <c r="X304" s="302"/>
      <c r="Y304" s="302"/>
      <c r="Z304" s="302"/>
      <c r="AA304" s="302"/>
      <c r="AB304" s="302"/>
      <c r="AC304" s="302"/>
      <c r="AD304" s="302"/>
      <c r="AE304" s="302"/>
      <c r="AF304" s="302"/>
      <c r="AG304" s="302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301"/>
      <c r="S305" s="301"/>
      <c r="T305" s="301"/>
      <c r="U305" s="302"/>
      <c r="V305" s="302"/>
      <c r="W305" s="302"/>
      <c r="X305" s="302"/>
      <c r="Y305" s="302"/>
      <c r="Z305" s="302"/>
      <c r="AA305" s="302"/>
      <c r="AB305" s="302"/>
      <c r="AC305" s="302"/>
      <c r="AD305" s="302"/>
      <c r="AE305" s="302"/>
      <c r="AF305" s="302"/>
      <c r="AG305" s="302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301"/>
      <c r="S306" s="301"/>
      <c r="T306" s="301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301"/>
      <c r="S307" s="301"/>
      <c r="T307" s="301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301"/>
      <c r="S308" s="301"/>
      <c r="T308" s="301"/>
      <c r="U308" s="302"/>
      <c r="V308" s="302"/>
      <c r="W308" s="302"/>
      <c r="X308" s="302"/>
      <c r="Y308" s="302"/>
      <c r="Z308" s="302"/>
      <c r="AA308" s="302"/>
      <c r="AB308" s="302"/>
      <c r="AC308" s="302"/>
      <c r="AD308" s="302"/>
      <c r="AE308" s="302"/>
      <c r="AF308" s="302"/>
      <c r="AG308" s="302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301"/>
      <c r="S309" s="301"/>
      <c r="T309" s="301"/>
      <c r="U309" s="302"/>
      <c r="V309" s="302"/>
      <c r="W309" s="302"/>
      <c r="X309" s="302"/>
      <c r="Y309" s="302"/>
      <c r="Z309" s="302"/>
      <c r="AA309" s="302"/>
      <c r="AB309" s="302"/>
      <c r="AC309" s="302"/>
      <c r="AD309" s="302"/>
      <c r="AE309" s="302"/>
      <c r="AF309" s="302"/>
      <c r="AG309" s="302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301"/>
      <c r="S310" s="301"/>
      <c r="T310" s="301"/>
      <c r="U310" s="302"/>
      <c r="V310" s="302"/>
      <c r="W310" s="302"/>
      <c r="X310" s="302"/>
      <c r="Y310" s="302"/>
      <c r="Z310" s="302"/>
      <c r="AA310" s="302"/>
      <c r="AB310" s="302"/>
      <c r="AC310" s="302"/>
      <c r="AD310" s="302"/>
      <c r="AE310" s="302"/>
      <c r="AF310" s="302"/>
      <c r="AG310" s="302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301"/>
      <c r="S311" s="301"/>
      <c r="T311" s="301"/>
      <c r="U311" s="302"/>
      <c r="V311" s="302"/>
      <c r="W311" s="302"/>
      <c r="X311" s="302"/>
      <c r="Y311" s="302"/>
      <c r="Z311" s="302"/>
      <c r="AA311" s="302"/>
      <c r="AB311" s="302"/>
      <c r="AC311" s="302"/>
      <c r="AD311" s="302"/>
      <c r="AE311" s="302"/>
      <c r="AF311" s="302"/>
      <c r="AG311" s="302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301"/>
      <c r="S312" s="301"/>
      <c r="T312" s="301"/>
      <c r="U312" s="302"/>
      <c r="V312" s="302"/>
      <c r="W312" s="302"/>
      <c r="X312" s="302"/>
      <c r="Y312" s="302"/>
      <c r="Z312" s="302"/>
      <c r="AA312" s="302"/>
      <c r="AB312" s="302"/>
      <c r="AC312" s="302"/>
      <c r="AD312" s="302"/>
      <c r="AE312" s="302"/>
      <c r="AF312" s="302"/>
      <c r="AG312" s="302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301"/>
      <c r="S313" s="301"/>
      <c r="T313" s="301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</row>
    <row r="314" spans="1:33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335"/>
      <c r="S314" s="335"/>
      <c r="T314" s="335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</row>
    <row r="315" spans="1:33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335"/>
      <c r="S315" s="335"/>
      <c r="T315" s="335"/>
      <c r="U315" s="302"/>
      <c r="V315" s="302"/>
      <c r="W315" s="302"/>
      <c r="X315" s="302"/>
      <c r="Y315" s="302"/>
      <c r="Z315" s="302"/>
      <c r="AA315" s="302"/>
      <c r="AB315" s="302"/>
      <c r="AC315" s="302"/>
      <c r="AD315" s="302"/>
      <c r="AE315" s="302"/>
      <c r="AF315" s="302"/>
      <c r="AG315" s="302"/>
    </row>
    <row r="316" spans="1:33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335"/>
      <c r="S316" s="335"/>
      <c r="T316" s="335"/>
      <c r="U316" s="302"/>
      <c r="V316" s="302"/>
      <c r="W316" s="302"/>
      <c r="X316" s="302"/>
      <c r="Y316" s="302"/>
      <c r="Z316" s="302"/>
      <c r="AA316" s="302"/>
      <c r="AB316" s="302"/>
      <c r="AC316" s="302"/>
      <c r="AD316" s="302"/>
      <c r="AE316" s="302"/>
      <c r="AF316" s="302"/>
      <c r="AG316" s="302"/>
    </row>
    <row r="317" spans="1:33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335"/>
      <c r="S317" s="335"/>
      <c r="T317" s="335"/>
      <c r="U317" s="302"/>
      <c r="V317" s="302"/>
      <c r="W317" s="302"/>
      <c r="X317" s="302"/>
      <c r="Y317" s="302"/>
      <c r="Z317" s="302"/>
      <c r="AA317" s="302"/>
      <c r="AB317" s="302"/>
      <c r="AC317" s="302"/>
      <c r="AD317" s="302"/>
      <c r="AE317" s="302"/>
      <c r="AF317" s="302"/>
      <c r="AG317" s="302"/>
    </row>
    <row r="318" spans="1:33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335"/>
      <c r="S318" s="335"/>
      <c r="T318" s="335"/>
      <c r="U318" s="302"/>
      <c r="V318" s="302"/>
      <c r="W318" s="302"/>
      <c r="X318" s="302"/>
      <c r="Y318" s="302"/>
      <c r="Z318" s="302"/>
      <c r="AA318" s="302"/>
      <c r="AB318" s="302"/>
      <c r="AC318" s="302"/>
      <c r="AD318" s="302"/>
      <c r="AE318" s="302"/>
      <c r="AF318" s="302"/>
      <c r="AG318" s="302"/>
    </row>
    <row r="319" spans="1:33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335"/>
      <c r="S319" s="335"/>
      <c r="T319" s="335"/>
      <c r="U319" s="302"/>
      <c r="V319" s="302"/>
      <c r="W319" s="302"/>
      <c r="X319" s="302"/>
      <c r="Y319" s="302"/>
      <c r="Z319" s="302"/>
      <c r="AA319" s="302"/>
      <c r="AB319" s="302"/>
      <c r="AC319" s="302"/>
      <c r="AD319" s="302"/>
      <c r="AE319" s="302"/>
      <c r="AF319" s="302"/>
      <c r="AG319" s="302"/>
    </row>
    <row r="320" spans="1:33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335"/>
      <c r="S320" s="335"/>
      <c r="T320" s="335"/>
      <c r="U320" s="302"/>
      <c r="V320" s="302"/>
      <c r="W320" s="302"/>
      <c r="X320" s="302"/>
      <c r="Y320" s="302"/>
      <c r="Z320" s="302"/>
      <c r="AA320" s="302"/>
      <c r="AB320" s="302"/>
      <c r="AC320" s="302"/>
      <c r="AD320" s="302"/>
      <c r="AE320" s="302"/>
      <c r="AF320" s="302"/>
      <c r="AG320" s="302"/>
    </row>
    <row r="321" spans="1:33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335"/>
      <c r="S321" s="335"/>
      <c r="T321" s="335"/>
      <c r="U321" s="302"/>
      <c r="V321" s="302"/>
      <c r="W321" s="302"/>
      <c r="X321" s="302"/>
      <c r="Y321" s="302"/>
      <c r="Z321" s="302"/>
      <c r="AA321" s="302"/>
      <c r="AB321" s="302"/>
      <c r="AC321" s="302"/>
      <c r="AD321" s="302"/>
      <c r="AE321" s="302"/>
      <c r="AF321" s="302"/>
      <c r="AG321" s="302"/>
    </row>
    <row r="322" spans="1:33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335"/>
      <c r="S322" s="335"/>
      <c r="T322" s="335"/>
      <c r="U322" s="302"/>
      <c r="V322" s="302"/>
      <c r="W322" s="302"/>
      <c r="X322" s="302"/>
      <c r="Y322" s="302"/>
      <c r="Z322" s="302"/>
      <c r="AA322" s="302"/>
      <c r="AB322" s="302"/>
      <c r="AC322" s="302"/>
      <c r="AD322" s="302"/>
      <c r="AE322" s="302"/>
      <c r="AF322" s="302"/>
      <c r="AG322" s="302"/>
    </row>
    <row r="323" spans="1:33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335"/>
      <c r="S323" s="335"/>
      <c r="T323" s="335"/>
      <c r="U323" s="302"/>
      <c r="V323" s="302"/>
      <c r="W323" s="302"/>
      <c r="X323" s="302"/>
      <c r="Y323" s="302"/>
      <c r="Z323" s="302"/>
      <c r="AA323" s="302"/>
      <c r="AB323" s="302"/>
      <c r="AC323" s="302"/>
      <c r="AD323" s="302"/>
      <c r="AE323" s="302"/>
      <c r="AF323" s="302"/>
      <c r="AG323" s="302"/>
    </row>
    <row r="324" spans="1:33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335"/>
      <c r="S324" s="335"/>
      <c r="T324" s="335"/>
      <c r="U324" s="302"/>
      <c r="V324" s="302"/>
      <c r="W324" s="302"/>
      <c r="X324" s="302"/>
      <c r="Y324" s="302"/>
      <c r="Z324" s="302"/>
      <c r="AA324" s="302"/>
      <c r="AB324" s="302"/>
      <c r="AC324" s="302"/>
      <c r="AD324" s="302"/>
      <c r="AE324" s="302"/>
      <c r="AF324" s="302"/>
      <c r="AG324" s="302"/>
    </row>
    <row r="325" spans="1:33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335"/>
      <c r="S325" s="335"/>
      <c r="T325" s="335"/>
      <c r="U325" s="302"/>
      <c r="V325" s="302"/>
      <c r="W325" s="302"/>
      <c r="X325" s="302"/>
      <c r="Y325" s="302"/>
      <c r="Z325" s="302"/>
      <c r="AA325" s="302"/>
      <c r="AB325" s="302"/>
      <c r="AC325" s="302"/>
      <c r="AD325" s="302"/>
      <c r="AE325" s="302"/>
      <c r="AF325" s="302"/>
      <c r="AG325" s="302"/>
    </row>
    <row r="326" spans="1:33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335"/>
      <c r="S326" s="335"/>
      <c r="T326" s="335"/>
      <c r="U326" s="302"/>
      <c r="V326" s="302"/>
      <c r="W326" s="302"/>
      <c r="X326" s="302"/>
      <c r="Y326" s="302"/>
      <c r="Z326" s="302"/>
      <c r="AA326" s="302"/>
      <c r="AB326" s="302"/>
      <c r="AC326" s="302"/>
      <c r="AD326" s="302"/>
      <c r="AE326" s="302"/>
      <c r="AF326" s="302"/>
      <c r="AG326" s="302"/>
    </row>
    <row r="327" spans="1:33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335"/>
      <c r="S327" s="335"/>
      <c r="T327" s="335"/>
      <c r="U327" s="302"/>
      <c r="V327" s="302"/>
      <c r="W327" s="302"/>
      <c r="X327" s="302"/>
      <c r="Y327" s="302"/>
      <c r="Z327" s="302"/>
      <c r="AA327" s="302"/>
      <c r="AB327" s="302"/>
      <c r="AC327" s="302"/>
      <c r="AD327" s="302"/>
      <c r="AE327" s="302"/>
      <c r="AF327" s="302"/>
      <c r="AG327" s="302"/>
    </row>
    <row r="328" spans="1:33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335"/>
      <c r="S328" s="335"/>
      <c r="T328" s="335"/>
      <c r="U328" s="302"/>
      <c r="V328" s="302"/>
      <c r="W328" s="302"/>
      <c r="X328" s="302"/>
      <c r="Y328" s="302"/>
      <c r="Z328" s="302"/>
      <c r="AA328" s="302"/>
      <c r="AB328" s="302"/>
      <c r="AC328" s="302"/>
      <c r="AD328" s="302"/>
      <c r="AE328" s="302"/>
      <c r="AF328" s="302"/>
      <c r="AG328" s="302"/>
    </row>
    <row r="329" spans="1:33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335"/>
      <c r="S329" s="335"/>
      <c r="T329" s="335"/>
      <c r="U329" s="302"/>
      <c r="V329" s="302"/>
      <c r="W329" s="302"/>
      <c r="X329" s="302"/>
      <c r="Y329" s="302"/>
      <c r="Z329" s="302"/>
      <c r="AA329" s="302"/>
      <c r="AB329" s="302"/>
      <c r="AC329" s="302"/>
      <c r="AD329" s="302"/>
      <c r="AE329" s="302"/>
      <c r="AF329" s="302"/>
      <c r="AG329" s="302"/>
    </row>
    <row r="330" spans="1:33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335"/>
      <c r="S330" s="335"/>
      <c r="T330" s="335"/>
      <c r="U330" s="302"/>
      <c r="V330" s="302"/>
      <c r="W330" s="302"/>
      <c r="X330" s="302"/>
      <c r="Y330" s="302"/>
      <c r="Z330" s="302"/>
      <c r="AA330" s="302"/>
      <c r="AB330" s="302"/>
      <c r="AC330" s="302"/>
      <c r="AD330" s="302"/>
      <c r="AE330" s="302"/>
      <c r="AF330" s="302"/>
      <c r="AG330" s="302"/>
    </row>
    <row r="331" spans="1:33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335"/>
      <c r="S331" s="335"/>
      <c r="T331" s="335"/>
      <c r="U331" s="302"/>
      <c r="V331" s="302"/>
      <c r="W331" s="302"/>
      <c r="X331" s="302"/>
      <c r="Y331" s="302"/>
      <c r="Z331" s="302"/>
      <c r="AA331" s="302"/>
      <c r="AB331" s="302"/>
      <c r="AC331" s="302"/>
      <c r="AD331" s="302"/>
      <c r="AE331" s="302"/>
      <c r="AF331" s="302"/>
      <c r="AG331" s="302"/>
    </row>
    <row r="332" spans="1:33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335"/>
      <c r="S332" s="335"/>
      <c r="T332" s="335"/>
      <c r="U332" s="302"/>
      <c r="V332" s="302"/>
      <c r="W332" s="302"/>
      <c r="X332" s="302"/>
      <c r="Y332" s="302"/>
      <c r="Z332" s="302"/>
      <c r="AA332" s="302"/>
      <c r="AB332" s="302"/>
      <c r="AC332" s="302"/>
      <c r="AD332" s="302"/>
      <c r="AE332" s="302"/>
      <c r="AF332" s="302"/>
      <c r="AG332" s="302"/>
    </row>
    <row r="333" spans="1:33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335"/>
      <c r="S333" s="335"/>
      <c r="T333" s="335"/>
      <c r="U333" s="302"/>
      <c r="V333" s="302"/>
      <c r="W333" s="302"/>
      <c r="X333" s="302"/>
      <c r="Y333" s="302"/>
      <c r="Z333" s="302"/>
      <c r="AA333" s="302"/>
      <c r="AB333" s="302"/>
      <c r="AC333" s="302"/>
      <c r="AD333" s="302"/>
      <c r="AE333" s="302"/>
      <c r="AF333" s="302"/>
      <c r="AG333" s="302"/>
    </row>
    <row r="334" spans="1:33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335"/>
      <c r="S334" s="335"/>
      <c r="T334" s="335"/>
      <c r="U334" s="302"/>
      <c r="V334" s="302"/>
      <c r="W334" s="302"/>
      <c r="X334" s="302"/>
      <c r="Y334" s="302"/>
      <c r="Z334" s="302"/>
      <c r="AA334" s="302"/>
      <c r="AB334" s="302"/>
      <c r="AC334" s="302"/>
      <c r="AD334" s="302"/>
      <c r="AE334" s="302"/>
      <c r="AF334" s="302"/>
      <c r="AG334" s="302"/>
    </row>
    <row r="335" spans="1:33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335"/>
      <c r="S335" s="335"/>
      <c r="T335" s="335"/>
      <c r="U335" s="302"/>
      <c r="V335" s="302"/>
      <c r="W335" s="302"/>
      <c r="X335" s="302"/>
      <c r="Y335" s="302"/>
      <c r="Z335" s="302"/>
      <c r="AA335" s="302"/>
      <c r="AB335" s="302"/>
      <c r="AC335" s="302"/>
      <c r="AD335" s="302"/>
      <c r="AE335" s="302"/>
      <c r="AF335" s="302"/>
      <c r="AG335" s="302"/>
    </row>
    <row r="336" spans="1:33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335"/>
      <c r="S336" s="335"/>
      <c r="T336" s="335"/>
      <c r="U336" s="302"/>
      <c r="V336" s="302"/>
      <c r="W336" s="302"/>
      <c r="X336" s="302"/>
      <c r="Y336" s="302"/>
      <c r="Z336" s="302"/>
      <c r="AA336" s="302"/>
      <c r="AB336" s="302"/>
      <c r="AC336" s="302"/>
      <c r="AD336" s="302"/>
      <c r="AE336" s="302"/>
      <c r="AF336" s="302"/>
      <c r="AG336" s="302"/>
    </row>
    <row r="337" spans="1:33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335"/>
      <c r="S337" s="335"/>
      <c r="T337" s="335"/>
      <c r="U337" s="302"/>
      <c r="V337" s="302"/>
      <c r="W337" s="302"/>
      <c r="X337" s="302"/>
      <c r="Y337" s="302"/>
      <c r="Z337" s="302"/>
      <c r="AA337" s="302"/>
      <c r="AB337" s="302"/>
      <c r="AC337" s="302"/>
      <c r="AD337" s="302"/>
      <c r="AE337" s="302"/>
      <c r="AF337" s="302"/>
      <c r="AG337" s="302"/>
    </row>
    <row r="338" spans="1:33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335"/>
      <c r="S338" s="335"/>
      <c r="T338" s="335"/>
      <c r="U338" s="302"/>
      <c r="V338" s="302"/>
      <c r="W338" s="302"/>
      <c r="X338" s="302"/>
      <c r="Y338" s="302"/>
      <c r="Z338" s="302"/>
      <c r="AA338" s="302"/>
      <c r="AB338" s="302"/>
      <c r="AC338" s="302"/>
      <c r="AD338" s="302"/>
      <c r="AE338" s="302"/>
      <c r="AF338" s="302"/>
      <c r="AG338" s="302"/>
    </row>
    <row r="339" spans="1:33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335"/>
      <c r="S339" s="335"/>
      <c r="T339" s="335"/>
      <c r="U339" s="302"/>
      <c r="V339" s="302"/>
      <c r="W339" s="302"/>
      <c r="X339" s="302"/>
      <c r="Y339" s="302"/>
      <c r="Z339" s="302"/>
      <c r="AA339" s="302"/>
      <c r="AB339" s="302"/>
      <c r="AC339" s="302"/>
      <c r="AD339" s="302"/>
      <c r="AE339" s="302"/>
      <c r="AF339" s="302"/>
      <c r="AG339" s="302"/>
    </row>
    <row r="340" spans="1:33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335"/>
      <c r="S340" s="335"/>
      <c r="T340" s="335"/>
      <c r="U340" s="302"/>
      <c r="V340" s="302"/>
      <c r="W340" s="302"/>
      <c r="X340" s="302"/>
      <c r="Y340" s="302"/>
      <c r="Z340" s="302"/>
      <c r="AA340" s="302"/>
      <c r="AB340" s="302"/>
      <c r="AC340" s="302"/>
      <c r="AD340" s="302"/>
      <c r="AE340" s="302"/>
      <c r="AF340" s="302"/>
      <c r="AG340" s="302"/>
    </row>
    <row r="341" spans="1:33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335"/>
      <c r="S341" s="335"/>
      <c r="T341" s="335"/>
      <c r="U341" s="302"/>
      <c r="V341" s="302"/>
      <c r="W341" s="302"/>
      <c r="X341" s="302"/>
      <c r="Y341" s="302"/>
      <c r="Z341" s="302"/>
      <c r="AA341" s="302"/>
      <c r="AB341" s="302"/>
      <c r="AC341" s="302"/>
      <c r="AD341" s="302"/>
      <c r="AE341" s="302"/>
      <c r="AF341" s="302"/>
      <c r="AG341" s="302"/>
    </row>
    <row r="342" spans="1:33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335"/>
      <c r="S342" s="335"/>
      <c r="T342" s="335"/>
      <c r="U342" s="302"/>
      <c r="V342" s="302"/>
      <c r="W342" s="302"/>
      <c r="X342" s="302"/>
      <c r="Y342" s="302"/>
      <c r="Z342" s="302"/>
      <c r="AA342" s="302"/>
      <c r="AB342" s="302"/>
      <c r="AC342" s="302"/>
      <c r="AD342" s="302"/>
      <c r="AE342" s="302"/>
      <c r="AF342" s="302"/>
      <c r="AG342" s="302"/>
    </row>
    <row r="343" spans="1:33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335"/>
      <c r="S343" s="335"/>
      <c r="T343" s="335"/>
      <c r="U343" s="302"/>
      <c r="V343" s="302"/>
      <c r="W343" s="302"/>
      <c r="X343" s="302"/>
      <c r="Y343" s="302"/>
      <c r="Z343" s="302"/>
      <c r="AA343" s="302"/>
      <c r="AB343" s="302"/>
      <c r="AC343" s="302"/>
      <c r="AD343" s="302"/>
      <c r="AE343" s="302"/>
      <c r="AF343" s="302"/>
      <c r="AG343" s="302"/>
    </row>
    <row r="344" spans="1:33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335"/>
      <c r="S344" s="335"/>
      <c r="T344" s="335"/>
      <c r="U344" s="302"/>
      <c r="V344" s="302"/>
      <c r="W344" s="302"/>
      <c r="X344" s="302"/>
      <c r="Y344" s="302"/>
      <c r="Z344" s="302"/>
      <c r="AA344" s="302"/>
      <c r="AB344" s="302"/>
      <c r="AC344" s="302"/>
      <c r="AD344" s="302"/>
      <c r="AE344" s="302"/>
      <c r="AF344" s="302"/>
      <c r="AG344" s="302"/>
    </row>
    <row r="345" spans="1:33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335"/>
      <c r="S345" s="335"/>
      <c r="T345" s="335"/>
      <c r="U345" s="302"/>
      <c r="V345" s="302"/>
      <c r="W345" s="302"/>
      <c r="X345" s="302"/>
      <c r="Y345" s="302"/>
      <c r="Z345" s="302"/>
      <c r="AA345" s="302"/>
      <c r="AB345" s="302"/>
      <c r="AC345" s="302"/>
      <c r="AD345" s="302"/>
      <c r="AE345" s="302"/>
      <c r="AF345" s="302"/>
      <c r="AG345" s="302"/>
    </row>
    <row r="346" spans="1:33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335"/>
      <c r="S346" s="335"/>
      <c r="T346" s="335"/>
      <c r="U346" s="302"/>
      <c r="V346" s="302"/>
      <c r="W346" s="302"/>
      <c r="X346" s="302"/>
      <c r="Y346" s="302"/>
      <c r="Z346" s="302"/>
      <c r="AA346" s="302"/>
      <c r="AB346" s="302"/>
      <c r="AC346" s="302"/>
      <c r="AD346" s="302"/>
      <c r="AE346" s="302"/>
      <c r="AF346" s="302"/>
      <c r="AG346" s="302"/>
    </row>
    <row r="347" spans="1:33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335"/>
      <c r="S347" s="335"/>
      <c r="T347" s="335"/>
      <c r="U347" s="302"/>
      <c r="V347" s="302"/>
      <c r="W347" s="302"/>
      <c r="X347" s="302"/>
      <c r="Y347" s="302"/>
      <c r="Z347" s="302"/>
      <c r="AA347" s="302"/>
      <c r="AB347" s="302"/>
      <c r="AC347" s="302"/>
      <c r="AD347" s="302"/>
      <c r="AE347" s="302"/>
      <c r="AF347" s="302"/>
      <c r="AG347" s="302"/>
    </row>
    <row r="348" spans="1:33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335"/>
      <c r="S348" s="335"/>
      <c r="T348" s="335"/>
      <c r="U348" s="302"/>
      <c r="V348" s="302"/>
      <c r="W348" s="302"/>
      <c r="X348" s="302"/>
      <c r="Y348" s="302"/>
      <c r="Z348" s="302"/>
      <c r="AA348" s="302"/>
      <c r="AB348" s="302"/>
      <c r="AC348" s="302"/>
      <c r="AD348" s="302"/>
      <c r="AE348" s="302"/>
      <c r="AF348" s="302"/>
      <c r="AG348" s="302"/>
    </row>
    <row r="349" spans="1:33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335"/>
      <c r="S349" s="335"/>
      <c r="T349" s="335"/>
      <c r="U349" s="302"/>
      <c r="V349" s="302"/>
      <c r="W349" s="302"/>
      <c r="X349" s="302"/>
      <c r="Y349" s="302"/>
      <c r="Z349" s="302"/>
      <c r="AA349" s="302"/>
      <c r="AB349" s="302"/>
      <c r="AC349" s="302"/>
      <c r="AD349" s="302"/>
      <c r="AE349" s="302"/>
      <c r="AF349" s="302"/>
      <c r="AG349" s="302"/>
    </row>
    <row r="350" spans="1:33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335"/>
      <c r="S350" s="335"/>
      <c r="T350" s="335"/>
      <c r="U350" s="302"/>
      <c r="V350" s="302"/>
      <c r="W350" s="302"/>
      <c r="X350" s="302"/>
      <c r="Y350" s="302"/>
      <c r="Z350" s="302"/>
      <c r="AA350" s="302"/>
      <c r="AB350" s="302"/>
      <c r="AC350" s="302"/>
      <c r="AD350" s="302"/>
      <c r="AE350" s="302"/>
      <c r="AF350" s="302"/>
      <c r="AG350" s="302"/>
    </row>
    <row r="351" spans="1:33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335"/>
      <c r="S351" s="335"/>
      <c r="T351" s="335"/>
      <c r="U351" s="302"/>
      <c r="V351" s="302"/>
      <c r="W351" s="302"/>
      <c r="X351" s="302"/>
      <c r="Y351" s="302"/>
      <c r="Z351" s="302"/>
      <c r="AA351" s="302"/>
      <c r="AB351" s="302"/>
      <c r="AC351" s="302"/>
      <c r="AD351" s="302"/>
      <c r="AE351" s="302"/>
      <c r="AF351" s="302"/>
      <c r="AG351" s="302"/>
    </row>
    <row r="352" spans="1:33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335"/>
      <c r="S352" s="335"/>
      <c r="T352" s="335"/>
      <c r="U352" s="302"/>
      <c r="V352" s="302"/>
      <c r="W352" s="302"/>
      <c r="X352" s="302"/>
      <c r="Y352" s="302"/>
      <c r="Z352" s="302"/>
      <c r="AA352" s="302"/>
      <c r="AB352" s="302"/>
      <c r="AC352" s="302"/>
      <c r="AD352" s="302"/>
      <c r="AE352" s="302"/>
      <c r="AF352" s="302"/>
      <c r="AG352" s="302"/>
    </row>
    <row r="353" spans="1:33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335"/>
      <c r="S353" s="335"/>
      <c r="T353" s="335"/>
      <c r="U353" s="302"/>
      <c r="V353" s="302"/>
      <c r="W353" s="302"/>
      <c r="X353" s="302"/>
      <c r="Y353" s="302"/>
      <c r="Z353" s="302"/>
      <c r="AA353" s="302"/>
      <c r="AB353" s="302"/>
      <c r="AC353" s="302"/>
      <c r="AD353" s="302"/>
      <c r="AE353" s="302"/>
      <c r="AF353" s="302"/>
      <c r="AG353" s="302"/>
    </row>
    <row r="354" spans="1:33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335"/>
      <c r="S354" s="335"/>
      <c r="T354" s="335"/>
      <c r="U354" s="302"/>
      <c r="V354" s="302"/>
      <c r="W354" s="302"/>
      <c r="X354" s="302"/>
      <c r="Y354" s="302"/>
      <c r="Z354" s="302"/>
      <c r="AA354" s="302"/>
      <c r="AB354" s="302"/>
      <c r="AC354" s="302"/>
      <c r="AD354" s="302"/>
      <c r="AE354" s="302"/>
      <c r="AF354" s="302"/>
      <c r="AG354" s="302"/>
    </row>
    <row r="355" spans="1:33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335"/>
      <c r="S355" s="335"/>
      <c r="T355" s="335"/>
      <c r="U355" s="302"/>
      <c r="V355" s="302"/>
      <c r="W355" s="302"/>
      <c r="X355" s="302"/>
      <c r="Y355" s="302"/>
      <c r="Z355" s="302"/>
      <c r="AA355" s="302"/>
      <c r="AB355" s="302"/>
      <c r="AC355" s="302"/>
      <c r="AD355" s="302"/>
      <c r="AE355" s="302"/>
      <c r="AF355" s="302"/>
      <c r="AG355" s="302"/>
    </row>
    <row r="356" spans="1:33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335"/>
      <c r="S356" s="335"/>
      <c r="T356" s="335"/>
      <c r="U356" s="302"/>
      <c r="V356" s="302"/>
      <c r="W356" s="302"/>
      <c r="X356" s="302"/>
      <c r="Y356" s="302"/>
      <c r="Z356" s="302"/>
      <c r="AA356" s="302"/>
      <c r="AB356" s="302"/>
      <c r="AC356" s="302"/>
      <c r="AD356" s="302"/>
      <c r="AE356" s="302"/>
      <c r="AF356" s="302"/>
      <c r="AG356" s="302"/>
    </row>
    <row r="357" spans="1:33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335"/>
      <c r="S357" s="335"/>
      <c r="T357" s="335"/>
      <c r="U357" s="302"/>
      <c r="V357" s="302"/>
      <c r="W357" s="302"/>
      <c r="X357" s="302"/>
      <c r="Y357" s="302"/>
      <c r="Z357" s="302"/>
      <c r="AA357" s="302"/>
      <c r="AB357" s="302"/>
      <c r="AC357" s="302"/>
      <c r="AD357" s="302"/>
      <c r="AE357" s="302"/>
      <c r="AF357" s="302"/>
      <c r="AG357" s="302"/>
    </row>
    <row r="358" spans="1:33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335"/>
      <c r="S358" s="335"/>
      <c r="T358" s="335"/>
      <c r="U358" s="302"/>
      <c r="V358" s="302"/>
      <c r="W358" s="302"/>
      <c r="X358" s="302"/>
      <c r="Y358" s="302"/>
      <c r="Z358" s="302"/>
      <c r="AA358" s="302"/>
      <c r="AB358" s="302"/>
      <c r="AC358" s="302"/>
      <c r="AD358" s="302"/>
      <c r="AE358" s="302"/>
      <c r="AF358" s="302"/>
      <c r="AG358" s="302"/>
    </row>
    <row r="359" spans="1:33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335"/>
      <c r="S359" s="335"/>
      <c r="T359" s="335"/>
      <c r="U359" s="302"/>
      <c r="V359" s="302"/>
      <c r="W359" s="302"/>
      <c r="X359" s="302"/>
      <c r="Y359" s="302"/>
      <c r="Z359" s="302"/>
      <c r="AA359" s="302"/>
      <c r="AB359" s="302"/>
      <c r="AC359" s="302"/>
      <c r="AD359" s="302"/>
      <c r="AE359" s="302"/>
      <c r="AF359" s="302"/>
      <c r="AG359" s="302"/>
    </row>
    <row r="360" spans="1:33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335"/>
      <c r="S360" s="335"/>
      <c r="T360" s="335"/>
      <c r="U360" s="302"/>
      <c r="V360" s="302"/>
      <c r="W360" s="302"/>
      <c r="X360" s="302"/>
      <c r="Y360" s="302"/>
      <c r="Z360" s="302"/>
      <c r="AA360" s="302"/>
      <c r="AB360" s="302"/>
      <c r="AC360" s="302"/>
      <c r="AD360" s="302"/>
      <c r="AE360" s="302"/>
      <c r="AF360" s="302"/>
      <c r="AG360" s="302"/>
    </row>
    <row r="361" spans="1:33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335"/>
      <c r="S361" s="335"/>
      <c r="T361" s="335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</row>
    <row r="362" spans="1:33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335"/>
      <c r="S362" s="335"/>
      <c r="T362" s="335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</row>
    <row r="363" spans="1:33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335"/>
      <c r="S363" s="335"/>
      <c r="T363" s="335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</row>
    <row r="364" spans="1:33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335"/>
      <c r="S364" s="335"/>
      <c r="T364" s="335"/>
      <c r="U364" s="302"/>
      <c r="V364" s="302"/>
      <c r="W364" s="302"/>
      <c r="X364" s="302"/>
      <c r="Y364" s="302"/>
      <c r="Z364" s="302"/>
      <c r="AA364" s="302"/>
      <c r="AB364" s="302"/>
      <c r="AC364" s="302"/>
      <c r="AD364" s="302"/>
      <c r="AE364" s="302"/>
      <c r="AF364" s="302"/>
      <c r="AG364" s="302"/>
    </row>
    <row r="365" spans="1:33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335"/>
      <c r="S365" s="335"/>
      <c r="T365" s="335"/>
      <c r="U365" s="302"/>
      <c r="V365" s="302"/>
      <c r="W365" s="302"/>
      <c r="X365" s="302"/>
      <c r="Y365" s="302"/>
      <c r="Z365" s="302"/>
      <c r="AA365" s="302"/>
      <c r="AB365" s="302"/>
      <c r="AC365" s="302"/>
      <c r="AD365" s="302"/>
      <c r="AE365" s="302"/>
      <c r="AF365" s="302"/>
      <c r="AG365" s="302"/>
    </row>
    <row r="366" spans="1:33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335"/>
      <c r="S366" s="335"/>
      <c r="T366" s="335"/>
      <c r="U366" s="302"/>
      <c r="V366" s="302"/>
      <c r="W366" s="302"/>
      <c r="X366" s="302"/>
      <c r="Y366" s="302"/>
      <c r="Z366" s="302"/>
      <c r="AA366" s="302"/>
      <c r="AB366" s="302"/>
      <c r="AC366" s="302"/>
      <c r="AD366" s="302"/>
      <c r="AE366" s="302"/>
      <c r="AF366" s="302"/>
      <c r="AG366" s="302"/>
    </row>
    <row r="367" spans="1:33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335"/>
      <c r="S367" s="335"/>
      <c r="T367" s="335"/>
      <c r="U367" s="302"/>
      <c r="V367" s="302"/>
      <c r="W367" s="302"/>
      <c r="X367" s="302"/>
      <c r="Y367" s="302"/>
      <c r="Z367" s="302"/>
      <c r="AA367" s="302"/>
      <c r="AB367" s="302"/>
      <c r="AC367" s="302"/>
      <c r="AD367" s="302"/>
      <c r="AE367" s="302"/>
      <c r="AF367" s="302"/>
      <c r="AG367" s="302"/>
    </row>
    <row r="368" spans="1:33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335"/>
      <c r="S368" s="335"/>
      <c r="T368" s="335"/>
      <c r="U368" s="302"/>
      <c r="V368" s="302"/>
      <c r="W368" s="302"/>
      <c r="X368" s="302"/>
      <c r="Y368" s="302"/>
      <c r="Z368" s="302"/>
      <c r="AA368" s="302"/>
      <c r="AB368" s="302"/>
      <c r="AC368" s="302"/>
      <c r="AD368" s="302"/>
      <c r="AE368" s="302"/>
      <c r="AF368" s="302"/>
      <c r="AG368" s="302"/>
    </row>
    <row r="369" spans="1:33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335"/>
      <c r="S369" s="335"/>
      <c r="T369" s="335"/>
      <c r="U369" s="302"/>
      <c r="V369" s="302"/>
      <c r="W369" s="302"/>
      <c r="X369" s="302"/>
      <c r="Y369" s="302"/>
      <c r="Z369" s="302"/>
      <c r="AA369" s="302"/>
      <c r="AB369" s="302"/>
      <c r="AC369" s="302"/>
      <c r="AD369" s="302"/>
      <c r="AE369" s="302"/>
      <c r="AF369" s="302"/>
      <c r="AG369" s="302"/>
    </row>
    <row r="370" spans="1:33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335"/>
      <c r="S370" s="335"/>
      <c r="T370" s="335"/>
      <c r="U370" s="302"/>
      <c r="V370" s="302"/>
      <c r="W370" s="302"/>
      <c r="X370" s="302"/>
      <c r="Y370" s="302"/>
      <c r="Z370" s="302"/>
      <c r="AA370" s="302"/>
      <c r="AB370" s="302"/>
      <c r="AC370" s="302"/>
      <c r="AD370" s="302"/>
      <c r="AE370" s="302"/>
      <c r="AF370" s="302"/>
      <c r="AG370" s="302"/>
    </row>
    <row r="371" spans="1:33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335"/>
      <c r="S371" s="335"/>
      <c r="T371" s="335"/>
      <c r="U371" s="302"/>
      <c r="V371" s="302"/>
      <c r="W371" s="302"/>
      <c r="X371" s="302"/>
      <c r="Y371" s="302"/>
      <c r="Z371" s="302"/>
      <c r="AA371" s="302"/>
      <c r="AB371" s="302"/>
      <c r="AC371" s="302"/>
      <c r="AD371" s="302"/>
      <c r="AE371" s="302"/>
      <c r="AF371" s="302"/>
      <c r="AG371" s="302"/>
    </row>
    <row r="372" spans="1:33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335"/>
      <c r="S372" s="335"/>
      <c r="T372" s="335"/>
      <c r="U372" s="302"/>
      <c r="V372" s="302"/>
      <c r="W372" s="302"/>
      <c r="X372" s="302"/>
      <c r="Y372" s="302"/>
      <c r="Z372" s="302"/>
      <c r="AA372" s="302"/>
      <c r="AB372" s="302"/>
      <c r="AC372" s="302"/>
      <c r="AD372" s="302"/>
      <c r="AE372" s="302"/>
      <c r="AF372" s="302"/>
      <c r="AG372" s="302"/>
    </row>
    <row r="373" spans="1:33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335"/>
      <c r="S373" s="335"/>
      <c r="T373" s="335"/>
      <c r="U373" s="302"/>
      <c r="V373" s="302"/>
      <c r="W373" s="302"/>
      <c r="X373" s="302"/>
      <c r="Y373" s="302"/>
      <c r="Z373" s="302"/>
      <c r="AA373" s="302"/>
      <c r="AB373" s="302"/>
      <c r="AC373" s="302"/>
      <c r="AD373" s="302"/>
      <c r="AE373" s="302"/>
      <c r="AF373" s="302"/>
      <c r="AG373" s="302"/>
    </row>
    <row r="374" spans="1:33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335"/>
      <c r="S374" s="335"/>
      <c r="T374" s="335"/>
      <c r="U374" s="302"/>
      <c r="V374" s="302"/>
      <c r="W374" s="302"/>
      <c r="X374" s="302"/>
      <c r="Y374" s="302"/>
      <c r="Z374" s="302"/>
      <c r="AA374" s="302"/>
      <c r="AB374" s="302"/>
      <c r="AC374" s="302"/>
      <c r="AD374" s="302"/>
      <c r="AE374" s="302"/>
      <c r="AF374" s="302"/>
      <c r="AG374" s="302"/>
    </row>
    <row r="375" spans="1:33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335"/>
      <c r="S375" s="335"/>
      <c r="T375" s="335"/>
      <c r="U375" s="302"/>
      <c r="V375" s="302"/>
      <c r="W375" s="302"/>
      <c r="X375" s="302"/>
      <c r="Y375" s="302"/>
      <c r="Z375" s="302"/>
      <c r="AA375" s="302"/>
      <c r="AB375" s="302"/>
      <c r="AC375" s="302"/>
      <c r="AD375" s="302"/>
      <c r="AE375" s="302"/>
      <c r="AF375" s="302"/>
      <c r="AG375" s="302"/>
    </row>
    <row r="376" spans="1:33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335"/>
      <c r="S376" s="335"/>
      <c r="T376" s="335"/>
      <c r="U376" s="302"/>
      <c r="V376" s="302"/>
      <c r="W376" s="302"/>
      <c r="X376" s="302"/>
      <c r="Y376" s="302"/>
      <c r="Z376" s="302"/>
      <c r="AA376" s="302"/>
      <c r="AB376" s="302"/>
      <c r="AC376" s="302"/>
      <c r="AD376" s="302"/>
      <c r="AE376" s="302"/>
      <c r="AF376" s="302"/>
      <c r="AG376" s="302"/>
    </row>
    <row r="377" spans="1:33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335"/>
      <c r="S377" s="335"/>
      <c r="T377" s="335"/>
      <c r="U377" s="302"/>
      <c r="V377" s="302"/>
      <c r="W377" s="302"/>
      <c r="X377" s="302"/>
      <c r="Y377" s="302"/>
      <c r="Z377" s="302"/>
      <c r="AA377" s="302"/>
      <c r="AB377" s="302"/>
      <c r="AC377" s="302"/>
      <c r="AD377" s="302"/>
      <c r="AE377" s="302"/>
      <c r="AF377" s="302"/>
      <c r="AG377" s="302"/>
    </row>
    <row r="378" spans="1:33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335"/>
      <c r="S378" s="335"/>
      <c r="T378" s="335"/>
      <c r="U378" s="302"/>
      <c r="V378" s="302"/>
      <c r="W378" s="302"/>
      <c r="X378" s="302"/>
      <c r="Y378" s="302"/>
      <c r="Z378" s="302"/>
      <c r="AA378" s="302"/>
      <c r="AB378" s="302"/>
      <c r="AC378" s="302"/>
      <c r="AD378" s="302"/>
      <c r="AE378" s="302"/>
      <c r="AF378" s="302"/>
      <c r="AG378" s="302"/>
    </row>
    <row r="379" spans="1:33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335"/>
      <c r="S379" s="335"/>
      <c r="T379" s="335"/>
      <c r="U379" s="302"/>
      <c r="V379" s="302"/>
      <c r="W379" s="302"/>
      <c r="X379" s="302"/>
      <c r="Y379" s="302"/>
      <c r="Z379" s="302"/>
      <c r="AA379" s="302"/>
      <c r="AB379" s="302"/>
      <c r="AC379" s="302"/>
      <c r="AD379" s="302"/>
      <c r="AE379" s="302"/>
      <c r="AF379" s="302"/>
      <c r="AG379" s="302"/>
    </row>
    <row r="380" spans="1:33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335"/>
      <c r="S380" s="335"/>
      <c r="T380" s="335"/>
      <c r="U380" s="302"/>
      <c r="V380" s="302"/>
      <c r="W380" s="302"/>
      <c r="X380" s="302"/>
      <c r="Y380" s="302"/>
      <c r="Z380" s="302"/>
      <c r="AA380" s="302"/>
      <c r="AB380" s="302"/>
      <c r="AC380" s="302"/>
      <c r="AD380" s="302"/>
      <c r="AE380" s="302"/>
      <c r="AF380" s="302"/>
      <c r="AG380" s="302"/>
    </row>
    <row r="381" spans="1:33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335"/>
      <c r="S381" s="335"/>
      <c r="T381" s="335"/>
      <c r="U381" s="302"/>
      <c r="V381" s="302"/>
      <c r="W381" s="302"/>
      <c r="X381" s="302"/>
      <c r="Y381" s="302"/>
      <c r="Z381" s="302"/>
      <c r="AA381" s="302"/>
      <c r="AB381" s="302"/>
      <c r="AC381" s="302"/>
      <c r="AD381" s="302"/>
      <c r="AE381" s="302"/>
      <c r="AF381" s="302"/>
      <c r="AG381" s="302"/>
    </row>
    <row r="382" spans="1:33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335"/>
      <c r="S382" s="335"/>
      <c r="T382" s="335"/>
      <c r="U382" s="302"/>
      <c r="V382" s="302"/>
      <c r="W382" s="302"/>
      <c r="X382" s="302"/>
      <c r="Y382" s="302"/>
      <c r="Z382" s="302"/>
      <c r="AA382" s="302"/>
      <c r="AB382" s="302"/>
      <c r="AC382" s="302"/>
      <c r="AD382" s="302"/>
      <c r="AE382" s="302"/>
      <c r="AF382" s="302"/>
      <c r="AG382" s="302"/>
    </row>
    <row r="383" spans="1:33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335"/>
      <c r="S383" s="335"/>
      <c r="T383" s="335"/>
      <c r="U383" s="302"/>
      <c r="V383" s="302"/>
      <c r="W383" s="302"/>
      <c r="X383" s="302"/>
      <c r="Y383" s="302"/>
      <c r="Z383" s="302"/>
      <c r="AA383" s="302"/>
      <c r="AB383" s="302"/>
      <c r="AC383" s="302"/>
      <c r="AD383" s="302"/>
      <c r="AE383" s="302"/>
      <c r="AF383" s="302"/>
      <c r="AG383" s="302"/>
    </row>
    <row r="384" spans="1:33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335"/>
      <c r="S384" s="335"/>
      <c r="T384" s="335"/>
      <c r="U384" s="302"/>
      <c r="V384" s="302"/>
      <c r="W384" s="302"/>
      <c r="X384" s="302"/>
      <c r="Y384" s="302"/>
      <c r="Z384" s="302"/>
      <c r="AA384" s="302"/>
      <c r="AB384" s="302"/>
      <c r="AC384" s="302"/>
      <c r="AD384" s="302"/>
      <c r="AE384" s="302"/>
      <c r="AF384" s="302"/>
      <c r="AG384" s="302"/>
    </row>
    <row r="385" spans="1:33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335"/>
      <c r="S385" s="335"/>
      <c r="T385" s="335"/>
      <c r="U385" s="302"/>
      <c r="V385" s="302"/>
      <c r="W385" s="302"/>
      <c r="X385" s="302"/>
      <c r="Y385" s="302"/>
      <c r="Z385" s="302"/>
      <c r="AA385" s="302"/>
      <c r="AB385" s="302"/>
      <c r="AC385" s="302"/>
      <c r="AD385" s="302"/>
      <c r="AE385" s="302"/>
      <c r="AF385" s="302"/>
      <c r="AG385" s="302"/>
    </row>
    <row r="386" spans="1:33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335"/>
      <c r="S386" s="335"/>
      <c r="T386" s="335"/>
      <c r="U386" s="302"/>
      <c r="V386" s="302"/>
      <c r="W386" s="302"/>
      <c r="X386" s="302"/>
      <c r="Y386" s="302"/>
      <c r="Z386" s="302"/>
      <c r="AA386" s="302"/>
      <c r="AB386" s="302"/>
      <c r="AC386" s="302"/>
      <c r="AD386" s="302"/>
      <c r="AE386" s="302"/>
      <c r="AF386" s="302"/>
      <c r="AG386" s="302"/>
    </row>
    <row r="387" spans="1:33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335"/>
      <c r="S387" s="335"/>
      <c r="T387" s="335"/>
      <c r="U387" s="302"/>
      <c r="V387" s="302"/>
      <c r="W387" s="302"/>
      <c r="X387" s="302"/>
      <c r="Y387" s="302"/>
      <c r="Z387" s="302"/>
      <c r="AA387" s="302"/>
      <c r="AB387" s="302"/>
      <c r="AC387" s="302"/>
      <c r="AD387" s="302"/>
      <c r="AE387" s="302"/>
      <c r="AF387" s="302"/>
      <c r="AG387" s="302"/>
    </row>
    <row r="388" spans="1:33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335"/>
      <c r="S388" s="335"/>
      <c r="T388" s="335"/>
      <c r="U388" s="302"/>
      <c r="V388" s="302"/>
      <c r="W388" s="302"/>
      <c r="X388" s="302"/>
      <c r="Y388" s="302"/>
      <c r="Z388" s="302"/>
      <c r="AA388" s="302"/>
      <c r="AB388" s="302"/>
      <c r="AC388" s="302"/>
      <c r="AD388" s="302"/>
      <c r="AE388" s="302"/>
      <c r="AF388" s="302"/>
      <c r="AG388" s="302"/>
    </row>
    <row r="389" spans="1:33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335"/>
      <c r="S389" s="335"/>
      <c r="T389" s="335"/>
      <c r="U389" s="302"/>
      <c r="V389" s="302"/>
      <c r="W389" s="302"/>
      <c r="X389" s="302"/>
      <c r="Y389" s="302"/>
      <c r="Z389" s="302"/>
      <c r="AA389" s="302"/>
      <c r="AB389" s="302"/>
      <c r="AC389" s="302"/>
      <c r="AD389" s="302"/>
      <c r="AE389" s="302"/>
      <c r="AF389" s="302"/>
      <c r="AG389" s="302"/>
    </row>
    <row r="390" spans="1:33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335"/>
      <c r="S390" s="335"/>
      <c r="T390" s="335"/>
      <c r="U390" s="302"/>
      <c r="V390" s="302"/>
      <c r="W390" s="302"/>
      <c r="X390" s="302"/>
      <c r="Y390" s="302"/>
      <c r="Z390" s="302"/>
      <c r="AA390" s="302"/>
      <c r="AB390" s="302"/>
      <c r="AC390" s="302"/>
      <c r="AD390" s="302"/>
      <c r="AE390" s="302"/>
      <c r="AF390" s="302"/>
      <c r="AG390" s="302"/>
    </row>
    <row r="391" spans="1:33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335"/>
      <c r="S391" s="335"/>
      <c r="T391" s="335"/>
      <c r="U391" s="302"/>
      <c r="V391" s="302"/>
      <c r="W391" s="302"/>
      <c r="X391" s="302"/>
      <c r="Y391" s="302"/>
      <c r="Z391" s="302"/>
      <c r="AA391" s="302"/>
      <c r="AB391" s="302"/>
      <c r="AC391" s="302"/>
      <c r="AD391" s="302"/>
      <c r="AE391" s="302"/>
      <c r="AF391" s="302"/>
      <c r="AG391" s="302"/>
    </row>
    <row r="392" spans="1:33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335"/>
      <c r="S392" s="335"/>
      <c r="T392" s="335"/>
      <c r="U392" s="302"/>
      <c r="V392" s="302"/>
      <c r="W392" s="302"/>
      <c r="X392" s="302"/>
      <c r="Y392" s="302"/>
      <c r="Z392" s="302"/>
      <c r="AA392" s="302"/>
      <c r="AB392" s="302"/>
      <c r="AC392" s="302"/>
      <c r="AD392" s="302"/>
      <c r="AE392" s="302"/>
      <c r="AF392" s="302"/>
      <c r="AG392" s="302"/>
    </row>
    <row r="393" spans="1:33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335"/>
      <c r="S393" s="335"/>
      <c r="T393" s="335"/>
      <c r="U393" s="302"/>
      <c r="V393" s="302"/>
      <c r="W393" s="302"/>
      <c r="X393" s="302"/>
      <c r="Y393" s="302"/>
      <c r="Z393" s="302"/>
      <c r="AA393" s="302"/>
      <c r="AB393" s="302"/>
      <c r="AC393" s="302"/>
      <c r="AD393" s="302"/>
      <c r="AE393" s="302"/>
      <c r="AF393" s="302"/>
      <c r="AG393" s="302"/>
    </row>
    <row r="394" spans="1:33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335"/>
      <c r="S394" s="335"/>
      <c r="T394" s="335"/>
      <c r="U394" s="302"/>
      <c r="V394" s="302"/>
      <c r="W394" s="302"/>
      <c r="X394" s="302"/>
      <c r="Y394" s="302"/>
      <c r="Z394" s="302"/>
      <c r="AA394" s="302"/>
      <c r="AB394" s="302"/>
      <c r="AC394" s="302"/>
      <c r="AD394" s="302"/>
      <c r="AE394" s="302"/>
      <c r="AF394" s="302"/>
      <c r="AG394" s="302"/>
    </row>
    <row r="395" spans="1:33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335"/>
      <c r="S395" s="335"/>
      <c r="T395" s="335"/>
      <c r="U395" s="302"/>
      <c r="V395" s="302"/>
      <c r="W395" s="302"/>
      <c r="X395" s="302"/>
      <c r="Y395" s="302"/>
      <c r="Z395" s="302"/>
      <c r="AA395" s="302"/>
      <c r="AB395" s="302"/>
      <c r="AC395" s="302"/>
      <c r="AD395" s="302"/>
      <c r="AE395" s="302"/>
      <c r="AF395" s="302"/>
      <c r="AG395" s="302"/>
    </row>
    <row r="396" spans="1:33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335"/>
      <c r="S396" s="335"/>
      <c r="T396" s="335"/>
      <c r="U396" s="302"/>
      <c r="V396" s="302"/>
      <c r="W396" s="302"/>
      <c r="X396" s="302"/>
      <c r="Y396" s="302"/>
      <c r="Z396" s="302"/>
      <c r="AA396" s="302"/>
      <c r="AB396" s="302"/>
      <c r="AC396" s="302"/>
      <c r="AD396" s="302"/>
      <c r="AE396" s="302"/>
      <c r="AF396" s="302"/>
      <c r="AG396" s="302"/>
    </row>
    <row r="397" spans="1:33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335"/>
      <c r="S397" s="335"/>
      <c r="T397" s="335"/>
      <c r="U397" s="302"/>
      <c r="V397" s="302"/>
      <c r="W397" s="302"/>
      <c r="X397" s="302"/>
      <c r="Y397" s="302"/>
      <c r="Z397" s="302"/>
      <c r="AA397" s="302"/>
      <c r="AB397" s="302"/>
      <c r="AC397" s="302"/>
      <c r="AD397" s="302"/>
      <c r="AE397" s="302"/>
      <c r="AF397" s="302"/>
      <c r="AG397" s="302"/>
    </row>
    <row r="398" spans="1:33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335"/>
      <c r="S398" s="335"/>
      <c r="T398" s="335"/>
      <c r="U398" s="302"/>
      <c r="V398" s="302"/>
      <c r="W398" s="302"/>
      <c r="X398" s="302"/>
      <c r="Y398" s="302"/>
      <c r="Z398" s="302"/>
      <c r="AA398" s="302"/>
      <c r="AB398" s="302"/>
      <c r="AC398" s="302"/>
      <c r="AD398" s="302"/>
      <c r="AE398" s="302"/>
      <c r="AF398" s="302"/>
      <c r="AG398" s="302"/>
    </row>
    <row r="399" spans="1:33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335"/>
      <c r="S399" s="335"/>
      <c r="T399" s="335"/>
      <c r="U399" s="302"/>
      <c r="V399" s="302"/>
      <c r="W399" s="302"/>
      <c r="X399" s="302"/>
      <c r="Y399" s="302"/>
      <c r="Z399" s="302"/>
      <c r="AA399" s="302"/>
      <c r="AB399" s="302"/>
      <c r="AC399" s="302"/>
      <c r="AD399" s="302"/>
      <c r="AE399" s="302"/>
      <c r="AF399" s="302"/>
      <c r="AG399" s="302"/>
    </row>
    <row r="400" spans="1:33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335"/>
      <c r="S400" s="335"/>
      <c r="T400" s="335"/>
      <c r="U400" s="302"/>
      <c r="V400" s="302"/>
      <c r="W400" s="302"/>
      <c r="X400" s="302"/>
      <c r="Y400" s="302"/>
      <c r="Z400" s="302"/>
      <c r="AA400" s="302"/>
      <c r="AB400" s="302"/>
      <c r="AC400" s="302"/>
      <c r="AD400" s="302"/>
      <c r="AE400" s="302"/>
      <c r="AF400" s="302"/>
      <c r="AG400" s="302"/>
    </row>
    <row r="401" spans="1:33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335"/>
      <c r="S401" s="335"/>
      <c r="T401" s="335"/>
      <c r="U401" s="302"/>
      <c r="V401" s="302"/>
      <c r="W401" s="302"/>
      <c r="X401" s="302"/>
      <c r="Y401" s="302"/>
      <c r="Z401" s="302"/>
      <c r="AA401" s="302"/>
      <c r="AB401" s="302"/>
      <c r="AC401" s="302"/>
      <c r="AD401" s="302"/>
      <c r="AE401" s="302"/>
      <c r="AF401" s="302"/>
      <c r="AG401" s="302"/>
    </row>
    <row r="402" spans="1:33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335"/>
      <c r="S402" s="335"/>
      <c r="T402" s="335"/>
      <c r="U402" s="302"/>
      <c r="V402" s="302"/>
      <c r="W402" s="302"/>
      <c r="X402" s="302"/>
      <c r="Y402" s="302"/>
      <c r="Z402" s="302"/>
      <c r="AA402" s="302"/>
      <c r="AB402" s="302"/>
      <c r="AC402" s="302"/>
      <c r="AD402" s="302"/>
      <c r="AE402" s="302"/>
      <c r="AF402" s="302"/>
      <c r="AG402" s="302"/>
    </row>
    <row r="403" spans="1:33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335"/>
      <c r="S403" s="335"/>
      <c r="T403" s="335"/>
      <c r="U403" s="302"/>
      <c r="V403" s="302"/>
      <c r="W403" s="302"/>
      <c r="X403" s="302"/>
      <c r="Y403" s="302"/>
      <c r="Z403" s="302"/>
      <c r="AA403" s="302"/>
      <c r="AB403" s="302"/>
      <c r="AC403" s="302"/>
      <c r="AD403" s="302"/>
      <c r="AE403" s="302"/>
      <c r="AF403" s="302"/>
      <c r="AG403" s="302"/>
    </row>
    <row r="404" spans="1:33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335"/>
      <c r="S404" s="335"/>
      <c r="T404" s="335"/>
      <c r="U404" s="302"/>
      <c r="V404" s="302"/>
      <c r="W404" s="302"/>
      <c r="X404" s="302"/>
      <c r="Y404" s="302"/>
      <c r="Z404" s="302"/>
      <c r="AA404" s="302"/>
      <c r="AB404" s="302"/>
      <c r="AC404" s="302"/>
      <c r="AD404" s="302"/>
      <c r="AE404" s="302"/>
      <c r="AF404" s="302"/>
      <c r="AG404" s="302"/>
    </row>
    <row r="405" spans="1:33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335"/>
      <c r="S405" s="335"/>
      <c r="T405" s="335"/>
      <c r="U405" s="302"/>
      <c r="V405" s="302"/>
      <c r="W405" s="302"/>
      <c r="X405" s="302"/>
      <c r="Y405" s="302"/>
      <c r="Z405" s="302"/>
      <c r="AA405" s="302"/>
      <c r="AB405" s="302"/>
      <c r="AC405" s="302"/>
      <c r="AD405" s="302"/>
      <c r="AE405" s="302"/>
      <c r="AF405" s="302"/>
      <c r="AG405" s="302"/>
    </row>
    <row r="406" spans="1:33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335"/>
      <c r="S406" s="335"/>
      <c r="T406" s="335"/>
      <c r="U406" s="302"/>
      <c r="V406" s="302"/>
      <c r="W406" s="302"/>
      <c r="X406" s="302"/>
      <c r="Y406" s="302"/>
      <c r="Z406" s="302"/>
      <c r="AA406" s="302"/>
      <c r="AB406" s="302"/>
      <c r="AC406" s="302"/>
      <c r="AD406" s="302"/>
      <c r="AE406" s="302"/>
      <c r="AF406" s="302"/>
      <c r="AG406" s="302"/>
    </row>
    <row r="407" spans="1:33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335"/>
      <c r="S407" s="335"/>
      <c r="T407" s="335"/>
      <c r="U407" s="302"/>
      <c r="V407" s="302"/>
      <c r="W407" s="302"/>
      <c r="X407" s="302"/>
      <c r="Y407" s="302"/>
      <c r="Z407" s="302"/>
      <c r="AA407" s="302"/>
      <c r="AB407" s="302"/>
      <c r="AC407" s="302"/>
      <c r="AD407" s="302"/>
      <c r="AE407" s="302"/>
      <c r="AF407" s="302"/>
      <c r="AG407" s="302"/>
    </row>
    <row r="408" spans="1:33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335"/>
      <c r="S408" s="335"/>
      <c r="T408" s="335"/>
      <c r="U408" s="302"/>
      <c r="V408" s="302"/>
      <c r="W408" s="302"/>
      <c r="X408" s="302"/>
      <c r="Y408" s="302"/>
      <c r="Z408" s="302"/>
      <c r="AA408" s="302"/>
      <c r="AB408" s="302"/>
      <c r="AC408" s="302"/>
      <c r="AD408" s="302"/>
      <c r="AE408" s="302"/>
      <c r="AF408" s="302"/>
      <c r="AG408" s="302"/>
    </row>
    <row r="409" spans="1:33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335"/>
      <c r="S409" s="335"/>
      <c r="T409" s="335"/>
      <c r="U409" s="302"/>
      <c r="V409" s="302"/>
      <c r="W409" s="302"/>
      <c r="X409" s="302"/>
      <c r="Y409" s="302"/>
      <c r="Z409" s="302"/>
      <c r="AA409" s="302"/>
      <c r="AB409" s="302"/>
      <c r="AC409" s="302"/>
      <c r="AD409" s="302"/>
      <c r="AE409" s="302"/>
      <c r="AF409" s="302"/>
      <c r="AG409" s="302"/>
    </row>
    <row r="410" spans="1:33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335"/>
      <c r="S410" s="335"/>
      <c r="T410" s="335"/>
      <c r="U410" s="302"/>
      <c r="V410" s="302"/>
      <c r="W410" s="302"/>
      <c r="X410" s="302"/>
      <c r="Y410" s="302"/>
      <c r="Z410" s="302"/>
      <c r="AA410" s="302"/>
      <c r="AB410" s="302"/>
      <c r="AC410" s="302"/>
      <c r="AD410" s="302"/>
      <c r="AE410" s="302"/>
      <c r="AF410" s="302"/>
      <c r="AG410" s="302"/>
    </row>
    <row r="411" spans="1:33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335"/>
      <c r="S411" s="335"/>
      <c r="T411" s="335"/>
      <c r="U411" s="302"/>
      <c r="V411" s="302"/>
      <c r="W411" s="302"/>
      <c r="X411" s="302"/>
      <c r="Y411" s="302"/>
      <c r="Z411" s="302"/>
      <c r="AA411" s="302"/>
      <c r="AB411" s="302"/>
      <c r="AC411" s="302"/>
      <c r="AD411" s="302"/>
      <c r="AE411" s="302"/>
      <c r="AF411" s="302"/>
      <c r="AG411" s="302"/>
    </row>
    <row r="412" spans="1:33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335"/>
      <c r="S412" s="335"/>
      <c r="T412" s="335"/>
      <c r="U412" s="302"/>
      <c r="V412" s="302"/>
      <c r="W412" s="302"/>
      <c r="X412" s="302"/>
      <c r="Y412" s="302"/>
      <c r="Z412" s="302"/>
      <c r="AA412" s="302"/>
      <c r="AB412" s="302"/>
      <c r="AC412" s="302"/>
      <c r="AD412" s="302"/>
      <c r="AE412" s="302"/>
      <c r="AF412" s="302"/>
      <c r="AG412" s="302"/>
    </row>
    <row r="413" spans="1:33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335"/>
      <c r="S413" s="335"/>
      <c r="T413" s="335"/>
      <c r="U413" s="302"/>
      <c r="V413" s="302"/>
      <c r="W413" s="302"/>
      <c r="X413" s="302"/>
      <c r="Y413" s="302"/>
      <c r="Z413" s="302"/>
      <c r="AA413" s="302"/>
      <c r="AB413" s="302"/>
      <c r="AC413" s="302"/>
      <c r="AD413" s="302"/>
      <c r="AE413" s="302"/>
      <c r="AF413" s="302"/>
      <c r="AG413" s="302"/>
    </row>
    <row r="414" spans="1:33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335"/>
      <c r="S414" s="335"/>
      <c r="T414" s="335"/>
      <c r="U414" s="302"/>
      <c r="V414" s="302"/>
      <c r="W414" s="302"/>
      <c r="X414" s="302"/>
      <c r="Y414" s="302"/>
      <c r="Z414" s="302"/>
      <c r="AA414" s="302"/>
      <c r="AB414" s="302"/>
      <c r="AC414" s="302"/>
      <c r="AD414" s="302"/>
      <c r="AE414" s="302"/>
      <c r="AF414" s="302"/>
      <c r="AG414" s="302"/>
    </row>
    <row r="415" spans="1:33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335"/>
      <c r="S415" s="335"/>
      <c r="T415" s="335"/>
      <c r="U415" s="302"/>
      <c r="V415" s="302"/>
      <c r="W415" s="302"/>
      <c r="X415" s="302"/>
      <c r="Y415" s="302"/>
      <c r="Z415" s="302"/>
      <c r="AA415" s="302"/>
      <c r="AB415" s="302"/>
      <c r="AC415" s="302"/>
      <c r="AD415" s="302"/>
      <c r="AE415" s="302"/>
      <c r="AF415" s="302"/>
      <c r="AG415" s="302"/>
    </row>
    <row r="416" spans="1:33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335"/>
      <c r="S416" s="335"/>
      <c r="T416" s="335"/>
      <c r="U416" s="302"/>
      <c r="V416" s="302"/>
      <c r="W416" s="302"/>
      <c r="X416" s="302"/>
      <c r="Y416" s="302"/>
      <c r="Z416" s="302"/>
      <c r="AA416" s="302"/>
      <c r="AB416" s="302"/>
      <c r="AC416" s="302"/>
      <c r="AD416" s="302"/>
      <c r="AE416" s="302"/>
      <c r="AF416" s="302"/>
      <c r="AG416" s="302"/>
    </row>
    <row r="417" spans="1:33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335"/>
      <c r="S417" s="335"/>
      <c r="T417" s="335"/>
      <c r="U417" s="302"/>
      <c r="V417" s="302"/>
      <c r="W417" s="302"/>
      <c r="X417" s="302"/>
      <c r="Y417" s="302"/>
      <c r="Z417" s="302"/>
      <c r="AA417" s="302"/>
      <c r="AB417" s="302"/>
      <c r="AC417" s="302"/>
      <c r="AD417" s="302"/>
      <c r="AE417" s="302"/>
      <c r="AF417" s="302"/>
      <c r="AG417" s="302"/>
    </row>
    <row r="418" spans="1:33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335"/>
      <c r="S418" s="335"/>
      <c r="T418" s="335"/>
      <c r="U418" s="302"/>
      <c r="V418" s="302"/>
      <c r="W418" s="302"/>
      <c r="X418" s="302"/>
      <c r="Y418" s="302"/>
      <c r="Z418" s="302"/>
      <c r="AA418" s="302"/>
      <c r="AB418" s="302"/>
      <c r="AC418" s="302"/>
      <c r="AD418" s="302"/>
      <c r="AE418" s="302"/>
      <c r="AF418" s="302"/>
      <c r="AG418" s="302"/>
    </row>
    <row r="419" spans="1:33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335"/>
      <c r="S419" s="335"/>
      <c r="T419" s="335"/>
      <c r="U419" s="302"/>
      <c r="V419" s="302"/>
      <c r="W419" s="302"/>
      <c r="X419" s="302"/>
      <c r="Y419" s="302"/>
      <c r="Z419" s="302"/>
      <c r="AA419" s="302"/>
      <c r="AB419" s="302"/>
      <c r="AC419" s="302"/>
      <c r="AD419" s="302"/>
      <c r="AE419" s="302"/>
      <c r="AF419" s="302"/>
      <c r="AG419" s="302"/>
    </row>
    <row r="420" spans="1:33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335"/>
      <c r="S420" s="335"/>
      <c r="T420" s="335"/>
      <c r="U420" s="302"/>
      <c r="V420" s="302"/>
      <c r="W420" s="302"/>
      <c r="X420" s="302"/>
      <c r="Y420" s="302"/>
      <c r="Z420" s="302"/>
      <c r="AA420" s="302"/>
      <c r="AB420" s="302"/>
      <c r="AC420" s="302"/>
      <c r="AD420" s="302"/>
      <c r="AE420" s="302"/>
      <c r="AF420" s="302"/>
      <c r="AG420" s="302"/>
    </row>
    <row r="421" spans="1:33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335"/>
      <c r="S421" s="335"/>
      <c r="T421" s="335"/>
      <c r="U421" s="302"/>
      <c r="V421" s="302"/>
      <c r="W421" s="302"/>
      <c r="X421" s="302"/>
      <c r="Y421" s="302"/>
      <c r="Z421" s="302"/>
      <c r="AA421" s="302"/>
      <c r="AB421" s="302"/>
      <c r="AC421" s="302"/>
      <c r="AD421" s="302"/>
      <c r="AE421" s="302"/>
      <c r="AF421" s="302"/>
      <c r="AG421" s="302"/>
    </row>
    <row r="422" spans="1:33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335"/>
      <c r="S422" s="335"/>
      <c r="T422" s="335"/>
      <c r="U422" s="302"/>
      <c r="V422" s="302"/>
      <c r="W422" s="302"/>
      <c r="X422" s="302"/>
      <c r="Y422" s="302"/>
      <c r="Z422" s="302"/>
      <c r="AA422" s="302"/>
      <c r="AB422" s="302"/>
      <c r="AC422" s="302"/>
      <c r="AD422" s="302"/>
      <c r="AE422" s="302"/>
      <c r="AF422" s="302"/>
      <c r="AG422" s="302"/>
    </row>
    <row r="423" spans="1:33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335"/>
      <c r="S423" s="335"/>
      <c r="T423" s="335"/>
      <c r="U423" s="302"/>
      <c r="V423" s="302"/>
      <c r="W423" s="302"/>
      <c r="X423" s="302"/>
      <c r="Y423" s="302"/>
      <c r="Z423" s="302"/>
      <c r="AA423" s="302"/>
      <c r="AB423" s="302"/>
      <c r="AC423" s="302"/>
      <c r="AD423" s="302"/>
      <c r="AE423" s="302"/>
      <c r="AF423" s="302"/>
      <c r="AG423" s="302"/>
    </row>
    <row r="424" spans="1:33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335"/>
      <c r="S424" s="335"/>
      <c r="T424" s="335"/>
      <c r="U424" s="302"/>
      <c r="V424" s="302"/>
      <c r="W424" s="302"/>
      <c r="X424" s="302"/>
      <c r="Y424" s="302"/>
      <c r="Z424" s="302"/>
      <c r="AA424" s="302"/>
      <c r="AB424" s="302"/>
      <c r="AC424" s="302"/>
      <c r="AD424" s="302"/>
      <c r="AE424" s="302"/>
      <c r="AF424" s="302"/>
      <c r="AG424" s="302"/>
    </row>
    <row r="425" spans="1:33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335"/>
      <c r="S425" s="335"/>
      <c r="T425" s="335"/>
      <c r="U425" s="302"/>
      <c r="V425" s="302"/>
      <c r="W425" s="302"/>
      <c r="X425" s="302"/>
      <c r="Y425" s="302"/>
      <c r="Z425" s="302"/>
      <c r="AA425" s="302"/>
      <c r="AB425" s="302"/>
      <c r="AC425" s="302"/>
      <c r="AD425" s="302"/>
      <c r="AE425" s="302"/>
      <c r="AF425" s="302"/>
      <c r="AG425" s="302"/>
    </row>
    <row r="426" spans="1:33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335"/>
      <c r="S426" s="335"/>
      <c r="T426" s="335"/>
      <c r="U426" s="302"/>
      <c r="V426" s="302"/>
      <c r="W426" s="302"/>
      <c r="X426" s="302"/>
      <c r="Y426" s="302"/>
      <c r="Z426" s="302"/>
      <c r="AA426" s="302"/>
      <c r="AB426" s="302"/>
      <c r="AC426" s="302"/>
      <c r="AD426" s="302"/>
      <c r="AE426" s="302"/>
      <c r="AF426" s="302"/>
      <c r="AG426" s="302"/>
    </row>
    <row r="427" spans="1:33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335"/>
      <c r="S427" s="335"/>
      <c r="T427" s="335"/>
      <c r="U427" s="302"/>
      <c r="V427" s="302"/>
      <c r="W427" s="302"/>
      <c r="X427" s="302"/>
      <c r="Y427" s="302"/>
      <c r="Z427" s="302"/>
      <c r="AA427" s="302"/>
      <c r="AB427" s="302"/>
      <c r="AC427" s="302"/>
      <c r="AD427" s="302"/>
      <c r="AE427" s="302"/>
      <c r="AF427" s="302"/>
      <c r="AG427" s="302"/>
    </row>
    <row r="428" spans="1:33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335"/>
      <c r="S428" s="335"/>
      <c r="T428" s="335"/>
      <c r="U428" s="302"/>
      <c r="V428" s="302"/>
      <c r="W428" s="302"/>
      <c r="X428" s="302"/>
      <c r="Y428" s="302"/>
      <c r="Z428" s="302"/>
      <c r="AA428" s="302"/>
      <c r="AB428" s="302"/>
      <c r="AC428" s="302"/>
      <c r="AD428" s="302"/>
      <c r="AE428" s="302"/>
      <c r="AF428" s="302"/>
      <c r="AG428" s="302"/>
    </row>
    <row r="429" spans="1:33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335"/>
      <c r="S429" s="335"/>
      <c r="T429" s="335"/>
      <c r="U429" s="302"/>
      <c r="V429" s="302"/>
      <c r="W429" s="302"/>
      <c r="X429" s="302"/>
      <c r="Y429" s="302"/>
      <c r="Z429" s="302"/>
      <c r="AA429" s="302"/>
      <c r="AB429" s="302"/>
      <c r="AC429" s="302"/>
      <c r="AD429" s="302"/>
      <c r="AE429" s="302"/>
      <c r="AF429" s="302"/>
      <c r="AG429" s="302"/>
    </row>
    <row r="430" spans="1:33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335"/>
      <c r="S430" s="335"/>
      <c r="T430" s="335"/>
      <c r="U430" s="302"/>
      <c r="V430" s="302"/>
      <c r="W430" s="302"/>
      <c r="X430" s="302"/>
      <c r="Y430" s="302"/>
      <c r="Z430" s="302"/>
      <c r="AA430" s="302"/>
      <c r="AB430" s="302"/>
      <c r="AC430" s="302"/>
      <c r="AD430" s="302"/>
      <c r="AE430" s="302"/>
      <c r="AF430" s="302"/>
      <c r="AG430" s="302"/>
    </row>
    <row r="431" spans="1:33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335"/>
      <c r="S431" s="335"/>
      <c r="T431" s="335"/>
      <c r="U431" s="302"/>
      <c r="V431" s="302"/>
      <c r="W431" s="302"/>
      <c r="X431" s="302"/>
      <c r="Y431" s="302"/>
      <c r="Z431" s="302"/>
      <c r="AA431" s="302"/>
      <c r="AB431" s="302"/>
      <c r="AC431" s="302"/>
      <c r="AD431" s="302"/>
      <c r="AE431" s="302"/>
      <c r="AF431" s="302"/>
      <c r="AG431" s="302"/>
    </row>
    <row r="432" spans="1:33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335"/>
      <c r="S432" s="335"/>
      <c r="T432" s="335"/>
      <c r="U432" s="302"/>
      <c r="V432" s="302"/>
      <c r="W432" s="302"/>
      <c r="X432" s="302"/>
      <c r="Y432" s="302"/>
      <c r="Z432" s="302"/>
      <c r="AA432" s="302"/>
      <c r="AB432" s="302"/>
      <c r="AC432" s="302"/>
      <c r="AD432" s="302"/>
      <c r="AE432" s="302"/>
      <c r="AF432" s="302"/>
      <c r="AG432" s="302"/>
    </row>
    <row r="433" spans="1:33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335"/>
      <c r="S433" s="335"/>
      <c r="T433" s="335"/>
      <c r="U433" s="302"/>
      <c r="V433" s="302"/>
      <c r="W433" s="302"/>
      <c r="X433" s="302"/>
      <c r="Y433" s="302"/>
      <c r="Z433" s="302"/>
      <c r="AA433" s="302"/>
      <c r="AB433" s="302"/>
      <c r="AC433" s="302"/>
      <c r="AD433" s="302"/>
      <c r="AE433" s="302"/>
      <c r="AF433" s="302"/>
      <c r="AG433" s="302"/>
    </row>
    <row r="434" spans="1:33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335"/>
      <c r="S434" s="335"/>
      <c r="T434" s="335"/>
      <c r="U434" s="302"/>
      <c r="V434" s="302"/>
      <c r="W434" s="302"/>
      <c r="X434" s="302"/>
      <c r="Y434" s="302"/>
      <c r="Z434" s="302"/>
      <c r="AA434" s="302"/>
      <c r="AB434" s="302"/>
      <c r="AC434" s="302"/>
      <c r="AD434" s="302"/>
      <c r="AE434" s="302"/>
      <c r="AF434" s="302"/>
      <c r="AG434" s="302"/>
    </row>
    <row r="435" spans="1:33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335"/>
      <c r="S435" s="335"/>
      <c r="T435" s="335"/>
      <c r="U435" s="302"/>
      <c r="V435" s="302"/>
      <c r="W435" s="302"/>
      <c r="X435" s="302"/>
      <c r="Y435" s="302"/>
      <c r="Z435" s="302"/>
      <c r="AA435" s="302"/>
      <c r="AB435" s="302"/>
      <c r="AC435" s="302"/>
      <c r="AD435" s="302"/>
      <c r="AE435" s="302"/>
      <c r="AF435" s="302"/>
      <c r="AG435" s="302"/>
    </row>
    <row r="436" spans="1:33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335"/>
      <c r="S436" s="335"/>
      <c r="T436" s="335"/>
      <c r="U436" s="302"/>
      <c r="V436" s="302"/>
      <c r="W436" s="302"/>
      <c r="X436" s="302"/>
      <c r="Y436" s="302"/>
      <c r="Z436" s="302"/>
      <c r="AA436" s="302"/>
      <c r="AB436" s="302"/>
      <c r="AC436" s="302"/>
      <c r="AD436" s="302"/>
      <c r="AE436" s="302"/>
      <c r="AF436" s="302"/>
      <c r="AG436" s="302"/>
    </row>
    <row r="437" spans="1:33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335"/>
      <c r="S437" s="335"/>
      <c r="T437" s="335"/>
      <c r="U437" s="302"/>
      <c r="V437" s="302"/>
      <c r="W437" s="302"/>
      <c r="X437" s="302"/>
      <c r="Y437" s="302"/>
      <c r="Z437" s="302"/>
      <c r="AA437" s="302"/>
      <c r="AB437" s="302"/>
      <c r="AC437" s="302"/>
      <c r="AD437" s="302"/>
      <c r="AE437" s="302"/>
      <c r="AF437" s="302"/>
      <c r="AG437" s="302"/>
    </row>
    <row r="438" spans="1:33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335"/>
      <c r="S438" s="335"/>
      <c r="T438" s="335"/>
      <c r="U438" s="302"/>
      <c r="V438" s="302"/>
      <c r="W438" s="302"/>
      <c r="X438" s="302"/>
      <c r="Y438" s="302"/>
      <c r="Z438" s="302"/>
      <c r="AA438" s="302"/>
      <c r="AB438" s="302"/>
      <c r="AC438" s="302"/>
      <c r="AD438" s="302"/>
      <c r="AE438" s="302"/>
      <c r="AF438" s="302"/>
      <c r="AG438" s="302"/>
    </row>
    <row r="439" spans="1:33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335"/>
      <c r="S439" s="335"/>
      <c r="T439" s="335"/>
      <c r="U439" s="302"/>
      <c r="V439" s="302"/>
      <c r="W439" s="302"/>
      <c r="X439" s="302"/>
      <c r="Y439" s="302"/>
      <c r="Z439" s="302"/>
      <c r="AA439" s="302"/>
      <c r="AB439" s="302"/>
      <c r="AC439" s="302"/>
      <c r="AD439" s="302"/>
      <c r="AE439" s="302"/>
      <c r="AF439" s="302"/>
      <c r="AG439" s="302"/>
    </row>
    <row r="440" spans="1:33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335"/>
      <c r="S440" s="335"/>
      <c r="T440" s="335"/>
      <c r="U440" s="302"/>
      <c r="V440" s="302"/>
      <c r="W440" s="302"/>
      <c r="X440" s="302"/>
      <c r="Y440" s="302"/>
      <c r="Z440" s="302"/>
      <c r="AA440" s="302"/>
      <c r="AB440" s="302"/>
      <c r="AC440" s="302"/>
      <c r="AD440" s="302"/>
      <c r="AE440" s="302"/>
      <c r="AF440" s="302"/>
      <c r="AG440" s="302"/>
    </row>
    <row r="441" spans="1:33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335"/>
      <c r="S441" s="335"/>
      <c r="T441" s="335"/>
      <c r="U441" s="302"/>
      <c r="V441" s="302"/>
      <c r="W441" s="302"/>
      <c r="X441" s="302"/>
      <c r="Y441" s="302"/>
      <c r="Z441" s="302"/>
      <c r="AA441" s="302"/>
      <c r="AB441" s="302"/>
      <c r="AC441" s="302"/>
      <c r="AD441" s="302"/>
      <c r="AE441" s="302"/>
      <c r="AF441" s="302"/>
      <c r="AG441" s="302"/>
    </row>
    <row r="442" spans="1:33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335"/>
      <c r="S442" s="335"/>
      <c r="T442" s="335"/>
      <c r="U442" s="302"/>
      <c r="V442" s="302"/>
      <c r="W442" s="302"/>
      <c r="X442" s="302"/>
      <c r="Y442" s="302"/>
      <c r="Z442" s="302"/>
      <c r="AA442" s="302"/>
      <c r="AB442" s="302"/>
      <c r="AC442" s="302"/>
      <c r="AD442" s="302"/>
      <c r="AE442" s="302"/>
      <c r="AF442" s="302"/>
      <c r="AG442" s="302"/>
    </row>
    <row r="443" spans="1:33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335"/>
      <c r="S443" s="335"/>
      <c r="T443" s="335"/>
      <c r="U443" s="302"/>
      <c r="V443" s="302"/>
      <c r="W443" s="302"/>
      <c r="X443" s="302"/>
      <c r="Y443" s="302"/>
      <c r="Z443" s="302"/>
      <c r="AA443" s="302"/>
      <c r="AB443" s="302"/>
      <c r="AC443" s="302"/>
      <c r="AD443" s="302"/>
      <c r="AE443" s="302"/>
      <c r="AF443" s="302"/>
      <c r="AG443" s="302"/>
    </row>
    <row r="444" spans="1:33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335"/>
      <c r="S444" s="335"/>
      <c r="T444" s="335"/>
      <c r="U444" s="302"/>
      <c r="V444" s="302"/>
      <c r="W444" s="302"/>
      <c r="X444" s="302"/>
      <c r="Y444" s="302"/>
      <c r="Z444" s="302"/>
      <c r="AA444" s="302"/>
      <c r="AB444" s="302"/>
      <c r="AC444" s="302"/>
      <c r="AD444" s="302"/>
      <c r="AE444" s="302"/>
      <c r="AF444" s="302"/>
      <c r="AG444" s="302"/>
    </row>
    <row r="445" spans="1:33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335"/>
      <c r="S445" s="335"/>
      <c r="T445" s="335"/>
      <c r="U445" s="302"/>
      <c r="V445" s="302"/>
      <c r="W445" s="302"/>
      <c r="X445" s="302"/>
      <c r="Y445" s="302"/>
      <c r="Z445" s="302"/>
      <c r="AA445" s="302"/>
      <c r="AB445" s="302"/>
      <c r="AC445" s="302"/>
      <c r="AD445" s="302"/>
      <c r="AE445" s="302"/>
      <c r="AF445" s="302"/>
      <c r="AG445" s="302"/>
    </row>
    <row r="446" spans="1:33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335"/>
      <c r="S446" s="335"/>
      <c r="T446" s="335"/>
      <c r="U446" s="302"/>
      <c r="V446" s="302"/>
      <c r="W446" s="302"/>
      <c r="X446" s="302"/>
      <c r="Y446" s="302"/>
      <c r="Z446" s="302"/>
      <c r="AA446" s="302"/>
      <c r="AB446" s="302"/>
      <c r="AC446" s="302"/>
      <c r="AD446" s="302"/>
      <c r="AE446" s="302"/>
      <c r="AF446" s="302"/>
      <c r="AG446" s="302"/>
    </row>
    <row r="447" spans="1:33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335"/>
      <c r="S447" s="335"/>
      <c r="T447" s="335"/>
      <c r="U447" s="302"/>
      <c r="V447" s="302"/>
      <c r="W447" s="302"/>
      <c r="X447" s="302"/>
      <c r="Y447" s="302"/>
      <c r="Z447" s="302"/>
      <c r="AA447" s="302"/>
      <c r="AB447" s="302"/>
      <c r="AC447" s="302"/>
      <c r="AD447" s="302"/>
      <c r="AE447" s="302"/>
      <c r="AF447" s="302"/>
      <c r="AG447" s="302"/>
    </row>
    <row r="448" spans="1:33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335"/>
      <c r="S448" s="335"/>
      <c r="T448" s="335"/>
      <c r="U448" s="302"/>
      <c r="V448" s="302"/>
      <c r="W448" s="302"/>
      <c r="X448" s="302"/>
      <c r="Y448" s="302"/>
      <c r="Z448" s="302"/>
      <c r="AA448" s="302"/>
      <c r="AB448" s="302"/>
      <c r="AC448" s="302"/>
      <c r="AD448" s="302"/>
      <c r="AE448" s="302"/>
      <c r="AF448" s="302"/>
      <c r="AG448" s="302"/>
    </row>
    <row r="449" spans="1:33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335"/>
      <c r="S449" s="335"/>
      <c r="T449" s="335"/>
      <c r="U449" s="302"/>
      <c r="V449" s="302"/>
      <c r="W449" s="302"/>
      <c r="X449" s="302"/>
      <c r="Y449" s="302"/>
      <c r="Z449" s="302"/>
      <c r="AA449" s="302"/>
      <c r="AB449" s="302"/>
      <c r="AC449" s="302"/>
      <c r="AD449" s="302"/>
      <c r="AE449" s="302"/>
      <c r="AF449" s="302"/>
      <c r="AG449" s="302"/>
    </row>
    <row r="450" spans="1:33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335"/>
      <c r="S450" s="335"/>
      <c r="T450" s="335"/>
      <c r="U450" s="302"/>
      <c r="V450" s="302"/>
      <c r="W450" s="302"/>
      <c r="X450" s="302"/>
      <c r="Y450" s="302"/>
      <c r="Z450" s="302"/>
      <c r="AA450" s="302"/>
      <c r="AB450" s="302"/>
      <c r="AC450" s="302"/>
      <c r="AD450" s="302"/>
      <c r="AE450" s="302"/>
      <c r="AF450" s="302"/>
      <c r="AG450" s="302"/>
    </row>
    <row r="451" spans="1:33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335"/>
      <c r="S451" s="335"/>
      <c r="T451" s="335"/>
      <c r="U451" s="302"/>
      <c r="V451" s="302"/>
      <c r="W451" s="302"/>
      <c r="X451" s="302"/>
      <c r="Y451" s="302"/>
      <c r="Z451" s="302"/>
      <c r="AA451" s="302"/>
      <c r="AB451" s="302"/>
      <c r="AC451" s="302"/>
      <c r="AD451" s="302"/>
      <c r="AE451" s="302"/>
      <c r="AF451" s="302"/>
      <c r="AG451" s="302"/>
    </row>
    <row r="452" spans="1:33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335"/>
      <c r="S452" s="335"/>
      <c r="T452" s="335"/>
      <c r="U452" s="302"/>
      <c r="V452" s="302"/>
      <c r="W452" s="302"/>
      <c r="X452" s="302"/>
      <c r="Y452" s="302"/>
      <c r="Z452" s="302"/>
      <c r="AA452" s="302"/>
      <c r="AB452" s="302"/>
      <c r="AC452" s="302"/>
      <c r="AD452" s="302"/>
      <c r="AE452" s="302"/>
      <c r="AF452" s="302"/>
      <c r="AG452" s="302"/>
    </row>
    <row r="453" spans="1:33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335"/>
      <c r="S453" s="335"/>
      <c r="T453" s="335"/>
      <c r="U453" s="302"/>
      <c r="V453" s="302"/>
      <c r="W453" s="302"/>
      <c r="X453" s="302"/>
      <c r="Y453" s="302"/>
      <c r="Z453" s="302"/>
      <c r="AA453" s="302"/>
      <c r="AB453" s="302"/>
      <c r="AC453" s="302"/>
      <c r="AD453" s="302"/>
      <c r="AE453" s="302"/>
      <c r="AF453" s="302"/>
      <c r="AG453" s="302"/>
    </row>
    <row r="454" spans="1:33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335"/>
      <c r="S454" s="335"/>
      <c r="T454" s="335"/>
      <c r="U454" s="302"/>
      <c r="V454" s="302"/>
      <c r="W454" s="302"/>
      <c r="X454" s="302"/>
      <c r="Y454" s="302"/>
      <c r="Z454" s="302"/>
      <c r="AA454" s="302"/>
      <c r="AB454" s="302"/>
      <c r="AC454" s="302"/>
      <c r="AD454" s="302"/>
      <c r="AE454" s="302"/>
      <c r="AF454" s="302"/>
      <c r="AG454" s="302"/>
    </row>
    <row r="455" spans="1:33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335"/>
      <c r="S455" s="335"/>
      <c r="T455" s="335"/>
      <c r="U455" s="302"/>
      <c r="V455" s="302"/>
      <c r="W455" s="302"/>
      <c r="X455" s="302"/>
      <c r="Y455" s="302"/>
      <c r="Z455" s="302"/>
      <c r="AA455" s="302"/>
      <c r="AB455" s="302"/>
      <c r="AC455" s="302"/>
      <c r="AD455" s="302"/>
      <c r="AE455" s="302"/>
      <c r="AF455" s="302"/>
      <c r="AG455" s="302"/>
    </row>
    <row r="456" spans="1:33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335"/>
      <c r="S456" s="335"/>
      <c r="T456" s="335"/>
      <c r="U456" s="302"/>
      <c r="V456" s="302"/>
      <c r="W456" s="302"/>
      <c r="X456" s="302"/>
      <c r="Y456" s="302"/>
      <c r="Z456" s="302"/>
      <c r="AA456" s="302"/>
      <c r="AB456" s="302"/>
      <c r="AC456" s="302"/>
      <c r="AD456" s="302"/>
      <c r="AE456" s="302"/>
      <c r="AF456" s="302"/>
      <c r="AG456" s="302"/>
    </row>
    <row r="457" spans="1:33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335"/>
      <c r="S457" s="335"/>
      <c r="T457" s="335"/>
      <c r="U457" s="302"/>
      <c r="V457" s="302"/>
      <c r="W457" s="302"/>
      <c r="X457" s="302"/>
      <c r="Y457" s="302"/>
      <c r="Z457" s="302"/>
      <c r="AA457" s="302"/>
      <c r="AB457" s="302"/>
      <c r="AC457" s="302"/>
      <c r="AD457" s="302"/>
      <c r="AE457" s="302"/>
      <c r="AF457" s="302"/>
      <c r="AG457" s="302"/>
    </row>
    <row r="458" spans="1:33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335"/>
      <c r="S458" s="335"/>
      <c r="T458" s="335"/>
      <c r="U458" s="302"/>
      <c r="V458" s="302"/>
      <c r="W458" s="302"/>
      <c r="X458" s="302"/>
      <c r="Y458" s="302"/>
      <c r="Z458" s="302"/>
      <c r="AA458" s="302"/>
      <c r="AB458" s="302"/>
      <c r="AC458" s="302"/>
      <c r="AD458" s="302"/>
      <c r="AE458" s="302"/>
      <c r="AF458" s="302"/>
      <c r="AG458" s="302"/>
    </row>
    <row r="459" spans="1:33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335"/>
      <c r="S459" s="335"/>
      <c r="T459" s="335"/>
      <c r="U459" s="302"/>
      <c r="V459" s="302"/>
      <c r="W459" s="302"/>
      <c r="X459" s="302"/>
      <c r="Y459" s="302"/>
      <c r="Z459" s="302"/>
      <c r="AA459" s="302"/>
      <c r="AB459" s="302"/>
      <c r="AC459" s="302"/>
      <c r="AD459" s="302"/>
      <c r="AE459" s="302"/>
      <c r="AF459" s="302"/>
      <c r="AG459" s="302"/>
    </row>
    <row r="460" spans="1:33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335"/>
      <c r="S460" s="335"/>
      <c r="T460" s="335"/>
      <c r="U460" s="302"/>
      <c r="V460" s="302"/>
      <c r="W460" s="302"/>
      <c r="X460" s="302"/>
      <c r="Y460" s="302"/>
      <c r="Z460" s="302"/>
      <c r="AA460" s="302"/>
      <c r="AB460" s="302"/>
      <c r="AC460" s="302"/>
      <c r="AD460" s="302"/>
      <c r="AE460" s="302"/>
      <c r="AF460" s="302"/>
      <c r="AG460" s="302"/>
    </row>
    <row r="461" spans="1:33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335"/>
      <c r="S461" s="335"/>
      <c r="T461" s="335"/>
      <c r="U461" s="302"/>
      <c r="V461" s="302"/>
      <c r="W461" s="302"/>
      <c r="X461" s="302"/>
      <c r="Y461" s="302"/>
      <c r="Z461" s="302"/>
      <c r="AA461" s="302"/>
      <c r="AB461" s="302"/>
      <c r="AC461" s="302"/>
      <c r="AD461" s="302"/>
      <c r="AE461" s="302"/>
      <c r="AF461" s="302"/>
      <c r="AG461" s="302"/>
    </row>
    <row r="462" spans="1:33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335"/>
      <c r="S462" s="335"/>
      <c r="T462" s="335"/>
      <c r="U462" s="302"/>
      <c r="V462" s="302"/>
      <c r="W462" s="302"/>
      <c r="X462" s="302"/>
      <c r="Y462" s="302"/>
      <c r="Z462" s="302"/>
      <c r="AA462" s="302"/>
      <c r="AB462" s="302"/>
      <c r="AC462" s="302"/>
      <c r="AD462" s="302"/>
      <c r="AE462" s="302"/>
      <c r="AF462" s="302"/>
      <c r="AG462" s="302"/>
    </row>
    <row r="463" spans="1:33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335"/>
      <c r="S463" s="335"/>
      <c r="T463" s="335"/>
      <c r="U463" s="302"/>
      <c r="V463" s="302"/>
      <c r="W463" s="302"/>
      <c r="X463" s="302"/>
      <c r="Y463" s="302"/>
      <c r="Z463" s="302"/>
      <c r="AA463" s="302"/>
      <c r="AB463" s="302"/>
      <c r="AC463" s="302"/>
      <c r="AD463" s="302"/>
      <c r="AE463" s="302"/>
      <c r="AF463" s="302"/>
      <c r="AG463" s="302"/>
    </row>
    <row r="464" spans="1:33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335"/>
      <c r="S464" s="335"/>
      <c r="T464" s="335"/>
      <c r="U464" s="302"/>
      <c r="V464" s="302"/>
      <c r="W464" s="302"/>
      <c r="X464" s="302"/>
      <c r="Y464" s="302"/>
      <c r="Z464" s="302"/>
      <c r="AA464" s="302"/>
      <c r="AB464" s="302"/>
      <c r="AC464" s="302"/>
      <c r="AD464" s="302"/>
      <c r="AE464" s="302"/>
      <c r="AF464" s="302"/>
      <c r="AG464" s="302"/>
    </row>
    <row r="465" spans="1:33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335"/>
      <c r="S465" s="335"/>
      <c r="T465" s="335"/>
      <c r="U465" s="302"/>
      <c r="V465" s="302"/>
      <c r="W465" s="302"/>
      <c r="X465" s="302"/>
      <c r="Y465" s="302"/>
      <c r="Z465" s="302"/>
      <c r="AA465" s="302"/>
      <c r="AB465" s="302"/>
      <c r="AC465" s="302"/>
      <c r="AD465" s="302"/>
      <c r="AE465" s="302"/>
      <c r="AF465" s="302"/>
      <c r="AG465" s="302"/>
    </row>
    <row r="466" spans="1:33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335"/>
      <c r="S466" s="335"/>
      <c r="T466" s="335"/>
      <c r="U466" s="302"/>
      <c r="V466" s="302"/>
      <c r="W466" s="302"/>
      <c r="X466" s="302"/>
      <c r="Y466" s="302"/>
      <c r="Z466" s="302"/>
      <c r="AA466" s="302"/>
      <c r="AB466" s="302"/>
      <c r="AC466" s="302"/>
      <c r="AD466" s="302"/>
      <c r="AE466" s="302"/>
      <c r="AF466" s="302"/>
      <c r="AG466" s="302"/>
    </row>
    <row r="467" spans="1:33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335"/>
      <c r="S467" s="335"/>
      <c r="T467" s="335"/>
      <c r="U467" s="302"/>
      <c r="V467" s="302"/>
      <c r="W467" s="302"/>
      <c r="X467" s="302"/>
      <c r="Y467" s="302"/>
      <c r="Z467" s="302"/>
      <c r="AA467" s="302"/>
      <c r="AB467" s="302"/>
      <c r="AC467" s="302"/>
      <c r="AD467" s="302"/>
      <c r="AE467" s="302"/>
      <c r="AF467" s="302"/>
      <c r="AG467" s="302"/>
    </row>
    <row r="468" spans="1:33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335"/>
      <c r="S468" s="335"/>
      <c r="T468" s="335"/>
      <c r="U468" s="302"/>
      <c r="V468" s="302"/>
      <c r="W468" s="302"/>
      <c r="X468" s="302"/>
      <c r="Y468" s="302"/>
      <c r="Z468" s="302"/>
      <c r="AA468" s="302"/>
      <c r="AB468" s="302"/>
      <c r="AC468" s="302"/>
      <c r="AD468" s="302"/>
      <c r="AE468" s="302"/>
      <c r="AF468" s="302"/>
      <c r="AG468" s="302"/>
    </row>
    <row r="469" spans="1:33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335"/>
      <c r="S469" s="335"/>
      <c r="T469" s="335"/>
      <c r="U469" s="302"/>
      <c r="V469" s="302"/>
      <c r="W469" s="302"/>
      <c r="X469" s="302"/>
      <c r="Y469" s="302"/>
      <c r="Z469" s="302"/>
      <c r="AA469" s="302"/>
      <c r="AB469" s="302"/>
      <c r="AC469" s="302"/>
      <c r="AD469" s="302"/>
      <c r="AE469" s="302"/>
      <c r="AF469" s="302"/>
      <c r="AG469" s="302"/>
    </row>
    <row r="470" spans="1:33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335"/>
      <c r="S470" s="335"/>
      <c r="T470" s="335"/>
      <c r="U470" s="302"/>
      <c r="V470" s="302"/>
      <c r="W470" s="302"/>
      <c r="X470" s="302"/>
      <c r="Y470" s="302"/>
      <c r="Z470" s="302"/>
      <c r="AA470" s="302"/>
      <c r="AB470" s="302"/>
      <c r="AC470" s="302"/>
      <c r="AD470" s="302"/>
      <c r="AE470" s="302"/>
      <c r="AF470" s="302"/>
      <c r="AG470" s="302"/>
    </row>
    <row r="471" spans="1:33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335"/>
      <c r="S471" s="335"/>
      <c r="T471" s="335"/>
      <c r="U471" s="302"/>
      <c r="V471" s="302"/>
      <c r="W471" s="302"/>
      <c r="X471" s="302"/>
      <c r="Y471" s="302"/>
      <c r="Z471" s="302"/>
      <c r="AA471" s="302"/>
      <c r="AB471" s="302"/>
      <c r="AC471" s="302"/>
      <c r="AD471" s="302"/>
      <c r="AE471" s="302"/>
      <c r="AF471" s="302"/>
      <c r="AG471" s="302"/>
    </row>
    <row r="472" spans="1:33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335"/>
      <c r="S472" s="335"/>
      <c r="T472" s="335"/>
      <c r="U472" s="302"/>
      <c r="V472" s="302"/>
      <c r="W472" s="302"/>
      <c r="X472" s="302"/>
      <c r="Y472" s="302"/>
      <c r="Z472" s="302"/>
      <c r="AA472" s="302"/>
      <c r="AB472" s="302"/>
      <c r="AC472" s="302"/>
      <c r="AD472" s="302"/>
      <c r="AE472" s="302"/>
      <c r="AF472" s="302"/>
      <c r="AG472" s="302"/>
    </row>
    <row r="473" spans="1:33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335"/>
      <c r="S473" s="335"/>
      <c r="T473" s="335"/>
      <c r="U473" s="302"/>
      <c r="V473" s="302"/>
      <c r="W473" s="302"/>
      <c r="X473" s="302"/>
      <c r="Y473" s="302"/>
      <c r="Z473" s="302"/>
      <c r="AA473" s="302"/>
      <c r="AB473" s="302"/>
      <c r="AC473" s="302"/>
      <c r="AD473" s="302"/>
      <c r="AE473" s="302"/>
      <c r="AF473" s="302"/>
      <c r="AG473" s="302"/>
    </row>
    <row r="474" spans="1:33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335"/>
      <c r="S474" s="335"/>
      <c r="T474" s="335"/>
      <c r="U474" s="302"/>
      <c r="V474" s="302"/>
      <c r="W474" s="302"/>
      <c r="X474" s="302"/>
      <c r="Y474" s="302"/>
      <c r="Z474" s="302"/>
      <c r="AA474" s="302"/>
      <c r="AB474" s="302"/>
      <c r="AC474" s="302"/>
      <c r="AD474" s="302"/>
      <c r="AE474" s="302"/>
      <c r="AF474" s="302"/>
      <c r="AG474" s="302"/>
    </row>
    <row r="475" spans="1:33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335"/>
      <c r="S475" s="335"/>
      <c r="T475" s="335"/>
      <c r="U475" s="302"/>
      <c r="V475" s="302"/>
      <c r="W475" s="302"/>
      <c r="X475" s="302"/>
      <c r="Y475" s="302"/>
      <c r="Z475" s="302"/>
      <c r="AA475" s="302"/>
      <c r="AB475" s="302"/>
      <c r="AC475" s="302"/>
      <c r="AD475" s="302"/>
      <c r="AE475" s="302"/>
      <c r="AF475" s="302"/>
      <c r="AG475" s="302"/>
    </row>
    <row r="476" spans="1:33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335"/>
      <c r="S476" s="335"/>
      <c r="T476" s="335"/>
      <c r="U476" s="302"/>
      <c r="V476" s="302"/>
      <c r="W476" s="302"/>
      <c r="X476" s="302"/>
      <c r="Y476" s="302"/>
      <c r="Z476" s="302"/>
      <c r="AA476" s="302"/>
      <c r="AB476" s="302"/>
      <c r="AC476" s="302"/>
      <c r="AD476" s="302"/>
      <c r="AE476" s="302"/>
      <c r="AF476" s="302"/>
      <c r="AG476" s="302"/>
    </row>
    <row r="477" spans="1:33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335"/>
      <c r="S477" s="335"/>
      <c r="T477" s="335"/>
      <c r="U477" s="302"/>
      <c r="V477" s="302"/>
      <c r="W477" s="302"/>
      <c r="X477" s="302"/>
      <c r="Y477" s="302"/>
      <c r="Z477" s="302"/>
      <c r="AA477" s="302"/>
      <c r="AB477" s="302"/>
      <c r="AC477" s="302"/>
      <c r="AD477" s="302"/>
      <c r="AE477" s="302"/>
      <c r="AF477" s="302"/>
      <c r="AG477" s="302"/>
    </row>
    <row r="478" spans="1:33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335"/>
      <c r="S478" s="335"/>
      <c r="T478" s="335"/>
      <c r="U478" s="302"/>
      <c r="V478" s="302"/>
      <c r="W478" s="302"/>
      <c r="X478" s="302"/>
      <c r="Y478" s="302"/>
      <c r="Z478" s="302"/>
      <c r="AA478" s="302"/>
      <c r="AB478" s="302"/>
      <c r="AC478" s="302"/>
      <c r="AD478" s="302"/>
      <c r="AE478" s="302"/>
      <c r="AF478" s="302"/>
      <c r="AG478" s="302"/>
    </row>
    <row r="479" spans="1:33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335"/>
      <c r="S479" s="335"/>
      <c r="T479" s="335"/>
      <c r="U479" s="302"/>
      <c r="V479" s="302"/>
      <c r="W479" s="302"/>
      <c r="X479" s="302"/>
      <c r="Y479" s="302"/>
      <c r="Z479" s="302"/>
      <c r="AA479" s="302"/>
      <c r="AB479" s="302"/>
      <c r="AC479" s="302"/>
      <c r="AD479" s="302"/>
      <c r="AE479" s="302"/>
      <c r="AF479" s="302"/>
      <c r="AG479" s="302"/>
    </row>
    <row r="480" spans="1:33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335"/>
      <c r="S480" s="335"/>
      <c r="T480" s="335"/>
      <c r="U480" s="302"/>
      <c r="V480" s="302"/>
      <c r="W480" s="302"/>
      <c r="X480" s="302"/>
      <c r="Y480" s="302"/>
      <c r="Z480" s="302"/>
      <c r="AA480" s="302"/>
      <c r="AB480" s="302"/>
      <c r="AC480" s="302"/>
      <c r="AD480" s="302"/>
      <c r="AE480" s="302"/>
      <c r="AF480" s="302"/>
      <c r="AG480" s="302"/>
    </row>
    <row r="481" spans="1:33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335"/>
      <c r="S481" s="335"/>
      <c r="T481" s="335"/>
      <c r="U481" s="302"/>
      <c r="V481" s="302"/>
      <c r="W481" s="302"/>
      <c r="X481" s="302"/>
      <c r="Y481" s="302"/>
      <c r="Z481" s="302"/>
      <c r="AA481" s="302"/>
      <c r="AB481" s="302"/>
      <c r="AC481" s="302"/>
      <c r="AD481" s="302"/>
      <c r="AE481" s="302"/>
      <c r="AF481" s="302"/>
      <c r="AG481" s="302"/>
    </row>
    <row r="482" spans="1:33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335"/>
      <c r="S482" s="335"/>
      <c r="T482" s="335"/>
      <c r="U482" s="302"/>
      <c r="V482" s="302"/>
      <c r="W482" s="302"/>
      <c r="X482" s="302"/>
      <c r="Y482" s="302"/>
      <c r="Z482" s="302"/>
      <c r="AA482" s="302"/>
      <c r="AB482" s="302"/>
      <c r="AC482" s="302"/>
      <c r="AD482" s="302"/>
      <c r="AE482" s="302"/>
      <c r="AF482" s="302"/>
      <c r="AG482" s="302"/>
    </row>
    <row r="483" spans="1:33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335"/>
      <c r="S483" s="335"/>
      <c r="T483" s="335"/>
      <c r="U483" s="302"/>
      <c r="V483" s="302"/>
      <c r="W483" s="302"/>
      <c r="X483" s="302"/>
      <c r="Y483" s="302"/>
      <c r="Z483" s="302"/>
      <c r="AA483" s="302"/>
      <c r="AB483" s="302"/>
      <c r="AC483" s="302"/>
      <c r="AD483" s="302"/>
      <c r="AE483" s="302"/>
      <c r="AF483" s="302"/>
      <c r="AG483" s="302"/>
    </row>
    <row r="484" spans="1:33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335"/>
      <c r="S484" s="335"/>
      <c r="T484" s="335"/>
      <c r="U484" s="302"/>
      <c r="V484" s="302"/>
      <c r="W484" s="302"/>
      <c r="X484" s="302"/>
      <c r="Y484" s="302"/>
      <c r="Z484" s="302"/>
      <c r="AA484" s="302"/>
      <c r="AB484" s="302"/>
      <c r="AC484" s="302"/>
      <c r="AD484" s="302"/>
      <c r="AE484" s="302"/>
      <c r="AF484" s="302"/>
      <c r="AG484" s="302"/>
    </row>
    <row r="485" spans="1:33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335"/>
      <c r="S485" s="335"/>
      <c r="T485" s="335"/>
      <c r="U485" s="302"/>
      <c r="V485" s="302"/>
      <c r="W485" s="302"/>
      <c r="X485" s="302"/>
      <c r="Y485" s="302"/>
      <c r="Z485" s="302"/>
      <c r="AA485" s="302"/>
      <c r="AB485" s="302"/>
      <c r="AC485" s="302"/>
      <c r="AD485" s="302"/>
      <c r="AE485" s="302"/>
      <c r="AF485" s="302"/>
      <c r="AG485" s="302"/>
    </row>
    <row r="486" spans="1:33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335"/>
      <c r="S486" s="335"/>
      <c r="T486" s="335"/>
      <c r="U486" s="302"/>
      <c r="V486" s="302"/>
      <c r="W486" s="302"/>
      <c r="X486" s="302"/>
      <c r="Y486" s="302"/>
      <c r="Z486" s="302"/>
      <c r="AA486" s="302"/>
      <c r="AB486" s="302"/>
      <c r="AC486" s="302"/>
      <c r="AD486" s="302"/>
      <c r="AE486" s="302"/>
      <c r="AF486" s="302"/>
      <c r="AG486" s="302"/>
    </row>
    <row r="487" spans="1:33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335"/>
      <c r="S487" s="335"/>
      <c r="T487" s="335"/>
      <c r="U487" s="302"/>
      <c r="V487" s="302"/>
      <c r="W487" s="302"/>
      <c r="X487" s="302"/>
      <c r="Y487" s="302"/>
      <c r="Z487" s="302"/>
      <c r="AA487" s="302"/>
      <c r="AB487" s="302"/>
      <c r="AC487" s="302"/>
      <c r="AD487" s="302"/>
      <c r="AE487" s="302"/>
      <c r="AF487" s="302"/>
      <c r="AG487" s="302"/>
    </row>
    <row r="488" spans="1:33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335"/>
      <c r="S488" s="335"/>
      <c r="T488" s="335"/>
      <c r="U488" s="302"/>
      <c r="V488" s="302"/>
      <c r="W488" s="302"/>
      <c r="X488" s="302"/>
      <c r="Y488" s="302"/>
      <c r="Z488" s="302"/>
      <c r="AA488" s="302"/>
      <c r="AB488" s="302"/>
      <c r="AC488" s="302"/>
      <c r="AD488" s="302"/>
      <c r="AE488" s="302"/>
      <c r="AF488" s="302"/>
      <c r="AG488" s="302"/>
    </row>
    <row r="489" spans="1:33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335"/>
      <c r="S489" s="335"/>
      <c r="T489" s="335"/>
      <c r="U489" s="302"/>
      <c r="V489" s="302"/>
      <c r="W489" s="302"/>
      <c r="X489" s="302"/>
      <c r="Y489" s="302"/>
      <c r="Z489" s="302"/>
      <c r="AA489" s="302"/>
      <c r="AB489" s="302"/>
      <c r="AC489" s="302"/>
      <c r="AD489" s="302"/>
      <c r="AE489" s="302"/>
      <c r="AF489" s="302"/>
      <c r="AG489" s="302"/>
    </row>
    <row r="490" spans="1:33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335"/>
      <c r="S490" s="335"/>
      <c r="T490" s="335"/>
      <c r="U490" s="302"/>
      <c r="V490" s="302"/>
      <c r="W490" s="302"/>
      <c r="X490" s="302"/>
      <c r="Y490" s="302"/>
      <c r="Z490" s="302"/>
      <c r="AA490" s="302"/>
      <c r="AB490" s="302"/>
      <c r="AC490" s="302"/>
      <c r="AD490" s="302"/>
      <c r="AE490" s="302"/>
      <c r="AF490" s="302"/>
      <c r="AG490" s="302"/>
    </row>
    <row r="491" spans="1:33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335"/>
      <c r="S491" s="335"/>
      <c r="T491" s="335"/>
      <c r="U491" s="302"/>
      <c r="V491" s="302"/>
      <c r="W491" s="302"/>
      <c r="X491" s="302"/>
      <c r="Y491" s="302"/>
      <c r="Z491" s="302"/>
      <c r="AA491" s="302"/>
      <c r="AB491" s="302"/>
      <c r="AC491" s="302"/>
      <c r="AD491" s="302"/>
      <c r="AE491" s="302"/>
      <c r="AF491" s="302"/>
      <c r="AG491" s="302"/>
    </row>
    <row r="492" spans="1:33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335"/>
      <c r="S492" s="335"/>
      <c r="T492" s="335"/>
      <c r="U492" s="302"/>
      <c r="V492" s="302"/>
      <c r="W492" s="302"/>
      <c r="X492" s="302"/>
      <c r="Y492" s="302"/>
      <c r="Z492" s="302"/>
      <c r="AA492" s="302"/>
      <c r="AB492" s="302"/>
      <c r="AC492" s="302"/>
      <c r="AD492" s="302"/>
      <c r="AE492" s="302"/>
      <c r="AF492" s="302"/>
      <c r="AG492" s="302"/>
    </row>
    <row r="493" spans="1:33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335"/>
      <c r="S493" s="335"/>
      <c r="T493" s="335"/>
      <c r="U493" s="302"/>
      <c r="V493" s="302"/>
      <c r="W493" s="302"/>
      <c r="X493" s="302"/>
      <c r="Y493" s="302"/>
      <c r="Z493" s="302"/>
      <c r="AA493" s="302"/>
      <c r="AB493" s="302"/>
      <c r="AC493" s="302"/>
      <c r="AD493" s="302"/>
      <c r="AE493" s="302"/>
      <c r="AF493" s="302"/>
      <c r="AG493" s="302"/>
    </row>
    <row r="494" spans="1:33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335"/>
      <c r="S494" s="335"/>
      <c r="T494" s="335"/>
      <c r="U494" s="302"/>
      <c r="V494" s="302"/>
      <c r="W494" s="302"/>
      <c r="X494" s="302"/>
      <c r="Y494" s="302"/>
      <c r="Z494" s="302"/>
      <c r="AA494" s="302"/>
      <c r="AB494" s="302"/>
      <c r="AC494" s="302"/>
      <c r="AD494" s="302"/>
      <c r="AE494" s="302"/>
      <c r="AF494" s="302"/>
      <c r="AG494" s="302"/>
    </row>
    <row r="495" spans="1:33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335"/>
      <c r="S495" s="335"/>
      <c r="T495" s="335"/>
      <c r="U495" s="302"/>
      <c r="V495" s="302"/>
      <c r="W495" s="302"/>
      <c r="X495" s="302"/>
      <c r="Y495" s="302"/>
      <c r="Z495" s="302"/>
      <c r="AA495" s="302"/>
      <c r="AB495" s="302"/>
      <c r="AC495" s="302"/>
      <c r="AD495" s="302"/>
      <c r="AE495" s="302"/>
      <c r="AF495" s="302"/>
      <c r="AG495" s="302"/>
    </row>
    <row r="496" spans="1:33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335"/>
      <c r="S496" s="335"/>
      <c r="T496" s="335"/>
      <c r="U496" s="302"/>
      <c r="V496" s="302"/>
      <c r="W496" s="302"/>
      <c r="X496" s="302"/>
      <c r="Y496" s="302"/>
      <c r="Z496" s="302"/>
      <c r="AA496" s="302"/>
      <c r="AB496" s="302"/>
      <c r="AC496" s="302"/>
      <c r="AD496" s="302"/>
      <c r="AE496" s="302"/>
      <c r="AF496" s="302"/>
      <c r="AG496" s="302"/>
    </row>
    <row r="497" spans="1:33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335"/>
      <c r="S497" s="335"/>
      <c r="T497" s="335"/>
      <c r="U497" s="302"/>
      <c r="V497" s="302"/>
      <c r="W497" s="302"/>
      <c r="X497" s="302"/>
      <c r="Y497" s="302"/>
      <c r="Z497" s="302"/>
      <c r="AA497" s="302"/>
      <c r="AB497" s="302"/>
      <c r="AC497" s="302"/>
      <c r="AD497" s="302"/>
      <c r="AE497" s="302"/>
      <c r="AF497" s="302"/>
      <c r="AG497" s="302"/>
    </row>
    <row r="498" spans="1:33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335"/>
      <c r="S498" s="335"/>
      <c r="T498" s="335"/>
      <c r="U498" s="302"/>
      <c r="V498" s="302"/>
      <c r="W498" s="302"/>
      <c r="X498" s="302"/>
      <c r="Y498" s="302"/>
      <c r="Z498" s="302"/>
      <c r="AA498" s="302"/>
      <c r="AB498" s="302"/>
      <c r="AC498" s="302"/>
      <c r="AD498" s="302"/>
      <c r="AE498" s="302"/>
      <c r="AF498" s="302"/>
      <c r="AG498" s="302"/>
    </row>
    <row r="499" spans="1:33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335"/>
      <c r="S499" s="335"/>
      <c r="T499" s="335"/>
      <c r="U499" s="302"/>
      <c r="V499" s="302"/>
      <c r="W499" s="302"/>
      <c r="X499" s="302"/>
      <c r="Y499" s="302"/>
      <c r="Z499" s="302"/>
      <c r="AA499" s="302"/>
      <c r="AB499" s="302"/>
      <c r="AC499" s="302"/>
      <c r="AD499" s="302"/>
      <c r="AE499" s="302"/>
      <c r="AF499" s="302"/>
      <c r="AG499" s="302"/>
    </row>
    <row r="500" spans="1:33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335"/>
      <c r="S500" s="335"/>
      <c r="T500" s="335"/>
      <c r="U500" s="302"/>
      <c r="V500" s="302"/>
      <c r="W500" s="302"/>
      <c r="X500" s="302"/>
      <c r="Y500" s="302"/>
      <c r="Z500" s="302"/>
      <c r="AA500" s="302"/>
      <c r="AB500" s="302"/>
      <c r="AC500" s="302"/>
      <c r="AD500" s="302"/>
      <c r="AE500" s="302"/>
      <c r="AF500" s="302"/>
      <c r="AG500" s="302"/>
    </row>
    <row r="501" spans="1:33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335"/>
      <c r="S501" s="335"/>
      <c r="T501" s="335"/>
      <c r="U501" s="302"/>
      <c r="V501" s="302"/>
      <c r="W501" s="302"/>
      <c r="X501" s="302"/>
      <c r="Y501" s="302"/>
      <c r="Z501" s="302"/>
      <c r="AA501" s="302"/>
      <c r="AB501" s="302"/>
      <c r="AC501" s="302"/>
      <c r="AD501" s="302"/>
      <c r="AE501" s="302"/>
      <c r="AF501" s="302"/>
      <c r="AG501" s="302"/>
    </row>
    <row r="502" spans="1:33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335"/>
      <c r="S502" s="335"/>
      <c r="T502" s="335"/>
      <c r="U502" s="302"/>
      <c r="V502" s="302"/>
      <c r="W502" s="302"/>
      <c r="X502" s="302"/>
      <c r="Y502" s="302"/>
      <c r="Z502" s="302"/>
      <c r="AA502" s="302"/>
      <c r="AB502" s="302"/>
      <c r="AC502" s="302"/>
      <c r="AD502" s="302"/>
      <c r="AE502" s="302"/>
      <c r="AF502" s="302"/>
      <c r="AG502" s="302"/>
    </row>
    <row r="503" spans="1:33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335"/>
      <c r="S503" s="335"/>
      <c r="T503" s="335"/>
      <c r="U503" s="302"/>
      <c r="V503" s="302"/>
      <c r="W503" s="302"/>
      <c r="X503" s="302"/>
      <c r="Y503" s="302"/>
      <c r="Z503" s="302"/>
      <c r="AA503" s="302"/>
      <c r="AB503" s="302"/>
      <c r="AC503" s="302"/>
      <c r="AD503" s="302"/>
      <c r="AE503" s="302"/>
      <c r="AF503" s="302"/>
      <c r="AG503" s="302"/>
    </row>
    <row r="504" spans="1:33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335"/>
      <c r="S504" s="335"/>
      <c r="T504" s="335"/>
      <c r="U504" s="302"/>
      <c r="V504" s="302"/>
      <c r="W504" s="302"/>
      <c r="X504" s="302"/>
      <c r="Y504" s="302"/>
      <c r="Z504" s="302"/>
      <c r="AA504" s="302"/>
      <c r="AB504" s="302"/>
      <c r="AC504" s="302"/>
      <c r="AD504" s="302"/>
      <c r="AE504" s="302"/>
      <c r="AF504" s="302"/>
      <c r="AG504" s="302"/>
    </row>
    <row r="505" spans="1:33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335"/>
      <c r="S505" s="335"/>
      <c r="T505" s="335"/>
      <c r="U505" s="302"/>
      <c r="V505" s="302"/>
      <c r="W505" s="302"/>
      <c r="X505" s="302"/>
      <c r="Y505" s="302"/>
      <c r="Z505" s="302"/>
      <c r="AA505" s="302"/>
      <c r="AB505" s="302"/>
      <c r="AC505" s="302"/>
      <c r="AD505" s="302"/>
      <c r="AE505" s="302"/>
      <c r="AF505" s="302"/>
      <c r="AG505" s="302"/>
    </row>
    <row r="506" spans="1:33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335"/>
      <c r="S506" s="335"/>
      <c r="T506" s="335"/>
      <c r="U506" s="302"/>
      <c r="V506" s="302"/>
      <c r="W506" s="302"/>
      <c r="X506" s="302"/>
      <c r="Y506" s="302"/>
      <c r="Z506" s="302"/>
      <c r="AA506" s="302"/>
      <c r="AB506" s="302"/>
      <c r="AC506" s="302"/>
      <c r="AD506" s="302"/>
      <c r="AE506" s="302"/>
      <c r="AF506" s="302"/>
      <c r="AG506" s="302"/>
    </row>
    <row r="507" spans="1:33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335"/>
      <c r="S507" s="335"/>
      <c r="T507" s="335"/>
      <c r="U507" s="302"/>
      <c r="V507" s="302"/>
      <c r="W507" s="302"/>
      <c r="X507" s="302"/>
      <c r="Y507" s="302"/>
      <c r="Z507" s="302"/>
      <c r="AA507" s="302"/>
      <c r="AB507" s="302"/>
      <c r="AC507" s="302"/>
      <c r="AD507" s="302"/>
      <c r="AE507" s="302"/>
      <c r="AF507" s="302"/>
      <c r="AG507" s="302"/>
    </row>
    <row r="508" spans="1:33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335"/>
      <c r="S508" s="335"/>
      <c r="T508" s="335"/>
      <c r="U508" s="302"/>
      <c r="V508" s="302"/>
      <c r="W508" s="302"/>
      <c r="X508" s="302"/>
      <c r="Y508" s="302"/>
      <c r="Z508" s="302"/>
      <c r="AA508" s="302"/>
      <c r="AB508" s="302"/>
      <c r="AC508" s="302"/>
      <c r="AD508" s="302"/>
      <c r="AE508" s="302"/>
      <c r="AF508" s="302"/>
      <c r="AG508" s="302"/>
    </row>
    <row r="509" spans="1:33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335"/>
      <c r="S509" s="335"/>
      <c r="T509" s="335"/>
      <c r="U509" s="302"/>
      <c r="V509" s="302"/>
      <c r="W509" s="302"/>
      <c r="X509" s="302"/>
      <c r="Y509" s="302"/>
      <c r="Z509" s="302"/>
      <c r="AA509" s="302"/>
      <c r="AB509" s="302"/>
      <c r="AC509" s="302"/>
      <c r="AD509" s="302"/>
      <c r="AE509" s="302"/>
      <c r="AF509" s="302"/>
      <c r="AG509" s="302"/>
    </row>
    <row r="510" spans="1:33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335"/>
      <c r="S510" s="335"/>
      <c r="T510" s="335"/>
      <c r="U510" s="302"/>
      <c r="V510" s="302"/>
      <c r="W510" s="302"/>
      <c r="X510" s="302"/>
      <c r="Y510" s="302"/>
      <c r="Z510" s="302"/>
      <c r="AA510" s="302"/>
      <c r="AB510" s="302"/>
      <c r="AC510" s="302"/>
      <c r="AD510" s="302"/>
      <c r="AE510" s="302"/>
      <c r="AF510" s="302"/>
      <c r="AG510" s="302"/>
    </row>
    <row r="511" spans="1:33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335"/>
      <c r="S511" s="335"/>
      <c r="T511" s="335"/>
      <c r="U511" s="302"/>
      <c r="V511" s="302"/>
      <c r="W511" s="302"/>
      <c r="X511" s="302"/>
      <c r="Y511" s="302"/>
      <c r="Z511" s="302"/>
      <c r="AA511" s="302"/>
      <c r="AB511" s="302"/>
      <c r="AC511" s="302"/>
      <c r="AD511" s="302"/>
      <c r="AE511" s="302"/>
      <c r="AF511" s="302"/>
      <c r="AG511" s="302"/>
    </row>
    <row r="512" spans="1:33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335"/>
      <c r="S512" s="335"/>
      <c r="T512" s="335"/>
      <c r="U512" s="302"/>
      <c r="V512" s="302"/>
      <c r="W512" s="302"/>
      <c r="X512" s="302"/>
      <c r="Y512" s="302"/>
      <c r="Z512" s="302"/>
      <c r="AA512" s="302"/>
      <c r="AB512" s="302"/>
      <c r="AC512" s="302"/>
      <c r="AD512" s="302"/>
      <c r="AE512" s="302"/>
      <c r="AF512" s="302"/>
      <c r="AG512" s="302"/>
    </row>
    <row r="513" spans="1:33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335"/>
      <c r="S513" s="335"/>
      <c r="T513" s="335"/>
      <c r="U513" s="302"/>
      <c r="V513" s="302"/>
      <c r="W513" s="302"/>
      <c r="X513" s="302"/>
      <c r="Y513" s="302"/>
      <c r="Z513" s="302"/>
      <c r="AA513" s="302"/>
      <c r="AB513" s="302"/>
      <c r="AC513" s="302"/>
      <c r="AD513" s="302"/>
      <c r="AE513" s="302"/>
      <c r="AF513" s="302"/>
      <c r="AG513" s="302"/>
    </row>
    <row r="514" spans="1:33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335"/>
      <c r="S514" s="335"/>
      <c r="T514" s="335"/>
      <c r="U514" s="302"/>
      <c r="V514" s="302"/>
      <c r="W514" s="302"/>
      <c r="X514" s="302"/>
      <c r="Y514" s="302"/>
      <c r="Z514" s="302"/>
      <c r="AA514" s="302"/>
      <c r="AB514" s="302"/>
      <c r="AC514" s="302"/>
      <c r="AD514" s="302"/>
      <c r="AE514" s="302"/>
      <c r="AF514" s="302"/>
      <c r="AG514" s="302"/>
    </row>
    <row r="515" spans="1:33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335"/>
      <c r="S515" s="335"/>
      <c r="T515" s="335"/>
      <c r="U515" s="302"/>
      <c r="V515" s="302"/>
      <c r="W515" s="302"/>
      <c r="X515" s="302"/>
      <c r="Y515" s="302"/>
      <c r="Z515" s="302"/>
      <c r="AA515" s="302"/>
      <c r="AB515" s="302"/>
      <c r="AC515" s="302"/>
      <c r="AD515" s="302"/>
      <c r="AE515" s="302"/>
      <c r="AF515" s="302"/>
      <c r="AG515" s="302"/>
    </row>
    <row r="516" spans="1:33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335"/>
      <c r="S516" s="335"/>
      <c r="T516" s="335"/>
      <c r="U516" s="302"/>
      <c r="V516" s="302"/>
      <c r="W516" s="302"/>
      <c r="X516" s="302"/>
      <c r="Y516" s="302"/>
      <c r="Z516" s="302"/>
      <c r="AA516" s="302"/>
      <c r="AB516" s="302"/>
      <c r="AC516" s="302"/>
      <c r="AD516" s="302"/>
      <c r="AE516" s="302"/>
      <c r="AF516" s="302"/>
      <c r="AG516" s="302"/>
    </row>
    <row r="517" spans="1:33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335"/>
      <c r="S517" s="335"/>
      <c r="T517" s="335"/>
      <c r="U517" s="302"/>
      <c r="V517" s="302"/>
      <c r="W517" s="302"/>
      <c r="X517" s="302"/>
      <c r="Y517" s="302"/>
      <c r="Z517" s="302"/>
      <c r="AA517" s="302"/>
      <c r="AB517" s="302"/>
      <c r="AC517" s="302"/>
      <c r="AD517" s="302"/>
      <c r="AE517" s="302"/>
      <c r="AF517" s="302"/>
      <c r="AG517" s="302"/>
    </row>
    <row r="518" spans="1:33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335"/>
      <c r="S518" s="335"/>
      <c r="T518" s="335"/>
      <c r="U518" s="302"/>
      <c r="V518" s="302"/>
      <c r="W518" s="302"/>
      <c r="X518" s="302"/>
      <c r="Y518" s="302"/>
      <c r="Z518" s="302"/>
      <c r="AA518" s="302"/>
      <c r="AB518" s="302"/>
      <c r="AC518" s="302"/>
      <c r="AD518" s="302"/>
      <c r="AE518" s="302"/>
      <c r="AF518" s="302"/>
      <c r="AG518" s="302"/>
    </row>
    <row r="519" spans="1:33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335"/>
      <c r="S519" s="335"/>
      <c r="T519" s="335"/>
      <c r="U519" s="302"/>
      <c r="V519" s="302"/>
      <c r="W519" s="302"/>
      <c r="X519" s="302"/>
      <c r="Y519" s="302"/>
      <c r="Z519" s="302"/>
      <c r="AA519" s="302"/>
      <c r="AB519" s="302"/>
      <c r="AC519" s="302"/>
      <c r="AD519" s="302"/>
      <c r="AE519" s="302"/>
      <c r="AF519" s="302"/>
      <c r="AG519" s="302"/>
    </row>
    <row r="520" spans="1:33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335"/>
      <c r="S520" s="335"/>
      <c r="T520" s="335"/>
      <c r="U520" s="302"/>
      <c r="V520" s="302"/>
      <c r="W520" s="302"/>
      <c r="X520" s="302"/>
      <c r="Y520" s="302"/>
      <c r="Z520" s="302"/>
      <c r="AA520" s="302"/>
      <c r="AB520" s="302"/>
      <c r="AC520" s="302"/>
      <c r="AD520" s="302"/>
      <c r="AE520" s="302"/>
      <c r="AF520" s="302"/>
      <c r="AG520" s="302"/>
    </row>
    <row r="521" spans="1:33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335"/>
      <c r="S521" s="335"/>
      <c r="T521" s="335"/>
      <c r="U521" s="302"/>
      <c r="V521" s="302"/>
      <c r="W521" s="302"/>
      <c r="X521" s="302"/>
      <c r="Y521" s="302"/>
      <c r="Z521" s="302"/>
      <c r="AA521" s="302"/>
      <c r="AB521" s="302"/>
      <c r="AC521" s="302"/>
      <c r="AD521" s="302"/>
      <c r="AE521" s="302"/>
      <c r="AF521" s="302"/>
      <c r="AG521" s="302"/>
    </row>
    <row r="522" spans="1:33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335"/>
      <c r="S522" s="335"/>
      <c r="T522" s="335"/>
      <c r="U522" s="302"/>
      <c r="V522" s="302"/>
      <c r="W522" s="302"/>
      <c r="X522" s="302"/>
      <c r="Y522" s="302"/>
      <c r="Z522" s="302"/>
      <c r="AA522" s="302"/>
      <c r="AB522" s="302"/>
      <c r="AC522" s="302"/>
      <c r="AD522" s="302"/>
      <c r="AE522" s="302"/>
      <c r="AF522" s="302"/>
      <c r="AG522" s="302"/>
    </row>
    <row r="523" spans="1:33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335"/>
      <c r="S523" s="335"/>
      <c r="T523" s="335"/>
      <c r="U523" s="302"/>
      <c r="V523" s="302"/>
      <c r="W523" s="302"/>
      <c r="X523" s="302"/>
      <c r="Y523" s="302"/>
      <c r="Z523" s="302"/>
      <c r="AA523" s="302"/>
      <c r="AB523" s="302"/>
      <c r="AC523" s="302"/>
      <c r="AD523" s="302"/>
      <c r="AE523" s="302"/>
      <c r="AF523" s="302"/>
      <c r="AG523" s="302"/>
    </row>
    <row r="524" spans="1:33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335"/>
      <c r="S524" s="335"/>
      <c r="T524" s="335"/>
      <c r="U524" s="302"/>
      <c r="V524" s="302"/>
      <c r="W524" s="302"/>
      <c r="X524" s="302"/>
      <c r="Y524" s="302"/>
      <c r="Z524" s="302"/>
      <c r="AA524" s="302"/>
      <c r="AB524" s="302"/>
      <c r="AC524" s="302"/>
      <c r="AD524" s="302"/>
      <c r="AE524" s="302"/>
      <c r="AF524" s="302"/>
      <c r="AG524" s="302"/>
    </row>
    <row r="525" spans="1:33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335"/>
      <c r="S525" s="335"/>
      <c r="T525" s="335"/>
      <c r="U525" s="302"/>
      <c r="V525" s="302"/>
      <c r="W525" s="302"/>
      <c r="X525" s="302"/>
      <c r="Y525" s="302"/>
      <c r="Z525" s="302"/>
      <c r="AA525" s="302"/>
      <c r="AB525" s="302"/>
      <c r="AC525" s="302"/>
      <c r="AD525" s="302"/>
      <c r="AE525" s="302"/>
      <c r="AF525" s="302"/>
      <c r="AG525" s="302"/>
    </row>
    <row r="526" spans="1:33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335"/>
      <c r="S526" s="335"/>
      <c r="T526" s="335"/>
      <c r="U526" s="302"/>
      <c r="V526" s="302"/>
      <c r="W526" s="302"/>
      <c r="X526" s="302"/>
      <c r="Y526" s="302"/>
      <c r="Z526" s="302"/>
      <c r="AA526" s="302"/>
      <c r="AB526" s="302"/>
      <c r="AC526" s="302"/>
      <c r="AD526" s="302"/>
      <c r="AE526" s="302"/>
      <c r="AF526" s="302"/>
      <c r="AG526" s="302"/>
    </row>
    <row r="527" spans="1:33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335"/>
      <c r="S527" s="335"/>
      <c r="T527" s="335"/>
      <c r="U527" s="302"/>
      <c r="V527" s="302"/>
      <c r="W527" s="302"/>
      <c r="X527" s="302"/>
      <c r="Y527" s="302"/>
      <c r="Z527" s="302"/>
      <c r="AA527" s="302"/>
      <c r="AB527" s="302"/>
      <c r="AC527" s="302"/>
      <c r="AD527" s="302"/>
      <c r="AE527" s="302"/>
      <c r="AF527" s="302"/>
      <c r="AG527" s="302"/>
    </row>
    <row r="528" spans="1:33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335"/>
      <c r="S528" s="335"/>
      <c r="T528" s="335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</row>
    <row r="529" spans="1:33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335"/>
      <c r="S529" s="335"/>
      <c r="T529" s="335"/>
      <c r="U529" s="302"/>
      <c r="V529" s="302"/>
      <c r="W529" s="302"/>
      <c r="X529" s="302"/>
      <c r="Y529" s="302"/>
      <c r="Z529" s="302"/>
      <c r="AA529" s="302"/>
      <c r="AB529" s="302"/>
      <c r="AC529" s="302"/>
      <c r="AD529" s="302"/>
      <c r="AE529" s="302"/>
      <c r="AF529" s="302"/>
      <c r="AG529" s="302"/>
    </row>
    <row r="530" spans="1:33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335"/>
      <c r="S530" s="335"/>
      <c r="T530" s="335"/>
      <c r="U530" s="302"/>
      <c r="V530" s="302"/>
      <c r="W530" s="302"/>
      <c r="X530" s="302"/>
      <c r="Y530" s="302"/>
      <c r="Z530" s="302"/>
      <c r="AA530" s="302"/>
      <c r="AB530" s="302"/>
      <c r="AC530" s="302"/>
      <c r="AD530" s="302"/>
      <c r="AE530" s="302"/>
      <c r="AF530" s="302"/>
      <c r="AG530" s="302"/>
    </row>
    <row r="531" spans="1:33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335"/>
      <c r="S531" s="335"/>
      <c r="T531" s="335"/>
      <c r="U531" s="302"/>
      <c r="V531" s="302"/>
      <c r="W531" s="302"/>
      <c r="X531" s="302"/>
      <c r="Y531" s="302"/>
      <c r="Z531" s="302"/>
      <c r="AA531" s="302"/>
      <c r="AB531" s="302"/>
      <c r="AC531" s="302"/>
      <c r="AD531" s="302"/>
      <c r="AE531" s="302"/>
      <c r="AF531" s="302"/>
      <c r="AG531" s="302"/>
    </row>
    <row r="532" spans="1:33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335"/>
      <c r="S532" s="335"/>
      <c r="T532" s="335"/>
      <c r="U532" s="302"/>
      <c r="V532" s="302"/>
      <c r="W532" s="302"/>
      <c r="X532" s="302"/>
      <c r="Y532" s="302"/>
      <c r="Z532" s="302"/>
      <c r="AA532" s="302"/>
      <c r="AB532" s="302"/>
      <c r="AC532" s="302"/>
      <c r="AD532" s="302"/>
      <c r="AE532" s="302"/>
      <c r="AF532" s="302"/>
      <c r="AG532" s="302"/>
    </row>
    <row r="533" spans="1:33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335"/>
      <c r="S533" s="335"/>
      <c r="T533" s="335"/>
      <c r="U533" s="302"/>
      <c r="V533" s="302"/>
      <c r="W533" s="302"/>
      <c r="X533" s="302"/>
      <c r="Y533" s="302"/>
      <c r="Z533" s="302"/>
      <c r="AA533" s="302"/>
      <c r="AB533" s="302"/>
      <c r="AC533" s="302"/>
      <c r="AD533" s="302"/>
      <c r="AE533" s="302"/>
      <c r="AF533" s="302"/>
      <c r="AG533" s="302"/>
    </row>
    <row r="534" spans="1:33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335"/>
      <c r="S534" s="335"/>
      <c r="T534" s="335"/>
      <c r="U534" s="302"/>
      <c r="V534" s="302"/>
      <c r="W534" s="302"/>
      <c r="X534" s="302"/>
      <c r="Y534" s="302"/>
      <c r="Z534" s="302"/>
      <c r="AA534" s="302"/>
      <c r="AB534" s="302"/>
      <c r="AC534" s="302"/>
      <c r="AD534" s="302"/>
      <c r="AE534" s="302"/>
      <c r="AF534" s="302"/>
      <c r="AG534" s="302"/>
    </row>
    <row r="535" spans="1:33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335"/>
      <c r="S535" s="335"/>
      <c r="T535" s="335"/>
      <c r="U535" s="302"/>
      <c r="V535" s="302"/>
      <c r="W535" s="302"/>
      <c r="X535" s="302"/>
      <c r="Y535" s="302"/>
      <c r="Z535" s="302"/>
      <c r="AA535" s="302"/>
      <c r="AB535" s="302"/>
      <c r="AC535" s="302"/>
      <c r="AD535" s="302"/>
      <c r="AE535" s="302"/>
      <c r="AF535" s="302"/>
      <c r="AG535" s="302"/>
    </row>
    <row r="536" spans="1:33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335"/>
      <c r="S536" s="335"/>
      <c r="T536" s="335"/>
      <c r="U536" s="302"/>
      <c r="V536" s="302"/>
      <c r="W536" s="302"/>
      <c r="X536" s="302"/>
      <c r="Y536" s="302"/>
      <c r="Z536" s="302"/>
      <c r="AA536" s="302"/>
      <c r="AB536" s="302"/>
      <c r="AC536" s="302"/>
      <c r="AD536" s="302"/>
      <c r="AE536" s="302"/>
      <c r="AF536" s="302"/>
      <c r="AG536" s="302"/>
    </row>
    <row r="537" spans="1:33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335"/>
      <c r="S537" s="335"/>
      <c r="T537" s="335"/>
      <c r="U537" s="302"/>
      <c r="V537" s="302"/>
      <c r="W537" s="302"/>
      <c r="X537" s="302"/>
      <c r="Y537" s="302"/>
      <c r="Z537" s="302"/>
      <c r="AA537" s="302"/>
      <c r="AB537" s="302"/>
      <c r="AC537" s="302"/>
      <c r="AD537" s="302"/>
      <c r="AE537" s="302"/>
      <c r="AF537" s="302"/>
      <c r="AG537" s="302"/>
    </row>
    <row r="538" spans="1:33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335"/>
      <c r="S538" s="335"/>
      <c r="T538" s="335"/>
      <c r="U538" s="302"/>
      <c r="V538" s="302"/>
      <c r="W538" s="302"/>
      <c r="X538" s="302"/>
      <c r="Y538" s="302"/>
      <c r="Z538" s="302"/>
      <c r="AA538" s="302"/>
      <c r="AB538" s="302"/>
      <c r="AC538" s="302"/>
      <c r="AD538" s="302"/>
      <c r="AE538" s="302"/>
      <c r="AF538" s="302"/>
      <c r="AG538" s="302"/>
    </row>
    <row r="539" spans="1:33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335"/>
      <c r="S539" s="335"/>
      <c r="T539" s="335"/>
      <c r="U539" s="302"/>
      <c r="V539" s="302"/>
      <c r="W539" s="302"/>
      <c r="X539" s="302"/>
      <c r="Y539" s="302"/>
      <c r="Z539" s="302"/>
      <c r="AA539" s="302"/>
      <c r="AB539" s="302"/>
      <c r="AC539" s="302"/>
      <c r="AD539" s="302"/>
      <c r="AE539" s="302"/>
      <c r="AF539" s="302"/>
      <c r="AG539" s="302"/>
    </row>
    <row r="540" spans="1:33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335"/>
      <c r="S540" s="335"/>
      <c r="T540" s="335"/>
      <c r="U540" s="302"/>
      <c r="V540" s="302"/>
      <c r="W540" s="302"/>
      <c r="X540" s="302"/>
      <c r="Y540" s="302"/>
      <c r="Z540" s="302"/>
      <c r="AA540" s="302"/>
      <c r="AB540" s="302"/>
      <c r="AC540" s="302"/>
      <c r="AD540" s="302"/>
      <c r="AE540" s="302"/>
      <c r="AF540" s="302"/>
      <c r="AG540" s="302"/>
    </row>
    <row r="541" spans="1:33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335"/>
      <c r="S541" s="335"/>
      <c r="T541" s="335"/>
      <c r="U541" s="302"/>
      <c r="V541" s="302"/>
      <c r="W541" s="302"/>
      <c r="X541" s="302"/>
      <c r="Y541" s="302"/>
      <c r="Z541" s="302"/>
      <c r="AA541" s="302"/>
      <c r="AB541" s="302"/>
      <c r="AC541" s="302"/>
      <c r="AD541" s="302"/>
      <c r="AE541" s="302"/>
      <c r="AF541" s="302"/>
      <c r="AG541" s="302"/>
    </row>
    <row r="542" spans="1:33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335"/>
      <c r="S542" s="335"/>
      <c r="T542" s="335"/>
      <c r="U542" s="302"/>
      <c r="V542" s="302"/>
      <c r="W542" s="302"/>
      <c r="X542" s="302"/>
      <c r="Y542" s="302"/>
      <c r="Z542" s="302"/>
      <c r="AA542" s="302"/>
      <c r="AB542" s="302"/>
      <c r="AC542" s="302"/>
      <c r="AD542" s="302"/>
      <c r="AE542" s="302"/>
      <c r="AF542" s="302"/>
      <c r="AG542" s="302"/>
    </row>
    <row r="543" spans="1:33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335"/>
      <c r="S543" s="335"/>
      <c r="T543" s="335"/>
      <c r="U543" s="302"/>
      <c r="V543" s="302"/>
      <c r="W543" s="302"/>
      <c r="X543" s="302"/>
      <c r="Y543" s="302"/>
      <c r="Z543" s="302"/>
      <c r="AA543" s="302"/>
      <c r="AB543" s="302"/>
      <c r="AC543" s="302"/>
      <c r="AD543" s="302"/>
      <c r="AE543" s="302"/>
      <c r="AF543" s="302"/>
      <c r="AG543" s="302"/>
    </row>
    <row r="544" spans="1:33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335"/>
      <c r="S544" s="335"/>
      <c r="T544" s="335"/>
      <c r="U544" s="302"/>
      <c r="V544" s="302"/>
      <c r="W544" s="302"/>
      <c r="X544" s="302"/>
      <c r="Y544" s="302"/>
      <c r="Z544" s="302"/>
      <c r="AA544" s="302"/>
      <c r="AB544" s="302"/>
      <c r="AC544" s="302"/>
      <c r="AD544" s="302"/>
      <c r="AE544" s="302"/>
      <c r="AF544" s="302"/>
      <c r="AG544" s="302"/>
    </row>
    <row r="545" spans="1:33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335"/>
      <c r="S545" s="335"/>
      <c r="T545" s="335"/>
      <c r="U545" s="302"/>
      <c r="V545" s="302"/>
      <c r="W545" s="302"/>
      <c r="X545" s="302"/>
      <c r="Y545" s="302"/>
      <c r="Z545" s="302"/>
      <c r="AA545" s="302"/>
      <c r="AB545" s="302"/>
      <c r="AC545" s="302"/>
      <c r="AD545" s="302"/>
      <c r="AE545" s="302"/>
      <c r="AF545" s="302"/>
      <c r="AG545" s="302"/>
    </row>
    <row r="546" spans="1:33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335"/>
      <c r="S546" s="335"/>
      <c r="T546" s="335"/>
      <c r="U546" s="302"/>
      <c r="V546" s="302"/>
      <c r="W546" s="302"/>
      <c r="X546" s="302"/>
      <c r="Y546" s="302"/>
      <c r="Z546" s="302"/>
      <c r="AA546" s="302"/>
      <c r="AB546" s="302"/>
      <c r="AC546" s="302"/>
      <c r="AD546" s="302"/>
      <c r="AE546" s="302"/>
      <c r="AF546" s="302"/>
      <c r="AG546" s="302"/>
    </row>
    <row r="547" spans="1:33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335"/>
      <c r="S547" s="335"/>
      <c r="T547" s="335"/>
      <c r="U547" s="302"/>
      <c r="V547" s="302"/>
      <c r="W547" s="302"/>
      <c r="X547" s="302"/>
      <c r="Y547" s="302"/>
      <c r="Z547" s="302"/>
      <c r="AA547" s="302"/>
      <c r="AB547" s="302"/>
      <c r="AC547" s="302"/>
      <c r="AD547" s="302"/>
      <c r="AE547" s="302"/>
      <c r="AF547" s="302"/>
      <c r="AG547" s="302"/>
    </row>
    <row r="548" spans="1:33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335"/>
      <c r="S548" s="335"/>
      <c r="T548" s="335"/>
      <c r="U548" s="302"/>
      <c r="V548" s="302"/>
      <c r="W548" s="302"/>
      <c r="X548" s="302"/>
      <c r="Y548" s="302"/>
      <c r="Z548" s="302"/>
      <c r="AA548" s="302"/>
      <c r="AB548" s="302"/>
      <c r="AC548" s="302"/>
      <c r="AD548" s="302"/>
      <c r="AE548" s="302"/>
      <c r="AF548" s="302"/>
      <c r="AG548" s="302"/>
    </row>
    <row r="549" spans="1:33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335"/>
      <c r="S549" s="335"/>
      <c r="T549" s="335"/>
      <c r="U549" s="302"/>
      <c r="V549" s="302"/>
      <c r="W549" s="302"/>
      <c r="X549" s="302"/>
      <c r="Y549" s="302"/>
      <c r="Z549" s="302"/>
      <c r="AA549" s="302"/>
      <c r="AB549" s="302"/>
      <c r="AC549" s="302"/>
      <c r="AD549" s="302"/>
      <c r="AE549" s="302"/>
      <c r="AF549" s="302"/>
      <c r="AG549" s="302"/>
    </row>
    <row r="550" spans="1:33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335"/>
      <c r="S550" s="335"/>
      <c r="T550" s="335"/>
      <c r="U550" s="302"/>
      <c r="V550" s="302"/>
      <c r="W550" s="302"/>
      <c r="X550" s="302"/>
      <c r="Y550" s="302"/>
      <c r="Z550" s="302"/>
      <c r="AA550" s="302"/>
      <c r="AB550" s="302"/>
      <c r="AC550" s="302"/>
      <c r="AD550" s="302"/>
      <c r="AE550" s="302"/>
      <c r="AF550" s="302"/>
      <c r="AG550" s="302"/>
    </row>
    <row r="551" spans="1:33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335"/>
      <c r="S551" s="335"/>
      <c r="T551" s="335"/>
      <c r="U551" s="302"/>
      <c r="V551" s="302"/>
      <c r="W551" s="302"/>
      <c r="X551" s="302"/>
      <c r="Y551" s="302"/>
      <c r="Z551" s="302"/>
      <c r="AA551" s="302"/>
      <c r="AB551" s="302"/>
      <c r="AC551" s="302"/>
      <c r="AD551" s="302"/>
      <c r="AE551" s="302"/>
      <c r="AF551" s="302"/>
      <c r="AG551" s="302"/>
    </row>
    <row r="552" spans="1:33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335"/>
      <c r="S552" s="335"/>
      <c r="T552" s="335"/>
      <c r="U552" s="302"/>
      <c r="V552" s="302"/>
      <c r="W552" s="302"/>
      <c r="X552" s="302"/>
      <c r="Y552" s="302"/>
      <c r="Z552" s="302"/>
      <c r="AA552" s="302"/>
      <c r="AB552" s="302"/>
      <c r="AC552" s="302"/>
      <c r="AD552" s="302"/>
      <c r="AE552" s="302"/>
      <c r="AF552" s="302"/>
      <c r="AG552" s="302"/>
    </row>
    <row r="553" spans="1:33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335"/>
      <c r="S553" s="335"/>
      <c r="T553" s="335"/>
      <c r="U553" s="302"/>
      <c r="V553" s="302"/>
      <c r="W553" s="302"/>
      <c r="X553" s="302"/>
      <c r="Y553" s="302"/>
      <c r="Z553" s="302"/>
      <c r="AA553" s="302"/>
      <c r="AB553" s="302"/>
      <c r="AC553" s="302"/>
      <c r="AD553" s="302"/>
      <c r="AE553" s="302"/>
      <c r="AF553" s="302"/>
      <c r="AG553" s="302"/>
    </row>
    <row r="554" spans="1:33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335"/>
      <c r="S554" s="335"/>
      <c r="T554" s="335"/>
      <c r="U554" s="302"/>
      <c r="V554" s="302"/>
      <c r="W554" s="302"/>
      <c r="X554" s="302"/>
      <c r="Y554" s="302"/>
      <c r="Z554" s="302"/>
      <c r="AA554" s="302"/>
      <c r="AB554" s="302"/>
      <c r="AC554" s="302"/>
      <c r="AD554" s="302"/>
      <c r="AE554" s="302"/>
      <c r="AF554" s="302"/>
      <c r="AG554" s="302"/>
    </row>
    <row r="555" spans="1:33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335"/>
      <c r="S555" s="335"/>
      <c r="T555" s="335"/>
      <c r="U555" s="302"/>
      <c r="V555" s="302"/>
      <c r="W555" s="302"/>
      <c r="X555" s="302"/>
      <c r="Y555" s="302"/>
      <c r="Z555" s="302"/>
      <c r="AA555" s="302"/>
      <c r="AB555" s="302"/>
      <c r="AC555" s="302"/>
      <c r="AD555" s="302"/>
      <c r="AE555" s="302"/>
      <c r="AF555" s="302"/>
      <c r="AG555" s="302"/>
    </row>
    <row r="556" spans="1:33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335"/>
      <c r="S556" s="335"/>
      <c r="T556" s="335"/>
      <c r="U556" s="302"/>
      <c r="V556" s="302"/>
      <c r="W556" s="302"/>
      <c r="X556" s="302"/>
      <c r="Y556" s="302"/>
      <c r="Z556" s="302"/>
      <c r="AA556" s="302"/>
      <c r="AB556" s="302"/>
      <c r="AC556" s="302"/>
      <c r="AD556" s="302"/>
      <c r="AE556" s="302"/>
      <c r="AF556" s="302"/>
      <c r="AG556" s="302"/>
    </row>
    <row r="557" spans="1:33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335"/>
      <c r="S557" s="335"/>
      <c r="T557" s="335"/>
      <c r="U557" s="302"/>
      <c r="V557" s="302"/>
      <c r="W557" s="302"/>
      <c r="X557" s="302"/>
      <c r="Y557" s="302"/>
      <c r="Z557" s="302"/>
      <c r="AA557" s="302"/>
      <c r="AB557" s="302"/>
      <c r="AC557" s="302"/>
      <c r="AD557" s="302"/>
      <c r="AE557" s="302"/>
      <c r="AF557" s="302"/>
      <c r="AG557" s="302"/>
    </row>
    <row r="558" spans="1:33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335"/>
      <c r="S558" s="335"/>
      <c r="T558" s="335"/>
      <c r="U558" s="302"/>
      <c r="V558" s="302"/>
      <c r="W558" s="302"/>
      <c r="X558" s="302"/>
      <c r="Y558" s="302"/>
      <c r="Z558" s="302"/>
      <c r="AA558" s="302"/>
      <c r="AB558" s="302"/>
      <c r="AC558" s="302"/>
      <c r="AD558" s="302"/>
      <c r="AE558" s="302"/>
      <c r="AF558" s="302"/>
      <c r="AG558" s="302"/>
    </row>
    <row r="559" spans="1:33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335"/>
      <c r="S559" s="335"/>
      <c r="T559" s="335"/>
      <c r="U559" s="302"/>
      <c r="V559" s="302"/>
      <c r="W559" s="302"/>
      <c r="X559" s="302"/>
      <c r="Y559" s="302"/>
      <c r="Z559" s="302"/>
      <c r="AA559" s="302"/>
      <c r="AB559" s="302"/>
      <c r="AC559" s="302"/>
      <c r="AD559" s="302"/>
      <c r="AE559" s="302"/>
      <c r="AF559" s="302"/>
      <c r="AG559" s="302"/>
    </row>
    <row r="560" spans="1:33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335"/>
      <c r="S560" s="335"/>
      <c r="T560" s="335"/>
      <c r="U560" s="302"/>
      <c r="V560" s="302"/>
      <c r="W560" s="302"/>
      <c r="X560" s="302"/>
      <c r="Y560" s="302"/>
      <c r="Z560" s="302"/>
      <c r="AA560" s="302"/>
      <c r="AB560" s="302"/>
      <c r="AC560" s="302"/>
      <c r="AD560" s="302"/>
      <c r="AE560" s="302"/>
      <c r="AF560" s="302"/>
      <c r="AG560" s="302"/>
    </row>
    <row r="561" spans="1:33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335"/>
      <c r="S561" s="335"/>
      <c r="T561" s="335"/>
      <c r="U561" s="302"/>
      <c r="V561" s="302"/>
      <c r="W561" s="302"/>
      <c r="X561" s="302"/>
      <c r="Y561" s="302"/>
      <c r="Z561" s="302"/>
      <c r="AA561" s="302"/>
      <c r="AB561" s="302"/>
      <c r="AC561" s="302"/>
      <c r="AD561" s="302"/>
      <c r="AE561" s="302"/>
      <c r="AF561" s="302"/>
      <c r="AG561" s="302"/>
    </row>
    <row r="562" spans="1:33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335"/>
      <c r="S562" s="335"/>
      <c r="T562" s="335"/>
      <c r="U562" s="302"/>
      <c r="V562" s="302"/>
      <c r="W562" s="302"/>
      <c r="X562" s="302"/>
      <c r="Y562" s="302"/>
      <c r="Z562" s="302"/>
      <c r="AA562" s="302"/>
      <c r="AB562" s="302"/>
      <c r="AC562" s="302"/>
      <c r="AD562" s="302"/>
      <c r="AE562" s="302"/>
      <c r="AF562" s="302"/>
      <c r="AG562" s="302"/>
    </row>
    <row r="563" spans="1:33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335"/>
      <c r="S563" s="335"/>
      <c r="T563" s="335"/>
      <c r="U563" s="302"/>
      <c r="V563" s="302"/>
      <c r="W563" s="302"/>
      <c r="X563" s="302"/>
      <c r="Y563" s="302"/>
      <c r="Z563" s="302"/>
      <c r="AA563" s="302"/>
      <c r="AB563" s="302"/>
      <c r="AC563" s="302"/>
      <c r="AD563" s="302"/>
      <c r="AE563" s="302"/>
      <c r="AF563" s="302"/>
      <c r="AG563" s="302"/>
    </row>
    <row r="564" spans="1:33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335"/>
      <c r="S564" s="335"/>
      <c r="T564" s="335"/>
      <c r="U564" s="302"/>
      <c r="V564" s="302"/>
      <c r="W564" s="302"/>
      <c r="X564" s="302"/>
      <c r="Y564" s="302"/>
      <c r="Z564" s="302"/>
      <c r="AA564" s="302"/>
      <c r="AB564" s="302"/>
      <c r="AC564" s="302"/>
      <c r="AD564" s="302"/>
      <c r="AE564" s="302"/>
      <c r="AF564" s="302"/>
      <c r="AG564" s="302"/>
    </row>
    <row r="565" spans="1:33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335"/>
      <c r="S565" s="335"/>
      <c r="T565" s="335"/>
      <c r="U565" s="302"/>
      <c r="V565" s="302"/>
      <c r="W565" s="302"/>
      <c r="X565" s="302"/>
      <c r="Y565" s="302"/>
      <c r="Z565" s="302"/>
      <c r="AA565" s="302"/>
      <c r="AB565" s="302"/>
      <c r="AC565" s="302"/>
      <c r="AD565" s="302"/>
      <c r="AE565" s="302"/>
      <c r="AF565" s="302"/>
      <c r="AG565" s="302"/>
    </row>
    <row r="566" spans="1:33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335"/>
      <c r="S566" s="335"/>
      <c r="T566" s="335"/>
      <c r="U566" s="302"/>
      <c r="V566" s="302"/>
      <c r="W566" s="302"/>
      <c r="X566" s="302"/>
      <c r="Y566" s="302"/>
      <c r="Z566" s="302"/>
      <c r="AA566" s="302"/>
      <c r="AB566" s="302"/>
      <c r="AC566" s="302"/>
      <c r="AD566" s="302"/>
      <c r="AE566" s="302"/>
      <c r="AF566" s="302"/>
      <c r="AG566" s="302"/>
    </row>
    <row r="567" spans="1:33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335"/>
      <c r="S567" s="335"/>
      <c r="T567" s="335"/>
      <c r="U567" s="302"/>
      <c r="V567" s="302"/>
      <c r="W567" s="302"/>
      <c r="X567" s="302"/>
      <c r="Y567" s="302"/>
      <c r="Z567" s="302"/>
      <c r="AA567" s="302"/>
      <c r="AB567" s="302"/>
      <c r="AC567" s="302"/>
      <c r="AD567" s="302"/>
      <c r="AE567" s="302"/>
      <c r="AF567" s="302"/>
      <c r="AG567" s="302"/>
    </row>
    <row r="568" spans="1:33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335"/>
      <c r="S568" s="335"/>
      <c r="T568" s="335"/>
      <c r="U568" s="302"/>
      <c r="V568" s="302"/>
      <c r="W568" s="302"/>
      <c r="X568" s="302"/>
      <c r="Y568" s="302"/>
      <c r="Z568" s="302"/>
      <c r="AA568" s="302"/>
      <c r="AB568" s="302"/>
      <c r="AC568" s="302"/>
      <c r="AD568" s="302"/>
      <c r="AE568" s="302"/>
      <c r="AF568" s="302"/>
      <c r="AG568" s="302"/>
    </row>
    <row r="569" spans="1:33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335"/>
      <c r="S569" s="335"/>
      <c r="T569" s="335"/>
      <c r="U569" s="302"/>
      <c r="V569" s="302"/>
      <c r="W569" s="302"/>
      <c r="X569" s="302"/>
      <c r="Y569" s="302"/>
      <c r="Z569" s="302"/>
      <c r="AA569" s="302"/>
      <c r="AB569" s="302"/>
      <c r="AC569" s="302"/>
      <c r="AD569" s="302"/>
      <c r="AE569" s="302"/>
      <c r="AF569" s="302"/>
      <c r="AG569" s="302"/>
    </row>
    <row r="570" spans="1:33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335"/>
      <c r="S570" s="335"/>
      <c r="T570" s="335"/>
      <c r="U570" s="302"/>
      <c r="V570" s="302"/>
      <c r="W570" s="302"/>
      <c r="X570" s="302"/>
      <c r="Y570" s="302"/>
      <c r="Z570" s="302"/>
      <c r="AA570" s="302"/>
      <c r="AB570" s="302"/>
      <c r="AC570" s="302"/>
      <c r="AD570" s="302"/>
      <c r="AE570" s="302"/>
      <c r="AF570" s="302"/>
      <c r="AG570" s="302"/>
    </row>
    <row r="571" spans="1:33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335"/>
      <c r="S571" s="335"/>
      <c r="T571" s="335"/>
      <c r="U571" s="302"/>
      <c r="V571" s="302"/>
      <c r="W571" s="302"/>
      <c r="X571" s="302"/>
      <c r="Y571" s="302"/>
      <c r="Z571" s="302"/>
      <c r="AA571" s="302"/>
      <c r="AB571" s="302"/>
      <c r="AC571" s="302"/>
      <c r="AD571" s="302"/>
      <c r="AE571" s="302"/>
      <c r="AF571" s="302"/>
      <c r="AG571" s="302"/>
    </row>
    <row r="572" spans="1:33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335"/>
      <c r="S572" s="335"/>
      <c r="T572" s="335"/>
      <c r="U572" s="302"/>
      <c r="V572" s="302"/>
      <c r="W572" s="302"/>
      <c r="X572" s="302"/>
      <c r="Y572" s="302"/>
      <c r="Z572" s="302"/>
      <c r="AA572" s="302"/>
      <c r="AB572" s="302"/>
      <c r="AC572" s="302"/>
      <c r="AD572" s="302"/>
      <c r="AE572" s="302"/>
      <c r="AF572" s="302"/>
      <c r="AG572" s="302"/>
    </row>
    <row r="573" spans="1:33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335"/>
      <c r="S573" s="335"/>
      <c r="T573" s="335"/>
      <c r="U573" s="302"/>
      <c r="V573" s="302"/>
      <c r="W573" s="302"/>
      <c r="X573" s="302"/>
      <c r="Y573" s="302"/>
      <c r="Z573" s="302"/>
      <c r="AA573" s="302"/>
      <c r="AB573" s="302"/>
      <c r="AC573" s="302"/>
      <c r="AD573" s="302"/>
      <c r="AE573" s="302"/>
      <c r="AF573" s="302"/>
      <c r="AG573" s="302"/>
    </row>
    <row r="574" spans="1:33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335"/>
      <c r="S574" s="335"/>
      <c r="T574" s="335"/>
      <c r="U574" s="302"/>
      <c r="V574" s="302"/>
      <c r="W574" s="302"/>
      <c r="X574" s="302"/>
      <c r="Y574" s="302"/>
      <c r="Z574" s="302"/>
      <c r="AA574" s="302"/>
      <c r="AB574" s="302"/>
      <c r="AC574" s="302"/>
      <c r="AD574" s="302"/>
      <c r="AE574" s="302"/>
      <c r="AF574" s="302"/>
      <c r="AG574" s="302"/>
    </row>
    <row r="575" spans="1:33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335"/>
      <c r="S575" s="335"/>
      <c r="T575" s="335"/>
      <c r="U575" s="302"/>
      <c r="V575" s="302"/>
      <c r="W575" s="302"/>
      <c r="X575" s="302"/>
      <c r="Y575" s="302"/>
      <c r="Z575" s="302"/>
      <c r="AA575" s="302"/>
      <c r="AB575" s="302"/>
      <c r="AC575" s="302"/>
      <c r="AD575" s="302"/>
      <c r="AE575" s="302"/>
      <c r="AF575" s="302"/>
      <c r="AG575" s="302"/>
    </row>
    <row r="576" spans="1:33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335"/>
      <c r="S576" s="335"/>
      <c r="T576" s="335"/>
      <c r="U576" s="302"/>
      <c r="V576" s="302"/>
      <c r="W576" s="302"/>
      <c r="X576" s="302"/>
      <c r="Y576" s="302"/>
      <c r="Z576" s="302"/>
      <c r="AA576" s="302"/>
      <c r="AB576" s="302"/>
      <c r="AC576" s="302"/>
      <c r="AD576" s="302"/>
      <c r="AE576" s="302"/>
      <c r="AF576" s="302"/>
      <c r="AG576" s="302"/>
    </row>
    <row r="577" spans="1:33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335"/>
      <c r="S577" s="335"/>
      <c r="T577" s="335"/>
      <c r="U577" s="302"/>
      <c r="V577" s="302"/>
      <c r="W577" s="302"/>
      <c r="X577" s="302"/>
      <c r="Y577" s="302"/>
      <c r="Z577" s="302"/>
      <c r="AA577" s="302"/>
      <c r="AB577" s="302"/>
      <c r="AC577" s="302"/>
      <c r="AD577" s="302"/>
      <c r="AE577" s="302"/>
      <c r="AF577" s="302"/>
      <c r="AG577" s="302"/>
    </row>
    <row r="578" spans="1:33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335"/>
      <c r="S578" s="335"/>
      <c r="T578" s="335"/>
      <c r="U578" s="302"/>
      <c r="V578" s="302"/>
      <c r="W578" s="302"/>
      <c r="X578" s="302"/>
      <c r="Y578" s="302"/>
      <c r="Z578" s="302"/>
      <c r="AA578" s="302"/>
      <c r="AB578" s="302"/>
      <c r="AC578" s="302"/>
      <c r="AD578" s="302"/>
      <c r="AE578" s="302"/>
      <c r="AF578" s="302"/>
      <c r="AG578" s="302"/>
    </row>
    <row r="579" spans="1:33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335"/>
      <c r="S579" s="335"/>
      <c r="T579" s="335"/>
      <c r="U579" s="302"/>
      <c r="V579" s="302"/>
      <c r="W579" s="302"/>
      <c r="X579" s="302"/>
      <c r="Y579" s="302"/>
      <c r="Z579" s="302"/>
      <c r="AA579" s="302"/>
      <c r="AB579" s="302"/>
      <c r="AC579" s="302"/>
      <c r="AD579" s="302"/>
      <c r="AE579" s="302"/>
      <c r="AF579" s="302"/>
      <c r="AG579" s="302"/>
    </row>
    <row r="580" spans="1:33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335"/>
      <c r="S580" s="335"/>
      <c r="T580" s="335"/>
      <c r="U580" s="302"/>
      <c r="V580" s="302"/>
      <c r="W580" s="302"/>
      <c r="X580" s="302"/>
      <c r="Y580" s="302"/>
      <c r="Z580" s="302"/>
      <c r="AA580" s="302"/>
      <c r="AB580" s="302"/>
      <c r="AC580" s="302"/>
      <c r="AD580" s="302"/>
      <c r="AE580" s="302"/>
      <c r="AF580" s="302"/>
      <c r="AG580" s="302"/>
    </row>
    <row r="581" spans="1:33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335"/>
      <c r="S581" s="335"/>
      <c r="T581" s="335"/>
      <c r="U581" s="302"/>
      <c r="V581" s="302"/>
      <c r="W581" s="302"/>
      <c r="X581" s="302"/>
      <c r="Y581" s="302"/>
      <c r="Z581" s="302"/>
      <c r="AA581" s="302"/>
      <c r="AB581" s="302"/>
      <c r="AC581" s="302"/>
      <c r="AD581" s="302"/>
      <c r="AE581" s="302"/>
      <c r="AF581" s="302"/>
      <c r="AG581" s="302"/>
    </row>
    <row r="582" spans="1:33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335"/>
      <c r="S582" s="335"/>
      <c r="T582" s="335"/>
      <c r="U582" s="302"/>
      <c r="V582" s="302"/>
      <c r="W582" s="302"/>
      <c r="X582" s="302"/>
      <c r="Y582" s="302"/>
      <c r="Z582" s="302"/>
      <c r="AA582" s="302"/>
      <c r="AB582" s="302"/>
      <c r="AC582" s="302"/>
      <c r="AD582" s="302"/>
      <c r="AE582" s="302"/>
      <c r="AF582" s="302"/>
      <c r="AG582" s="302"/>
    </row>
    <row r="583" spans="1:33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335"/>
      <c r="S583" s="335"/>
      <c r="T583" s="335"/>
      <c r="U583" s="302"/>
      <c r="V583" s="302"/>
      <c r="W583" s="302"/>
      <c r="X583" s="302"/>
      <c r="Y583" s="302"/>
      <c r="Z583" s="302"/>
      <c r="AA583" s="302"/>
      <c r="AB583" s="302"/>
      <c r="AC583" s="302"/>
      <c r="AD583" s="302"/>
      <c r="AE583" s="302"/>
      <c r="AF583" s="302"/>
      <c r="AG583" s="302"/>
    </row>
    <row r="584" spans="1:33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335"/>
      <c r="S584" s="335"/>
      <c r="T584" s="335"/>
      <c r="U584" s="302"/>
      <c r="V584" s="302"/>
      <c r="W584" s="302"/>
      <c r="X584" s="302"/>
      <c r="Y584" s="302"/>
      <c r="Z584" s="302"/>
      <c r="AA584" s="302"/>
      <c r="AB584" s="302"/>
      <c r="AC584" s="302"/>
      <c r="AD584" s="302"/>
      <c r="AE584" s="302"/>
      <c r="AF584" s="302"/>
      <c r="AG584" s="302"/>
    </row>
    <row r="585" spans="1:33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335"/>
      <c r="S585" s="335"/>
      <c r="T585" s="335"/>
      <c r="U585" s="302"/>
      <c r="V585" s="302"/>
      <c r="W585" s="302"/>
      <c r="X585" s="302"/>
      <c r="Y585" s="302"/>
      <c r="Z585" s="302"/>
      <c r="AA585" s="302"/>
      <c r="AB585" s="302"/>
      <c r="AC585" s="302"/>
      <c r="AD585" s="302"/>
      <c r="AE585" s="302"/>
      <c r="AF585" s="302"/>
      <c r="AG585" s="302"/>
    </row>
    <row r="586" spans="1:33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335"/>
      <c r="S586" s="335"/>
      <c r="T586" s="335"/>
      <c r="U586" s="302"/>
      <c r="V586" s="302"/>
      <c r="W586" s="302"/>
      <c r="X586" s="302"/>
      <c r="Y586" s="302"/>
      <c r="Z586" s="302"/>
      <c r="AA586" s="302"/>
      <c r="AB586" s="302"/>
      <c r="AC586" s="302"/>
      <c r="AD586" s="302"/>
      <c r="AE586" s="302"/>
      <c r="AF586" s="302"/>
      <c r="AG586" s="302"/>
    </row>
    <row r="587" spans="1:33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335"/>
      <c r="S587" s="335"/>
      <c r="T587" s="335"/>
      <c r="U587" s="302"/>
      <c r="V587" s="302"/>
      <c r="W587" s="302"/>
      <c r="X587" s="302"/>
      <c r="Y587" s="302"/>
      <c r="Z587" s="302"/>
      <c r="AA587" s="302"/>
      <c r="AB587" s="302"/>
      <c r="AC587" s="302"/>
      <c r="AD587" s="302"/>
      <c r="AE587" s="302"/>
      <c r="AF587" s="302"/>
      <c r="AG587" s="302"/>
    </row>
    <row r="588" spans="1:33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335"/>
      <c r="S588" s="335"/>
      <c r="T588" s="335"/>
      <c r="U588" s="302"/>
      <c r="V588" s="302"/>
      <c r="W588" s="302"/>
      <c r="X588" s="302"/>
      <c r="Y588" s="302"/>
      <c r="Z588" s="302"/>
      <c r="AA588" s="302"/>
      <c r="AB588" s="302"/>
      <c r="AC588" s="302"/>
      <c r="AD588" s="302"/>
      <c r="AE588" s="302"/>
      <c r="AF588" s="302"/>
      <c r="AG588" s="302"/>
    </row>
    <row r="589" spans="1:33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335"/>
      <c r="S589" s="335"/>
      <c r="T589" s="335"/>
      <c r="U589" s="302"/>
      <c r="V589" s="302"/>
      <c r="W589" s="302"/>
      <c r="X589" s="302"/>
      <c r="Y589" s="302"/>
      <c r="Z589" s="302"/>
      <c r="AA589" s="302"/>
      <c r="AB589" s="302"/>
      <c r="AC589" s="302"/>
      <c r="AD589" s="302"/>
      <c r="AE589" s="302"/>
      <c r="AF589" s="302"/>
      <c r="AG589" s="302"/>
    </row>
    <row r="590" spans="1:33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335"/>
      <c r="S590" s="335"/>
      <c r="T590" s="335"/>
      <c r="U590" s="302"/>
      <c r="V590" s="302"/>
      <c r="W590" s="302"/>
      <c r="X590" s="302"/>
      <c r="Y590" s="302"/>
      <c r="Z590" s="302"/>
      <c r="AA590" s="302"/>
      <c r="AB590" s="302"/>
      <c r="AC590" s="302"/>
      <c r="AD590" s="302"/>
      <c r="AE590" s="302"/>
      <c r="AF590" s="302"/>
      <c r="AG590" s="302"/>
    </row>
    <row r="591" spans="1:33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335"/>
      <c r="S591" s="335"/>
      <c r="T591" s="335"/>
      <c r="U591" s="302"/>
      <c r="V591" s="302"/>
      <c r="W591" s="302"/>
      <c r="X591" s="302"/>
      <c r="Y591" s="302"/>
      <c r="Z591" s="302"/>
      <c r="AA591" s="302"/>
      <c r="AB591" s="302"/>
      <c r="AC591" s="302"/>
      <c r="AD591" s="302"/>
      <c r="AE591" s="302"/>
      <c r="AF591" s="302"/>
      <c r="AG591" s="302"/>
    </row>
    <row r="592" spans="1:33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335"/>
      <c r="S592" s="335"/>
      <c r="T592" s="335"/>
      <c r="U592" s="302"/>
      <c r="V592" s="302"/>
      <c r="W592" s="302"/>
      <c r="X592" s="302"/>
      <c r="Y592" s="302"/>
      <c r="Z592" s="302"/>
      <c r="AA592" s="302"/>
      <c r="AB592" s="302"/>
      <c r="AC592" s="302"/>
      <c r="AD592" s="302"/>
      <c r="AE592" s="302"/>
      <c r="AF592" s="302"/>
      <c r="AG592" s="302"/>
    </row>
    <row r="593" spans="1:33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335"/>
      <c r="S593" s="335"/>
      <c r="T593" s="335"/>
      <c r="U593" s="302"/>
      <c r="V593" s="302"/>
      <c r="W593" s="302"/>
      <c r="X593" s="302"/>
      <c r="Y593" s="302"/>
      <c r="Z593" s="302"/>
      <c r="AA593" s="302"/>
      <c r="AB593" s="302"/>
      <c r="AC593" s="302"/>
      <c r="AD593" s="302"/>
      <c r="AE593" s="302"/>
      <c r="AF593" s="302"/>
      <c r="AG593" s="302"/>
    </row>
    <row r="594" spans="1:33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335"/>
      <c r="S594" s="335"/>
      <c r="T594" s="335"/>
      <c r="U594" s="302"/>
      <c r="V594" s="302"/>
      <c r="W594" s="302"/>
      <c r="X594" s="302"/>
      <c r="Y594" s="302"/>
      <c r="Z594" s="302"/>
      <c r="AA594" s="302"/>
      <c r="AB594" s="302"/>
      <c r="AC594" s="302"/>
      <c r="AD594" s="302"/>
      <c r="AE594" s="302"/>
      <c r="AF594" s="302"/>
      <c r="AG594" s="302"/>
    </row>
    <row r="595" spans="1:33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335"/>
      <c r="S595" s="335"/>
      <c r="T595" s="335"/>
      <c r="U595" s="302"/>
      <c r="V595" s="302"/>
      <c r="W595" s="302"/>
      <c r="X595" s="302"/>
      <c r="Y595" s="302"/>
      <c r="Z595" s="302"/>
      <c r="AA595" s="302"/>
      <c r="AB595" s="302"/>
      <c r="AC595" s="302"/>
      <c r="AD595" s="302"/>
      <c r="AE595" s="302"/>
      <c r="AF595" s="302"/>
      <c r="AG595" s="302"/>
    </row>
    <row r="596" spans="1:33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335"/>
      <c r="S596" s="335"/>
      <c r="T596" s="335"/>
      <c r="U596" s="302"/>
      <c r="V596" s="302"/>
      <c r="W596" s="302"/>
      <c r="X596" s="302"/>
      <c r="Y596" s="302"/>
      <c r="Z596" s="302"/>
      <c r="AA596" s="302"/>
      <c r="AB596" s="302"/>
      <c r="AC596" s="302"/>
      <c r="AD596" s="302"/>
      <c r="AE596" s="302"/>
      <c r="AF596" s="302"/>
      <c r="AG596" s="302"/>
    </row>
    <row r="597" spans="1:33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335"/>
      <c r="S597" s="335"/>
      <c r="T597" s="335"/>
      <c r="U597" s="302"/>
      <c r="V597" s="302"/>
      <c r="W597" s="302"/>
      <c r="X597" s="302"/>
      <c r="Y597" s="302"/>
      <c r="Z597" s="302"/>
      <c r="AA597" s="302"/>
      <c r="AB597" s="302"/>
      <c r="AC597" s="302"/>
      <c r="AD597" s="302"/>
      <c r="AE597" s="302"/>
      <c r="AF597" s="302"/>
      <c r="AG597" s="302"/>
    </row>
    <row r="598" spans="1:33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335"/>
      <c r="S598" s="335"/>
      <c r="T598" s="335"/>
      <c r="U598" s="302"/>
      <c r="V598" s="302"/>
      <c r="W598" s="302"/>
      <c r="X598" s="302"/>
      <c r="Y598" s="302"/>
      <c r="Z598" s="302"/>
      <c r="AA598" s="302"/>
      <c r="AB598" s="302"/>
      <c r="AC598" s="302"/>
      <c r="AD598" s="302"/>
      <c r="AE598" s="302"/>
      <c r="AF598" s="302"/>
      <c r="AG598" s="302"/>
    </row>
    <row r="599" spans="1:33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335"/>
      <c r="S599" s="335"/>
      <c r="T599" s="335"/>
      <c r="U599" s="302"/>
      <c r="V599" s="302"/>
      <c r="W599" s="302"/>
      <c r="X599" s="302"/>
      <c r="Y599" s="302"/>
      <c r="Z599" s="302"/>
      <c r="AA599" s="302"/>
      <c r="AB599" s="302"/>
      <c r="AC599" s="302"/>
      <c r="AD599" s="302"/>
      <c r="AE599" s="302"/>
      <c r="AF599" s="302"/>
      <c r="AG599" s="302"/>
    </row>
    <row r="600" spans="1:33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335"/>
      <c r="S600" s="335"/>
      <c r="T600" s="335"/>
      <c r="U600" s="302"/>
      <c r="V600" s="302"/>
      <c r="W600" s="302"/>
      <c r="X600" s="302"/>
      <c r="Y600" s="302"/>
      <c r="Z600" s="302"/>
      <c r="AA600" s="302"/>
      <c r="AB600" s="302"/>
      <c r="AC600" s="302"/>
      <c r="AD600" s="302"/>
      <c r="AE600" s="302"/>
      <c r="AF600" s="302"/>
      <c r="AG600" s="302"/>
    </row>
    <row r="601" spans="1:33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335"/>
      <c r="S601" s="335"/>
      <c r="T601" s="335"/>
      <c r="U601" s="302"/>
      <c r="V601" s="302"/>
      <c r="W601" s="302"/>
      <c r="X601" s="302"/>
      <c r="Y601" s="302"/>
      <c r="Z601" s="302"/>
      <c r="AA601" s="302"/>
      <c r="AB601" s="302"/>
      <c r="AC601" s="302"/>
      <c r="AD601" s="302"/>
      <c r="AE601" s="302"/>
      <c r="AF601" s="302"/>
      <c r="AG601" s="302"/>
    </row>
    <row r="602" spans="1:33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335"/>
      <c r="S602" s="335"/>
      <c r="T602" s="335"/>
      <c r="U602" s="302"/>
      <c r="V602" s="302"/>
      <c r="W602" s="302"/>
      <c r="X602" s="302"/>
      <c r="Y602" s="302"/>
      <c r="Z602" s="302"/>
      <c r="AA602" s="302"/>
      <c r="AB602" s="302"/>
      <c r="AC602" s="302"/>
      <c r="AD602" s="302"/>
      <c r="AE602" s="302"/>
      <c r="AF602" s="302"/>
      <c r="AG602" s="302"/>
    </row>
    <row r="603" spans="1:33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335"/>
      <c r="S603" s="335"/>
      <c r="T603" s="335"/>
      <c r="U603" s="302"/>
      <c r="V603" s="302"/>
      <c r="W603" s="302"/>
      <c r="X603" s="302"/>
      <c r="Y603" s="302"/>
      <c r="Z603" s="302"/>
      <c r="AA603" s="302"/>
      <c r="AB603" s="302"/>
      <c r="AC603" s="302"/>
      <c r="AD603" s="302"/>
      <c r="AE603" s="302"/>
      <c r="AF603" s="302"/>
      <c r="AG603" s="302"/>
    </row>
    <row r="604" spans="1:33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335"/>
      <c r="S604" s="335"/>
      <c r="T604" s="335"/>
      <c r="U604" s="302"/>
      <c r="V604" s="302"/>
      <c r="W604" s="302"/>
      <c r="X604" s="302"/>
      <c r="Y604" s="302"/>
      <c r="Z604" s="302"/>
      <c r="AA604" s="302"/>
      <c r="AB604" s="302"/>
      <c r="AC604" s="302"/>
      <c r="AD604" s="302"/>
      <c r="AE604" s="302"/>
      <c r="AF604" s="302"/>
      <c r="AG604" s="302"/>
    </row>
    <row r="605" spans="1:33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335"/>
      <c r="S605" s="335"/>
      <c r="T605" s="335"/>
      <c r="U605" s="302"/>
      <c r="V605" s="302"/>
      <c r="W605" s="302"/>
      <c r="X605" s="302"/>
      <c r="Y605" s="302"/>
      <c r="Z605" s="302"/>
      <c r="AA605" s="302"/>
      <c r="AB605" s="302"/>
      <c r="AC605" s="302"/>
      <c r="AD605" s="302"/>
      <c r="AE605" s="302"/>
      <c r="AF605" s="302"/>
      <c r="AG605" s="302"/>
    </row>
    <row r="606" spans="1:33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335"/>
      <c r="S606" s="335"/>
      <c r="T606" s="335"/>
      <c r="U606" s="302"/>
      <c r="V606" s="302"/>
      <c r="W606" s="302"/>
      <c r="X606" s="302"/>
      <c r="Y606" s="302"/>
      <c r="Z606" s="302"/>
      <c r="AA606" s="302"/>
      <c r="AB606" s="302"/>
      <c r="AC606" s="302"/>
      <c r="AD606" s="302"/>
      <c r="AE606" s="302"/>
      <c r="AF606" s="302"/>
      <c r="AG606" s="302"/>
    </row>
    <row r="607" spans="1:33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335"/>
      <c r="S607" s="335"/>
      <c r="T607" s="335"/>
      <c r="U607" s="302"/>
      <c r="V607" s="302"/>
      <c r="W607" s="302"/>
      <c r="X607" s="302"/>
      <c r="Y607" s="302"/>
      <c r="Z607" s="302"/>
      <c r="AA607" s="302"/>
      <c r="AB607" s="302"/>
      <c r="AC607" s="302"/>
      <c r="AD607" s="302"/>
      <c r="AE607" s="302"/>
      <c r="AF607" s="302"/>
      <c r="AG607" s="302"/>
    </row>
    <row r="608" spans="1:33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335"/>
      <c r="S608" s="335"/>
      <c r="T608" s="335"/>
      <c r="U608" s="302"/>
      <c r="V608" s="302"/>
      <c r="W608" s="302"/>
      <c r="X608" s="302"/>
      <c r="Y608" s="302"/>
      <c r="Z608" s="302"/>
      <c r="AA608" s="302"/>
      <c r="AB608" s="302"/>
      <c r="AC608" s="302"/>
      <c r="AD608" s="302"/>
      <c r="AE608" s="302"/>
      <c r="AF608" s="302"/>
      <c r="AG608" s="302"/>
    </row>
    <row r="609" spans="1:33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335"/>
      <c r="S609" s="335"/>
      <c r="T609" s="335"/>
      <c r="U609" s="302"/>
      <c r="V609" s="302"/>
      <c r="W609" s="302"/>
      <c r="X609" s="302"/>
      <c r="Y609" s="302"/>
      <c r="Z609" s="302"/>
      <c r="AA609" s="302"/>
      <c r="AB609" s="302"/>
      <c r="AC609" s="302"/>
      <c r="AD609" s="302"/>
      <c r="AE609" s="302"/>
      <c r="AF609" s="302"/>
      <c r="AG609" s="302"/>
    </row>
    <row r="610" spans="1:33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335"/>
      <c r="S610" s="335"/>
      <c r="T610" s="335"/>
      <c r="U610" s="302"/>
      <c r="V610" s="302"/>
      <c r="W610" s="302"/>
      <c r="X610" s="302"/>
      <c r="Y610" s="302"/>
      <c r="Z610" s="302"/>
      <c r="AA610" s="302"/>
      <c r="AB610" s="302"/>
      <c r="AC610" s="302"/>
      <c r="AD610" s="302"/>
      <c r="AE610" s="302"/>
      <c r="AF610" s="302"/>
      <c r="AG610" s="302"/>
    </row>
    <row r="611" spans="1:33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335"/>
      <c r="S611" s="335"/>
      <c r="T611" s="335"/>
      <c r="U611" s="302"/>
      <c r="V611" s="302"/>
      <c r="W611" s="302"/>
      <c r="X611" s="302"/>
      <c r="Y611" s="302"/>
      <c r="Z611" s="302"/>
      <c r="AA611" s="302"/>
      <c r="AB611" s="302"/>
      <c r="AC611" s="302"/>
      <c r="AD611" s="302"/>
      <c r="AE611" s="302"/>
      <c r="AF611" s="302"/>
      <c r="AG611" s="302"/>
    </row>
    <row r="612" spans="1:33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335"/>
      <c r="S612" s="335"/>
      <c r="T612" s="335"/>
      <c r="U612" s="302"/>
      <c r="V612" s="302"/>
      <c r="W612" s="302"/>
      <c r="X612" s="302"/>
      <c r="Y612" s="302"/>
      <c r="Z612" s="302"/>
      <c r="AA612" s="302"/>
      <c r="AB612" s="302"/>
      <c r="AC612" s="302"/>
      <c r="AD612" s="302"/>
      <c r="AE612" s="302"/>
      <c r="AF612" s="302"/>
      <c r="AG612" s="302"/>
    </row>
    <row r="613" spans="1:33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335"/>
      <c r="S613" s="335"/>
      <c r="T613" s="335"/>
      <c r="U613" s="302"/>
      <c r="V613" s="302"/>
      <c r="W613" s="302"/>
      <c r="X613" s="302"/>
      <c r="Y613" s="302"/>
      <c r="Z613" s="302"/>
      <c r="AA613" s="302"/>
      <c r="AB613" s="302"/>
      <c r="AC613" s="302"/>
      <c r="AD613" s="302"/>
      <c r="AE613" s="302"/>
      <c r="AF613" s="302"/>
      <c r="AG613" s="302"/>
    </row>
    <row r="614" spans="1:33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335"/>
      <c r="S614" s="335"/>
      <c r="T614" s="335"/>
      <c r="U614" s="302"/>
      <c r="V614" s="302"/>
      <c r="W614" s="302"/>
      <c r="X614" s="302"/>
      <c r="Y614" s="302"/>
      <c r="Z614" s="302"/>
      <c r="AA614" s="302"/>
      <c r="AB614" s="302"/>
      <c r="AC614" s="302"/>
      <c r="AD614" s="302"/>
      <c r="AE614" s="302"/>
      <c r="AF614" s="302"/>
      <c r="AG614" s="302"/>
    </row>
    <row r="615" spans="1:33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335"/>
      <c r="S615" s="335"/>
      <c r="T615" s="335"/>
      <c r="U615" s="302"/>
      <c r="V615" s="302"/>
      <c r="W615" s="302"/>
      <c r="X615" s="302"/>
      <c r="Y615" s="302"/>
      <c r="Z615" s="302"/>
      <c r="AA615" s="302"/>
      <c r="AB615" s="302"/>
      <c r="AC615" s="302"/>
      <c r="AD615" s="302"/>
      <c r="AE615" s="302"/>
      <c r="AF615" s="302"/>
      <c r="AG615" s="302"/>
    </row>
    <row r="616" spans="1:33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335"/>
      <c r="S616" s="335"/>
      <c r="T616" s="335"/>
      <c r="U616" s="302"/>
      <c r="V616" s="302"/>
      <c r="W616" s="302"/>
      <c r="X616" s="302"/>
      <c r="Y616" s="302"/>
      <c r="Z616" s="302"/>
      <c r="AA616" s="302"/>
      <c r="AB616" s="302"/>
      <c r="AC616" s="302"/>
      <c r="AD616" s="302"/>
      <c r="AE616" s="302"/>
      <c r="AF616" s="302"/>
      <c r="AG616" s="302"/>
    </row>
    <row r="617" spans="1:33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335"/>
      <c r="S617" s="335"/>
      <c r="T617" s="335"/>
      <c r="U617" s="302"/>
      <c r="V617" s="302"/>
      <c r="W617" s="302"/>
      <c r="X617" s="302"/>
      <c r="Y617" s="302"/>
      <c r="Z617" s="302"/>
      <c r="AA617" s="302"/>
      <c r="AB617" s="302"/>
      <c r="AC617" s="302"/>
      <c r="AD617" s="302"/>
      <c r="AE617" s="302"/>
      <c r="AF617" s="302"/>
      <c r="AG617" s="302"/>
    </row>
    <row r="618" spans="1:33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335"/>
      <c r="S618" s="335"/>
      <c r="T618" s="335"/>
      <c r="U618" s="302"/>
      <c r="V618" s="302"/>
      <c r="W618" s="302"/>
      <c r="X618" s="302"/>
      <c r="Y618" s="302"/>
      <c r="Z618" s="302"/>
      <c r="AA618" s="302"/>
      <c r="AB618" s="302"/>
      <c r="AC618" s="302"/>
      <c r="AD618" s="302"/>
      <c r="AE618" s="302"/>
      <c r="AF618" s="302"/>
      <c r="AG618" s="302"/>
    </row>
    <row r="619" spans="1:33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335"/>
      <c r="S619" s="335"/>
      <c r="T619" s="335"/>
      <c r="U619" s="302"/>
      <c r="V619" s="302"/>
      <c r="W619" s="302"/>
      <c r="X619" s="302"/>
      <c r="Y619" s="302"/>
      <c r="Z619" s="302"/>
      <c r="AA619" s="302"/>
      <c r="AB619" s="302"/>
      <c r="AC619" s="302"/>
      <c r="AD619" s="302"/>
      <c r="AE619" s="302"/>
      <c r="AF619" s="302"/>
      <c r="AG619" s="302"/>
    </row>
    <row r="620" spans="1:33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335"/>
      <c r="S620" s="335"/>
      <c r="T620" s="335"/>
      <c r="U620" s="302"/>
      <c r="V620" s="302"/>
      <c r="W620" s="302"/>
      <c r="X620" s="302"/>
      <c r="Y620" s="302"/>
      <c r="Z620" s="302"/>
      <c r="AA620" s="302"/>
      <c r="AB620" s="302"/>
      <c r="AC620" s="302"/>
      <c r="AD620" s="302"/>
      <c r="AE620" s="302"/>
      <c r="AF620" s="302"/>
      <c r="AG620" s="302"/>
    </row>
    <row r="621" spans="1:33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335"/>
      <c r="S621" s="335"/>
      <c r="T621" s="335"/>
      <c r="U621" s="302"/>
      <c r="V621" s="302"/>
      <c r="W621" s="302"/>
      <c r="X621" s="302"/>
      <c r="Y621" s="302"/>
      <c r="Z621" s="302"/>
      <c r="AA621" s="302"/>
      <c r="AB621" s="302"/>
      <c r="AC621" s="302"/>
      <c r="AD621" s="302"/>
      <c r="AE621" s="302"/>
      <c r="AF621" s="302"/>
      <c r="AG621" s="302"/>
    </row>
    <row r="622" spans="1:33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335"/>
      <c r="S622" s="335"/>
      <c r="T622" s="335"/>
      <c r="U622" s="302"/>
      <c r="V622" s="302"/>
      <c r="W622" s="302"/>
      <c r="X622" s="302"/>
      <c r="Y622" s="302"/>
      <c r="Z622" s="302"/>
      <c r="AA622" s="302"/>
      <c r="AB622" s="302"/>
      <c r="AC622" s="302"/>
      <c r="AD622" s="302"/>
      <c r="AE622" s="302"/>
      <c r="AF622" s="302"/>
      <c r="AG622" s="302"/>
    </row>
    <row r="623" spans="1:33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335"/>
      <c r="S623" s="335"/>
      <c r="T623" s="335"/>
      <c r="U623" s="302"/>
      <c r="V623" s="302"/>
      <c r="W623" s="302"/>
      <c r="X623" s="302"/>
      <c r="Y623" s="302"/>
      <c r="Z623" s="302"/>
      <c r="AA623" s="302"/>
      <c r="AB623" s="302"/>
      <c r="AC623" s="302"/>
      <c r="AD623" s="302"/>
      <c r="AE623" s="302"/>
      <c r="AF623" s="302"/>
      <c r="AG623" s="302"/>
    </row>
    <row r="624" spans="1:33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335"/>
      <c r="S624" s="335"/>
      <c r="T624" s="335"/>
      <c r="U624" s="302"/>
      <c r="V624" s="302"/>
      <c r="W624" s="302"/>
      <c r="X624" s="302"/>
      <c r="Y624" s="302"/>
      <c r="Z624" s="302"/>
      <c r="AA624" s="302"/>
      <c r="AB624" s="302"/>
      <c r="AC624" s="302"/>
      <c r="AD624" s="302"/>
      <c r="AE624" s="302"/>
      <c r="AF624" s="302"/>
      <c r="AG624" s="302"/>
    </row>
    <row r="625" spans="1:33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335"/>
      <c r="S625" s="335"/>
      <c r="T625" s="335"/>
      <c r="U625" s="302"/>
      <c r="V625" s="302"/>
      <c r="W625" s="302"/>
      <c r="X625" s="302"/>
      <c r="Y625" s="302"/>
      <c r="Z625" s="302"/>
      <c r="AA625" s="302"/>
      <c r="AB625" s="302"/>
      <c r="AC625" s="302"/>
      <c r="AD625" s="302"/>
      <c r="AE625" s="302"/>
      <c r="AF625" s="302"/>
      <c r="AG625" s="302"/>
    </row>
    <row r="626" spans="1:33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335"/>
      <c r="S626" s="335"/>
      <c r="T626" s="335"/>
      <c r="U626" s="302"/>
      <c r="V626" s="302"/>
      <c r="W626" s="302"/>
      <c r="X626" s="302"/>
      <c r="Y626" s="302"/>
      <c r="Z626" s="302"/>
      <c r="AA626" s="302"/>
      <c r="AB626" s="302"/>
      <c r="AC626" s="302"/>
      <c r="AD626" s="302"/>
      <c r="AE626" s="302"/>
      <c r="AF626" s="302"/>
      <c r="AG626" s="302"/>
    </row>
    <row r="627" spans="1:33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335"/>
      <c r="S627" s="335"/>
      <c r="T627" s="335"/>
      <c r="U627" s="302"/>
      <c r="V627" s="302"/>
      <c r="W627" s="302"/>
      <c r="X627" s="302"/>
      <c r="Y627" s="302"/>
      <c r="Z627" s="302"/>
      <c r="AA627" s="302"/>
      <c r="AB627" s="302"/>
      <c r="AC627" s="302"/>
      <c r="AD627" s="302"/>
      <c r="AE627" s="302"/>
      <c r="AF627" s="302"/>
      <c r="AG627" s="302"/>
    </row>
    <row r="628" spans="1:33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335"/>
      <c r="S628" s="335"/>
      <c r="T628" s="335"/>
      <c r="U628" s="302"/>
      <c r="V628" s="302"/>
      <c r="W628" s="302"/>
      <c r="X628" s="302"/>
      <c r="Y628" s="302"/>
      <c r="Z628" s="302"/>
      <c r="AA628" s="302"/>
      <c r="AB628" s="302"/>
      <c r="AC628" s="302"/>
      <c r="AD628" s="302"/>
      <c r="AE628" s="302"/>
      <c r="AF628" s="302"/>
      <c r="AG628" s="302"/>
    </row>
    <row r="629" spans="1:33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335"/>
      <c r="S629" s="335"/>
      <c r="T629" s="335"/>
      <c r="U629" s="302"/>
      <c r="V629" s="302"/>
      <c r="W629" s="302"/>
      <c r="X629" s="302"/>
      <c r="Y629" s="302"/>
      <c r="Z629" s="302"/>
      <c r="AA629" s="302"/>
      <c r="AB629" s="302"/>
      <c r="AC629" s="302"/>
      <c r="AD629" s="302"/>
      <c r="AE629" s="302"/>
      <c r="AF629" s="302"/>
      <c r="AG629" s="302"/>
    </row>
    <row r="630" spans="1:33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335"/>
      <c r="S630" s="335"/>
      <c r="T630" s="335"/>
      <c r="U630" s="302"/>
      <c r="V630" s="302"/>
      <c r="W630" s="302"/>
      <c r="X630" s="302"/>
      <c r="Y630" s="302"/>
      <c r="Z630" s="302"/>
      <c r="AA630" s="302"/>
      <c r="AB630" s="302"/>
      <c r="AC630" s="302"/>
      <c r="AD630" s="302"/>
      <c r="AE630" s="302"/>
      <c r="AF630" s="302"/>
      <c r="AG630" s="302"/>
    </row>
    <row r="631" spans="1:33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335"/>
      <c r="S631" s="335"/>
      <c r="T631" s="335"/>
      <c r="U631" s="302"/>
      <c r="V631" s="302"/>
      <c r="W631" s="302"/>
      <c r="X631" s="302"/>
      <c r="Y631" s="302"/>
      <c r="Z631" s="302"/>
      <c r="AA631" s="302"/>
      <c r="AB631" s="302"/>
      <c r="AC631" s="302"/>
      <c r="AD631" s="302"/>
      <c r="AE631" s="302"/>
      <c r="AF631" s="302"/>
      <c r="AG631" s="302"/>
    </row>
    <row r="632" spans="1:33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335"/>
      <c r="S632" s="335"/>
      <c r="T632" s="335"/>
      <c r="U632" s="302"/>
      <c r="V632" s="302"/>
      <c r="W632" s="302"/>
      <c r="X632" s="302"/>
      <c r="Y632" s="302"/>
      <c r="Z632" s="302"/>
      <c r="AA632" s="302"/>
      <c r="AB632" s="302"/>
      <c r="AC632" s="302"/>
      <c r="AD632" s="302"/>
      <c r="AE632" s="302"/>
      <c r="AF632" s="302"/>
      <c r="AG632" s="302"/>
    </row>
    <row r="633" spans="1:33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335"/>
      <c r="S633" s="335"/>
      <c r="T633" s="335"/>
      <c r="U633" s="302"/>
      <c r="V633" s="302"/>
      <c r="W633" s="302"/>
      <c r="X633" s="302"/>
      <c r="Y633" s="302"/>
      <c r="Z633" s="302"/>
      <c r="AA633" s="302"/>
      <c r="AB633" s="302"/>
      <c r="AC633" s="302"/>
      <c r="AD633" s="302"/>
      <c r="AE633" s="302"/>
      <c r="AF633" s="302"/>
      <c r="AG633" s="302"/>
    </row>
    <row r="634" spans="1:33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335"/>
      <c r="S634" s="335"/>
      <c r="T634" s="335"/>
      <c r="U634" s="302"/>
      <c r="V634" s="302"/>
      <c r="W634" s="302"/>
      <c r="X634" s="302"/>
      <c r="Y634" s="302"/>
      <c r="Z634" s="302"/>
      <c r="AA634" s="302"/>
      <c r="AB634" s="302"/>
      <c r="AC634" s="302"/>
      <c r="AD634" s="302"/>
      <c r="AE634" s="302"/>
      <c r="AF634" s="302"/>
      <c r="AG634" s="302"/>
    </row>
    <row r="635" spans="1:33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335"/>
      <c r="S635" s="335"/>
      <c r="T635" s="335"/>
      <c r="U635" s="302"/>
      <c r="V635" s="302"/>
      <c r="W635" s="302"/>
      <c r="X635" s="302"/>
      <c r="Y635" s="302"/>
      <c r="Z635" s="302"/>
      <c r="AA635" s="302"/>
      <c r="AB635" s="302"/>
      <c r="AC635" s="302"/>
      <c r="AD635" s="302"/>
      <c r="AE635" s="302"/>
      <c r="AF635" s="302"/>
      <c r="AG635" s="302"/>
    </row>
    <row r="636" spans="1:33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335"/>
      <c r="S636" s="335"/>
      <c r="T636" s="335"/>
      <c r="U636" s="302"/>
      <c r="V636" s="302"/>
      <c r="W636" s="302"/>
      <c r="X636" s="302"/>
      <c r="Y636" s="302"/>
      <c r="Z636" s="302"/>
      <c r="AA636" s="302"/>
      <c r="AB636" s="302"/>
      <c r="AC636" s="302"/>
      <c r="AD636" s="302"/>
      <c r="AE636" s="302"/>
      <c r="AF636" s="302"/>
      <c r="AG636" s="302"/>
    </row>
    <row r="637" spans="1:33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335"/>
      <c r="S637" s="335"/>
      <c r="T637" s="335"/>
      <c r="U637" s="302"/>
      <c r="V637" s="302"/>
      <c r="W637" s="302"/>
      <c r="X637" s="302"/>
      <c r="Y637" s="302"/>
      <c r="Z637" s="302"/>
      <c r="AA637" s="302"/>
      <c r="AB637" s="302"/>
      <c r="AC637" s="302"/>
      <c r="AD637" s="302"/>
      <c r="AE637" s="302"/>
      <c r="AF637" s="302"/>
      <c r="AG637" s="302"/>
    </row>
    <row r="638" spans="1:33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335"/>
      <c r="S638" s="335"/>
      <c r="T638" s="335"/>
      <c r="U638" s="302"/>
      <c r="V638" s="302"/>
      <c r="W638" s="302"/>
      <c r="X638" s="302"/>
      <c r="Y638" s="302"/>
      <c r="Z638" s="302"/>
      <c r="AA638" s="302"/>
      <c r="AB638" s="302"/>
      <c r="AC638" s="302"/>
      <c r="AD638" s="302"/>
      <c r="AE638" s="302"/>
      <c r="AF638" s="302"/>
      <c r="AG638" s="302"/>
    </row>
    <row r="639" spans="1:33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335"/>
      <c r="S639" s="335"/>
      <c r="T639" s="335"/>
      <c r="U639" s="302"/>
      <c r="V639" s="302"/>
      <c r="W639" s="302"/>
      <c r="X639" s="302"/>
      <c r="Y639" s="302"/>
      <c r="Z639" s="302"/>
      <c r="AA639" s="302"/>
      <c r="AB639" s="302"/>
      <c r="AC639" s="302"/>
      <c r="AD639" s="302"/>
      <c r="AE639" s="302"/>
      <c r="AF639" s="302"/>
      <c r="AG639" s="302"/>
    </row>
    <row r="640" spans="1:33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335"/>
      <c r="S640" s="335"/>
      <c r="T640" s="335"/>
      <c r="U640" s="302"/>
      <c r="V640" s="302"/>
      <c r="W640" s="302"/>
      <c r="X640" s="302"/>
      <c r="Y640" s="302"/>
      <c r="Z640" s="302"/>
      <c r="AA640" s="302"/>
      <c r="AB640" s="302"/>
      <c r="AC640" s="302"/>
      <c r="AD640" s="302"/>
      <c r="AE640" s="302"/>
      <c r="AF640" s="302"/>
      <c r="AG640" s="302"/>
    </row>
    <row r="641" spans="1:33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335"/>
      <c r="S641" s="335"/>
      <c r="T641" s="335"/>
      <c r="U641" s="302"/>
      <c r="V641" s="302"/>
      <c r="W641" s="302"/>
      <c r="X641" s="302"/>
      <c r="Y641" s="302"/>
      <c r="Z641" s="302"/>
      <c r="AA641" s="302"/>
      <c r="AB641" s="302"/>
      <c r="AC641" s="302"/>
      <c r="AD641" s="302"/>
      <c r="AE641" s="302"/>
      <c r="AF641" s="302"/>
      <c r="AG641" s="302"/>
    </row>
    <row r="642" spans="1:33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335"/>
      <c r="S642" s="335"/>
      <c r="T642" s="335"/>
      <c r="U642" s="302"/>
      <c r="V642" s="302"/>
      <c r="W642" s="302"/>
      <c r="X642" s="302"/>
      <c r="Y642" s="302"/>
      <c r="Z642" s="302"/>
      <c r="AA642" s="302"/>
      <c r="AB642" s="302"/>
      <c r="AC642" s="302"/>
      <c r="AD642" s="302"/>
      <c r="AE642" s="302"/>
      <c r="AF642" s="302"/>
      <c r="AG642" s="302"/>
    </row>
    <row r="643" spans="1:33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335"/>
      <c r="S643" s="335"/>
      <c r="T643" s="335"/>
      <c r="U643" s="302"/>
      <c r="V643" s="302"/>
      <c r="W643" s="302"/>
      <c r="X643" s="302"/>
      <c r="Y643" s="302"/>
      <c r="Z643" s="302"/>
      <c r="AA643" s="302"/>
      <c r="AB643" s="302"/>
      <c r="AC643" s="302"/>
      <c r="AD643" s="302"/>
      <c r="AE643" s="302"/>
      <c r="AF643" s="302"/>
      <c r="AG643" s="302"/>
    </row>
    <row r="644" spans="1:33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335"/>
      <c r="S644" s="335"/>
      <c r="T644" s="335"/>
      <c r="U644" s="302"/>
      <c r="V644" s="302"/>
      <c r="W644" s="302"/>
      <c r="X644" s="302"/>
      <c r="Y644" s="302"/>
      <c r="Z644" s="302"/>
      <c r="AA644" s="302"/>
      <c r="AB644" s="302"/>
      <c r="AC644" s="302"/>
      <c r="AD644" s="302"/>
      <c r="AE644" s="302"/>
      <c r="AF644" s="302"/>
      <c r="AG644" s="302"/>
    </row>
    <row r="645" spans="1:33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335"/>
      <c r="S645" s="335"/>
      <c r="T645" s="335"/>
      <c r="U645" s="302"/>
      <c r="V645" s="302"/>
      <c r="W645" s="302"/>
      <c r="X645" s="302"/>
      <c r="Y645" s="302"/>
      <c r="Z645" s="302"/>
      <c r="AA645" s="302"/>
      <c r="AB645" s="302"/>
      <c r="AC645" s="302"/>
      <c r="AD645" s="302"/>
      <c r="AE645" s="302"/>
      <c r="AF645" s="302"/>
      <c r="AG645" s="302"/>
    </row>
    <row r="646" spans="1:33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335"/>
      <c r="S646" s="335"/>
      <c r="T646" s="335"/>
      <c r="U646" s="302"/>
      <c r="V646" s="302"/>
      <c r="W646" s="302"/>
      <c r="X646" s="302"/>
      <c r="Y646" s="302"/>
      <c r="Z646" s="302"/>
      <c r="AA646" s="302"/>
      <c r="AB646" s="302"/>
      <c r="AC646" s="302"/>
      <c r="AD646" s="302"/>
      <c r="AE646" s="302"/>
      <c r="AF646" s="302"/>
      <c r="AG646" s="302"/>
    </row>
    <row r="647" spans="1:33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335"/>
      <c r="S647" s="335"/>
      <c r="T647" s="335"/>
      <c r="U647" s="302"/>
      <c r="V647" s="302"/>
      <c r="W647" s="302"/>
      <c r="X647" s="302"/>
      <c r="Y647" s="302"/>
      <c r="Z647" s="302"/>
      <c r="AA647" s="302"/>
      <c r="AB647" s="302"/>
      <c r="AC647" s="302"/>
      <c r="AD647" s="302"/>
      <c r="AE647" s="302"/>
      <c r="AF647" s="302"/>
      <c r="AG647" s="302"/>
    </row>
    <row r="648" spans="1:33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335"/>
      <c r="S648" s="335"/>
      <c r="T648" s="335"/>
      <c r="U648" s="302"/>
      <c r="V648" s="302"/>
      <c r="W648" s="302"/>
      <c r="X648" s="302"/>
      <c r="Y648" s="302"/>
      <c r="Z648" s="302"/>
      <c r="AA648" s="302"/>
      <c r="AB648" s="302"/>
      <c r="AC648" s="302"/>
      <c r="AD648" s="302"/>
      <c r="AE648" s="302"/>
      <c r="AF648" s="302"/>
      <c r="AG648" s="302"/>
    </row>
    <row r="649" spans="1:33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335"/>
      <c r="S649" s="335"/>
      <c r="T649" s="335"/>
      <c r="U649" s="302"/>
      <c r="V649" s="302"/>
      <c r="W649" s="302"/>
      <c r="X649" s="302"/>
      <c r="Y649" s="302"/>
      <c r="Z649" s="302"/>
      <c r="AA649" s="302"/>
      <c r="AB649" s="302"/>
      <c r="AC649" s="302"/>
      <c r="AD649" s="302"/>
      <c r="AE649" s="302"/>
      <c r="AF649" s="302"/>
      <c r="AG649" s="302"/>
    </row>
    <row r="650" spans="1:33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335"/>
      <c r="S650" s="335"/>
      <c r="T650" s="335"/>
      <c r="U650" s="302"/>
      <c r="V650" s="302"/>
      <c r="W650" s="302"/>
      <c r="X650" s="302"/>
      <c r="Y650" s="302"/>
      <c r="Z650" s="302"/>
      <c r="AA650" s="302"/>
      <c r="AB650" s="302"/>
      <c r="AC650" s="302"/>
      <c r="AD650" s="302"/>
      <c r="AE650" s="302"/>
      <c r="AF650" s="302"/>
      <c r="AG650" s="302"/>
    </row>
    <row r="651" spans="1:33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335"/>
      <c r="S651" s="335"/>
      <c r="T651" s="335"/>
      <c r="U651" s="302"/>
      <c r="V651" s="302"/>
      <c r="W651" s="302"/>
      <c r="X651" s="302"/>
      <c r="Y651" s="302"/>
      <c r="Z651" s="302"/>
      <c r="AA651" s="302"/>
      <c r="AB651" s="302"/>
      <c r="AC651" s="302"/>
      <c r="AD651" s="302"/>
      <c r="AE651" s="302"/>
      <c r="AF651" s="302"/>
      <c r="AG651" s="302"/>
    </row>
    <row r="652" spans="1:33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335"/>
      <c r="S652" s="335"/>
      <c r="T652" s="335"/>
      <c r="U652" s="302"/>
      <c r="V652" s="302"/>
      <c r="W652" s="302"/>
      <c r="X652" s="302"/>
      <c r="Y652" s="302"/>
      <c r="Z652" s="302"/>
      <c r="AA652" s="302"/>
      <c r="AB652" s="302"/>
      <c r="AC652" s="302"/>
      <c r="AD652" s="302"/>
      <c r="AE652" s="302"/>
      <c r="AF652" s="302"/>
      <c r="AG652" s="302"/>
    </row>
    <row r="653" spans="1:33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335"/>
      <c r="S653" s="335"/>
      <c r="T653" s="335"/>
      <c r="U653" s="302"/>
      <c r="V653" s="302"/>
      <c r="W653" s="302"/>
      <c r="X653" s="302"/>
      <c r="Y653" s="302"/>
      <c r="Z653" s="302"/>
      <c r="AA653" s="302"/>
      <c r="AB653" s="302"/>
      <c r="AC653" s="302"/>
      <c r="AD653" s="302"/>
      <c r="AE653" s="302"/>
      <c r="AF653" s="302"/>
      <c r="AG653" s="302"/>
    </row>
    <row r="654" spans="1:33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335"/>
      <c r="S654" s="335"/>
      <c r="T654" s="335"/>
      <c r="U654" s="302"/>
      <c r="V654" s="302"/>
      <c r="W654" s="302"/>
      <c r="X654" s="302"/>
      <c r="Y654" s="302"/>
      <c r="Z654" s="302"/>
      <c r="AA654" s="302"/>
      <c r="AB654" s="302"/>
      <c r="AC654" s="302"/>
      <c r="AD654" s="302"/>
      <c r="AE654" s="302"/>
      <c r="AF654" s="302"/>
      <c r="AG654" s="302"/>
    </row>
    <row r="655" spans="1:33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335"/>
      <c r="S655" s="335"/>
      <c r="T655" s="335"/>
      <c r="U655" s="302"/>
      <c r="V655" s="302"/>
      <c r="W655" s="302"/>
      <c r="X655" s="302"/>
      <c r="Y655" s="302"/>
      <c r="Z655" s="302"/>
      <c r="AA655" s="302"/>
      <c r="AB655" s="302"/>
      <c r="AC655" s="302"/>
      <c r="AD655" s="302"/>
      <c r="AE655" s="302"/>
      <c r="AF655" s="302"/>
      <c r="AG655" s="302"/>
    </row>
    <row r="656" spans="1:33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335"/>
      <c r="S656" s="335"/>
      <c r="T656" s="335"/>
      <c r="U656" s="302"/>
      <c r="V656" s="302"/>
      <c r="W656" s="302"/>
      <c r="X656" s="302"/>
      <c r="Y656" s="302"/>
      <c r="Z656" s="302"/>
      <c r="AA656" s="302"/>
      <c r="AB656" s="302"/>
      <c r="AC656" s="302"/>
      <c r="AD656" s="302"/>
      <c r="AE656" s="302"/>
      <c r="AF656" s="302"/>
      <c r="AG656" s="302"/>
    </row>
    <row r="657" spans="1:33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335"/>
      <c r="S657" s="335"/>
      <c r="T657" s="335"/>
      <c r="U657" s="302"/>
      <c r="V657" s="302"/>
      <c r="W657" s="302"/>
      <c r="X657" s="302"/>
      <c r="Y657" s="302"/>
      <c r="Z657" s="302"/>
      <c r="AA657" s="302"/>
      <c r="AB657" s="302"/>
      <c r="AC657" s="302"/>
      <c r="AD657" s="302"/>
      <c r="AE657" s="302"/>
      <c r="AF657" s="302"/>
      <c r="AG657" s="302"/>
    </row>
    <row r="658" spans="1:33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335"/>
      <c r="S658" s="335"/>
      <c r="T658" s="335"/>
      <c r="U658" s="302"/>
      <c r="V658" s="302"/>
      <c r="W658" s="302"/>
      <c r="X658" s="302"/>
      <c r="Y658" s="302"/>
      <c r="Z658" s="302"/>
      <c r="AA658" s="302"/>
      <c r="AB658" s="302"/>
      <c r="AC658" s="302"/>
      <c r="AD658" s="302"/>
      <c r="AE658" s="302"/>
      <c r="AF658" s="302"/>
      <c r="AG658" s="302"/>
    </row>
    <row r="659" spans="1:33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335"/>
      <c r="S659" s="335"/>
      <c r="T659" s="335"/>
      <c r="U659" s="302"/>
      <c r="V659" s="302"/>
      <c r="W659" s="302"/>
      <c r="X659" s="302"/>
      <c r="Y659" s="302"/>
      <c r="Z659" s="302"/>
      <c r="AA659" s="302"/>
      <c r="AB659" s="302"/>
      <c r="AC659" s="302"/>
      <c r="AD659" s="302"/>
      <c r="AE659" s="302"/>
      <c r="AF659" s="302"/>
      <c r="AG659" s="302"/>
    </row>
    <row r="660" spans="1:33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335"/>
      <c r="S660" s="335"/>
      <c r="T660" s="335"/>
      <c r="U660" s="302"/>
      <c r="V660" s="302"/>
      <c r="W660" s="302"/>
      <c r="X660" s="302"/>
      <c r="Y660" s="302"/>
      <c r="Z660" s="302"/>
      <c r="AA660" s="302"/>
      <c r="AB660" s="302"/>
      <c r="AC660" s="302"/>
      <c r="AD660" s="302"/>
      <c r="AE660" s="302"/>
      <c r="AF660" s="302"/>
      <c r="AG660" s="302"/>
    </row>
    <row r="661" spans="1:33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335"/>
      <c r="S661" s="335"/>
      <c r="T661" s="335"/>
      <c r="U661" s="302"/>
      <c r="V661" s="302"/>
      <c r="W661" s="302"/>
      <c r="X661" s="302"/>
      <c r="Y661" s="302"/>
      <c r="Z661" s="302"/>
      <c r="AA661" s="302"/>
      <c r="AB661" s="302"/>
      <c r="AC661" s="302"/>
      <c r="AD661" s="302"/>
      <c r="AE661" s="302"/>
      <c r="AF661" s="302"/>
      <c r="AG661" s="302"/>
    </row>
    <row r="662" spans="1:33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335"/>
      <c r="S662" s="335"/>
      <c r="T662" s="335"/>
      <c r="U662" s="302"/>
      <c r="V662" s="302"/>
      <c r="W662" s="302"/>
      <c r="X662" s="302"/>
      <c r="Y662" s="302"/>
      <c r="Z662" s="302"/>
      <c r="AA662" s="302"/>
      <c r="AB662" s="302"/>
      <c r="AC662" s="302"/>
      <c r="AD662" s="302"/>
      <c r="AE662" s="302"/>
      <c r="AF662" s="302"/>
      <c r="AG662" s="302"/>
    </row>
    <row r="663" spans="1:33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335"/>
      <c r="S663" s="335"/>
      <c r="T663" s="335"/>
      <c r="U663" s="302"/>
      <c r="V663" s="302"/>
      <c r="W663" s="302"/>
      <c r="X663" s="302"/>
      <c r="Y663" s="302"/>
      <c r="Z663" s="302"/>
      <c r="AA663" s="302"/>
      <c r="AB663" s="302"/>
      <c r="AC663" s="302"/>
      <c r="AD663" s="302"/>
      <c r="AE663" s="302"/>
      <c r="AF663" s="302"/>
      <c r="AG663" s="302"/>
    </row>
    <row r="664" spans="1:33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335"/>
      <c r="S664" s="335"/>
      <c r="T664" s="335"/>
      <c r="U664" s="302"/>
      <c r="V664" s="302"/>
      <c r="W664" s="302"/>
      <c r="X664" s="302"/>
      <c r="Y664" s="302"/>
      <c r="Z664" s="302"/>
      <c r="AA664" s="302"/>
      <c r="AB664" s="302"/>
      <c r="AC664" s="302"/>
      <c r="AD664" s="302"/>
      <c r="AE664" s="302"/>
      <c r="AF664" s="302"/>
      <c r="AG664" s="302"/>
    </row>
    <row r="665" spans="1:33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335"/>
      <c r="S665" s="335"/>
      <c r="T665" s="335"/>
      <c r="U665" s="302"/>
      <c r="V665" s="302"/>
      <c r="W665" s="302"/>
      <c r="X665" s="302"/>
      <c r="Y665" s="302"/>
      <c r="Z665" s="302"/>
      <c r="AA665" s="302"/>
      <c r="AB665" s="302"/>
      <c r="AC665" s="302"/>
      <c r="AD665" s="302"/>
      <c r="AE665" s="302"/>
      <c r="AF665" s="302"/>
      <c r="AG665" s="302"/>
    </row>
    <row r="666" spans="1:33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335"/>
      <c r="S666" s="335"/>
      <c r="T666" s="335"/>
      <c r="U666" s="302"/>
      <c r="V666" s="302"/>
      <c r="W666" s="302"/>
      <c r="X666" s="302"/>
      <c r="Y666" s="302"/>
      <c r="Z666" s="302"/>
      <c r="AA666" s="302"/>
      <c r="AB666" s="302"/>
      <c r="AC666" s="302"/>
      <c r="AD666" s="302"/>
      <c r="AE666" s="302"/>
      <c r="AF666" s="302"/>
      <c r="AG666" s="302"/>
    </row>
    <row r="667" spans="1:33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335"/>
      <c r="S667" s="335"/>
      <c r="T667" s="335"/>
      <c r="U667" s="302"/>
      <c r="V667" s="302"/>
      <c r="W667" s="302"/>
      <c r="X667" s="302"/>
      <c r="Y667" s="302"/>
      <c r="Z667" s="302"/>
      <c r="AA667" s="302"/>
      <c r="AB667" s="302"/>
      <c r="AC667" s="302"/>
      <c r="AD667" s="302"/>
      <c r="AE667" s="302"/>
      <c r="AF667" s="302"/>
      <c r="AG667" s="302"/>
    </row>
    <row r="668" spans="1:33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335"/>
      <c r="S668" s="335"/>
      <c r="T668" s="335"/>
      <c r="U668" s="302"/>
      <c r="V668" s="302"/>
      <c r="W668" s="302"/>
      <c r="X668" s="302"/>
      <c r="Y668" s="302"/>
      <c r="Z668" s="302"/>
      <c r="AA668" s="302"/>
      <c r="AB668" s="302"/>
      <c r="AC668" s="302"/>
      <c r="AD668" s="302"/>
      <c r="AE668" s="302"/>
      <c r="AF668" s="302"/>
      <c r="AG668" s="302"/>
    </row>
    <row r="669" spans="1:33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335"/>
      <c r="S669" s="335"/>
      <c r="T669" s="335"/>
      <c r="U669" s="302"/>
      <c r="V669" s="302"/>
      <c r="W669" s="302"/>
      <c r="X669" s="302"/>
      <c r="Y669" s="302"/>
      <c r="Z669" s="302"/>
      <c r="AA669" s="302"/>
      <c r="AB669" s="302"/>
      <c r="AC669" s="302"/>
      <c r="AD669" s="302"/>
      <c r="AE669" s="302"/>
      <c r="AF669" s="302"/>
      <c r="AG669" s="302"/>
    </row>
    <row r="670" spans="1:33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335"/>
      <c r="S670" s="335"/>
      <c r="T670" s="335"/>
      <c r="U670" s="302"/>
      <c r="V670" s="302"/>
      <c r="W670" s="302"/>
      <c r="X670" s="302"/>
      <c r="Y670" s="302"/>
      <c r="Z670" s="302"/>
      <c r="AA670" s="302"/>
      <c r="AB670" s="302"/>
      <c r="AC670" s="302"/>
      <c r="AD670" s="302"/>
      <c r="AE670" s="302"/>
      <c r="AF670" s="302"/>
      <c r="AG670" s="302"/>
    </row>
    <row r="671" spans="1:33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335"/>
      <c r="S671" s="335"/>
      <c r="T671" s="335"/>
      <c r="U671" s="302"/>
      <c r="V671" s="302"/>
      <c r="W671" s="302"/>
      <c r="X671" s="302"/>
      <c r="Y671" s="302"/>
      <c r="Z671" s="302"/>
      <c r="AA671" s="302"/>
      <c r="AB671" s="302"/>
      <c r="AC671" s="302"/>
      <c r="AD671" s="302"/>
      <c r="AE671" s="302"/>
      <c r="AF671" s="302"/>
      <c r="AG671" s="302"/>
    </row>
    <row r="672" spans="1:33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335"/>
      <c r="S672" s="335"/>
      <c r="T672" s="335"/>
      <c r="U672" s="302"/>
      <c r="V672" s="302"/>
      <c r="W672" s="302"/>
      <c r="X672" s="302"/>
      <c r="Y672" s="302"/>
      <c r="Z672" s="302"/>
      <c r="AA672" s="302"/>
      <c r="AB672" s="302"/>
      <c r="AC672" s="302"/>
      <c r="AD672" s="302"/>
      <c r="AE672" s="302"/>
      <c r="AF672" s="302"/>
      <c r="AG672" s="302"/>
    </row>
    <row r="673" spans="1:33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335"/>
      <c r="S673" s="335"/>
      <c r="T673" s="335"/>
      <c r="U673" s="302"/>
      <c r="V673" s="302"/>
      <c r="W673" s="302"/>
      <c r="X673" s="302"/>
      <c r="Y673" s="302"/>
      <c r="Z673" s="302"/>
      <c r="AA673" s="302"/>
      <c r="AB673" s="302"/>
      <c r="AC673" s="302"/>
      <c r="AD673" s="302"/>
      <c r="AE673" s="302"/>
      <c r="AF673" s="302"/>
      <c r="AG673" s="302"/>
    </row>
    <row r="674" spans="1:33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335"/>
      <c r="S674" s="335"/>
      <c r="T674" s="335"/>
      <c r="U674" s="302"/>
      <c r="V674" s="302"/>
      <c r="W674" s="302"/>
      <c r="X674" s="302"/>
      <c r="Y674" s="302"/>
      <c r="Z674" s="302"/>
      <c r="AA674" s="302"/>
      <c r="AB674" s="302"/>
      <c r="AC674" s="302"/>
      <c r="AD674" s="302"/>
      <c r="AE674" s="302"/>
      <c r="AF674" s="302"/>
      <c r="AG674" s="302"/>
    </row>
    <row r="675" spans="1:33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335"/>
      <c r="S675" s="335"/>
      <c r="T675" s="335"/>
      <c r="U675" s="302"/>
      <c r="V675" s="302"/>
      <c r="W675" s="302"/>
      <c r="X675" s="302"/>
      <c r="Y675" s="302"/>
      <c r="Z675" s="302"/>
      <c r="AA675" s="302"/>
      <c r="AB675" s="302"/>
      <c r="AC675" s="302"/>
      <c r="AD675" s="302"/>
      <c r="AE675" s="302"/>
      <c r="AF675" s="302"/>
      <c r="AG675" s="302"/>
    </row>
    <row r="676" spans="1:33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335"/>
      <c r="S676" s="335"/>
      <c r="T676" s="335"/>
      <c r="U676" s="302"/>
      <c r="V676" s="302"/>
      <c r="W676" s="302"/>
      <c r="X676" s="302"/>
      <c r="Y676" s="302"/>
      <c r="Z676" s="302"/>
      <c r="AA676" s="302"/>
      <c r="AB676" s="302"/>
      <c r="AC676" s="302"/>
      <c r="AD676" s="302"/>
      <c r="AE676" s="302"/>
      <c r="AF676" s="302"/>
      <c r="AG676" s="302"/>
    </row>
    <row r="677" spans="1:33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335"/>
      <c r="S677" s="335"/>
      <c r="T677" s="335"/>
      <c r="U677" s="302"/>
      <c r="V677" s="302"/>
      <c r="W677" s="302"/>
      <c r="X677" s="302"/>
      <c r="Y677" s="302"/>
      <c r="Z677" s="302"/>
      <c r="AA677" s="302"/>
      <c r="AB677" s="302"/>
      <c r="AC677" s="302"/>
      <c r="AD677" s="302"/>
      <c r="AE677" s="302"/>
      <c r="AF677" s="302"/>
      <c r="AG677" s="302"/>
    </row>
    <row r="678" spans="1:33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335"/>
      <c r="S678" s="335"/>
      <c r="T678" s="335"/>
      <c r="U678" s="302"/>
      <c r="V678" s="302"/>
      <c r="W678" s="302"/>
      <c r="X678" s="302"/>
      <c r="Y678" s="302"/>
      <c r="Z678" s="302"/>
      <c r="AA678" s="302"/>
      <c r="AB678" s="302"/>
      <c r="AC678" s="302"/>
      <c r="AD678" s="302"/>
      <c r="AE678" s="302"/>
      <c r="AF678" s="302"/>
      <c r="AG678" s="302"/>
    </row>
    <row r="679" spans="1:33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335"/>
      <c r="S679" s="335"/>
      <c r="T679" s="335"/>
      <c r="U679" s="302"/>
      <c r="V679" s="302"/>
      <c r="W679" s="302"/>
      <c r="X679" s="302"/>
      <c r="Y679" s="302"/>
      <c r="Z679" s="302"/>
      <c r="AA679" s="302"/>
      <c r="AB679" s="302"/>
      <c r="AC679" s="302"/>
      <c r="AD679" s="302"/>
      <c r="AE679" s="302"/>
      <c r="AF679" s="302"/>
      <c r="AG679" s="302"/>
    </row>
    <row r="680" spans="1:33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335"/>
      <c r="S680" s="335"/>
      <c r="T680" s="335"/>
      <c r="U680" s="302"/>
      <c r="V680" s="302"/>
      <c r="W680" s="302"/>
      <c r="X680" s="302"/>
      <c r="Y680" s="302"/>
      <c r="Z680" s="302"/>
      <c r="AA680" s="302"/>
      <c r="AB680" s="302"/>
      <c r="AC680" s="302"/>
      <c r="AD680" s="302"/>
      <c r="AE680" s="302"/>
      <c r="AF680" s="302"/>
      <c r="AG680" s="302"/>
    </row>
    <row r="681" spans="1:33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335"/>
      <c r="S681" s="335"/>
      <c r="T681" s="335"/>
      <c r="U681" s="302"/>
      <c r="V681" s="302"/>
      <c r="W681" s="302"/>
      <c r="X681" s="302"/>
      <c r="Y681" s="302"/>
      <c r="Z681" s="302"/>
      <c r="AA681" s="302"/>
      <c r="AB681" s="302"/>
      <c r="AC681" s="302"/>
      <c r="AD681" s="302"/>
      <c r="AE681" s="302"/>
      <c r="AF681" s="302"/>
      <c r="AG681" s="302"/>
    </row>
    <row r="682" spans="1:33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335"/>
      <c r="S682" s="335"/>
      <c r="T682" s="335"/>
      <c r="U682" s="302"/>
      <c r="V682" s="302"/>
      <c r="W682" s="302"/>
      <c r="X682" s="302"/>
      <c r="Y682" s="302"/>
      <c r="Z682" s="302"/>
      <c r="AA682" s="302"/>
      <c r="AB682" s="302"/>
      <c r="AC682" s="302"/>
      <c r="AD682" s="302"/>
      <c r="AE682" s="302"/>
      <c r="AF682" s="302"/>
      <c r="AG682" s="302"/>
    </row>
    <row r="683" spans="1:33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335"/>
      <c r="S683" s="335"/>
      <c r="T683" s="335"/>
      <c r="U683" s="302"/>
      <c r="V683" s="302"/>
      <c r="W683" s="302"/>
      <c r="X683" s="302"/>
      <c r="Y683" s="302"/>
      <c r="Z683" s="302"/>
      <c r="AA683" s="302"/>
      <c r="AB683" s="302"/>
      <c r="AC683" s="302"/>
      <c r="AD683" s="302"/>
      <c r="AE683" s="302"/>
      <c r="AF683" s="302"/>
      <c r="AG683" s="302"/>
    </row>
    <row r="684" spans="1:33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335"/>
      <c r="S684" s="335"/>
      <c r="T684" s="335"/>
      <c r="U684" s="302"/>
      <c r="V684" s="302"/>
      <c r="W684" s="302"/>
      <c r="X684" s="302"/>
      <c r="Y684" s="302"/>
      <c r="Z684" s="302"/>
      <c r="AA684" s="302"/>
      <c r="AB684" s="302"/>
      <c r="AC684" s="302"/>
      <c r="AD684" s="302"/>
      <c r="AE684" s="302"/>
      <c r="AF684" s="302"/>
      <c r="AG684" s="302"/>
    </row>
    <row r="685" spans="1:33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335"/>
      <c r="S685" s="335"/>
      <c r="T685" s="335"/>
      <c r="U685" s="302"/>
      <c r="V685" s="302"/>
      <c r="W685" s="302"/>
      <c r="X685" s="302"/>
      <c r="Y685" s="302"/>
      <c r="Z685" s="302"/>
      <c r="AA685" s="302"/>
      <c r="AB685" s="302"/>
      <c r="AC685" s="302"/>
      <c r="AD685" s="302"/>
      <c r="AE685" s="302"/>
      <c r="AF685" s="302"/>
      <c r="AG685" s="302"/>
    </row>
    <row r="686" spans="1:33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335"/>
      <c r="S686" s="335"/>
      <c r="T686" s="335"/>
      <c r="U686" s="302"/>
      <c r="V686" s="302"/>
      <c r="W686" s="302"/>
      <c r="X686" s="302"/>
      <c r="Y686" s="302"/>
      <c r="Z686" s="302"/>
      <c r="AA686" s="302"/>
      <c r="AB686" s="302"/>
      <c r="AC686" s="302"/>
      <c r="AD686" s="302"/>
      <c r="AE686" s="302"/>
      <c r="AF686" s="302"/>
      <c r="AG686" s="302"/>
    </row>
    <row r="687" spans="1:33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335"/>
      <c r="S687" s="335"/>
      <c r="T687" s="335"/>
      <c r="U687" s="302"/>
      <c r="V687" s="302"/>
      <c r="W687" s="302"/>
      <c r="X687" s="302"/>
      <c r="Y687" s="302"/>
      <c r="Z687" s="302"/>
      <c r="AA687" s="302"/>
      <c r="AB687" s="302"/>
      <c r="AC687" s="302"/>
      <c r="AD687" s="302"/>
      <c r="AE687" s="302"/>
      <c r="AF687" s="302"/>
      <c r="AG687" s="302"/>
    </row>
    <row r="688" spans="1:33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335"/>
      <c r="S688" s="335"/>
      <c r="T688" s="335"/>
      <c r="U688" s="302"/>
      <c r="V688" s="302"/>
      <c r="W688" s="302"/>
      <c r="X688" s="302"/>
      <c r="Y688" s="302"/>
      <c r="Z688" s="302"/>
      <c r="AA688" s="302"/>
      <c r="AB688" s="302"/>
      <c r="AC688" s="302"/>
      <c r="AD688" s="302"/>
      <c r="AE688" s="302"/>
      <c r="AF688" s="302"/>
      <c r="AG688" s="302"/>
    </row>
    <row r="689" spans="1:33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335"/>
      <c r="S689" s="335"/>
      <c r="T689" s="335"/>
      <c r="U689" s="302"/>
      <c r="V689" s="302"/>
      <c r="W689" s="302"/>
      <c r="X689" s="302"/>
      <c r="Y689" s="302"/>
      <c r="Z689" s="302"/>
      <c r="AA689" s="302"/>
      <c r="AB689" s="302"/>
      <c r="AC689" s="302"/>
      <c r="AD689" s="302"/>
      <c r="AE689" s="302"/>
      <c r="AF689" s="302"/>
      <c r="AG689" s="302"/>
    </row>
    <row r="690" spans="1:33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335"/>
      <c r="S690" s="335"/>
      <c r="T690" s="335"/>
      <c r="U690" s="302"/>
      <c r="V690" s="302"/>
      <c r="W690" s="302"/>
      <c r="X690" s="302"/>
      <c r="Y690" s="302"/>
      <c r="Z690" s="302"/>
      <c r="AA690" s="302"/>
      <c r="AB690" s="302"/>
      <c r="AC690" s="302"/>
      <c r="AD690" s="302"/>
      <c r="AE690" s="302"/>
      <c r="AF690" s="302"/>
      <c r="AG690" s="302"/>
    </row>
    <row r="691" spans="1:33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335"/>
      <c r="S691" s="335"/>
      <c r="T691" s="335"/>
      <c r="U691" s="302"/>
      <c r="V691" s="302"/>
      <c r="W691" s="302"/>
      <c r="X691" s="302"/>
      <c r="Y691" s="302"/>
      <c r="Z691" s="302"/>
      <c r="AA691" s="302"/>
      <c r="AB691" s="302"/>
      <c r="AC691" s="302"/>
      <c r="AD691" s="302"/>
      <c r="AE691" s="302"/>
      <c r="AF691" s="302"/>
      <c r="AG691" s="302"/>
    </row>
    <row r="692" spans="1:33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335"/>
      <c r="S692" s="335"/>
      <c r="T692" s="335"/>
      <c r="U692" s="302"/>
      <c r="V692" s="302"/>
      <c r="W692" s="302"/>
      <c r="X692" s="302"/>
      <c r="Y692" s="302"/>
      <c r="Z692" s="302"/>
      <c r="AA692" s="302"/>
      <c r="AB692" s="302"/>
      <c r="AC692" s="302"/>
      <c r="AD692" s="302"/>
      <c r="AE692" s="302"/>
      <c r="AF692" s="302"/>
      <c r="AG692" s="302"/>
    </row>
    <row r="693" spans="1:33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335"/>
      <c r="S693" s="335"/>
      <c r="T693" s="335"/>
      <c r="U693" s="302"/>
      <c r="V693" s="302"/>
      <c r="W693" s="302"/>
      <c r="X693" s="302"/>
      <c r="Y693" s="302"/>
      <c r="Z693" s="302"/>
      <c r="AA693" s="302"/>
      <c r="AB693" s="302"/>
      <c r="AC693" s="302"/>
      <c r="AD693" s="302"/>
      <c r="AE693" s="302"/>
      <c r="AF693" s="302"/>
      <c r="AG693" s="302"/>
    </row>
    <row r="694" spans="1:33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335"/>
      <c r="S694" s="335"/>
      <c r="T694" s="335"/>
      <c r="U694" s="302"/>
      <c r="V694" s="302"/>
      <c r="W694" s="302"/>
      <c r="X694" s="302"/>
      <c r="Y694" s="302"/>
      <c r="Z694" s="302"/>
      <c r="AA694" s="302"/>
      <c r="AB694" s="302"/>
      <c r="AC694" s="302"/>
      <c r="AD694" s="302"/>
      <c r="AE694" s="302"/>
      <c r="AF694" s="302"/>
      <c r="AG694" s="302"/>
    </row>
    <row r="695" spans="1:33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335"/>
      <c r="S695" s="335"/>
      <c r="T695" s="335"/>
      <c r="U695" s="302"/>
      <c r="V695" s="302"/>
      <c r="W695" s="302"/>
      <c r="X695" s="302"/>
      <c r="Y695" s="302"/>
      <c r="Z695" s="302"/>
      <c r="AA695" s="302"/>
      <c r="AB695" s="302"/>
      <c r="AC695" s="302"/>
      <c r="AD695" s="302"/>
      <c r="AE695" s="302"/>
      <c r="AF695" s="302"/>
      <c r="AG695" s="302"/>
    </row>
    <row r="696" spans="1:33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335"/>
      <c r="S696" s="335"/>
      <c r="T696" s="335"/>
      <c r="U696" s="302"/>
      <c r="V696" s="302"/>
      <c r="W696" s="302"/>
      <c r="X696" s="302"/>
      <c r="Y696" s="302"/>
      <c r="Z696" s="302"/>
      <c r="AA696" s="302"/>
      <c r="AB696" s="302"/>
      <c r="AC696" s="302"/>
      <c r="AD696" s="302"/>
      <c r="AE696" s="302"/>
      <c r="AF696" s="302"/>
      <c r="AG696" s="302"/>
    </row>
    <row r="697" spans="1:33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335"/>
      <c r="S697" s="335"/>
      <c r="T697" s="335"/>
      <c r="U697" s="302"/>
      <c r="V697" s="302"/>
      <c r="W697" s="302"/>
      <c r="X697" s="302"/>
      <c r="Y697" s="302"/>
      <c r="Z697" s="302"/>
      <c r="AA697" s="302"/>
      <c r="AB697" s="302"/>
      <c r="AC697" s="302"/>
      <c r="AD697" s="302"/>
      <c r="AE697" s="302"/>
      <c r="AF697" s="302"/>
      <c r="AG697" s="302"/>
    </row>
    <row r="698" spans="1:33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335"/>
      <c r="S698" s="335"/>
      <c r="T698" s="335"/>
      <c r="U698" s="302"/>
      <c r="V698" s="302"/>
      <c r="W698" s="302"/>
      <c r="X698" s="302"/>
      <c r="Y698" s="302"/>
      <c r="Z698" s="302"/>
      <c r="AA698" s="302"/>
      <c r="AB698" s="302"/>
      <c r="AC698" s="302"/>
      <c r="AD698" s="302"/>
      <c r="AE698" s="302"/>
      <c r="AF698" s="302"/>
      <c r="AG698" s="302"/>
    </row>
    <row r="699" spans="1:33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335"/>
      <c r="S699" s="335"/>
      <c r="T699" s="335"/>
      <c r="U699" s="302"/>
      <c r="V699" s="302"/>
      <c r="W699" s="302"/>
      <c r="X699" s="302"/>
      <c r="Y699" s="302"/>
      <c r="Z699" s="302"/>
      <c r="AA699" s="302"/>
      <c r="AB699" s="302"/>
      <c r="AC699" s="302"/>
      <c r="AD699" s="302"/>
      <c r="AE699" s="302"/>
      <c r="AF699" s="302"/>
      <c r="AG699" s="302"/>
    </row>
    <row r="700" spans="1:33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335"/>
      <c r="S700" s="335"/>
      <c r="T700" s="335"/>
      <c r="U700" s="302"/>
      <c r="V700" s="302"/>
      <c r="W700" s="302"/>
      <c r="X700" s="302"/>
      <c r="Y700" s="302"/>
      <c r="Z700" s="302"/>
      <c r="AA700" s="302"/>
      <c r="AB700" s="302"/>
      <c r="AC700" s="302"/>
      <c r="AD700" s="302"/>
      <c r="AE700" s="302"/>
      <c r="AF700" s="302"/>
      <c r="AG700" s="302"/>
    </row>
    <row r="701" spans="1:33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335"/>
      <c r="S701" s="335"/>
      <c r="T701" s="335"/>
      <c r="U701" s="302"/>
      <c r="V701" s="302"/>
      <c r="W701" s="302"/>
      <c r="X701" s="302"/>
      <c r="Y701" s="302"/>
      <c r="Z701" s="302"/>
      <c r="AA701" s="302"/>
      <c r="AB701" s="302"/>
      <c r="AC701" s="302"/>
      <c r="AD701" s="302"/>
      <c r="AE701" s="302"/>
      <c r="AF701" s="302"/>
      <c r="AG701" s="302"/>
    </row>
    <row r="702" spans="1:33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335"/>
      <c r="S702" s="335"/>
      <c r="T702" s="335"/>
      <c r="U702" s="302"/>
      <c r="V702" s="302"/>
      <c r="W702" s="302"/>
      <c r="X702" s="302"/>
      <c r="Y702" s="302"/>
      <c r="Z702" s="302"/>
      <c r="AA702" s="302"/>
      <c r="AB702" s="302"/>
      <c r="AC702" s="302"/>
      <c r="AD702" s="302"/>
      <c r="AE702" s="302"/>
      <c r="AF702" s="302"/>
      <c r="AG702" s="302"/>
    </row>
    <row r="703" spans="1:33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335"/>
      <c r="S703" s="335"/>
      <c r="T703" s="335"/>
      <c r="U703" s="302"/>
      <c r="V703" s="302"/>
      <c r="W703" s="302"/>
      <c r="X703" s="302"/>
      <c r="Y703" s="302"/>
      <c r="Z703" s="302"/>
      <c r="AA703" s="302"/>
      <c r="AB703" s="302"/>
      <c r="AC703" s="302"/>
      <c r="AD703" s="302"/>
      <c r="AE703" s="302"/>
      <c r="AF703" s="302"/>
      <c r="AG703" s="302"/>
    </row>
    <row r="704" spans="1:33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335"/>
      <c r="S704" s="335"/>
      <c r="T704" s="335"/>
      <c r="U704" s="302"/>
      <c r="V704" s="302"/>
      <c r="W704" s="302"/>
      <c r="X704" s="302"/>
      <c r="Y704" s="302"/>
      <c r="Z704" s="302"/>
      <c r="AA704" s="302"/>
      <c r="AB704" s="302"/>
      <c r="AC704" s="302"/>
      <c r="AD704" s="302"/>
      <c r="AE704" s="302"/>
      <c r="AF704" s="302"/>
      <c r="AG704" s="302"/>
    </row>
    <row r="705" spans="1:33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335"/>
      <c r="S705" s="335"/>
      <c r="T705" s="335"/>
      <c r="U705" s="302"/>
      <c r="V705" s="302"/>
      <c r="W705" s="302"/>
      <c r="X705" s="302"/>
      <c r="Y705" s="302"/>
      <c r="Z705" s="302"/>
      <c r="AA705" s="302"/>
      <c r="AB705" s="302"/>
      <c r="AC705" s="302"/>
      <c r="AD705" s="302"/>
      <c r="AE705" s="302"/>
      <c r="AF705" s="302"/>
      <c r="AG705" s="302"/>
    </row>
    <row r="706" spans="1:33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335"/>
      <c r="S706" s="335"/>
      <c r="T706" s="335"/>
      <c r="U706" s="302"/>
      <c r="V706" s="302"/>
      <c r="W706" s="302"/>
      <c r="X706" s="302"/>
      <c r="Y706" s="302"/>
      <c r="Z706" s="302"/>
      <c r="AA706" s="302"/>
      <c r="AB706" s="302"/>
      <c r="AC706" s="302"/>
      <c r="AD706" s="302"/>
      <c r="AE706" s="302"/>
      <c r="AF706" s="302"/>
      <c r="AG706" s="302"/>
    </row>
    <row r="707" spans="1:33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335"/>
      <c r="S707" s="335"/>
      <c r="T707" s="335"/>
      <c r="U707" s="302"/>
      <c r="V707" s="302"/>
      <c r="W707" s="302"/>
      <c r="X707" s="302"/>
      <c r="Y707" s="302"/>
      <c r="Z707" s="302"/>
      <c r="AA707" s="302"/>
      <c r="AB707" s="302"/>
      <c r="AC707" s="302"/>
      <c r="AD707" s="302"/>
      <c r="AE707" s="302"/>
      <c r="AF707" s="302"/>
      <c r="AG707" s="302"/>
    </row>
    <row r="708" spans="1:33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335"/>
      <c r="S708" s="335"/>
      <c r="T708" s="335"/>
      <c r="U708" s="302"/>
      <c r="V708" s="302"/>
      <c r="W708" s="302"/>
      <c r="X708" s="302"/>
      <c r="Y708" s="302"/>
      <c r="Z708" s="302"/>
      <c r="AA708" s="302"/>
      <c r="AB708" s="302"/>
      <c r="AC708" s="302"/>
      <c r="AD708" s="302"/>
      <c r="AE708" s="302"/>
      <c r="AF708" s="302"/>
      <c r="AG708" s="302"/>
    </row>
    <row r="709" spans="1:33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335"/>
      <c r="S709" s="335"/>
      <c r="T709" s="335"/>
      <c r="U709" s="302"/>
      <c r="V709" s="302"/>
      <c r="W709" s="302"/>
      <c r="X709" s="302"/>
      <c r="Y709" s="302"/>
      <c r="Z709" s="302"/>
      <c r="AA709" s="302"/>
      <c r="AB709" s="302"/>
      <c r="AC709" s="302"/>
      <c r="AD709" s="302"/>
      <c r="AE709" s="302"/>
      <c r="AF709" s="302"/>
      <c r="AG709" s="302"/>
    </row>
    <row r="710" spans="1:33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335"/>
      <c r="S710" s="335"/>
      <c r="T710" s="335"/>
      <c r="U710" s="302"/>
      <c r="V710" s="302"/>
      <c r="W710" s="302"/>
      <c r="X710" s="302"/>
      <c r="Y710" s="302"/>
      <c r="Z710" s="302"/>
      <c r="AA710" s="302"/>
      <c r="AB710" s="302"/>
      <c r="AC710" s="302"/>
      <c r="AD710" s="302"/>
      <c r="AE710" s="302"/>
      <c r="AF710" s="302"/>
      <c r="AG710" s="302"/>
    </row>
    <row r="711" spans="1:33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335"/>
      <c r="S711" s="335"/>
      <c r="T711" s="335"/>
      <c r="U711" s="302"/>
      <c r="V711" s="302"/>
      <c r="W711" s="302"/>
      <c r="X711" s="302"/>
      <c r="Y711" s="302"/>
      <c r="Z711" s="302"/>
      <c r="AA711" s="302"/>
      <c r="AB711" s="302"/>
      <c r="AC711" s="302"/>
      <c r="AD711" s="302"/>
      <c r="AE711" s="302"/>
      <c r="AF711" s="302"/>
      <c r="AG711" s="302"/>
    </row>
    <row r="712" spans="1:33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335"/>
      <c r="S712" s="335"/>
      <c r="T712" s="335"/>
      <c r="U712" s="302"/>
      <c r="V712" s="302"/>
      <c r="W712" s="302"/>
      <c r="X712" s="302"/>
      <c r="Y712" s="302"/>
      <c r="Z712" s="302"/>
      <c r="AA712" s="302"/>
      <c r="AB712" s="302"/>
      <c r="AC712" s="302"/>
      <c r="AD712" s="302"/>
      <c r="AE712" s="302"/>
      <c r="AF712" s="302"/>
      <c r="AG712" s="302"/>
    </row>
    <row r="713" spans="1:33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335"/>
      <c r="S713" s="335"/>
      <c r="T713" s="335"/>
      <c r="U713" s="302"/>
      <c r="V713" s="302"/>
      <c r="W713" s="302"/>
      <c r="X713" s="302"/>
      <c r="Y713" s="302"/>
      <c r="Z713" s="302"/>
      <c r="AA713" s="302"/>
      <c r="AB713" s="302"/>
      <c r="AC713" s="302"/>
      <c r="AD713" s="302"/>
      <c r="AE713" s="302"/>
      <c r="AF713" s="302"/>
      <c r="AG713" s="302"/>
    </row>
    <row r="714" spans="1:33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335"/>
      <c r="S714" s="335"/>
      <c r="T714" s="335"/>
      <c r="U714" s="302"/>
      <c r="V714" s="302"/>
      <c r="W714" s="302"/>
      <c r="X714" s="302"/>
      <c r="Y714" s="302"/>
      <c r="Z714" s="302"/>
      <c r="AA714" s="302"/>
      <c r="AB714" s="302"/>
      <c r="AC714" s="302"/>
      <c r="AD714" s="302"/>
      <c r="AE714" s="302"/>
      <c r="AF714" s="302"/>
      <c r="AG714" s="302"/>
    </row>
    <row r="715" spans="1:33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335"/>
      <c r="S715" s="335"/>
      <c r="T715" s="335"/>
      <c r="U715" s="302"/>
      <c r="V715" s="302"/>
      <c r="W715" s="302"/>
      <c r="X715" s="302"/>
      <c r="Y715" s="302"/>
      <c r="Z715" s="302"/>
      <c r="AA715" s="302"/>
      <c r="AB715" s="302"/>
      <c r="AC715" s="302"/>
      <c r="AD715" s="302"/>
      <c r="AE715" s="302"/>
      <c r="AF715" s="302"/>
      <c r="AG715" s="302"/>
    </row>
    <row r="716" spans="1:33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335"/>
      <c r="S716" s="335"/>
      <c r="T716" s="335"/>
      <c r="U716" s="302"/>
      <c r="V716" s="302"/>
      <c r="W716" s="302"/>
      <c r="X716" s="302"/>
      <c r="Y716" s="302"/>
      <c r="Z716" s="302"/>
      <c r="AA716" s="302"/>
      <c r="AB716" s="302"/>
      <c r="AC716" s="302"/>
      <c r="AD716" s="302"/>
      <c r="AE716" s="302"/>
      <c r="AF716" s="302"/>
      <c r="AG716" s="302"/>
    </row>
    <row r="717" spans="1:33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335"/>
      <c r="S717" s="335"/>
      <c r="T717" s="335"/>
      <c r="U717" s="302"/>
      <c r="V717" s="302"/>
      <c r="W717" s="302"/>
      <c r="X717" s="302"/>
      <c r="Y717" s="302"/>
      <c r="Z717" s="302"/>
      <c r="AA717" s="302"/>
      <c r="AB717" s="302"/>
      <c r="AC717" s="302"/>
      <c r="AD717" s="302"/>
      <c r="AE717" s="302"/>
      <c r="AF717" s="302"/>
      <c r="AG717" s="302"/>
    </row>
    <row r="718" spans="1:33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335"/>
      <c r="S718" s="335"/>
      <c r="T718" s="335"/>
      <c r="U718" s="302"/>
      <c r="V718" s="302"/>
      <c r="W718" s="302"/>
      <c r="X718" s="302"/>
      <c r="Y718" s="302"/>
      <c r="Z718" s="302"/>
      <c r="AA718" s="302"/>
      <c r="AB718" s="302"/>
      <c r="AC718" s="302"/>
      <c r="AD718" s="302"/>
      <c r="AE718" s="302"/>
      <c r="AF718" s="302"/>
      <c r="AG718" s="302"/>
    </row>
    <row r="719" spans="1:33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335"/>
      <c r="S719" s="335"/>
      <c r="T719" s="335"/>
      <c r="U719" s="302"/>
      <c r="V719" s="302"/>
      <c r="W719" s="302"/>
      <c r="X719" s="302"/>
      <c r="Y719" s="302"/>
      <c r="Z719" s="302"/>
      <c r="AA719" s="302"/>
      <c r="AB719" s="302"/>
      <c r="AC719" s="302"/>
      <c r="AD719" s="302"/>
      <c r="AE719" s="302"/>
      <c r="AF719" s="302"/>
      <c r="AG719" s="302"/>
    </row>
    <row r="720" spans="1:33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335"/>
      <c r="S720" s="335"/>
      <c r="T720" s="335"/>
      <c r="U720" s="302"/>
      <c r="V720" s="302"/>
      <c r="W720" s="302"/>
      <c r="X720" s="302"/>
      <c r="Y720" s="302"/>
      <c r="Z720" s="302"/>
      <c r="AA720" s="302"/>
      <c r="AB720" s="302"/>
      <c r="AC720" s="302"/>
      <c r="AD720" s="302"/>
      <c r="AE720" s="302"/>
      <c r="AF720" s="302"/>
      <c r="AG720" s="302"/>
    </row>
    <row r="721" spans="1:33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335"/>
      <c r="S721" s="335"/>
      <c r="T721" s="335"/>
      <c r="U721" s="302"/>
      <c r="V721" s="302"/>
      <c r="W721" s="302"/>
      <c r="X721" s="302"/>
      <c r="Y721" s="302"/>
      <c r="Z721" s="302"/>
      <c r="AA721" s="302"/>
      <c r="AB721" s="302"/>
      <c r="AC721" s="302"/>
      <c r="AD721" s="302"/>
      <c r="AE721" s="302"/>
      <c r="AF721" s="302"/>
      <c r="AG721" s="302"/>
    </row>
    <row r="722" spans="1:33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335"/>
      <c r="S722" s="335"/>
      <c r="T722" s="335"/>
      <c r="U722" s="302"/>
      <c r="V722" s="302"/>
      <c r="W722" s="302"/>
      <c r="X722" s="302"/>
      <c r="Y722" s="302"/>
      <c r="Z722" s="302"/>
      <c r="AA722" s="302"/>
      <c r="AB722" s="302"/>
      <c r="AC722" s="302"/>
      <c r="AD722" s="302"/>
      <c r="AE722" s="302"/>
      <c r="AF722" s="302"/>
      <c r="AG722" s="302"/>
    </row>
    <row r="723" spans="1:33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335"/>
      <c r="S723" s="335"/>
      <c r="T723" s="335"/>
      <c r="U723" s="302"/>
      <c r="V723" s="302"/>
      <c r="W723" s="302"/>
      <c r="X723" s="302"/>
      <c r="Y723" s="302"/>
      <c r="Z723" s="302"/>
      <c r="AA723" s="302"/>
      <c r="AB723" s="302"/>
      <c r="AC723" s="302"/>
      <c r="AD723" s="302"/>
      <c r="AE723" s="302"/>
      <c r="AF723" s="302"/>
      <c r="AG723" s="302"/>
    </row>
    <row r="724" spans="1:33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335"/>
      <c r="S724" s="335"/>
      <c r="T724" s="335"/>
      <c r="U724" s="302"/>
      <c r="V724" s="302"/>
      <c r="W724" s="302"/>
      <c r="X724" s="302"/>
      <c r="Y724" s="302"/>
      <c r="Z724" s="302"/>
      <c r="AA724" s="302"/>
      <c r="AB724" s="302"/>
      <c r="AC724" s="302"/>
      <c r="AD724" s="302"/>
      <c r="AE724" s="302"/>
      <c r="AF724" s="302"/>
      <c r="AG724" s="302"/>
    </row>
    <row r="725" spans="1:33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335"/>
      <c r="S725" s="335"/>
      <c r="T725" s="335"/>
      <c r="U725" s="302"/>
      <c r="V725" s="302"/>
      <c r="W725" s="302"/>
      <c r="X725" s="302"/>
      <c r="Y725" s="302"/>
      <c r="Z725" s="302"/>
      <c r="AA725" s="302"/>
      <c r="AB725" s="302"/>
      <c r="AC725" s="302"/>
      <c r="AD725" s="302"/>
      <c r="AE725" s="302"/>
      <c r="AF725" s="302"/>
      <c r="AG725" s="302"/>
    </row>
    <row r="726" spans="1:33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335"/>
      <c r="S726" s="335"/>
      <c r="T726" s="335"/>
      <c r="U726" s="302"/>
      <c r="V726" s="302"/>
      <c r="W726" s="302"/>
      <c r="X726" s="302"/>
      <c r="Y726" s="302"/>
      <c r="Z726" s="302"/>
      <c r="AA726" s="302"/>
      <c r="AB726" s="302"/>
      <c r="AC726" s="302"/>
      <c r="AD726" s="302"/>
      <c r="AE726" s="302"/>
      <c r="AF726" s="302"/>
      <c r="AG726" s="302"/>
    </row>
    <row r="727" spans="1:33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335"/>
      <c r="S727" s="335"/>
      <c r="T727" s="335"/>
      <c r="U727" s="302"/>
      <c r="V727" s="302"/>
      <c r="W727" s="302"/>
      <c r="X727" s="302"/>
      <c r="Y727" s="302"/>
      <c r="Z727" s="302"/>
      <c r="AA727" s="302"/>
      <c r="AB727" s="302"/>
      <c r="AC727" s="302"/>
      <c r="AD727" s="302"/>
      <c r="AE727" s="302"/>
      <c r="AF727" s="302"/>
      <c r="AG727" s="302"/>
    </row>
    <row r="728" spans="1:33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335"/>
      <c r="S728" s="335"/>
      <c r="T728" s="335"/>
      <c r="U728" s="302"/>
      <c r="V728" s="302"/>
      <c r="W728" s="302"/>
      <c r="X728" s="302"/>
      <c r="Y728" s="302"/>
      <c r="Z728" s="302"/>
      <c r="AA728" s="302"/>
      <c r="AB728" s="302"/>
      <c r="AC728" s="302"/>
      <c r="AD728" s="302"/>
      <c r="AE728" s="302"/>
      <c r="AF728" s="302"/>
      <c r="AG728" s="302"/>
    </row>
    <row r="729" spans="1:33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335"/>
      <c r="S729" s="335"/>
      <c r="T729" s="335"/>
      <c r="U729" s="302"/>
      <c r="V729" s="302"/>
      <c r="W729" s="302"/>
      <c r="X729" s="302"/>
      <c r="Y729" s="302"/>
      <c r="Z729" s="302"/>
      <c r="AA729" s="302"/>
      <c r="AB729" s="302"/>
      <c r="AC729" s="302"/>
      <c r="AD729" s="302"/>
      <c r="AE729" s="302"/>
      <c r="AF729" s="302"/>
      <c r="AG729" s="302"/>
    </row>
    <row r="730" spans="1:33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335"/>
      <c r="S730" s="335"/>
      <c r="T730" s="335"/>
      <c r="U730" s="302"/>
      <c r="V730" s="302"/>
      <c r="W730" s="302"/>
      <c r="X730" s="302"/>
      <c r="Y730" s="302"/>
      <c r="Z730" s="302"/>
      <c r="AA730" s="302"/>
      <c r="AB730" s="302"/>
      <c r="AC730" s="302"/>
      <c r="AD730" s="302"/>
      <c r="AE730" s="302"/>
      <c r="AF730" s="302"/>
      <c r="AG730" s="302"/>
    </row>
    <row r="731" spans="1:33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335"/>
      <c r="S731" s="335"/>
      <c r="T731" s="335"/>
      <c r="U731" s="302"/>
      <c r="V731" s="302"/>
      <c r="W731" s="302"/>
      <c r="X731" s="302"/>
      <c r="Y731" s="302"/>
      <c r="Z731" s="302"/>
      <c r="AA731" s="302"/>
      <c r="AB731" s="302"/>
      <c r="AC731" s="302"/>
      <c r="AD731" s="302"/>
      <c r="AE731" s="302"/>
      <c r="AF731" s="302"/>
      <c r="AG731" s="302"/>
    </row>
    <row r="732" spans="1:33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335"/>
      <c r="S732" s="335"/>
      <c r="T732" s="335"/>
      <c r="U732" s="302"/>
      <c r="V732" s="302"/>
      <c r="W732" s="302"/>
      <c r="X732" s="302"/>
      <c r="Y732" s="302"/>
      <c r="Z732" s="302"/>
      <c r="AA732" s="302"/>
      <c r="AB732" s="302"/>
      <c r="AC732" s="302"/>
      <c r="AD732" s="302"/>
      <c r="AE732" s="302"/>
      <c r="AF732" s="302"/>
      <c r="AG732" s="302"/>
    </row>
    <row r="733" spans="1:33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335"/>
      <c r="S733" s="335"/>
      <c r="T733" s="335"/>
      <c r="U733" s="302"/>
      <c r="V733" s="302"/>
      <c r="W733" s="302"/>
      <c r="X733" s="302"/>
      <c r="Y733" s="302"/>
      <c r="Z733" s="302"/>
      <c r="AA733" s="302"/>
      <c r="AB733" s="302"/>
      <c r="AC733" s="302"/>
      <c r="AD733" s="302"/>
      <c r="AE733" s="302"/>
      <c r="AF733" s="302"/>
      <c r="AG733" s="302"/>
    </row>
    <row r="734" spans="1:33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335"/>
      <c r="S734" s="335"/>
      <c r="T734" s="335"/>
      <c r="U734" s="302"/>
      <c r="V734" s="302"/>
      <c r="W734" s="302"/>
      <c r="X734" s="302"/>
      <c r="Y734" s="302"/>
      <c r="Z734" s="302"/>
      <c r="AA734" s="302"/>
      <c r="AB734" s="302"/>
      <c r="AC734" s="302"/>
      <c r="AD734" s="302"/>
      <c r="AE734" s="302"/>
      <c r="AF734" s="302"/>
      <c r="AG734" s="302"/>
    </row>
    <row r="735" spans="1:33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335"/>
      <c r="S735" s="335"/>
      <c r="T735" s="335"/>
      <c r="U735" s="302"/>
      <c r="V735" s="302"/>
      <c r="W735" s="302"/>
      <c r="X735" s="302"/>
      <c r="Y735" s="302"/>
      <c r="Z735" s="302"/>
      <c r="AA735" s="302"/>
      <c r="AB735" s="302"/>
      <c r="AC735" s="302"/>
      <c r="AD735" s="302"/>
      <c r="AE735" s="302"/>
      <c r="AF735" s="302"/>
      <c r="AG735" s="302"/>
    </row>
    <row r="736" spans="1:33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335"/>
      <c r="S736" s="335"/>
      <c r="T736" s="335"/>
      <c r="U736" s="302"/>
      <c r="V736" s="302"/>
      <c r="W736" s="302"/>
      <c r="X736" s="302"/>
      <c r="Y736" s="302"/>
      <c r="Z736" s="302"/>
      <c r="AA736" s="302"/>
      <c r="AB736" s="302"/>
      <c r="AC736" s="302"/>
      <c r="AD736" s="302"/>
      <c r="AE736" s="302"/>
      <c r="AF736" s="302"/>
      <c r="AG736" s="302"/>
    </row>
    <row r="737" spans="1:33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335"/>
      <c r="S737" s="335"/>
      <c r="T737" s="335"/>
      <c r="U737" s="302"/>
      <c r="V737" s="302"/>
      <c r="W737" s="302"/>
      <c r="X737" s="302"/>
      <c r="Y737" s="302"/>
      <c r="Z737" s="302"/>
      <c r="AA737" s="302"/>
      <c r="AB737" s="302"/>
      <c r="AC737" s="302"/>
      <c r="AD737" s="302"/>
      <c r="AE737" s="302"/>
      <c r="AF737" s="302"/>
      <c r="AG737" s="302"/>
    </row>
    <row r="738" spans="1:33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335"/>
      <c r="S738" s="335"/>
      <c r="T738" s="335"/>
      <c r="U738" s="302"/>
      <c r="V738" s="302"/>
      <c r="W738" s="302"/>
      <c r="X738" s="302"/>
      <c r="Y738" s="302"/>
      <c r="Z738" s="302"/>
      <c r="AA738" s="302"/>
      <c r="AB738" s="302"/>
      <c r="AC738" s="302"/>
      <c r="AD738" s="302"/>
      <c r="AE738" s="302"/>
      <c r="AF738" s="302"/>
      <c r="AG738" s="302"/>
    </row>
    <row r="739" spans="1:33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335"/>
      <c r="S739" s="335"/>
      <c r="T739" s="335"/>
      <c r="U739" s="302"/>
      <c r="V739" s="302"/>
      <c r="W739" s="302"/>
      <c r="X739" s="302"/>
      <c r="Y739" s="302"/>
      <c r="Z739" s="302"/>
      <c r="AA739" s="302"/>
      <c r="AB739" s="302"/>
      <c r="AC739" s="302"/>
      <c r="AD739" s="302"/>
      <c r="AE739" s="302"/>
      <c r="AF739" s="302"/>
      <c r="AG739" s="302"/>
    </row>
    <row r="740" spans="1:33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335"/>
      <c r="S740" s="335"/>
      <c r="T740" s="335"/>
      <c r="U740" s="302"/>
      <c r="V740" s="302"/>
      <c r="W740" s="302"/>
      <c r="X740" s="302"/>
      <c r="Y740" s="302"/>
      <c r="Z740" s="302"/>
      <c r="AA740" s="302"/>
      <c r="AB740" s="302"/>
      <c r="AC740" s="302"/>
      <c r="AD740" s="302"/>
      <c r="AE740" s="302"/>
      <c r="AF740" s="302"/>
      <c r="AG740" s="302"/>
    </row>
    <row r="741" spans="1:33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335"/>
      <c r="S741" s="335"/>
      <c r="T741" s="335"/>
      <c r="U741" s="302"/>
      <c r="V741" s="302"/>
      <c r="W741" s="302"/>
      <c r="X741" s="302"/>
      <c r="Y741" s="302"/>
      <c r="Z741" s="302"/>
      <c r="AA741" s="302"/>
      <c r="AB741" s="302"/>
      <c r="AC741" s="302"/>
      <c r="AD741" s="302"/>
      <c r="AE741" s="302"/>
      <c r="AF741" s="302"/>
      <c r="AG741" s="302"/>
    </row>
    <row r="742" spans="1:33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335"/>
      <c r="S742" s="335"/>
      <c r="T742" s="335"/>
      <c r="U742" s="302"/>
      <c r="V742" s="302"/>
      <c r="W742" s="302"/>
      <c r="X742" s="302"/>
      <c r="Y742" s="302"/>
      <c r="Z742" s="302"/>
      <c r="AA742" s="302"/>
      <c r="AB742" s="302"/>
      <c r="AC742" s="302"/>
      <c r="AD742" s="302"/>
      <c r="AE742" s="302"/>
      <c r="AF742" s="302"/>
      <c r="AG742" s="302"/>
    </row>
    <row r="743" spans="1:33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335"/>
      <c r="S743" s="335"/>
      <c r="T743" s="335"/>
      <c r="U743" s="302"/>
      <c r="V743" s="302"/>
      <c r="W743" s="302"/>
      <c r="X743" s="302"/>
      <c r="Y743" s="302"/>
      <c r="Z743" s="302"/>
      <c r="AA743" s="302"/>
      <c r="AB743" s="302"/>
      <c r="AC743" s="302"/>
      <c r="AD743" s="302"/>
      <c r="AE743" s="302"/>
      <c r="AF743" s="302"/>
      <c r="AG743" s="302"/>
    </row>
    <row r="744" spans="1:33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335"/>
      <c r="S744" s="335"/>
      <c r="T744" s="335"/>
      <c r="U744" s="302"/>
      <c r="V744" s="302"/>
      <c r="W744" s="302"/>
      <c r="X744" s="302"/>
      <c r="Y744" s="302"/>
      <c r="Z744" s="302"/>
      <c r="AA744" s="302"/>
      <c r="AB744" s="302"/>
      <c r="AC744" s="302"/>
      <c r="AD744" s="302"/>
      <c r="AE744" s="302"/>
      <c r="AF744" s="302"/>
      <c r="AG744" s="302"/>
    </row>
    <row r="745" spans="1:33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335"/>
      <c r="S745" s="335"/>
      <c r="T745" s="335"/>
      <c r="U745" s="302"/>
      <c r="V745" s="302"/>
      <c r="W745" s="302"/>
      <c r="X745" s="302"/>
      <c r="Y745" s="302"/>
      <c r="Z745" s="302"/>
      <c r="AA745" s="302"/>
      <c r="AB745" s="302"/>
      <c r="AC745" s="302"/>
      <c r="AD745" s="302"/>
      <c r="AE745" s="302"/>
      <c r="AF745" s="302"/>
      <c r="AG745" s="302"/>
    </row>
    <row r="746" spans="1:33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335"/>
      <c r="S746" s="335"/>
      <c r="T746" s="335"/>
      <c r="U746" s="302"/>
      <c r="V746" s="302"/>
      <c r="W746" s="302"/>
      <c r="X746" s="302"/>
      <c r="Y746" s="302"/>
      <c r="Z746" s="302"/>
      <c r="AA746" s="302"/>
      <c r="AB746" s="302"/>
      <c r="AC746" s="302"/>
      <c r="AD746" s="302"/>
      <c r="AE746" s="302"/>
      <c r="AF746" s="302"/>
      <c r="AG746" s="302"/>
    </row>
    <row r="747" spans="1:33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335"/>
      <c r="S747" s="335"/>
      <c r="T747" s="335"/>
      <c r="U747" s="302"/>
      <c r="V747" s="302"/>
      <c r="W747" s="302"/>
      <c r="X747" s="302"/>
      <c r="Y747" s="302"/>
      <c r="Z747" s="302"/>
      <c r="AA747" s="302"/>
      <c r="AB747" s="302"/>
      <c r="AC747" s="302"/>
      <c r="AD747" s="302"/>
      <c r="AE747" s="302"/>
      <c r="AF747" s="302"/>
      <c r="AG747" s="302"/>
    </row>
    <row r="748" spans="1:33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335"/>
      <c r="S748" s="335"/>
      <c r="T748" s="335"/>
      <c r="U748" s="302"/>
      <c r="V748" s="302"/>
      <c r="W748" s="302"/>
      <c r="X748" s="302"/>
      <c r="Y748" s="302"/>
      <c r="Z748" s="302"/>
      <c r="AA748" s="302"/>
      <c r="AB748" s="302"/>
      <c r="AC748" s="302"/>
      <c r="AD748" s="302"/>
      <c r="AE748" s="302"/>
      <c r="AF748" s="302"/>
      <c r="AG748" s="302"/>
    </row>
    <row r="749" spans="1:33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335"/>
      <c r="S749" s="335"/>
      <c r="T749" s="335"/>
      <c r="U749" s="302"/>
      <c r="V749" s="302"/>
      <c r="W749" s="302"/>
      <c r="X749" s="302"/>
      <c r="Y749" s="302"/>
      <c r="Z749" s="302"/>
      <c r="AA749" s="302"/>
      <c r="AB749" s="302"/>
      <c r="AC749" s="302"/>
      <c r="AD749" s="302"/>
      <c r="AE749" s="302"/>
      <c r="AF749" s="302"/>
      <c r="AG749" s="302"/>
    </row>
    <row r="750" spans="1:33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335"/>
      <c r="S750" s="335"/>
      <c r="T750" s="335"/>
      <c r="U750" s="302"/>
      <c r="V750" s="302"/>
      <c r="W750" s="302"/>
      <c r="X750" s="302"/>
      <c r="Y750" s="302"/>
      <c r="Z750" s="302"/>
      <c r="AA750" s="302"/>
      <c r="AB750" s="302"/>
      <c r="AC750" s="302"/>
      <c r="AD750" s="302"/>
      <c r="AE750" s="302"/>
      <c r="AF750" s="302"/>
      <c r="AG750" s="302"/>
    </row>
    <row r="751" spans="1:33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335"/>
      <c r="S751" s="335"/>
      <c r="T751" s="335"/>
      <c r="U751" s="302"/>
      <c r="V751" s="302"/>
      <c r="W751" s="302"/>
      <c r="X751" s="302"/>
      <c r="Y751" s="302"/>
      <c r="Z751" s="302"/>
      <c r="AA751" s="302"/>
      <c r="AB751" s="302"/>
      <c r="AC751" s="302"/>
      <c r="AD751" s="302"/>
      <c r="AE751" s="302"/>
      <c r="AF751" s="302"/>
      <c r="AG751" s="302"/>
    </row>
    <row r="752" spans="1:33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335"/>
      <c r="S752" s="335"/>
      <c r="T752" s="335"/>
      <c r="U752" s="302"/>
      <c r="V752" s="302"/>
      <c r="W752" s="302"/>
      <c r="X752" s="302"/>
      <c r="Y752" s="302"/>
      <c r="Z752" s="302"/>
      <c r="AA752" s="302"/>
      <c r="AB752" s="302"/>
      <c r="AC752" s="302"/>
      <c r="AD752" s="302"/>
      <c r="AE752" s="302"/>
      <c r="AF752" s="302"/>
      <c r="AG752" s="302"/>
    </row>
    <row r="753" spans="1:33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335"/>
      <c r="S753" s="335"/>
      <c r="T753" s="335"/>
      <c r="U753" s="302"/>
      <c r="V753" s="302"/>
      <c r="W753" s="302"/>
      <c r="X753" s="302"/>
      <c r="Y753" s="302"/>
      <c r="Z753" s="302"/>
      <c r="AA753" s="302"/>
      <c r="AB753" s="302"/>
      <c r="AC753" s="302"/>
      <c r="AD753" s="302"/>
      <c r="AE753" s="302"/>
      <c r="AF753" s="302"/>
      <c r="AG753" s="302"/>
    </row>
    <row r="754" spans="1:33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335"/>
      <c r="S754" s="335"/>
      <c r="T754" s="335"/>
      <c r="U754" s="302"/>
      <c r="V754" s="302"/>
      <c r="W754" s="302"/>
      <c r="X754" s="302"/>
      <c r="Y754" s="302"/>
      <c r="Z754" s="302"/>
      <c r="AA754" s="302"/>
      <c r="AB754" s="302"/>
      <c r="AC754" s="302"/>
      <c r="AD754" s="302"/>
      <c r="AE754" s="302"/>
      <c r="AF754" s="302"/>
      <c r="AG754" s="302"/>
    </row>
    <row r="755" spans="1:33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335"/>
      <c r="S755" s="335"/>
      <c r="T755" s="335"/>
      <c r="U755" s="302"/>
      <c r="V755" s="302"/>
      <c r="W755" s="302"/>
      <c r="X755" s="302"/>
      <c r="Y755" s="302"/>
      <c r="Z755" s="302"/>
      <c r="AA755" s="302"/>
      <c r="AB755" s="302"/>
      <c r="AC755" s="302"/>
      <c r="AD755" s="302"/>
      <c r="AE755" s="302"/>
      <c r="AF755" s="302"/>
      <c r="AG755" s="302"/>
    </row>
    <row r="756" spans="1:33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335"/>
      <c r="S756" s="335"/>
      <c r="T756" s="335"/>
      <c r="U756" s="302"/>
      <c r="V756" s="302"/>
      <c r="W756" s="302"/>
      <c r="X756" s="302"/>
      <c r="Y756" s="302"/>
      <c r="Z756" s="302"/>
      <c r="AA756" s="302"/>
      <c r="AB756" s="302"/>
      <c r="AC756" s="302"/>
      <c r="AD756" s="302"/>
      <c r="AE756" s="302"/>
      <c r="AF756" s="302"/>
      <c r="AG756" s="302"/>
    </row>
    <row r="757" spans="1:33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335"/>
      <c r="S757" s="335"/>
      <c r="T757" s="335"/>
      <c r="U757" s="302"/>
      <c r="V757" s="302"/>
      <c r="W757" s="302"/>
      <c r="X757" s="302"/>
      <c r="Y757" s="302"/>
      <c r="Z757" s="302"/>
      <c r="AA757" s="302"/>
      <c r="AB757" s="302"/>
      <c r="AC757" s="302"/>
      <c r="AD757" s="302"/>
      <c r="AE757" s="302"/>
      <c r="AF757" s="302"/>
      <c r="AG757" s="302"/>
    </row>
    <row r="758" spans="1:33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335"/>
      <c r="S758" s="335"/>
      <c r="T758" s="335"/>
      <c r="U758" s="302"/>
      <c r="V758" s="302"/>
      <c r="W758" s="302"/>
      <c r="X758" s="302"/>
      <c r="Y758" s="302"/>
      <c r="Z758" s="302"/>
      <c r="AA758" s="302"/>
      <c r="AB758" s="302"/>
      <c r="AC758" s="302"/>
      <c r="AD758" s="302"/>
      <c r="AE758" s="302"/>
      <c r="AF758" s="302"/>
      <c r="AG758" s="302"/>
    </row>
    <row r="759" spans="1:33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335"/>
      <c r="S759" s="335"/>
      <c r="T759" s="335"/>
      <c r="U759" s="302"/>
      <c r="V759" s="302"/>
      <c r="W759" s="302"/>
      <c r="X759" s="302"/>
      <c r="Y759" s="302"/>
      <c r="Z759" s="302"/>
      <c r="AA759" s="302"/>
      <c r="AB759" s="302"/>
      <c r="AC759" s="302"/>
      <c r="AD759" s="302"/>
      <c r="AE759" s="302"/>
      <c r="AF759" s="302"/>
      <c r="AG759" s="302"/>
    </row>
    <row r="760" spans="1:33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335"/>
      <c r="S760" s="335"/>
      <c r="T760" s="335"/>
      <c r="U760" s="302"/>
      <c r="V760" s="302"/>
      <c r="W760" s="302"/>
      <c r="X760" s="302"/>
      <c r="Y760" s="302"/>
      <c r="Z760" s="302"/>
      <c r="AA760" s="302"/>
      <c r="AB760" s="302"/>
      <c r="AC760" s="302"/>
      <c r="AD760" s="302"/>
      <c r="AE760" s="302"/>
      <c r="AF760" s="302"/>
      <c r="AG760" s="302"/>
    </row>
    <row r="761" spans="1:33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335"/>
      <c r="S761" s="335"/>
      <c r="T761" s="335"/>
      <c r="U761" s="302"/>
      <c r="V761" s="302"/>
      <c r="W761" s="302"/>
      <c r="X761" s="302"/>
      <c r="Y761" s="302"/>
      <c r="Z761" s="302"/>
      <c r="AA761" s="302"/>
      <c r="AB761" s="302"/>
      <c r="AC761" s="302"/>
      <c r="AD761" s="302"/>
      <c r="AE761" s="302"/>
      <c r="AF761" s="302"/>
      <c r="AG761" s="302"/>
    </row>
    <row r="762" spans="1:33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335"/>
      <c r="S762" s="335"/>
      <c r="T762" s="335"/>
      <c r="U762" s="302"/>
      <c r="V762" s="302"/>
      <c r="W762" s="302"/>
      <c r="X762" s="302"/>
      <c r="Y762" s="302"/>
      <c r="Z762" s="302"/>
      <c r="AA762" s="302"/>
      <c r="AB762" s="302"/>
      <c r="AC762" s="302"/>
      <c r="AD762" s="302"/>
      <c r="AE762" s="302"/>
      <c r="AF762" s="302"/>
      <c r="AG762" s="302"/>
    </row>
    <row r="763" spans="1:33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335"/>
      <c r="S763" s="335"/>
      <c r="T763" s="335"/>
      <c r="U763" s="302"/>
      <c r="V763" s="302"/>
      <c r="W763" s="302"/>
      <c r="X763" s="302"/>
      <c r="Y763" s="302"/>
      <c r="Z763" s="302"/>
      <c r="AA763" s="302"/>
      <c r="AB763" s="302"/>
      <c r="AC763" s="302"/>
      <c r="AD763" s="302"/>
      <c r="AE763" s="302"/>
      <c r="AF763" s="302"/>
      <c r="AG763" s="302"/>
    </row>
    <row r="764" spans="1:33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335"/>
      <c r="S764" s="335"/>
      <c r="T764" s="335"/>
      <c r="U764" s="302"/>
      <c r="V764" s="302"/>
      <c r="W764" s="302"/>
      <c r="X764" s="302"/>
      <c r="Y764" s="302"/>
      <c r="Z764" s="302"/>
      <c r="AA764" s="302"/>
      <c r="AB764" s="302"/>
      <c r="AC764" s="302"/>
      <c r="AD764" s="302"/>
      <c r="AE764" s="302"/>
      <c r="AF764" s="302"/>
      <c r="AG764" s="302"/>
    </row>
    <row r="765" spans="1:33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335"/>
      <c r="S765" s="335"/>
      <c r="T765" s="335"/>
      <c r="U765" s="302"/>
      <c r="V765" s="302"/>
      <c r="W765" s="302"/>
      <c r="X765" s="302"/>
      <c r="Y765" s="302"/>
      <c r="Z765" s="302"/>
      <c r="AA765" s="302"/>
      <c r="AB765" s="302"/>
      <c r="AC765" s="302"/>
      <c r="AD765" s="302"/>
      <c r="AE765" s="302"/>
      <c r="AF765" s="302"/>
      <c r="AG765" s="302"/>
    </row>
    <row r="766" spans="1:33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335"/>
      <c r="S766" s="335"/>
      <c r="T766" s="335"/>
      <c r="U766" s="302"/>
      <c r="V766" s="302"/>
      <c r="W766" s="302"/>
      <c r="X766" s="302"/>
      <c r="Y766" s="302"/>
      <c r="Z766" s="302"/>
      <c r="AA766" s="302"/>
      <c r="AB766" s="302"/>
      <c r="AC766" s="302"/>
      <c r="AD766" s="302"/>
      <c r="AE766" s="302"/>
      <c r="AF766" s="302"/>
      <c r="AG766" s="302"/>
    </row>
    <row r="767" spans="1:33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335"/>
      <c r="S767" s="335"/>
      <c r="T767" s="335"/>
      <c r="U767" s="302"/>
      <c r="V767" s="302"/>
      <c r="W767" s="302"/>
      <c r="X767" s="302"/>
      <c r="Y767" s="302"/>
      <c r="Z767" s="302"/>
      <c r="AA767" s="302"/>
      <c r="AB767" s="302"/>
      <c r="AC767" s="302"/>
      <c r="AD767" s="302"/>
      <c r="AE767" s="302"/>
      <c r="AF767" s="302"/>
      <c r="AG767" s="302"/>
    </row>
    <row r="768" spans="1:33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335"/>
      <c r="S768" s="335"/>
      <c r="T768" s="335"/>
      <c r="U768" s="302"/>
      <c r="V768" s="302"/>
      <c r="W768" s="302"/>
      <c r="X768" s="302"/>
      <c r="Y768" s="302"/>
      <c r="Z768" s="302"/>
      <c r="AA768" s="302"/>
      <c r="AB768" s="302"/>
      <c r="AC768" s="302"/>
      <c r="AD768" s="302"/>
      <c r="AE768" s="302"/>
      <c r="AF768" s="302"/>
      <c r="AG768" s="302"/>
    </row>
    <row r="769" spans="1:33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335"/>
      <c r="S769" s="335"/>
      <c r="T769" s="335"/>
      <c r="U769" s="302"/>
      <c r="V769" s="302"/>
      <c r="W769" s="302"/>
      <c r="X769" s="302"/>
      <c r="Y769" s="302"/>
      <c r="Z769" s="302"/>
      <c r="AA769" s="302"/>
      <c r="AB769" s="302"/>
      <c r="AC769" s="302"/>
      <c r="AD769" s="302"/>
      <c r="AE769" s="302"/>
      <c r="AF769" s="302"/>
      <c r="AG769" s="302"/>
    </row>
    <row r="770" spans="1:33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335"/>
      <c r="S770" s="335"/>
      <c r="T770" s="335"/>
      <c r="U770" s="302"/>
      <c r="V770" s="302"/>
      <c r="W770" s="302"/>
      <c r="X770" s="302"/>
      <c r="Y770" s="302"/>
      <c r="Z770" s="302"/>
      <c r="AA770" s="302"/>
      <c r="AB770" s="302"/>
      <c r="AC770" s="302"/>
      <c r="AD770" s="302"/>
      <c r="AE770" s="302"/>
      <c r="AF770" s="302"/>
      <c r="AG770" s="302"/>
    </row>
    <row r="771" spans="1:33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335"/>
      <c r="S771" s="335"/>
      <c r="T771" s="335"/>
      <c r="U771" s="302"/>
      <c r="V771" s="302"/>
      <c r="W771" s="302"/>
      <c r="X771" s="302"/>
      <c r="Y771" s="302"/>
      <c r="Z771" s="302"/>
      <c r="AA771" s="302"/>
      <c r="AB771" s="302"/>
      <c r="AC771" s="302"/>
      <c r="AD771" s="302"/>
      <c r="AE771" s="302"/>
      <c r="AF771" s="302"/>
      <c r="AG771" s="302"/>
    </row>
    <row r="772" spans="1:33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335"/>
      <c r="S772" s="335"/>
      <c r="T772" s="335"/>
      <c r="U772" s="302"/>
      <c r="V772" s="302"/>
      <c r="W772" s="302"/>
      <c r="X772" s="302"/>
      <c r="Y772" s="302"/>
      <c r="Z772" s="302"/>
      <c r="AA772" s="302"/>
      <c r="AB772" s="302"/>
      <c r="AC772" s="302"/>
      <c r="AD772" s="302"/>
      <c r="AE772" s="302"/>
      <c r="AF772" s="302"/>
      <c r="AG772" s="302"/>
    </row>
    <row r="773" spans="1:33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335"/>
      <c r="S773" s="335"/>
      <c r="T773" s="335"/>
      <c r="U773" s="302"/>
      <c r="V773" s="302"/>
      <c r="W773" s="302"/>
      <c r="X773" s="302"/>
      <c r="Y773" s="302"/>
      <c r="Z773" s="302"/>
      <c r="AA773" s="302"/>
      <c r="AB773" s="302"/>
      <c r="AC773" s="302"/>
      <c r="AD773" s="302"/>
      <c r="AE773" s="302"/>
      <c r="AF773" s="302"/>
      <c r="AG773" s="302"/>
    </row>
    <row r="774" spans="1:33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335"/>
      <c r="S774" s="335"/>
      <c r="T774" s="335"/>
      <c r="U774" s="302"/>
      <c r="V774" s="302"/>
      <c r="W774" s="302"/>
      <c r="X774" s="302"/>
      <c r="Y774" s="302"/>
      <c r="Z774" s="302"/>
      <c r="AA774" s="302"/>
      <c r="AB774" s="302"/>
      <c r="AC774" s="302"/>
      <c r="AD774" s="302"/>
      <c r="AE774" s="302"/>
      <c r="AF774" s="302"/>
      <c r="AG774" s="302"/>
    </row>
    <row r="775" spans="1:33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335"/>
      <c r="S775" s="335"/>
      <c r="T775" s="335"/>
      <c r="U775" s="302"/>
      <c r="V775" s="302"/>
      <c r="W775" s="302"/>
      <c r="X775" s="302"/>
      <c r="Y775" s="302"/>
      <c r="Z775" s="302"/>
      <c r="AA775" s="302"/>
      <c r="AB775" s="302"/>
      <c r="AC775" s="302"/>
      <c r="AD775" s="302"/>
      <c r="AE775" s="302"/>
      <c r="AF775" s="302"/>
      <c r="AG775" s="302"/>
    </row>
    <row r="776" spans="1:33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335"/>
      <c r="S776" s="335"/>
      <c r="T776" s="335"/>
      <c r="U776" s="302"/>
      <c r="V776" s="302"/>
      <c r="W776" s="302"/>
      <c r="X776" s="302"/>
      <c r="Y776" s="302"/>
      <c r="Z776" s="302"/>
      <c r="AA776" s="302"/>
      <c r="AB776" s="302"/>
      <c r="AC776" s="302"/>
      <c r="AD776" s="302"/>
      <c r="AE776" s="302"/>
      <c r="AF776" s="302"/>
      <c r="AG776" s="302"/>
    </row>
    <row r="777" spans="1:33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335"/>
      <c r="S777" s="335"/>
      <c r="T777" s="335"/>
      <c r="U777" s="302"/>
      <c r="V777" s="302"/>
      <c r="W777" s="302"/>
      <c r="X777" s="302"/>
      <c r="Y777" s="302"/>
      <c r="Z777" s="302"/>
      <c r="AA777" s="302"/>
      <c r="AB777" s="302"/>
      <c r="AC777" s="302"/>
      <c r="AD777" s="302"/>
      <c r="AE777" s="302"/>
      <c r="AF777" s="302"/>
      <c r="AG777" s="302"/>
    </row>
    <row r="778" spans="1:33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335"/>
      <c r="S778" s="335"/>
      <c r="T778" s="335"/>
      <c r="U778" s="302"/>
      <c r="V778" s="302"/>
      <c r="W778" s="302"/>
      <c r="X778" s="302"/>
      <c r="Y778" s="302"/>
      <c r="Z778" s="302"/>
      <c r="AA778" s="302"/>
      <c r="AB778" s="302"/>
      <c r="AC778" s="302"/>
      <c r="AD778" s="302"/>
      <c r="AE778" s="302"/>
      <c r="AF778" s="302"/>
      <c r="AG778" s="302"/>
    </row>
    <row r="779" spans="1:33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335"/>
      <c r="S779" s="335"/>
      <c r="T779" s="335"/>
      <c r="U779" s="302"/>
      <c r="V779" s="302"/>
      <c r="W779" s="302"/>
      <c r="X779" s="302"/>
      <c r="Y779" s="302"/>
      <c r="Z779" s="302"/>
      <c r="AA779" s="302"/>
      <c r="AB779" s="302"/>
      <c r="AC779" s="302"/>
      <c r="AD779" s="302"/>
      <c r="AE779" s="302"/>
      <c r="AF779" s="302"/>
      <c r="AG779" s="302"/>
    </row>
    <row r="780" spans="1:33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335"/>
      <c r="S780" s="335"/>
      <c r="T780" s="335"/>
      <c r="U780" s="302"/>
      <c r="V780" s="302"/>
      <c r="W780" s="302"/>
      <c r="X780" s="302"/>
      <c r="Y780" s="302"/>
      <c r="Z780" s="302"/>
      <c r="AA780" s="302"/>
      <c r="AB780" s="302"/>
      <c r="AC780" s="302"/>
      <c r="AD780" s="302"/>
      <c r="AE780" s="302"/>
      <c r="AF780" s="302"/>
      <c r="AG780" s="302"/>
    </row>
    <row r="781" spans="1:33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335"/>
      <c r="S781" s="335"/>
      <c r="T781" s="335"/>
      <c r="U781" s="302"/>
      <c r="V781" s="302"/>
      <c r="W781" s="302"/>
      <c r="X781" s="302"/>
      <c r="Y781" s="302"/>
      <c r="Z781" s="302"/>
      <c r="AA781" s="302"/>
      <c r="AB781" s="302"/>
      <c r="AC781" s="302"/>
      <c r="AD781" s="302"/>
      <c r="AE781" s="302"/>
      <c r="AF781" s="302"/>
      <c r="AG781" s="302"/>
    </row>
    <row r="782" spans="1:33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335"/>
      <c r="S782" s="335"/>
      <c r="T782" s="335"/>
      <c r="U782" s="302"/>
      <c r="V782" s="302"/>
      <c r="W782" s="302"/>
      <c r="X782" s="302"/>
      <c r="Y782" s="302"/>
      <c r="Z782" s="302"/>
      <c r="AA782" s="302"/>
      <c r="AB782" s="302"/>
      <c r="AC782" s="302"/>
      <c r="AD782" s="302"/>
      <c r="AE782" s="302"/>
      <c r="AF782" s="302"/>
      <c r="AG782" s="302"/>
    </row>
    <row r="783" spans="1:33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335"/>
      <c r="S783" s="335"/>
      <c r="T783" s="335"/>
      <c r="U783" s="302"/>
      <c r="V783" s="302"/>
      <c r="W783" s="302"/>
      <c r="X783" s="302"/>
      <c r="Y783" s="302"/>
      <c r="Z783" s="302"/>
      <c r="AA783" s="302"/>
      <c r="AB783" s="302"/>
      <c r="AC783" s="302"/>
      <c r="AD783" s="302"/>
      <c r="AE783" s="302"/>
      <c r="AF783" s="302"/>
      <c r="AG783" s="302"/>
    </row>
    <row r="784" spans="1:33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335"/>
      <c r="S784" s="335"/>
      <c r="T784" s="335"/>
      <c r="U784" s="302"/>
      <c r="V784" s="302"/>
      <c r="W784" s="302"/>
      <c r="X784" s="302"/>
      <c r="Y784" s="302"/>
      <c r="Z784" s="302"/>
      <c r="AA784" s="302"/>
      <c r="AB784" s="302"/>
      <c r="AC784" s="302"/>
      <c r="AD784" s="302"/>
      <c r="AE784" s="302"/>
      <c r="AF784" s="302"/>
      <c r="AG784" s="302"/>
    </row>
    <row r="785" spans="1:33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335"/>
      <c r="S785" s="335"/>
      <c r="T785" s="335"/>
      <c r="U785" s="302"/>
      <c r="V785" s="302"/>
      <c r="W785" s="302"/>
      <c r="X785" s="302"/>
      <c r="Y785" s="302"/>
      <c r="Z785" s="302"/>
      <c r="AA785" s="302"/>
      <c r="AB785" s="302"/>
      <c r="AC785" s="302"/>
      <c r="AD785" s="302"/>
      <c r="AE785" s="302"/>
      <c r="AF785" s="302"/>
      <c r="AG785" s="302"/>
    </row>
    <row r="786" spans="1:33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335"/>
      <c r="S786" s="335"/>
      <c r="T786" s="335"/>
      <c r="U786" s="302"/>
      <c r="V786" s="302"/>
      <c r="W786" s="302"/>
      <c r="X786" s="302"/>
      <c r="Y786" s="302"/>
      <c r="Z786" s="302"/>
      <c r="AA786" s="302"/>
      <c r="AB786" s="302"/>
      <c r="AC786" s="302"/>
      <c r="AD786" s="302"/>
      <c r="AE786" s="302"/>
      <c r="AF786" s="302"/>
      <c r="AG786" s="302"/>
    </row>
    <row r="787" spans="1:33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335"/>
      <c r="S787" s="335"/>
      <c r="T787" s="335"/>
      <c r="U787" s="302"/>
      <c r="V787" s="302"/>
      <c r="W787" s="302"/>
      <c r="X787" s="302"/>
      <c r="Y787" s="302"/>
      <c r="Z787" s="302"/>
      <c r="AA787" s="302"/>
      <c r="AB787" s="302"/>
      <c r="AC787" s="302"/>
      <c r="AD787" s="302"/>
      <c r="AE787" s="302"/>
      <c r="AF787" s="302"/>
      <c r="AG787" s="302"/>
    </row>
    <row r="788" spans="1:33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335"/>
      <c r="S788" s="335"/>
      <c r="T788" s="335"/>
      <c r="U788" s="302"/>
      <c r="V788" s="302"/>
      <c r="W788" s="302"/>
      <c r="X788" s="302"/>
      <c r="Y788" s="302"/>
      <c r="Z788" s="302"/>
      <c r="AA788" s="302"/>
      <c r="AB788" s="302"/>
      <c r="AC788" s="302"/>
      <c r="AD788" s="302"/>
      <c r="AE788" s="302"/>
      <c r="AF788" s="302"/>
      <c r="AG788" s="302"/>
    </row>
    <row r="789" spans="1:33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335"/>
      <c r="S789" s="335"/>
      <c r="T789" s="335"/>
      <c r="U789" s="302"/>
      <c r="V789" s="302"/>
      <c r="W789" s="302"/>
      <c r="X789" s="302"/>
      <c r="Y789" s="302"/>
      <c r="Z789" s="302"/>
      <c r="AA789" s="302"/>
      <c r="AB789" s="302"/>
      <c r="AC789" s="302"/>
      <c r="AD789" s="302"/>
      <c r="AE789" s="302"/>
      <c r="AF789" s="302"/>
      <c r="AG789" s="302"/>
    </row>
    <row r="790" spans="1:33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335"/>
      <c r="S790" s="335"/>
      <c r="T790" s="335"/>
      <c r="U790" s="302"/>
      <c r="V790" s="302"/>
      <c r="W790" s="302"/>
      <c r="X790" s="302"/>
      <c r="Y790" s="302"/>
      <c r="Z790" s="302"/>
      <c r="AA790" s="302"/>
      <c r="AB790" s="302"/>
      <c r="AC790" s="302"/>
      <c r="AD790" s="302"/>
      <c r="AE790" s="302"/>
      <c r="AF790" s="302"/>
      <c r="AG790" s="302"/>
    </row>
    <row r="791" spans="1:33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335"/>
      <c r="S791" s="335"/>
      <c r="T791" s="335"/>
      <c r="U791" s="302"/>
      <c r="V791" s="302"/>
      <c r="W791" s="302"/>
      <c r="X791" s="302"/>
      <c r="Y791" s="302"/>
      <c r="Z791" s="302"/>
      <c r="AA791" s="302"/>
      <c r="AB791" s="302"/>
      <c r="AC791" s="302"/>
      <c r="AD791" s="302"/>
      <c r="AE791" s="302"/>
      <c r="AF791" s="302"/>
      <c r="AG791" s="302"/>
    </row>
    <row r="792" spans="1:33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335"/>
      <c r="S792" s="335"/>
      <c r="T792" s="335"/>
      <c r="U792" s="302"/>
      <c r="V792" s="302"/>
      <c r="W792" s="302"/>
      <c r="X792" s="302"/>
      <c r="Y792" s="302"/>
      <c r="Z792" s="302"/>
      <c r="AA792" s="302"/>
      <c r="AB792" s="302"/>
      <c r="AC792" s="302"/>
      <c r="AD792" s="302"/>
      <c r="AE792" s="302"/>
      <c r="AF792" s="302"/>
      <c r="AG792" s="302"/>
    </row>
    <row r="793" spans="1:33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335"/>
      <c r="S793" s="335"/>
      <c r="T793" s="335"/>
      <c r="U793" s="302"/>
      <c r="V793" s="302"/>
      <c r="W793" s="302"/>
      <c r="X793" s="302"/>
      <c r="Y793" s="302"/>
      <c r="Z793" s="302"/>
      <c r="AA793" s="302"/>
      <c r="AB793" s="302"/>
      <c r="AC793" s="302"/>
      <c r="AD793" s="302"/>
      <c r="AE793" s="302"/>
      <c r="AF793" s="302"/>
      <c r="AG793" s="302"/>
    </row>
    <row r="794" spans="1:33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335"/>
      <c r="S794" s="335"/>
      <c r="T794" s="335"/>
      <c r="U794" s="302"/>
      <c r="V794" s="302"/>
      <c r="W794" s="302"/>
      <c r="X794" s="302"/>
      <c r="Y794" s="302"/>
      <c r="Z794" s="302"/>
      <c r="AA794" s="302"/>
      <c r="AB794" s="302"/>
      <c r="AC794" s="302"/>
      <c r="AD794" s="302"/>
      <c r="AE794" s="302"/>
      <c r="AF794" s="302"/>
      <c r="AG794" s="302"/>
    </row>
    <row r="795" spans="1:33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335"/>
      <c r="S795" s="335"/>
      <c r="T795" s="335"/>
      <c r="U795" s="302"/>
      <c r="V795" s="302"/>
      <c r="W795" s="302"/>
      <c r="X795" s="302"/>
      <c r="Y795" s="302"/>
      <c r="Z795" s="302"/>
      <c r="AA795" s="302"/>
      <c r="AB795" s="302"/>
      <c r="AC795" s="302"/>
      <c r="AD795" s="302"/>
      <c r="AE795" s="302"/>
      <c r="AF795" s="302"/>
      <c r="AG795" s="302"/>
    </row>
    <row r="796" spans="1:33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335"/>
      <c r="S796" s="335"/>
      <c r="T796" s="335"/>
      <c r="U796" s="302"/>
      <c r="V796" s="302"/>
      <c r="W796" s="302"/>
      <c r="X796" s="302"/>
      <c r="Y796" s="302"/>
      <c r="Z796" s="302"/>
      <c r="AA796" s="302"/>
      <c r="AB796" s="302"/>
      <c r="AC796" s="302"/>
      <c r="AD796" s="302"/>
      <c r="AE796" s="302"/>
      <c r="AF796" s="302"/>
      <c r="AG796" s="302"/>
    </row>
    <row r="797" spans="1:33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335"/>
      <c r="S797" s="335"/>
      <c r="T797" s="335"/>
      <c r="U797" s="302"/>
      <c r="V797" s="302"/>
      <c r="W797" s="302"/>
      <c r="X797" s="302"/>
      <c r="Y797" s="302"/>
      <c r="Z797" s="302"/>
      <c r="AA797" s="302"/>
      <c r="AB797" s="302"/>
      <c r="AC797" s="302"/>
      <c r="AD797" s="302"/>
      <c r="AE797" s="302"/>
      <c r="AF797" s="302"/>
      <c r="AG797" s="302"/>
    </row>
    <row r="798" spans="1:33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335"/>
      <c r="S798" s="335"/>
      <c r="T798" s="335"/>
      <c r="U798" s="302"/>
      <c r="V798" s="302"/>
      <c r="W798" s="302"/>
      <c r="X798" s="302"/>
      <c r="Y798" s="302"/>
      <c r="Z798" s="302"/>
      <c r="AA798" s="302"/>
      <c r="AB798" s="302"/>
      <c r="AC798" s="302"/>
      <c r="AD798" s="302"/>
      <c r="AE798" s="302"/>
      <c r="AF798" s="302"/>
      <c r="AG798" s="302"/>
    </row>
    <row r="799" spans="1:33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335"/>
      <c r="S799" s="335"/>
      <c r="T799" s="335"/>
      <c r="U799" s="302"/>
      <c r="V799" s="302"/>
      <c r="W799" s="302"/>
      <c r="X799" s="302"/>
      <c r="Y799" s="302"/>
      <c r="Z799" s="302"/>
      <c r="AA799" s="302"/>
      <c r="AB799" s="302"/>
      <c r="AC799" s="302"/>
      <c r="AD799" s="302"/>
      <c r="AE799" s="302"/>
      <c r="AF799" s="302"/>
      <c r="AG799" s="302"/>
    </row>
    <row r="800" spans="1:33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335"/>
      <c r="S800" s="335"/>
      <c r="T800" s="335"/>
      <c r="U800" s="302"/>
      <c r="V800" s="302"/>
      <c r="W800" s="302"/>
      <c r="X800" s="302"/>
      <c r="Y800" s="302"/>
      <c r="Z800" s="302"/>
      <c r="AA800" s="302"/>
      <c r="AB800" s="302"/>
      <c r="AC800" s="302"/>
      <c r="AD800" s="302"/>
      <c r="AE800" s="302"/>
      <c r="AF800" s="302"/>
      <c r="AG800" s="302"/>
    </row>
    <row r="801" spans="1:33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335"/>
      <c r="S801" s="335"/>
      <c r="T801" s="335"/>
      <c r="U801" s="302"/>
      <c r="V801" s="302"/>
      <c r="W801" s="302"/>
      <c r="X801" s="302"/>
      <c r="Y801" s="302"/>
      <c r="Z801" s="302"/>
      <c r="AA801" s="302"/>
      <c r="AB801" s="302"/>
      <c r="AC801" s="302"/>
      <c r="AD801" s="302"/>
      <c r="AE801" s="302"/>
      <c r="AF801" s="302"/>
      <c r="AG801" s="302"/>
    </row>
    <row r="802" spans="1:33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335"/>
      <c r="S802" s="335"/>
      <c r="T802" s="335"/>
      <c r="U802" s="302"/>
      <c r="V802" s="302"/>
      <c r="W802" s="302"/>
      <c r="X802" s="302"/>
      <c r="Y802" s="302"/>
      <c r="Z802" s="302"/>
      <c r="AA802" s="302"/>
      <c r="AB802" s="302"/>
      <c r="AC802" s="302"/>
      <c r="AD802" s="302"/>
      <c r="AE802" s="302"/>
      <c r="AF802" s="302"/>
      <c r="AG802" s="302"/>
    </row>
    <row r="803" spans="1:33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335"/>
      <c r="S803" s="335"/>
      <c r="T803" s="335"/>
      <c r="U803" s="302"/>
      <c r="V803" s="302"/>
      <c r="W803" s="302"/>
      <c r="X803" s="302"/>
      <c r="Y803" s="302"/>
      <c r="Z803" s="302"/>
      <c r="AA803" s="302"/>
      <c r="AB803" s="302"/>
      <c r="AC803" s="302"/>
      <c r="AD803" s="302"/>
      <c r="AE803" s="302"/>
      <c r="AF803" s="302"/>
      <c r="AG803" s="302"/>
    </row>
    <row r="804" spans="1:33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335"/>
      <c r="S804" s="335"/>
      <c r="T804" s="335"/>
      <c r="U804" s="302"/>
      <c r="V804" s="302"/>
      <c r="W804" s="302"/>
      <c r="X804" s="302"/>
      <c r="Y804" s="302"/>
      <c r="Z804" s="302"/>
      <c r="AA804" s="302"/>
      <c r="AB804" s="302"/>
      <c r="AC804" s="302"/>
      <c r="AD804" s="302"/>
      <c r="AE804" s="302"/>
      <c r="AF804" s="302"/>
      <c r="AG804" s="302"/>
    </row>
    <row r="805" spans="1:33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335"/>
      <c r="S805" s="335"/>
      <c r="T805" s="335"/>
      <c r="U805" s="302"/>
      <c r="V805" s="302"/>
      <c r="W805" s="302"/>
      <c r="X805" s="302"/>
      <c r="Y805" s="302"/>
      <c r="Z805" s="302"/>
      <c r="AA805" s="302"/>
      <c r="AB805" s="302"/>
      <c r="AC805" s="302"/>
      <c r="AD805" s="302"/>
      <c r="AE805" s="302"/>
      <c r="AF805" s="302"/>
      <c r="AG805" s="302"/>
    </row>
    <row r="806" spans="1:33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335"/>
      <c r="S806" s="335"/>
      <c r="T806" s="335"/>
      <c r="U806" s="302"/>
      <c r="V806" s="302"/>
      <c r="W806" s="302"/>
      <c r="X806" s="302"/>
      <c r="Y806" s="302"/>
      <c r="Z806" s="302"/>
      <c r="AA806" s="302"/>
      <c r="AB806" s="302"/>
      <c r="AC806" s="302"/>
      <c r="AD806" s="302"/>
      <c r="AE806" s="302"/>
      <c r="AF806" s="302"/>
      <c r="AG806" s="302"/>
    </row>
    <row r="807" spans="1:33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335"/>
      <c r="S807" s="335"/>
      <c r="T807" s="335"/>
      <c r="U807" s="302"/>
      <c r="V807" s="302"/>
      <c r="W807" s="302"/>
      <c r="X807" s="302"/>
      <c r="Y807" s="302"/>
      <c r="Z807" s="302"/>
      <c r="AA807" s="302"/>
      <c r="AB807" s="302"/>
      <c r="AC807" s="302"/>
      <c r="AD807" s="302"/>
      <c r="AE807" s="302"/>
      <c r="AF807" s="302"/>
      <c r="AG807" s="302"/>
    </row>
    <row r="808" spans="1:33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335"/>
      <c r="S808" s="335"/>
      <c r="T808" s="335"/>
      <c r="U808" s="302"/>
      <c r="V808" s="302"/>
      <c r="W808" s="302"/>
      <c r="X808" s="302"/>
      <c r="Y808" s="302"/>
      <c r="Z808" s="302"/>
      <c r="AA808" s="302"/>
      <c r="AB808" s="302"/>
      <c r="AC808" s="302"/>
      <c r="AD808" s="302"/>
      <c r="AE808" s="302"/>
      <c r="AF808" s="302"/>
      <c r="AG808" s="302"/>
    </row>
    <row r="809" spans="1:33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335"/>
      <c r="S809" s="335"/>
      <c r="T809" s="335"/>
      <c r="U809" s="302"/>
      <c r="V809" s="302"/>
      <c r="W809" s="302"/>
      <c r="X809" s="302"/>
      <c r="Y809" s="302"/>
      <c r="Z809" s="302"/>
      <c r="AA809" s="302"/>
      <c r="AB809" s="302"/>
      <c r="AC809" s="302"/>
      <c r="AD809" s="302"/>
      <c r="AE809" s="302"/>
      <c r="AF809" s="302"/>
      <c r="AG809" s="302"/>
    </row>
    <row r="810" spans="1:33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335"/>
      <c r="S810" s="335"/>
      <c r="T810" s="335"/>
      <c r="U810" s="302"/>
      <c r="V810" s="302"/>
      <c r="W810" s="302"/>
      <c r="X810" s="302"/>
      <c r="Y810" s="302"/>
      <c r="Z810" s="302"/>
      <c r="AA810" s="302"/>
      <c r="AB810" s="302"/>
      <c r="AC810" s="302"/>
      <c r="AD810" s="302"/>
      <c r="AE810" s="302"/>
      <c r="AF810" s="302"/>
      <c r="AG810" s="302"/>
    </row>
    <row r="811" spans="1:33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335"/>
      <c r="S811" s="335"/>
      <c r="T811" s="335"/>
      <c r="U811" s="302"/>
      <c r="V811" s="302"/>
      <c r="W811" s="302"/>
      <c r="X811" s="302"/>
      <c r="Y811" s="302"/>
      <c r="Z811" s="302"/>
      <c r="AA811" s="302"/>
      <c r="AB811" s="302"/>
      <c r="AC811" s="302"/>
      <c r="AD811" s="302"/>
      <c r="AE811" s="302"/>
      <c r="AF811" s="302"/>
      <c r="AG811" s="302"/>
    </row>
    <row r="812" spans="1:33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335"/>
      <c r="S812" s="335"/>
      <c r="T812" s="335"/>
      <c r="U812" s="302"/>
      <c r="V812" s="302"/>
      <c r="W812" s="302"/>
      <c r="X812" s="302"/>
      <c r="Y812" s="302"/>
      <c r="Z812" s="302"/>
      <c r="AA812" s="302"/>
      <c r="AB812" s="302"/>
      <c r="AC812" s="302"/>
      <c r="AD812" s="302"/>
      <c r="AE812" s="302"/>
      <c r="AF812" s="302"/>
      <c r="AG812" s="302"/>
    </row>
    <row r="813" spans="1:33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335"/>
      <c r="S813" s="335"/>
      <c r="T813" s="335"/>
      <c r="U813" s="302"/>
      <c r="V813" s="302"/>
      <c r="W813" s="302"/>
      <c r="X813" s="302"/>
      <c r="Y813" s="302"/>
      <c r="Z813" s="302"/>
      <c r="AA813" s="302"/>
      <c r="AB813" s="302"/>
      <c r="AC813" s="302"/>
      <c r="AD813" s="302"/>
      <c r="AE813" s="302"/>
      <c r="AF813" s="302"/>
      <c r="AG813" s="302"/>
    </row>
    <row r="814" spans="1:33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335"/>
      <c r="S814" s="335"/>
      <c r="T814" s="335"/>
      <c r="U814" s="302"/>
      <c r="V814" s="302"/>
      <c r="W814" s="302"/>
      <c r="X814" s="302"/>
      <c r="Y814" s="302"/>
      <c r="Z814" s="302"/>
      <c r="AA814" s="302"/>
      <c r="AB814" s="302"/>
      <c r="AC814" s="302"/>
      <c r="AD814" s="302"/>
      <c r="AE814" s="302"/>
      <c r="AF814" s="302"/>
      <c r="AG814" s="302"/>
    </row>
    <row r="815" spans="1:33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335"/>
      <c r="S815" s="335"/>
      <c r="T815" s="335"/>
      <c r="U815" s="302"/>
      <c r="V815" s="302"/>
      <c r="W815" s="302"/>
      <c r="X815" s="302"/>
      <c r="Y815" s="302"/>
      <c r="Z815" s="302"/>
      <c r="AA815" s="302"/>
      <c r="AB815" s="302"/>
      <c r="AC815" s="302"/>
      <c r="AD815" s="302"/>
      <c r="AE815" s="302"/>
      <c r="AF815" s="302"/>
      <c r="AG815" s="302"/>
    </row>
    <row r="816" spans="1:33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335"/>
      <c r="S816" s="335"/>
      <c r="T816" s="335"/>
      <c r="U816" s="302"/>
      <c r="V816" s="302"/>
      <c r="W816" s="302"/>
      <c r="X816" s="302"/>
      <c r="Y816" s="302"/>
      <c r="Z816" s="302"/>
      <c r="AA816" s="302"/>
      <c r="AB816" s="302"/>
      <c r="AC816" s="302"/>
      <c r="AD816" s="302"/>
      <c r="AE816" s="302"/>
      <c r="AF816" s="302"/>
      <c r="AG816" s="302"/>
    </row>
    <row r="817" spans="1:33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335"/>
      <c r="S817" s="335"/>
      <c r="T817" s="335"/>
      <c r="U817" s="302"/>
      <c r="V817" s="302"/>
      <c r="W817" s="302"/>
      <c r="X817" s="302"/>
      <c r="Y817" s="302"/>
      <c r="Z817" s="302"/>
      <c r="AA817" s="302"/>
      <c r="AB817" s="302"/>
      <c r="AC817" s="302"/>
      <c r="AD817" s="302"/>
      <c r="AE817" s="302"/>
      <c r="AF817" s="302"/>
      <c r="AG817" s="302"/>
    </row>
    <row r="818" spans="1:33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335"/>
      <c r="S818" s="335"/>
      <c r="T818" s="335"/>
      <c r="U818" s="302"/>
      <c r="V818" s="302"/>
      <c r="W818" s="302"/>
      <c r="X818" s="302"/>
      <c r="Y818" s="302"/>
      <c r="Z818" s="302"/>
      <c r="AA818" s="302"/>
      <c r="AB818" s="302"/>
      <c r="AC818" s="302"/>
      <c r="AD818" s="302"/>
      <c r="AE818" s="302"/>
      <c r="AF818" s="302"/>
      <c r="AG818" s="302"/>
    </row>
    <row r="819" spans="1:33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335"/>
      <c r="S819" s="335"/>
      <c r="T819" s="335"/>
      <c r="U819" s="302"/>
      <c r="V819" s="302"/>
      <c r="W819" s="302"/>
      <c r="X819" s="302"/>
      <c r="Y819" s="302"/>
      <c r="Z819" s="302"/>
      <c r="AA819" s="302"/>
      <c r="AB819" s="302"/>
      <c r="AC819" s="302"/>
      <c r="AD819" s="302"/>
      <c r="AE819" s="302"/>
      <c r="AF819" s="302"/>
      <c r="AG819" s="302"/>
    </row>
    <row r="820" spans="1:33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335"/>
      <c r="S820" s="335"/>
      <c r="T820" s="335"/>
      <c r="U820" s="302"/>
      <c r="V820" s="302"/>
      <c r="W820" s="302"/>
      <c r="X820" s="302"/>
      <c r="Y820" s="302"/>
      <c r="Z820" s="302"/>
      <c r="AA820" s="302"/>
      <c r="AB820" s="302"/>
      <c r="AC820" s="302"/>
      <c r="AD820" s="302"/>
      <c r="AE820" s="302"/>
      <c r="AF820" s="302"/>
      <c r="AG820" s="302"/>
    </row>
    <row r="821" spans="1:33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335"/>
      <c r="S821" s="335"/>
      <c r="T821" s="335"/>
      <c r="U821" s="302"/>
      <c r="V821" s="302"/>
      <c r="W821" s="302"/>
      <c r="X821" s="302"/>
      <c r="Y821" s="302"/>
      <c r="Z821" s="302"/>
      <c r="AA821" s="302"/>
      <c r="AB821" s="302"/>
      <c r="AC821" s="302"/>
      <c r="AD821" s="302"/>
      <c r="AE821" s="302"/>
      <c r="AF821" s="302"/>
      <c r="AG821" s="302"/>
    </row>
    <row r="822" spans="1:33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335"/>
      <c r="S822" s="335"/>
      <c r="T822" s="335"/>
      <c r="U822" s="302"/>
      <c r="V822" s="302"/>
      <c r="W822" s="302"/>
      <c r="X822" s="302"/>
      <c r="Y822" s="302"/>
      <c r="Z822" s="302"/>
      <c r="AA822" s="302"/>
      <c r="AB822" s="302"/>
      <c r="AC822" s="302"/>
      <c r="AD822" s="302"/>
      <c r="AE822" s="302"/>
      <c r="AF822" s="302"/>
      <c r="AG822" s="302"/>
    </row>
    <row r="823" spans="1:33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335"/>
      <c r="S823" s="335"/>
      <c r="T823" s="335"/>
      <c r="U823" s="302"/>
      <c r="V823" s="302"/>
      <c r="W823" s="302"/>
      <c r="X823" s="302"/>
      <c r="Y823" s="302"/>
      <c r="Z823" s="302"/>
      <c r="AA823" s="302"/>
      <c r="AB823" s="302"/>
      <c r="AC823" s="302"/>
      <c r="AD823" s="302"/>
      <c r="AE823" s="302"/>
      <c r="AF823" s="302"/>
      <c r="AG823" s="302"/>
    </row>
    <row r="824" spans="1:33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335"/>
      <c r="S824" s="335"/>
      <c r="T824" s="335"/>
      <c r="U824" s="302"/>
      <c r="V824" s="302"/>
      <c r="W824" s="302"/>
      <c r="X824" s="302"/>
      <c r="Y824" s="302"/>
      <c r="Z824" s="302"/>
      <c r="AA824" s="302"/>
      <c r="AB824" s="302"/>
      <c r="AC824" s="302"/>
      <c r="AD824" s="302"/>
      <c r="AE824" s="302"/>
      <c r="AF824" s="302"/>
      <c r="AG824" s="302"/>
    </row>
    <row r="825" spans="1:33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335"/>
      <c r="S825" s="335"/>
      <c r="T825" s="335"/>
      <c r="U825" s="302"/>
      <c r="V825" s="302"/>
      <c r="W825" s="302"/>
      <c r="X825" s="302"/>
      <c r="Y825" s="302"/>
      <c r="Z825" s="302"/>
      <c r="AA825" s="302"/>
      <c r="AB825" s="302"/>
      <c r="AC825" s="302"/>
      <c r="AD825" s="302"/>
      <c r="AE825" s="302"/>
      <c r="AF825" s="302"/>
      <c r="AG825" s="302"/>
    </row>
    <row r="826" spans="1:33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335"/>
      <c r="S826" s="335"/>
      <c r="T826" s="335"/>
      <c r="U826" s="302"/>
      <c r="V826" s="302"/>
      <c r="W826" s="302"/>
      <c r="X826" s="302"/>
      <c r="Y826" s="302"/>
      <c r="Z826" s="302"/>
      <c r="AA826" s="302"/>
      <c r="AB826" s="302"/>
      <c r="AC826" s="302"/>
      <c r="AD826" s="302"/>
      <c r="AE826" s="302"/>
      <c r="AF826" s="302"/>
      <c r="AG826" s="302"/>
    </row>
    <row r="827" spans="1:33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335"/>
      <c r="S827" s="335"/>
      <c r="T827" s="335"/>
      <c r="U827" s="302"/>
      <c r="V827" s="302"/>
      <c r="W827" s="302"/>
      <c r="X827" s="302"/>
      <c r="Y827" s="302"/>
      <c r="Z827" s="302"/>
      <c r="AA827" s="302"/>
      <c r="AB827" s="302"/>
      <c r="AC827" s="302"/>
      <c r="AD827" s="302"/>
      <c r="AE827" s="302"/>
      <c r="AF827" s="302"/>
      <c r="AG827" s="302"/>
    </row>
    <row r="828" spans="1:33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335"/>
      <c r="S828" s="335"/>
      <c r="T828" s="335"/>
      <c r="U828" s="302"/>
      <c r="V828" s="302"/>
      <c r="W828" s="302"/>
      <c r="X828" s="302"/>
      <c r="Y828" s="302"/>
      <c r="Z828" s="302"/>
      <c r="AA828" s="302"/>
      <c r="AB828" s="302"/>
      <c r="AC828" s="302"/>
      <c r="AD828" s="302"/>
      <c r="AE828" s="302"/>
      <c r="AF828" s="302"/>
      <c r="AG828" s="302"/>
    </row>
    <row r="829" spans="1:33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335"/>
      <c r="S829" s="335"/>
      <c r="T829" s="335"/>
      <c r="U829" s="302"/>
      <c r="V829" s="302"/>
      <c r="W829" s="302"/>
      <c r="X829" s="302"/>
      <c r="Y829" s="302"/>
      <c r="Z829" s="302"/>
      <c r="AA829" s="302"/>
      <c r="AB829" s="302"/>
      <c r="AC829" s="302"/>
      <c r="AD829" s="302"/>
      <c r="AE829" s="302"/>
      <c r="AF829" s="302"/>
      <c r="AG829" s="302"/>
    </row>
    <row r="830" spans="1:33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335"/>
      <c r="S830" s="335"/>
      <c r="T830" s="335"/>
      <c r="U830" s="302"/>
      <c r="V830" s="302"/>
      <c r="W830" s="302"/>
      <c r="X830" s="302"/>
      <c r="Y830" s="302"/>
      <c r="Z830" s="302"/>
      <c r="AA830" s="302"/>
      <c r="AB830" s="302"/>
      <c r="AC830" s="302"/>
      <c r="AD830" s="302"/>
      <c r="AE830" s="302"/>
      <c r="AF830" s="302"/>
      <c r="AG830" s="302"/>
    </row>
    <row r="831" spans="1:33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335"/>
      <c r="S831" s="335"/>
      <c r="T831" s="335"/>
      <c r="U831" s="302"/>
      <c r="V831" s="302"/>
      <c r="W831" s="302"/>
      <c r="X831" s="302"/>
      <c r="Y831" s="302"/>
      <c r="Z831" s="302"/>
      <c r="AA831" s="302"/>
      <c r="AB831" s="302"/>
      <c r="AC831" s="302"/>
      <c r="AD831" s="302"/>
      <c r="AE831" s="302"/>
      <c r="AF831" s="302"/>
      <c r="AG831" s="302"/>
    </row>
    <row r="832" spans="1:33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335"/>
      <c r="S832" s="335"/>
      <c r="T832" s="335"/>
      <c r="U832" s="302"/>
      <c r="V832" s="302"/>
      <c r="W832" s="302"/>
      <c r="X832" s="302"/>
      <c r="Y832" s="302"/>
      <c r="Z832" s="302"/>
      <c r="AA832" s="302"/>
      <c r="AB832" s="302"/>
      <c r="AC832" s="302"/>
      <c r="AD832" s="302"/>
      <c r="AE832" s="302"/>
      <c r="AF832" s="302"/>
      <c r="AG832" s="302"/>
    </row>
    <row r="833" spans="1:33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335"/>
      <c r="S833" s="335"/>
      <c r="T833" s="335"/>
      <c r="U833" s="302"/>
      <c r="V833" s="302"/>
      <c r="W833" s="302"/>
      <c r="X833" s="302"/>
      <c r="Y833" s="302"/>
      <c r="Z833" s="302"/>
      <c r="AA833" s="302"/>
      <c r="AB833" s="302"/>
      <c r="AC833" s="302"/>
      <c r="AD833" s="302"/>
      <c r="AE833" s="302"/>
      <c r="AF833" s="302"/>
      <c r="AG833" s="302"/>
    </row>
    <row r="834" spans="1:33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335"/>
      <c r="S834" s="335"/>
      <c r="T834" s="335"/>
      <c r="U834" s="302"/>
      <c r="V834" s="302"/>
      <c r="W834" s="302"/>
      <c r="X834" s="302"/>
      <c r="Y834" s="302"/>
      <c r="Z834" s="302"/>
      <c r="AA834" s="302"/>
      <c r="AB834" s="302"/>
      <c r="AC834" s="302"/>
      <c r="AD834" s="302"/>
      <c r="AE834" s="302"/>
      <c r="AF834" s="302"/>
      <c r="AG834" s="302"/>
    </row>
    <row r="835" spans="1:33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335"/>
      <c r="S835" s="335"/>
      <c r="T835" s="335"/>
      <c r="U835" s="302"/>
      <c r="V835" s="302"/>
      <c r="W835" s="302"/>
      <c r="X835" s="302"/>
      <c r="Y835" s="302"/>
      <c r="Z835" s="302"/>
      <c r="AA835" s="302"/>
      <c r="AB835" s="302"/>
      <c r="AC835" s="302"/>
      <c r="AD835" s="302"/>
      <c r="AE835" s="302"/>
      <c r="AF835" s="302"/>
      <c r="AG835" s="302"/>
    </row>
    <row r="836" spans="1:33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335"/>
      <c r="S836" s="335"/>
      <c r="T836" s="335"/>
      <c r="U836" s="302"/>
      <c r="V836" s="302"/>
      <c r="W836" s="302"/>
      <c r="X836" s="302"/>
      <c r="Y836" s="302"/>
      <c r="Z836" s="302"/>
      <c r="AA836" s="302"/>
      <c r="AB836" s="302"/>
      <c r="AC836" s="302"/>
      <c r="AD836" s="302"/>
      <c r="AE836" s="302"/>
      <c r="AF836" s="302"/>
      <c r="AG836" s="302"/>
    </row>
    <row r="837" spans="1:33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335"/>
      <c r="S837" s="335"/>
      <c r="T837" s="335"/>
      <c r="U837" s="302"/>
      <c r="V837" s="302"/>
      <c r="W837" s="302"/>
      <c r="X837" s="302"/>
      <c r="Y837" s="302"/>
      <c r="Z837" s="302"/>
      <c r="AA837" s="302"/>
      <c r="AB837" s="302"/>
      <c r="AC837" s="302"/>
      <c r="AD837" s="302"/>
      <c r="AE837" s="302"/>
      <c r="AF837" s="302"/>
      <c r="AG837" s="302"/>
    </row>
    <row r="838" spans="1:33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335"/>
      <c r="S838" s="335"/>
      <c r="T838" s="335"/>
      <c r="U838" s="302"/>
      <c r="V838" s="302"/>
      <c r="W838" s="302"/>
      <c r="X838" s="302"/>
      <c r="Y838" s="302"/>
      <c r="Z838" s="302"/>
      <c r="AA838" s="302"/>
      <c r="AB838" s="302"/>
      <c r="AC838" s="302"/>
      <c r="AD838" s="302"/>
      <c r="AE838" s="302"/>
      <c r="AF838" s="302"/>
      <c r="AG838" s="302"/>
    </row>
    <row r="839" spans="1:33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335"/>
      <c r="S839" s="335"/>
      <c r="T839" s="335"/>
      <c r="U839" s="302"/>
      <c r="V839" s="302"/>
      <c r="W839" s="302"/>
      <c r="X839" s="302"/>
      <c r="Y839" s="302"/>
      <c r="Z839" s="302"/>
      <c r="AA839" s="302"/>
      <c r="AB839" s="302"/>
      <c r="AC839" s="302"/>
      <c r="AD839" s="302"/>
      <c r="AE839" s="302"/>
      <c r="AF839" s="302"/>
      <c r="AG839" s="302"/>
    </row>
    <row r="840" spans="1:33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335"/>
      <c r="S840" s="335"/>
      <c r="T840" s="335"/>
      <c r="U840" s="302"/>
      <c r="V840" s="302"/>
      <c r="W840" s="302"/>
      <c r="X840" s="302"/>
      <c r="Y840" s="302"/>
      <c r="Z840" s="302"/>
      <c r="AA840" s="302"/>
      <c r="AB840" s="302"/>
      <c r="AC840" s="302"/>
      <c r="AD840" s="302"/>
      <c r="AE840" s="302"/>
      <c r="AF840" s="302"/>
      <c r="AG840" s="302"/>
    </row>
    <row r="841" spans="1:33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335"/>
      <c r="S841" s="335"/>
      <c r="T841" s="335"/>
      <c r="U841" s="302"/>
      <c r="V841" s="302"/>
      <c r="W841" s="302"/>
      <c r="X841" s="302"/>
      <c r="Y841" s="302"/>
      <c r="Z841" s="302"/>
      <c r="AA841" s="302"/>
      <c r="AB841" s="302"/>
      <c r="AC841" s="302"/>
      <c r="AD841" s="302"/>
      <c r="AE841" s="302"/>
      <c r="AF841" s="302"/>
      <c r="AG841" s="302"/>
    </row>
    <row r="842" spans="1:33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335"/>
      <c r="S842" s="335"/>
      <c r="T842" s="335"/>
      <c r="U842" s="302"/>
      <c r="V842" s="302"/>
      <c r="W842" s="302"/>
      <c r="X842" s="302"/>
      <c r="Y842" s="302"/>
      <c r="Z842" s="302"/>
      <c r="AA842" s="302"/>
      <c r="AB842" s="302"/>
      <c r="AC842" s="302"/>
      <c r="AD842" s="302"/>
      <c r="AE842" s="302"/>
      <c r="AF842" s="302"/>
      <c r="AG842" s="302"/>
    </row>
    <row r="843" spans="1:33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335"/>
      <c r="S843" s="335"/>
      <c r="T843" s="335"/>
      <c r="U843" s="302"/>
      <c r="V843" s="302"/>
      <c r="W843" s="302"/>
      <c r="X843" s="302"/>
      <c r="Y843" s="302"/>
      <c r="Z843" s="302"/>
      <c r="AA843" s="302"/>
      <c r="AB843" s="302"/>
      <c r="AC843" s="302"/>
      <c r="AD843" s="302"/>
      <c r="AE843" s="302"/>
      <c r="AF843" s="302"/>
      <c r="AG843" s="302"/>
    </row>
    <row r="844" spans="1:33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335"/>
      <c r="S844" s="335"/>
      <c r="T844" s="335"/>
      <c r="U844" s="302"/>
      <c r="V844" s="302"/>
      <c r="W844" s="302"/>
      <c r="X844" s="302"/>
      <c r="Y844" s="302"/>
      <c r="Z844" s="302"/>
      <c r="AA844" s="302"/>
      <c r="AB844" s="302"/>
      <c r="AC844" s="302"/>
      <c r="AD844" s="302"/>
      <c r="AE844" s="302"/>
      <c r="AF844" s="302"/>
      <c r="AG844" s="302"/>
    </row>
    <row r="845" spans="1:33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335"/>
      <c r="S845" s="335"/>
      <c r="T845" s="335"/>
      <c r="U845" s="302"/>
      <c r="V845" s="302"/>
      <c r="W845" s="302"/>
      <c r="X845" s="302"/>
      <c r="Y845" s="302"/>
      <c r="Z845" s="302"/>
      <c r="AA845" s="302"/>
      <c r="AB845" s="302"/>
      <c r="AC845" s="302"/>
      <c r="AD845" s="302"/>
      <c r="AE845" s="302"/>
      <c r="AF845" s="302"/>
      <c r="AG845" s="302"/>
    </row>
    <row r="846" spans="1:33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335"/>
      <c r="S846" s="335"/>
      <c r="T846" s="335"/>
      <c r="U846" s="302"/>
      <c r="V846" s="302"/>
      <c r="W846" s="302"/>
      <c r="X846" s="302"/>
      <c r="Y846" s="302"/>
      <c r="Z846" s="302"/>
      <c r="AA846" s="302"/>
      <c r="AB846" s="302"/>
      <c r="AC846" s="302"/>
      <c r="AD846" s="302"/>
      <c r="AE846" s="302"/>
      <c r="AF846" s="302"/>
      <c r="AG846" s="302"/>
    </row>
    <row r="847" spans="1:33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335"/>
      <c r="S847" s="335"/>
      <c r="T847" s="335"/>
      <c r="U847" s="302"/>
      <c r="V847" s="302"/>
      <c r="W847" s="302"/>
      <c r="X847" s="302"/>
      <c r="Y847" s="302"/>
      <c r="Z847" s="302"/>
      <c r="AA847" s="302"/>
      <c r="AB847" s="302"/>
      <c r="AC847" s="302"/>
      <c r="AD847" s="302"/>
      <c r="AE847" s="302"/>
      <c r="AF847" s="302"/>
      <c r="AG847" s="302"/>
    </row>
    <row r="848" spans="1:33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335"/>
      <c r="S848" s="335"/>
      <c r="T848" s="335"/>
      <c r="U848" s="302"/>
      <c r="V848" s="302"/>
      <c r="W848" s="302"/>
      <c r="X848" s="302"/>
      <c r="Y848" s="302"/>
      <c r="Z848" s="302"/>
      <c r="AA848" s="302"/>
      <c r="AB848" s="302"/>
      <c r="AC848" s="302"/>
      <c r="AD848" s="302"/>
      <c r="AE848" s="302"/>
      <c r="AF848" s="302"/>
      <c r="AG848" s="302"/>
    </row>
    <row r="849" spans="1:33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335"/>
      <c r="S849" s="335"/>
      <c r="T849" s="335"/>
      <c r="U849" s="302"/>
      <c r="V849" s="302"/>
      <c r="W849" s="302"/>
      <c r="X849" s="302"/>
      <c r="Y849" s="302"/>
      <c r="Z849" s="302"/>
      <c r="AA849" s="302"/>
      <c r="AB849" s="302"/>
      <c r="AC849" s="302"/>
      <c r="AD849" s="302"/>
      <c r="AE849" s="302"/>
      <c r="AF849" s="302"/>
      <c r="AG849" s="302"/>
    </row>
    <row r="850" spans="1:33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335"/>
      <c r="S850" s="335"/>
      <c r="T850" s="335"/>
      <c r="U850" s="302"/>
      <c r="V850" s="302"/>
      <c r="W850" s="302"/>
      <c r="X850" s="302"/>
      <c r="Y850" s="302"/>
      <c r="Z850" s="302"/>
      <c r="AA850" s="302"/>
      <c r="AB850" s="302"/>
      <c r="AC850" s="302"/>
      <c r="AD850" s="302"/>
      <c r="AE850" s="302"/>
      <c r="AF850" s="302"/>
      <c r="AG850" s="302"/>
    </row>
    <row r="851" spans="1:33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335"/>
      <c r="S851" s="335"/>
      <c r="T851" s="335"/>
      <c r="U851" s="302"/>
      <c r="V851" s="302"/>
      <c r="W851" s="302"/>
      <c r="X851" s="302"/>
      <c r="Y851" s="302"/>
      <c r="Z851" s="302"/>
      <c r="AA851" s="302"/>
      <c r="AB851" s="302"/>
      <c r="AC851" s="302"/>
      <c r="AD851" s="302"/>
      <c r="AE851" s="302"/>
      <c r="AF851" s="302"/>
      <c r="AG851" s="302"/>
    </row>
    <row r="852" spans="1:33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335"/>
      <c r="S852" s="335"/>
      <c r="T852" s="335"/>
      <c r="U852" s="302"/>
      <c r="V852" s="302"/>
      <c r="W852" s="302"/>
      <c r="X852" s="302"/>
      <c r="Y852" s="302"/>
      <c r="Z852" s="302"/>
      <c r="AA852" s="302"/>
      <c r="AB852" s="302"/>
      <c r="AC852" s="302"/>
      <c r="AD852" s="302"/>
      <c r="AE852" s="302"/>
      <c r="AF852" s="302"/>
      <c r="AG852" s="302"/>
    </row>
    <row r="853" spans="1:33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335"/>
      <c r="S853" s="335"/>
      <c r="T853" s="335"/>
      <c r="U853" s="302"/>
      <c r="V853" s="302"/>
      <c r="W853" s="302"/>
      <c r="X853" s="302"/>
      <c r="Y853" s="302"/>
      <c r="Z853" s="302"/>
      <c r="AA853" s="302"/>
      <c r="AB853" s="302"/>
      <c r="AC853" s="302"/>
      <c r="AD853" s="302"/>
      <c r="AE853" s="302"/>
      <c r="AF853" s="302"/>
      <c r="AG853" s="302"/>
    </row>
    <row r="854" spans="1:33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335"/>
      <c r="S854" s="335"/>
      <c r="T854" s="335"/>
      <c r="U854" s="302"/>
      <c r="V854" s="302"/>
      <c r="W854" s="302"/>
      <c r="X854" s="302"/>
      <c r="Y854" s="302"/>
      <c r="Z854" s="302"/>
      <c r="AA854" s="302"/>
      <c r="AB854" s="302"/>
      <c r="AC854" s="302"/>
      <c r="AD854" s="302"/>
      <c r="AE854" s="302"/>
      <c r="AF854" s="302"/>
      <c r="AG854" s="302"/>
    </row>
    <row r="855" spans="1:33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335"/>
      <c r="S855" s="335"/>
      <c r="T855" s="335"/>
      <c r="U855" s="302"/>
      <c r="V855" s="302"/>
      <c r="W855" s="302"/>
      <c r="X855" s="302"/>
      <c r="Y855" s="302"/>
      <c r="Z855" s="302"/>
      <c r="AA855" s="302"/>
      <c r="AB855" s="302"/>
      <c r="AC855" s="302"/>
      <c r="AD855" s="302"/>
      <c r="AE855" s="302"/>
      <c r="AF855" s="302"/>
      <c r="AG855" s="302"/>
    </row>
    <row r="856" spans="1:33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335"/>
      <c r="S856" s="335"/>
      <c r="T856" s="335"/>
      <c r="U856" s="302"/>
      <c r="V856" s="302"/>
      <c r="W856" s="302"/>
      <c r="X856" s="302"/>
      <c r="Y856" s="302"/>
      <c r="Z856" s="302"/>
      <c r="AA856" s="302"/>
      <c r="AB856" s="302"/>
      <c r="AC856" s="302"/>
      <c r="AD856" s="302"/>
      <c r="AE856" s="302"/>
      <c r="AF856" s="302"/>
      <c r="AG856" s="302"/>
    </row>
    <row r="857" spans="1:33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335"/>
      <c r="S857" s="335"/>
      <c r="T857" s="335"/>
      <c r="U857" s="302"/>
      <c r="V857" s="302"/>
      <c r="W857" s="302"/>
      <c r="X857" s="302"/>
      <c r="Y857" s="302"/>
      <c r="Z857" s="302"/>
      <c r="AA857" s="302"/>
      <c r="AB857" s="302"/>
      <c r="AC857" s="302"/>
      <c r="AD857" s="302"/>
      <c r="AE857" s="302"/>
      <c r="AF857" s="302"/>
      <c r="AG857" s="302"/>
    </row>
    <row r="858" spans="1:33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335"/>
      <c r="S858" s="335"/>
      <c r="T858" s="335"/>
      <c r="U858" s="302"/>
      <c r="V858" s="302"/>
      <c r="W858" s="302"/>
      <c r="X858" s="302"/>
      <c r="Y858" s="302"/>
      <c r="Z858" s="302"/>
      <c r="AA858" s="302"/>
      <c r="AB858" s="302"/>
      <c r="AC858" s="302"/>
      <c r="AD858" s="302"/>
      <c r="AE858" s="302"/>
      <c r="AF858" s="302"/>
      <c r="AG858" s="302"/>
    </row>
    <row r="859" spans="1:33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335"/>
      <c r="S859" s="335"/>
      <c r="T859" s="335"/>
      <c r="U859" s="302"/>
      <c r="V859" s="302"/>
      <c r="W859" s="302"/>
      <c r="X859" s="302"/>
      <c r="Y859" s="302"/>
      <c r="Z859" s="302"/>
      <c r="AA859" s="302"/>
      <c r="AB859" s="302"/>
      <c r="AC859" s="302"/>
      <c r="AD859" s="302"/>
      <c r="AE859" s="302"/>
      <c r="AF859" s="302"/>
      <c r="AG859" s="302"/>
    </row>
    <row r="860" spans="1:33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335"/>
      <c r="S860" s="335"/>
      <c r="T860" s="335"/>
      <c r="U860" s="302"/>
      <c r="V860" s="302"/>
      <c r="W860" s="302"/>
      <c r="X860" s="302"/>
      <c r="Y860" s="302"/>
      <c r="Z860" s="302"/>
      <c r="AA860" s="302"/>
      <c r="AB860" s="302"/>
      <c r="AC860" s="302"/>
      <c r="AD860" s="302"/>
      <c r="AE860" s="302"/>
      <c r="AF860" s="302"/>
      <c r="AG860" s="302"/>
    </row>
    <row r="861" spans="1:33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335"/>
      <c r="S861" s="335"/>
      <c r="T861" s="335"/>
      <c r="U861" s="302"/>
      <c r="V861" s="302"/>
      <c r="W861" s="302"/>
      <c r="X861" s="302"/>
      <c r="Y861" s="302"/>
      <c r="Z861" s="302"/>
      <c r="AA861" s="302"/>
      <c r="AB861" s="302"/>
      <c r="AC861" s="302"/>
      <c r="AD861" s="302"/>
      <c r="AE861" s="302"/>
      <c r="AF861" s="302"/>
      <c r="AG861" s="302"/>
    </row>
    <row r="862" spans="1:33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335"/>
      <c r="S862" s="335"/>
      <c r="T862" s="335"/>
      <c r="U862" s="302"/>
      <c r="V862" s="302"/>
      <c r="W862" s="302"/>
      <c r="X862" s="302"/>
      <c r="Y862" s="302"/>
      <c r="Z862" s="302"/>
      <c r="AA862" s="302"/>
      <c r="AB862" s="302"/>
      <c r="AC862" s="302"/>
      <c r="AD862" s="302"/>
      <c r="AE862" s="302"/>
      <c r="AF862" s="302"/>
      <c r="AG862" s="302"/>
    </row>
    <row r="863" spans="1:33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335"/>
      <c r="S863" s="335"/>
      <c r="T863" s="335"/>
      <c r="U863" s="302"/>
      <c r="V863" s="302"/>
      <c r="W863" s="302"/>
      <c r="X863" s="302"/>
      <c r="Y863" s="302"/>
      <c r="Z863" s="302"/>
      <c r="AA863" s="302"/>
      <c r="AB863" s="302"/>
      <c r="AC863" s="302"/>
      <c r="AD863" s="302"/>
      <c r="AE863" s="302"/>
      <c r="AF863" s="302"/>
      <c r="AG863" s="302"/>
    </row>
    <row r="864" spans="1:33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335"/>
      <c r="S864" s="335"/>
      <c r="T864" s="335"/>
      <c r="U864" s="302"/>
      <c r="V864" s="302"/>
      <c r="W864" s="302"/>
      <c r="X864" s="302"/>
      <c r="Y864" s="302"/>
      <c r="Z864" s="302"/>
      <c r="AA864" s="302"/>
      <c r="AB864" s="302"/>
      <c r="AC864" s="302"/>
      <c r="AD864" s="302"/>
      <c r="AE864" s="302"/>
      <c r="AF864" s="302"/>
      <c r="AG864" s="302"/>
    </row>
    <row r="865" spans="1:33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335"/>
      <c r="S865" s="335"/>
      <c r="T865" s="335"/>
      <c r="U865" s="302"/>
      <c r="V865" s="302"/>
      <c r="W865" s="302"/>
      <c r="X865" s="302"/>
      <c r="Y865" s="302"/>
      <c r="Z865" s="302"/>
      <c r="AA865" s="302"/>
      <c r="AB865" s="302"/>
      <c r="AC865" s="302"/>
      <c r="AD865" s="302"/>
      <c r="AE865" s="302"/>
      <c r="AF865" s="302"/>
      <c r="AG865" s="302"/>
    </row>
    <row r="866" spans="1:33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335"/>
      <c r="S866" s="335"/>
      <c r="T866" s="335"/>
      <c r="U866" s="302"/>
      <c r="V866" s="302"/>
      <c r="W866" s="302"/>
      <c r="X866" s="302"/>
      <c r="Y866" s="302"/>
      <c r="Z866" s="302"/>
      <c r="AA866" s="302"/>
      <c r="AB866" s="302"/>
      <c r="AC866" s="302"/>
      <c r="AD866" s="302"/>
      <c r="AE866" s="302"/>
      <c r="AF866" s="302"/>
      <c r="AG866" s="302"/>
    </row>
    <row r="867" spans="1:33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335"/>
      <c r="S867" s="335"/>
      <c r="T867" s="335"/>
      <c r="U867" s="302"/>
      <c r="V867" s="302"/>
      <c r="W867" s="302"/>
      <c r="X867" s="302"/>
      <c r="Y867" s="302"/>
      <c r="Z867" s="302"/>
      <c r="AA867" s="302"/>
      <c r="AB867" s="302"/>
      <c r="AC867" s="302"/>
      <c r="AD867" s="302"/>
      <c r="AE867" s="302"/>
      <c r="AF867" s="302"/>
      <c r="AG867" s="302"/>
    </row>
    <row r="868" spans="1:33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335"/>
      <c r="S868" s="335"/>
      <c r="T868" s="335"/>
      <c r="U868" s="302"/>
      <c r="V868" s="302"/>
      <c r="W868" s="302"/>
      <c r="X868" s="302"/>
      <c r="Y868" s="302"/>
      <c r="Z868" s="302"/>
      <c r="AA868" s="302"/>
      <c r="AB868" s="302"/>
      <c r="AC868" s="302"/>
      <c r="AD868" s="302"/>
      <c r="AE868" s="302"/>
      <c r="AF868" s="302"/>
      <c r="AG868" s="302"/>
    </row>
    <row r="869" spans="1:33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335"/>
      <c r="S869" s="335"/>
      <c r="T869" s="335"/>
      <c r="U869" s="302"/>
      <c r="V869" s="302"/>
      <c r="W869" s="302"/>
      <c r="X869" s="302"/>
      <c r="Y869" s="302"/>
      <c r="Z869" s="302"/>
      <c r="AA869" s="302"/>
      <c r="AB869" s="302"/>
      <c r="AC869" s="302"/>
      <c r="AD869" s="302"/>
      <c r="AE869" s="302"/>
      <c r="AF869" s="302"/>
      <c r="AG869" s="302"/>
    </row>
    <row r="870" spans="1:33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335"/>
      <c r="S870" s="335"/>
      <c r="T870" s="335"/>
      <c r="U870" s="302"/>
      <c r="V870" s="302"/>
      <c r="W870" s="302"/>
      <c r="X870" s="302"/>
      <c r="Y870" s="302"/>
      <c r="Z870" s="302"/>
      <c r="AA870" s="302"/>
      <c r="AB870" s="302"/>
      <c r="AC870" s="302"/>
      <c r="AD870" s="302"/>
      <c r="AE870" s="302"/>
      <c r="AF870" s="302"/>
      <c r="AG870" s="302"/>
    </row>
    <row r="871" spans="1:33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335"/>
      <c r="S871" s="335"/>
      <c r="T871" s="335"/>
      <c r="U871" s="302"/>
      <c r="V871" s="302"/>
      <c r="W871" s="302"/>
      <c r="X871" s="302"/>
      <c r="Y871" s="302"/>
      <c r="Z871" s="302"/>
      <c r="AA871" s="302"/>
      <c r="AB871" s="302"/>
      <c r="AC871" s="302"/>
      <c r="AD871" s="302"/>
      <c r="AE871" s="302"/>
      <c r="AF871" s="302"/>
      <c r="AG871" s="302"/>
    </row>
    <row r="872" spans="1:33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335"/>
      <c r="S872" s="335"/>
      <c r="T872" s="335"/>
      <c r="U872" s="302"/>
      <c r="V872" s="302"/>
      <c r="W872" s="302"/>
      <c r="X872" s="302"/>
      <c r="Y872" s="302"/>
      <c r="Z872" s="302"/>
      <c r="AA872" s="302"/>
      <c r="AB872" s="302"/>
      <c r="AC872" s="302"/>
      <c r="AD872" s="302"/>
      <c r="AE872" s="302"/>
      <c r="AF872" s="302"/>
      <c r="AG872" s="302"/>
    </row>
    <row r="873" spans="1:33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335"/>
      <c r="S873" s="335"/>
      <c r="T873" s="335"/>
      <c r="U873" s="302"/>
      <c r="V873" s="302"/>
      <c r="W873" s="302"/>
      <c r="X873" s="302"/>
      <c r="Y873" s="302"/>
      <c r="Z873" s="302"/>
      <c r="AA873" s="302"/>
      <c r="AB873" s="302"/>
      <c r="AC873" s="302"/>
      <c r="AD873" s="302"/>
      <c r="AE873" s="302"/>
      <c r="AF873" s="302"/>
      <c r="AG873" s="302"/>
    </row>
    <row r="874" spans="1:33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335"/>
      <c r="S874" s="335"/>
      <c r="T874" s="335"/>
      <c r="U874" s="302"/>
      <c r="V874" s="302"/>
      <c r="W874" s="302"/>
      <c r="X874" s="302"/>
      <c r="Y874" s="302"/>
      <c r="Z874" s="302"/>
      <c r="AA874" s="302"/>
      <c r="AB874" s="302"/>
      <c r="AC874" s="302"/>
      <c r="AD874" s="302"/>
      <c r="AE874" s="302"/>
      <c r="AF874" s="302"/>
      <c r="AG874" s="302"/>
    </row>
    <row r="875" spans="1:33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335"/>
      <c r="S875" s="335"/>
      <c r="T875" s="335"/>
      <c r="U875" s="302"/>
      <c r="V875" s="302"/>
      <c r="W875" s="302"/>
      <c r="X875" s="302"/>
      <c r="Y875" s="302"/>
      <c r="Z875" s="302"/>
      <c r="AA875" s="302"/>
      <c r="AB875" s="302"/>
      <c r="AC875" s="302"/>
      <c r="AD875" s="302"/>
      <c r="AE875" s="302"/>
      <c r="AF875" s="302"/>
      <c r="AG875" s="302"/>
    </row>
    <row r="876" spans="1:33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335"/>
      <c r="S876" s="335"/>
      <c r="T876" s="335"/>
      <c r="U876" s="302"/>
      <c r="V876" s="302"/>
      <c r="W876" s="302"/>
      <c r="X876" s="302"/>
      <c r="Y876" s="302"/>
      <c r="Z876" s="302"/>
      <c r="AA876" s="302"/>
      <c r="AB876" s="302"/>
      <c r="AC876" s="302"/>
      <c r="AD876" s="302"/>
      <c r="AE876" s="302"/>
      <c r="AF876" s="302"/>
      <c r="AG876" s="302"/>
    </row>
    <row r="877" spans="1:33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335"/>
      <c r="S877" s="335"/>
      <c r="T877" s="335"/>
      <c r="U877" s="302"/>
      <c r="V877" s="302"/>
      <c r="W877" s="302"/>
      <c r="X877" s="302"/>
      <c r="Y877" s="302"/>
      <c r="Z877" s="302"/>
      <c r="AA877" s="302"/>
      <c r="AB877" s="302"/>
      <c r="AC877" s="302"/>
      <c r="AD877" s="302"/>
      <c r="AE877" s="302"/>
      <c r="AF877" s="302"/>
      <c r="AG877" s="302"/>
    </row>
    <row r="878" spans="1:33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335"/>
      <c r="S878" s="335"/>
      <c r="T878" s="335"/>
      <c r="U878" s="302"/>
      <c r="V878" s="302"/>
      <c r="W878" s="302"/>
      <c r="X878" s="302"/>
      <c r="Y878" s="302"/>
      <c r="Z878" s="302"/>
      <c r="AA878" s="302"/>
      <c r="AB878" s="302"/>
      <c r="AC878" s="302"/>
      <c r="AD878" s="302"/>
      <c r="AE878" s="302"/>
      <c r="AF878" s="302"/>
      <c r="AG878" s="302"/>
    </row>
    <row r="879" spans="1:33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335"/>
      <c r="S879" s="335"/>
      <c r="T879" s="335"/>
      <c r="U879" s="302"/>
      <c r="V879" s="302"/>
      <c r="W879" s="302"/>
      <c r="X879" s="302"/>
      <c r="Y879" s="302"/>
      <c r="Z879" s="302"/>
      <c r="AA879" s="302"/>
      <c r="AB879" s="302"/>
      <c r="AC879" s="302"/>
      <c r="AD879" s="302"/>
      <c r="AE879" s="302"/>
      <c r="AF879" s="302"/>
      <c r="AG879" s="302"/>
    </row>
    <row r="880" spans="1:33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335"/>
      <c r="S880" s="335"/>
      <c r="T880" s="335"/>
      <c r="U880" s="302"/>
      <c r="V880" s="302"/>
      <c r="W880" s="302"/>
      <c r="X880" s="302"/>
      <c r="Y880" s="302"/>
      <c r="Z880" s="302"/>
      <c r="AA880" s="302"/>
      <c r="AB880" s="302"/>
      <c r="AC880" s="302"/>
      <c r="AD880" s="302"/>
      <c r="AE880" s="302"/>
      <c r="AF880" s="302"/>
      <c r="AG880" s="302"/>
    </row>
    <row r="881" spans="1:33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335"/>
      <c r="S881" s="335"/>
      <c r="T881" s="335"/>
      <c r="U881" s="302"/>
      <c r="V881" s="302"/>
      <c r="W881" s="302"/>
      <c r="X881" s="302"/>
      <c r="Y881" s="302"/>
      <c r="Z881" s="302"/>
      <c r="AA881" s="302"/>
      <c r="AB881" s="302"/>
      <c r="AC881" s="302"/>
      <c r="AD881" s="302"/>
      <c r="AE881" s="302"/>
      <c r="AF881" s="302"/>
      <c r="AG881" s="302"/>
    </row>
    <row r="882" spans="1:33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335"/>
      <c r="S882" s="335"/>
      <c r="T882" s="335"/>
      <c r="U882" s="302"/>
      <c r="V882" s="302"/>
      <c r="W882" s="302"/>
      <c r="X882" s="302"/>
      <c r="Y882" s="302"/>
      <c r="Z882" s="302"/>
      <c r="AA882" s="302"/>
      <c r="AB882" s="302"/>
      <c r="AC882" s="302"/>
      <c r="AD882" s="302"/>
      <c r="AE882" s="302"/>
      <c r="AF882" s="302"/>
      <c r="AG882" s="302"/>
    </row>
    <row r="883" spans="1:33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335"/>
      <c r="S883" s="335"/>
      <c r="T883" s="335"/>
      <c r="U883" s="302"/>
      <c r="V883" s="302"/>
      <c r="W883" s="302"/>
      <c r="X883" s="302"/>
      <c r="Y883" s="302"/>
      <c r="Z883" s="302"/>
      <c r="AA883" s="302"/>
      <c r="AB883" s="302"/>
      <c r="AC883" s="302"/>
      <c r="AD883" s="302"/>
      <c r="AE883" s="302"/>
      <c r="AF883" s="302"/>
      <c r="AG883" s="302"/>
    </row>
    <row r="884" spans="1:33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335"/>
      <c r="S884" s="335"/>
      <c r="T884" s="335"/>
      <c r="U884" s="302"/>
      <c r="V884" s="302"/>
      <c r="W884" s="302"/>
      <c r="X884" s="302"/>
      <c r="Y884" s="302"/>
      <c r="Z884" s="302"/>
      <c r="AA884" s="302"/>
      <c r="AB884" s="302"/>
      <c r="AC884" s="302"/>
      <c r="AD884" s="302"/>
      <c r="AE884" s="302"/>
      <c r="AF884" s="302"/>
      <c r="AG884" s="302"/>
    </row>
    <row r="885" spans="1:33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335"/>
      <c r="S885" s="335"/>
      <c r="T885" s="335"/>
      <c r="U885" s="302"/>
      <c r="V885" s="302"/>
      <c r="W885" s="302"/>
      <c r="X885" s="302"/>
      <c r="Y885" s="302"/>
      <c r="Z885" s="302"/>
      <c r="AA885" s="302"/>
      <c r="AB885" s="302"/>
      <c r="AC885" s="302"/>
      <c r="AD885" s="302"/>
      <c r="AE885" s="302"/>
      <c r="AF885" s="302"/>
      <c r="AG885" s="302"/>
    </row>
    <row r="886" spans="1:33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335"/>
      <c r="S886" s="335"/>
      <c r="T886" s="335"/>
      <c r="U886" s="302"/>
      <c r="V886" s="302"/>
      <c r="W886" s="302"/>
      <c r="X886" s="302"/>
      <c r="Y886" s="302"/>
      <c r="Z886" s="302"/>
      <c r="AA886" s="302"/>
      <c r="AB886" s="302"/>
      <c r="AC886" s="302"/>
      <c r="AD886" s="302"/>
      <c r="AE886" s="302"/>
      <c r="AF886" s="302"/>
      <c r="AG886" s="302"/>
    </row>
    <row r="887" spans="1:33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335"/>
      <c r="S887" s="335"/>
      <c r="T887" s="335"/>
      <c r="U887" s="302"/>
      <c r="V887" s="302"/>
      <c r="W887" s="302"/>
      <c r="X887" s="302"/>
      <c r="Y887" s="302"/>
      <c r="Z887" s="302"/>
      <c r="AA887" s="302"/>
      <c r="AB887" s="302"/>
      <c r="AC887" s="302"/>
      <c r="AD887" s="302"/>
      <c r="AE887" s="302"/>
      <c r="AF887" s="302"/>
      <c r="AG887" s="302"/>
    </row>
    <row r="888" spans="1:33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335"/>
      <c r="S888" s="335"/>
      <c r="T888" s="335"/>
      <c r="U888" s="302"/>
      <c r="V888" s="302"/>
      <c r="W888" s="302"/>
      <c r="X888" s="302"/>
      <c r="Y888" s="302"/>
      <c r="Z888" s="302"/>
      <c r="AA888" s="302"/>
      <c r="AB888" s="302"/>
      <c r="AC888" s="302"/>
      <c r="AD888" s="302"/>
      <c r="AE888" s="302"/>
      <c r="AF888" s="302"/>
      <c r="AG888" s="302"/>
    </row>
    <row r="889" spans="1:33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335"/>
      <c r="S889" s="335"/>
      <c r="T889" s="335"/>
      <c r="U889" s="302"/>
      <c r="V889" s="302"/>
      <c r="W889" s="302"/>
      <c r="X889" s="302"/>
      <c r="Y889" s="302"/>
      <c r="Z889" s="302"/>
      <c r="AA889" s="302"/>
      <c r="AB889" s="302"/>
      <c r="AC889" s="302"/>
      <c r="AD889" s="302"/>
      <c r="AE889" s="302"/>
      <c r="AF889" s="302"/>
      <c r="AG889" s="302"/>
    </row>
    <row r="890" spans="1:33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335"/>
      <c r="S890" s="335"/>
      <c r="T890" s="335"/>
      <c r="U890" s="302"/>
      <c r="V890" s="302"/>
      <c r="W890" s="302"/>
      <c r="X890" s="302"/>
      <c r="Y890" s="302"/>
      <c r="Z890" s="302"/>
      <c r="AA890" s="302"/>
      <c r="AB890" s="302"/>
      <c r="AC890" s="302"/>
      <c r="AD890" s="302"/>
      <c r="AE890" s="302"/>
      <c r="AF890" s="302"/>
      <c r="AG890" s="302"/>
    </row>
    <row r="891" spans="1:33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335"/>
      <c r="S891" s="335"/>
      <c r="T891" s="335"/>
      <c r="U891" s="302"/>
      <c r="V891" s="302"/>
      <c r="W891" s="302"/>
      <c r="X891" s="302"/>
      <c r="Y891" s="302"/>
      <c r="Z891" s="302"/>
      <c r="AA891" s="302"/>
      <c r="AB891" s="302"/>
      <c r="AC891" s="302"/>
      <c r="AD891" s="302"/>
      <c r="AE891" s="302"/>
      <c r="AF891" s="302"/>
      <c r="AG891" s="302"/>
    </row>
    <row r="892" spans="1:33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335"/>
      <c r="S892" s="335"/>
      <c r="T892" s="335"/>
      <c r="U892" s="302"/>
      <c r="V892" s="302"/>
      <c r="W892" s="302"/>
      <c r="X892" s="302"/>
      <c r="Y892" s="302"/>
      <c r="Z892" s="302"/>
      <c r="AA892" s="302"/>
      <c r="AB892" s="302"/>
      <c r="AC892" s="302"/>
      <c r="AD892" s="302"/>
      <c r="AE892" s="302"/>
      <c r="AF892" s="302"/>
      <c r="AG892" s="302"/>
    </row>
    <row r="893" spans="1:33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335"/>
      <c r="S893" s="335"/>
      <c r="T893" s="335"/>
      <c r="U893" s="302"/>
      <c r="V893" s="302"/>
      <c r="W893" s="302"/>
      <c r="X893" s="302"/>
      <c r="Y893" s="302"/>
      <c r="Z893" s="302"/>
      <c r="AA893" s="302"/>
      <c r="AB893" s="302"/>
      <c r="AC893" s="302"/>
      <c r="AD893" s="302"/>
      <c r="AE893" s="302"/>
      <c r="AF893" s="302"/>
      <c r="AG893" s="302"/>
    </row>
    <row r="894" spans="1:33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335"/>
      <c r="S894" s="335"/>
      <c r="T894" s="335"/>
      <c r="U894" s="302"/>
      <c r="V894" s="302"/>
      <c r="W894" s="302"/>
      <c r="X894" s="302"/>
      <c r="Y894" s="302"/>
      <c r="Z894" s="302"/>
      <c r="AA894" s="302"/>
      <c r="AB894" s="302"/>
      <c r="AC894" s="302"/>
      <c r="AD894" s="302"/>
      <c r="AE894" s="302"/>
      <c r="AF894" s="302"/>
      <c r="AG894" s="302"/>
    </row>
    <row r="895" spans="1:33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335"/>
      <c r="S895" s="335"/>
      <c r="T895" s="335"/>
      <c r="U895" s="302"/>
      <c r="V895" s="302"/>
      <c r="W895" s="302"/>
      <c r="X895" s="302"/>
      <c r="Y895" s="302"/>
      <c r="Z895" s="302"/>
      <c r="AA895" s="302"/>
      <c r="AB895" s="302"/>
      <c r="AC895" s="302"/>
      <c r="AD895" s="302"/>
      <c r="AE895" s="302"/>
      <c r="AF895" s="302"/>
      <c r="AG895" s="302"/>
    </row>
    <row r="896" spans="1:33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335"/>
      <c r="S896" s="335"/>
      <c r="T896" s="335"/>
      <c r="U896" s="302"/>
      <c r="V896" s="302"/>
      <c r="W896" s="302"/>
      <c r="X896" s="302"/>
      <c r="Y896" s="302"/>
      <c r="Z896" s="302"/>
      <c r="AA896" s="302"/>
      <c r="AB896" s="302"/>
      <c r="AC896" s="302"/>
      <c r="AD896" s="302"/>
      <c r="AE896" s="302"/>
      <c r="AF896" s="302"/>
      <c r="AG896" s="302"/>
    </row>
    <row r="897" spans="1:33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335"/>
      <c r="S897" s="335"/>
      <c r="T897" s="335"/>
      <c r="U897" s="302"/>
      <c r="V897" s="302"/>
      <c r="W897" s="302"/>
      <c r="X897" s="302"/>
      <c r="Y897" s="302"/>
      <c r="Z897" s="302"/>
      <c r="AA897" s="302"/>
      <c r="AB897" s="302"/>
      <c r="AC897" s="302"/>
      <c r="AD897" s="302"/>
      <c r="AE897" s="302"/>
      <c r="AF897" s="302"/>
      <c r="AG897" s="302"/>
    </row>
    <row r="898" spans="1:33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335"/>
      <c r="S898" s="335"/>
      <c r="T898" s="335"/>
      <c r="U898" s="302"/>
      <c r="V898" s="302"/>
      <c r="W898" s="302"/>
      <c r="X898" s="302"/>
      <c r="Y898" s="302"/>
      <c r="Z898" s="302"/>
      <c r="AA898" s="302"/>
      <c r="AB898" s="302"/>
      <c r="AC898" s="302"/>
      <c r="AD898" s="302"/>
      <c r="AE898" s="302"/>
      <c r="AF898" s="302"/>
      <c r="AG898" s="302"/>
    </row>
    <row r="899" spans="1:33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335"/>
      <c r="S899" s="335"/>
      <c r="T899" s="335"/>
      <c r="U899" s="302"/>
      <c r="V899" s="302"/>
      <c r="W899" s="302"/>
      <c r="X899" s="302"/>
      <c r="Y899" s="302"/>
      <c r="Z899" s="302"/>
      <c r="AA899" s="302"/>
      <c r="AB899" s="302"/>
      <c r="AC899" s="302"/>
      <c r="AD899" s="302"/>
      <c r="AE899" s="302"/>
      <c r="AF899" s="302"/>
      <c r="AG899" s="302"/>
    </row>
    <row r="900" spans="1:33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335"/>
      <c r="S900" s="335"/>
      <c r="T900" s="335"/>
      <c r="U900" s="302"/>
      <c r="V900" s="302"/>
      <c r="W900" s="302"/>
      <c r="X900" s="302"/>
      <c r="Y900" s="302"/>
      <c r="Z900" s="302"/>
      <c r="AA900" s="302"/>
      <c r="AB900" s="302"/>
      <c r="AC900" s="302"/>
      <c r="AD900" s="302"/>
      <c r="AE900" s="302"/>
      <c r="AF900" s="302"/>
      <c r="AG900" s="302"/>
    </row>
    <row r="901" spans="1:33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335"/>
      <c r="S901" s="335"/>
      <c r="T901" s="335"/>
      <c r="U901" s="302"/>
      <c r="V901" s="302"/>
      <c r="W901" s="302"/>
      <c r="X901" s="302"/>
      <c r="Y901" s="302"/>
      <c r="Z901" s="302"/>
      <c r="AA901" s="302"/>
      <c r="AB901" s="302"/>
      <c r="AC901" s="302"/>
      <c r="AD901" s="302"/>
      <c r="AE901" s="302"/>
      <c r="AF901" s="302"/>
      <c r="AG901" s="302"/>
    </row>
    <row r="902" spans="1:33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335"/>
      <c r="S902" s="335"/>
      <c r="T902" s="335"/>
      <c r="U902" s="302"/>
      <c r="V902" s="302"/>
      <c r="W902" s="302"/>
      <c r="X902" s="302"/>
      <c r="Y902" s="302"/>
      <c r="Z902" s="302"/>
      <c r="AA902" s="302"/>
      <c r="AB902" s="302"/>
      <c r="AC902" s="302"/>
      <c r="AD902" s="302"/>
      <c r="AE902" s="302"/>
      <c r="AF902" s="302"/>
      <c r="AG902" s="302"/>
    </row>
    <row r="903" spans="1:33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335"/>
      <c r="S903" s="335"/>
      <c r="T903" s="335"/>
      <c r="U903" s="302"/>
      <c r="V903" s="302"/>
      <c r="W903" s="302"/>
      <c r="X903" s="302"/>
      <c r="Y903" s="302"/>
      <c r="Z903" s="302"/>
      <c r="AA903" s="302"/>
      <c r="AB903" s="302"/>
      <c r="AC903" s="302"/>
      <c r="AD903" s="302"/>
      <c r="AE903" s="302"/>
      <c r="AF903" s="302"/>
      <c r="AG903" s="302"/>
    </row>
    <row r="904" spans="1:33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335"/>
      <c r="S904" s="335"/>
      <c r="T904" s="335"/>
      <c r="U904" s="302"/>
      <c r="V904" s="302"/>
      <c r="W904" s="302"/>
      <c r="X904" s="302"/>
      <c r="Y904" s="302"/>
      <c r="Z904" s="302"/>
      <c r="AA904" s="302"/>
      <c r="AB904" s="302"/>
      <c r="AC904" s="302"/>
      <c r="AD904" s="302"/>
      <c r="AE904" s="302"/>
      <c r="AF904" s="302"/>
      <c r="AG904" s="302"/>
    </row>
    <row r="905" spans="1:33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335"/>
      <c r="S905" s="335"/>
      <c r="T905" s="335"/>
      <c r="U905" s="302"/>
      <c r="V905" s="302"/>
      <c r="W905" s="302"/>
      <c r="X905" s="302"/>
      <c r="Y905" s="302"/>
      <c r="Z905" s="302"/>
      <c r="AA905" s="302"/>
      <c r="AB905" s="302"/>
      <c r="AC905" s="302"/>
      <c r="AD905" s="302"/>
      <c r="AE905" s="302"/>
      <c r="AF905" s="302"/>
      <c r="AG905" s="302"/>
    </row>
    <row r="906" spans="1:33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335"/>
      <c r="S906" s="335"/>
      <c r="T906" s="335"/>
      <c r="U906" s="302"/>
      <c r="V906" s="302"/>
      <c r="W906" s="302"/>
      <c r="X906" s="302"/>
      <c r="Y906" s="302"/>
      <c r="Z906" s="302"/>
      <c r="AA906" s="302"/>
      <c r="AB906" s="302"/>
      <c r="AC906" s="302"/>
      <c r="AD906" s="302"/>
      <c r="AE906" s="302"/>
      <c r="AF906" s="302"/>
      <c r="AG906" s="302"/>
    </row>
    <row r="907" spans="1:33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335"/>
      <c r="S907" s="335"/>
      <c r="T907" s="335"/>
      <c r="U907" s="302"/>
      <c r="V907" s="302"/>
      <c r="W907" s="302"/>
      <c r="X907" s="302"/>
      <c r="Y907" s="302"/>
      <c r="Z907" s="302"/>
      <c r="AA907" s="302"/>
      <c r="AB907" s="302"/>
      <c r="AC907" s="302"/>
      <c r="AD907" s="302"/>
      <c r="AE907" s="302"/>
      <c r="AF907" s="302"/>
      <c r="AG907" s="302"/>
    </row>
    <row r="908" spans="1:33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335"/>
      <c r="S908" s="335"/>
      <c r="T908" s="335"/>
      <c r="U908" s="302"/>
      <c r="V908" s="302"/>
      <c r="W908" s="302"/>
      <c r="X908" s="302"/>
      <c r="Y908" s="302"/>
      <c r="Z908" s="302"/>
      <c r="AA908" s="302"/>
      <c r="AB908" s="302"/>
      <c r="AC908" s="302"/>
      <c r="AD908" s="302"/>
      <c r="AE908" s="302"/>
      <c r="AF908" s="302"/>
      <c r="AG908" s="302"/>
    </row>
    <row r="909" spans="1:33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335"/>
      <c r="S909" s="335"/>
      <c r="T909" s="335"/>
      <c r="U909" s="302"/>
      <c r="V909" s="302"/>
      <c r="W909" s="302"/>
      <c r="X909" s="302"/>
      <c r="Y909" s="302"/>
      <c r="Z909" s="302"/>
      <c r="AA909" s="302"/>
      <c r="AB909" s="302"/>
      <c r="AC909" s="302"/>
      <c r="AD909" s="302"/>
      <c r="AE909" s="302"/>
      <c r="AF909" s="302"/>
      <c r="AG909" s="302"/>
    </row>
    <row r="910" spans="1:33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335"/>
      <c r="S910" s="335"/>
      <c r="T910" s="335"/>
      <c r="U910" s="302"/>
      <c r="V910" s="302"/>
      <c r="W910" s="302"/>
      <c r="X910" s="302"/>
      <c r="Y910" s="302"/>
      <c r="Z910" s="302"/>
      <c r="AA910" s="302"/>
      <c r="AB910" s="302"/>
      <c r="AC910" s="302"/>
      <c r="AD910" s="302"/>
      <c r="AE910" s="302"/>
      <c r="AF910" s="302"/>
      <c r="AG910" s="302"/>
    </row>
    <row r="911" spans="1:33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335"/>
      <c r="S911" s="335"/>
      <c r="T911" s="335"/>
      <c r="U911" s="302"/>
      <c r="V911" s="302"/>
      <c r="W911" s="302"/>
      <c r="X911" s="302"/>
      <c r="Y911" s="302"/>
      <c r="Z911" s="302"/>
      <c r="AA911" s="302"/>
      <c r="AB911" s="302"/>
      <c r="AC911" s="302"/>
      <c r="AD911" s="302"/>
      <c r="AE911" s="302"/>
      <c r="AF911" s="302"/>
      <c r="AG911" s="302"/>
    </row>
    <row r="912" spans="1:33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335"/>
      <c r="S912" s="335"/>
      <c r="T912" s="335"/>
      <c r="U912" s="302"/>
      <c r="V912" s="302"/>
      <c r="W912" s="302"/>
      <c r="X912" s="302"/>
      <c r="Y912" s="302"/>
      <c r="Z912" s="302"/>
      <c r="AA912" s="302"/>
      <c r="AB912" s="302"/>
      <c r="AC912" s="302"/>
      <c r="AD912" s="302"/>
      <c r="AE912" s="302"/>
      <c r="AF912" s="302"/>
      <c r="AG912" s="302"/>
    </row>
    <row r="913" spans="1:33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335"/>
      <c r="S913" s="335"/>
      <c r="T913" s="335"/>
      <c r="U913" s="302"/>
      <c r="V913" s="302"/>
      <c r="W913" s="302"/>
      <c r="X913" s="302"/>
      <c r="Y913" s="302"/>
      <c r="Z913" s="302"/>
      <c r="AA913" s="302"/>
      <c r="AB913" s="302"/>
      <c r="AC913" s="302"/>
      <c r="AD913" s="302"/>
      <c r="AE913" s="302"/>
      <c r="AF913" s="302"/>
      <c r="AG913" s="302"/>
    </row>
    <row r="914" spans="1:33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335"/>
      <c r="S914" s="335"/>
      <c r="T914" s="335"/>
      <c r="U914" s="302"/>
      <c r="V914" s="302"/>
      <c r="W914" s="302"/>
      <c r="X914" s="302"/>
      <c r="Y914" s="302"/>
      <c r="Z914" s="302"/>
      <c r="AA914" s="302"/>
      <c r="AB914" s="302"/>
      <c r="AC914" s="302"/>
      <c r="AD914" s="302"/>
      <c r="AE914" s="302"/>
      <c r="AF914" s="302"/>
      <c r="AG914" s="302"/>
    </row>
    <row r="915" spans="1:33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335"/>
      <c r="S915" s="335"/>
      <c r="T915" s="335"/>
      <c r="U915" s="302"/>
      <c r="V915" s="302"/>
      <c r="W915" s="302"/>
      <c r="X915" s="302"/>
      <c r="Y915" s="302"/>
      <c r="Z915" s="302"/>
      <c r="AA915" s="302"/>
      <c r="AB915" s="302"/>
      <c r="AC915" s="302"/>
      <c r="AD915" s="302"/>
      <c r="AE915" s="302"/>
      <c r="AF915" s="302"/>
      <c r="AG915" s="302"/>
    </row>
    <row r="916" spans="1:33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335"/>
      <c r="S916" s="335"/>
      <c r="T916" s="335"/>
      <c r="U916" s="302"/>
      <c r="V916" s="302"/>
      <c r="W916" s="302"/>
      <c r="X916" s="302"/>
      <c r="Y916" s="302"/>
      <c r="Z916" s="302"/>
      <c r="AA916" s="302"/>
      <c r="AB916" s="302"/>
      <c r="AC916" s="302"/>
      <c r="AD916" s="302"/>
      <c r="AE916" s="302"/>
      <c r="AF916" s="302"/>
      <c r="AG916" s="302"/>
    </row>
    <row r="917" spans="1:33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335"/>
      <c r="S917" s="335"/>
      <c r="T917" s="335"/>
      <c r="U917" s="302"/>
      <c r="V917" s="302"/>
      <c r="W917" s="302"/>
      <c r="X917" s="302"/>
      <c r="Y917" s="302"/>
      <c r="Z917" s="302"/>
      <c r="AA917" s="302"/>
      <c r="AB917" s="302"/>
      <c r="AC917" s="302"/>
      <c r="AD917" s="302"/>
      <c r="AE917" s="302"/>
      <c r="AF917" s="302"/>
      <c r="AG917" s="302"/>
    </row>
    <row r="918" spans="1:33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335"/>
      <c r="S918" s="335"/>
      <c r="T918" s="335"/>
      <c r="U918" s="302"/>
      <c r="V918" s="302"/>
      <c r="W918" s="302"/>
      <c r="X918" s="302"/>
      <c r="Y918" s="302"/>
      <c r="Z918" s="302"/>
      <c r="AA918" s="302"/>
      <c r="AB918" s="302"/>
      <c r="AC918" s="302"/>
      <c r="AD918" s="302"/>
      <c r="AE918" s="302"/>
      <c r="AF918" s="302"/>
      <c r="AG918" s="302"/>
    </row>
    <row r="919" spans="1:33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335"/>
      <c r="S919" s="335"/>
      <c r="T919" s="335"/>
      <c r="U919" s="302"/>
      <c r="V919" s="302"/>
      <c r="W919" s="302"/>
      <c r="X919" s="302"/>
      <c r="Y919" s="302"/>
      <c r="Z919" s="302"/>
      <c r="AA919" s="302"/>
      <c r="AB919" s="302"/>
      <c r="AC919" s="302"/>
      <c r="AD919" s="302"/>
      <c r="AE919" s="302"/>
      <c r="AF919" s="302"/>
      <c r="AG919" s="302"/>
    </row>
    <row r="920" spans="1:33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335"/>
      <c r="S920" s="335"/>
      <c r="T920" s="335"/>
      <c r="U920" s="302"/>
      <c r="V920" s="302"/>
      <c r="W920" s="302"/>
      <c r="X920" s="302"/>
      <c r="Y920" s="302"/>
      <c r="Z920" s="302"/>
      <c r="AA920" s="302"/>
      <c r="AB920" s="302"/>
      <c r="AC920" s="302"/>
      <c r="AD920" s="302"/>
      <c r="AE920" s="302"/>
      <c r="AF920" s="302"/>
      <c r="AG920" s="302"/>
    </row>
    <row r="921" spans="1:33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335"/>
      <c r="S921" s="335"/>
      <c r="T921" s="335"/>
      <c r="U921" s="302"/>
      <c r="V921" s="302"/>
      <c r="W921" s="302"/>
      <c r="X921" s="302"/>
      <c r="Y921" s="302"/>
      <c r="Z921" s="302"/>
      <c r="AA921" s="302"/>
      <c r="AB921" s="302"/>
      <c r="AC921" s="302"/>
      <c r="AD921" s="302"/>
      <c r="AE921" s="302"/>
      <c r="AF921" s="302"/>
      <c r="AG921" s="302"/>
    </row>
    <row r="922" spans="1:33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335"/>
      <c r="S922" s="335"/>
      <c r="T922" s="335"/>
      <c r="U922" s="302"/>
      <c r="V922" s="302"/>
      <c r="W922" s="302"/>
      <c r="X922" s="302"/>
      <c r="Y922" s="302"/>
      <c r="Z922" s="302"/>
      <c r="AA922" s="302"/>
      <c r="AB922" s="302"/>
      <c r="AC922" s="302"/>
      <c r="AD922" s="302"/>
      <c r="AE922" s="302"/>
      <c r="AF922" s="302"/>
      <c r="AG922" s="302"/>
    </row>
    <row r="923" spans="1:33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335"/>
      <c r="S923" s="335"/>
      <c r="T923" s="335"/>
      <c r="U923" s="302"/>
      <c r="V923" s="302"/>
      <c r="W923" s="302"/>
      <c r="X923" s="302"/>
      <c r="Y923" s="302"/>
      <c r="Z923" s="302"/>
      <c r="AA923" s="302"/>
      <c r="AB923" s="302"/>
      <c r="AC923" s="302"/>
      <c r="AD923" s="302"/>
      <c r="AE923" s="302"/>
      <c r="AF923" s="302"/>
      <c r="AG923" s="302"/>
    </row>
    <row r="924" spans="1:33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335"/>
      <c r="S924" s="335"/>
      <c r="T924" s="335"/>
      <c r="U924" s="302"/>
      <c r="V924" s="302"/>
      <c r="W924" s="302"/>
      <c r="X924" s="302"/>
      <c r="Y924" s="302"/>
      <c r="Z924" s="302"/>
      <c r="AA924" s="302"/>
      <c r="AB924" s="302"/>
      <c r="AC924" s="302"/>
      <c r="AD924" s="302"/>
      <c r="AE924" s="302"/>
      <c r="AF924" s="302"/>
      <c r="AG924" s="302"/>
    </row>
    <row r="925" spans="1:33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335"/>
      <c r="S925" s="335"/>
      <c r="T925" s="335"/>
      <c r="U925" s="302"/>
      <c r="V925" s="302"/>
      <c r="W925" s="302"/>
      <c r="X925" s="302"/>
      <c r="Y925" s="302"/>
      <c r="Z925" s="302"/>
      <c r="AA925" s="302"/>
      <c r="AB925" s="302"/>
      <c r="AC925" s="302"/>
      <c r="AD925" s="302"/>
      <c r="AE925" s="302"/>
      <c r="AF925" s="302"/>
      <c r="AG925" s="302"/>
    </row>
    <row r="926" spans="1:33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335"/>
      <c r="S926" s="335"/>
      <c r="T926" s="335"/>
      <c r="U926" s="302"/>
      <c r="V926" s="302"/>
      <c r="W926" s="302"/>
      <c r="X926" s="302"/>
      <c r="Y926" s="302"/>
      <c r="Z926" s="302"/>
      <c r="AA926" s="302"/>
      <c r="AB926" s="302"/>
      <c r="AC926" s="302"/>
      <c r="AD926" s="302"/>
      <c r="AE926" s="302"/>
      <c r="AF926" s="302"/>
      <c r="AG926" s="302"/>
    </row>
    <row r="927" spans="1:33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335"/>
      <c r="S927" s="335"/>
      <c r="T927" s="335"/>
      <c r="U927" s="302"/>
      <c r="V927" s="302"/>
      <c r="W927" s="302"/>
      <c r="X927" s="302"/>
      <c r="Y927" s="302"/>
      <c r="Z927" s="302"/>
      <c r="AA927" s="302"/>
      <c r="AB927" s="302"/>
      <c r="AC927" s="302"/>
      <c r="AD927" s="302"/>
      <c r="AE927" s="302"/>
      <c r="AF927" s="302"/>
      <c r="AG927" s="302"/>
    </row>
    <row r="928" spans="1:33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335"/>
      <c r="S928" s="335"/>
      <c r="T928" s="335"/>
      <c r="U928" s="302"/>
      <c r="V928" s="302"/>
      <c r="W928" s="302"/>
      <c r="X928" s="302"/>
      <c r="Y928" s="302"/>
      <c r="Z928" s="302"/>
      <c r="AA928" s="302"/>
      <c r="AB928" s="302"/>
      <c r="AC928" s="302"/>
      <c r="AD928" s="302"/>
      <c r="AE928" s="302"/>
      <c r="AF928" s="302"/>
      <c r="AG928" s="302"/>
    </row>
    <row r="929" spans="1:33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335"/>
      <c r="S929" s="335"/>
      <c r="T929" s="335"/>
      <c r="U929" s="302"/>
      <c r="V929" s="302"/>
      <c r="W929" s="302"/>
      <c r="X929" s="302"/>
      <c r="Y929" s="302"/>
      <c r="Z929" s="302"/>
      <c r="AA929" s="302"/>
      <c r="AB929" s="302"/>
      <c r="AC929" s="302"/>
      <c r="AD929" s="302"/>
      <c r="AE929" s="302"/>
      <c r="AF929" s="302"/>
      <c r="AG929" s="302"/>
    </row>
    <row r="930" spans="1:33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335"/>
      <c r="S930" s="335"/>
      <c r="T930" s="335"/>
      <c r="U930" s="302"/>
      <c r="V930" s="302"/>
      <c r="W930" s="302"/>
      <c r="X930" s="302"/>
      <c r="Y930" s="302"/>
      <c r="Z930" s="302"/>
      <c r="AA930" s="302"/>
      <c r="AB930" s="302"/>
      <c r="AC930" s="302"/>
      <c r="AD930" s="302"/>
      <c r="AE930" s="302"/>
      <c r="AF930" s="302"/>
      <c r="AG930" s="302"/>
    </row>
    <row r="931" spans="1:33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335"/>
      <c r="S931" s="335"/>
      <c r="T931" s="335"/>
      <c r="U931" s="302"/>
      <c r="V931" s="302"/>
      <c r="W931" s="302"/>
      <c r="X931" s="302"/>
      <c r="Y931" s="302"/>
      <c r="Z931" s="302"/>
      <c r="AA931" s="302"/>
      <c r="AB931" s="302"/>
      <c r="AC931" s="302"/>
      <c r="AD931" s="302"/>
      <c r="AE931" s="302"/>
      <c r="AF931" s="302"/>
      <c r="AG931" s="302"/>
    </row>
    <row r="932" spans="1:33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335"/>
      <c r="S932" s="335"/>
      <c r="T932" s="335"/>
      <c r="U932" s="302"/>
      <c r="V932" s="302"/>
      <c r="W932" s="302"/>
      <c r="X932" s="302"/>
      <c r="Y932" s="302"/>
      <c r="Z932" s="302"/>
      <c r="AA932" s="302"/>
      <c r="AB932" s="302"/>
      <c r="AC932" s="302"/>
      <c r="AD932" s="302"/>
      <c r="AE932" s="302"/>
      <c r="AF932" s="302"/>
      <c r="AG932" s="302"/>
    </row>
    <row r="933" spans="1:33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335"/>
      <c r="S933" s="335"/>
      <c r="T933" s="335"/>
      <c r="U933" s="302"/>
      <c r="V933" s="302"/>
      <c r="W933" s="302"/>
      <c r="X933" s="302"/>
      <c r="Y933" s="302"/>
      <c r="Z933" s="302"/>
      <c r="AA933" s="302"/>
      <c r="AB933" s="302"/>
      <c r="AC933" s="302"/>
      <c r="AD933" s="302"/>
      <c r="AE933" s="302"/>
      <c r="AF933" s="302"/>
      <c r="AG933" s="302"/>
    </row>
    <row r="934" spans="1:33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335"/>
      <c r="S934" s="335"/>
      <c r="T934" s="335"/>
      <c r="U934" s="302"/>
      <c r="V934" s="302"/>
      <c r="W934" s="302"/>
      <c r="X934" s="302"/>
      <c r="Y934" s="302"/>
      <c r="Z934" s="302"/>
      <c r="AA934" s="302"/>
      <c r="AB934" s="302"/>
      <c r="AC934" s="302"/>
      <c r="AD934" s="302"/>
      <c r="AE934" s="302"/>
      <c r="AF934" s="302"/>
      <c r="AG934" s="302"/>
    </row>
    <row r="935" spans="1:33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335"/>
      <c r="S935" s="335"/>
      <c r="T935" s="335"/>
      <c r="U935" s="302"/>
      <c r="V935" s="302"/>
      <c r="W935" s="302"/>
      <c r="X935" s="302"/>
      <c r="Y935" s="302"/>
      <c r="Z935" s="302"/>
      <c r="AA935" s="302"/>
      <c r="AB935" s="302"/>
      <c r="AC935" s="302"/>
      <c r="AD935" s="302"/>
      <c r="AE935" s="302"/>
      <c r="AF935" s="302"/>
      <c r="AG935" s="302"/>
    </row>
    <row r="936" spans="1:33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335"/>
      <c r="S936" s="335"/>
      <c r="T936" s="335"/>
      <c r="U936" s="302"/>
      <c r="V936" s="302"/>
      <c r="W936" s="302"/>
      <c r="X936" s="302"/>
      <c r="Y936" s="302"/>
      <c r="Z936" s="302"/>
      <c r="AA936" s="302"/>
      <c r="AB936" s="302"/>
      <c r="AC936" s="302"/>
      <c r="AD936" s="302"/>
      <c r="AE936" s="302"/>
      <c r="AF936" s="302"/>
      <c r="AG936" s="302"/>
    </row>
    <row r="937" spans="1:33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335"/>
      <c r="S937" s="335"/>
      <c r="T937" s="335"/>
      <c r="U937" s="302"/>
      <c r="V937" s="302"/>
      <c r="W937" s="302"/>
      <c r="X937" s="302"/>
      <c r="Y937" s="302"/>
      <c r="Z937" s="302"/>
      <c r="AA937" s="302"/>
      <c r="AB937" s="302"/>
      <c r="AC937" s="302"/>
      <c r="AD937" s="302"/>
      <c r="AE937" s="302"/>
      <c r="AF937" s="302"/>
      <c r="AG937" s="302"/>
    </row>
    <row r="938" spans="1:33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335"/>
      <c r="S938" s="335"/>
      <c r="T938" s="335"/>
      <c r="U938" s="302"/>
      <c r="V938" s="302"/>
      <c r="W938" s="302"/>
      <c r="X938" s="302"/>
      <c r="Y938" s="302"/>
      <c r="Z938" s="302"/>
      <c r="AA938" s="302"/>
      <c r="AB938" s="302"/>
      <c r="AC938" s="302"/>
      <c r="AD938" s="302"/>
      <c r="AE938" s="302"/>
      <c r="AF938" s="302"/>
      <c r="AG938" s="302"/>
    </row>
    <row r="939" spans="1:33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335"/>
      <c r="S939" s="335"/>
      <c r="T939" s="335"/>
      <c r="U939" s="302"/>
      <c r="V939" s="302"/>
      <c r="W939" s="302"/>
      <c r="X939" s="302"/>
      <c r="Y939" s="302"/>
      <c r="Z939" s="302"/>
      <c r="AA939" s="302"/>
      <c r="AB939" s="302"/>
      <c r="AC939" s="302"/>
      <c r="AD939" s="302"/>
      <c r="AE939" s="302"/>
      <c r="AF939" s="302"/>
      <c r="AG939" s="302"/>
    </row>
    <row r="940" spans="1:33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335"/>
      <c r="S940" s="335"/>
      <c r="T940" s="335"/>
      <c r="U940" s="302"/>
      <c r="V940" s="302"/>
      <c r="W940" s="302"/>
      <c r="X940" s="302"/>
      <c r="Y940" s="302"/>
      <c r="Z940" s="302"/>
      <c r="AA940" s="302"/>
      <c r="AB940" s="302"/>
      <c r="AC940" s="302"/>
      <c r="AD940" s="302"/>
      <c r="AE940" s="302"/>
      <c r="AF940" s="302"/>
      <c r="AG940" s="302"/>
    </row>
    <row r="941" spans="1:33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335"/>
      <c r="S941" s="335"/>
      <c r="T941" s="335"/>
      <c r="U941" s="302"/>
      <c r="V941" s="302"/>
      <c r="W941" s="302"/>
      <c r="X941" s="302"/>
      <c r="Y941" s="302"/>
      <c r="Z941" s="302"/>
      <c r="AA941" s="302"/>
      <c r="AB941" s="302"/>
      <c r="AC941" s="302"/>
      <c r="AD941" s="302"/>
      <c r="AE941" s="302"/>
      <c r="AF941" s="302"/>
      <c r="AG941" s="302"/>
    </row>
    <row r="942" spans="1:33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335"/>
      <c r="S942" s="335"/>
      <c r="T942" s="335"/>
      <c r="U942" s="302"/>
      <c r="V942" s="302"/>
      <c r="W942" s="302"/>
      <c r="X942" s="302"/>
      <c r="Y942" s="302"/>
      <c r="Z942" s="302"/>
      <c r="AA942" s="302"/>
      <c r="AB942" s="302"/>
      <c r="AC942" s="302"/>
      <c r="AD942" s="302"/>
      <c r="AE942" s="302"/>
      <c r="AF942" s="302"/>
      <c r="AG942" s="302"/>
    </row>
    <row r="943" spans="1:33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335"/>
      <c r="S943" s="335"/>
      <c r="T943" s="335"/>
      <c r="U943" s="302"/>
      <c r="V943" s="302"/>
      <c r="W943" s="302"/>
      <c r="X943" s="302"/>
      <c r="Y943" s="302"/>
      <c r="Z943" s="302"/>
      <c r="AA943" s="302"/>
      <c r="AB943" s="302"/>
      <c r="AC943" s="302"/>
      <c r="AD943" s="302"/>
      <c r="AE943" s="302"/>
      <c r="AF943" s="302"/>
      <c r="AG943" s="302"/>
    </row>
    <row r="944" spans="1:33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335"/>
      <c r="S944" s="335"/>
      <c r="T944" s="335"/>
      <c r="U944" s="302"/>
      <c r="V944" s="302"/>
      <c r="W944" s="302"/>
      <c r="X944" s="302"/>
      <c r="Y944" s="302"/>
      <c r="Z944" s="302"/>
      <c r="AA944" s="302"/>
      <c r="AB944" s="302"/>
      <c r="AC944" s="302"/>
      <c r="AD944" s="302"/>
      <c r="AE944" s="302"/>
      <c r="AF944" s="302"/>
      <c r="AG944" s="302"/>
    </row>
    <row r="945" spans="1:33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335"/>
      <c r="S945" s="335"/>
      <c r="T945" s="335"/>
      <c r="U945" s="302"/>
      <c r="V945" s="302"/>
      <c r="W945" s="302"/>
      <c r="X945" s="302"/>
      <c r="Y945" s="302"/>
      <c r="Z945" s="302"/>
      <c r="AA945" s="302"/>
      <c r="AB945" s="302"/>
      <c r="AC945" s="302"/>
      <c r="AD945" s="302"/>
      <c r="AE945" s="302"/>
      <c r="AF945" s="302"/>
      <c r="AG945" s="302"/>
    </row>
    <row r="946" spans="1:33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335"/>
      <c r="S946" s="335"/>
      <c r="T946" s="335"/>
      <c r="U946" s="302"/>
      <c r="V946" s="302"/>
      <c r="W946" s="302"/>
      <c r="X946" s="302"/>
      <c r="Y946" s="302"/>
      <c r="Z946" s="302"/>
      <c r="AA946" s="302"/>
      <c r="AB946" s="302"/>
      <c r="AC946" s="302"/>
      <c r="AD946" s="302"/>
      <c r="AE946" s="302"/>
      <c r="AF946" s="302"/>
      <c r="AG946" s="302"/>
    </row>
    <row r="947" spans="1:33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335"/>
      <c r="S947" s="335"/>
      <c r="T947" s="335"/>
      <c r="U947" s="302"/>
      <c r="V947" s="302"/>
      <c r="W947" s="302"/>
      <c r="X947" s="302"/>
      <c r="Y947" s="302"/>
      <c r="Z947" s="302"/>
      <c r="AA947" s="302"/>
      <c r="AB947" s="302"/>
      <c r="AC947" s="302"/>
      <c r="AD947" s="302"/>
      <c r="AE947" s="302"/>
      <c r="AF947" s="302"/>
      <c r="AG947" s="302"/>
    </row>
    <row r="948" spans="1:33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335"/>
      <c r="S948" s="335"/>
      <c r="T948" s="335"/>
      <c r="U948" s="302"/>
      <c r="V948" s="302"/>
      <c r="W948" s="302"/>
      <c r="X948" s="302"/>
      <c r="Y948" s="302"/>
      <c r="Z948" s="302"/>
      <c r="AA948" s="302"/>
      <c r="AB948" s="302"/>
      <c r="AC948" s="302"/>
      <c r="AD948" s="302"/>
      <c r="AE948" s="302"/>
      <c r="AF948" s="302"/>
      <c r="AG948" s="302"/>
    </row>
    <row r="949" spans="1:33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335"/>
      <c r="S949" s="335"/>
      <c r="T949" s="335"/>
      <c r="U949" s="302"/>
      <c r="V949" s="302"/>
      <c r="W949" s="302"/>
      <c r="X949" s="302"/>
      <c r="Y949" s="302"/>
      <c r="Z949" s="302"/>
      <c r="AA949" s="302"/>
      <c r="AB949" s="302"/>
      <c r="AC949" s="302"/>
      <c r="AD949" s="302"/>
      <c r="AE949" s="302"/>
      <c r="AF949" s="302"/>
      <c r="AG949" s="302"/>
    </row>
    <row r="950" spans="1:33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335"/>
      <c r="S950" s="335"/>
      <c r="T950" s="335"/>
      <c r="U950" s="302"/>
      <c r="V950" s="302"/>
      <c r="W950" s="302"/>
      <c r="X950" s="302"/>
      <c r="Y950" s="302"/>
      <c r="Z950" s="302"/>
      <c r="AA950" s="302"/>
      <c r="AB950" s="302"/>
      <c r="AC950" s="302"/>
      <c r="AD950" s="302"/>
      <c r="AE950" s="302"/>
      <c r="AF950" s="302"/>
      <c r="AG950" s="302"/>
    </row>
    <row r="951" spans="1:33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335"/>
      <c r="S951" s="335"/>
      <c r="T951" s="335"/>
      <c r="U951" s="302"/>
      <c r="V951" s="302"/>
      <c r="W951" s="302"/>
      <c r="X951" s="302"/>
      <c r="Y951" s="302"/>
      <c r="Z951" s="302"/>
      <c r="AA951" s="302"/>
      <c r="AB951" s="302"/>
      <c r="AC951" s="302"/>
      <c r="AD951" s="302"/>
      <c r="AE951" s="302"/>
      <c r="AF951" s="302"/>
      <c r="AG951" s="302"/>
    </row>
    <row r="952" spans="1:33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335"/>
      <c r="S952" s="335"/>
      <c r="T952" s="335"/>
      <c r="U952" s="302"/>
      <c r="V952" s="302"/>
      <c r="W952" s="302"/>
      <c r="X952" s="302"/>
      <c r="Y952" s="302"/>
      <c r="Z952" s="302"/>
      <c r="AA952" s="302"/>
      <c r="AB952" s="302"/>
      <c r="AC952" s="302"/>
      <c r="AD952" s="302"/>
      <c r="AE952" s="302"/>
      <c r="AF952" s="302"/>
      <c r="AG952" s="302"/>
    </row>
    <row r="953" spans="1:33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335"/>
      <c r="S953" s="335"/>
      <c r="T953" s="335"/>
      <c r="U953" s="302"/>
      <c r="V953" s="302"/>
      <c r="W953" s="302"/>
      <c r="X953" s="302"/>
      <c r="Y953" s="302"/>
      <c r="Z953" s="302"/>
      <c r="AA953" s="302"/>
      <c r="AB953" s="302"/>
      <c r="AC953" s="302"/>
      <c r="AD953" s="302"/>
      <c r="AE953" s="302"/>
      <c r="AF953" s="302"/>
      <c r="AG953" s="302"/>
    </row>
    <row r="954" spans="1:33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335"/>
      <c r="S954" s="335"/>
      <c r="T954" s="335"/>
      <c r="U954" s="302"/>
      <c r="V954" s="302"/>
      <c r="W954" s="302"/>
      <c r="X954" s="302"/>
      <c r="Y954" s="302"/>
      <c r="Z954" s="302"/>
      <c r="AA954" s="302"/>
      <c r="AB954" s="302"/>
      <c r="AC954" s="302"/>
      <c r="AD954" s="302"/>
      <c r="AE954" s="302"/>
      <c r="AF954" s="302"/>
      <c r="AG954" s="302"/>
    </row>
    <row r="955" spans="1:33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335"/>
      <c r="S955" s="335"/>
      <c r="T955" s="335"/>
      <c r="U955" s="302"/>
      <c r="V955" s="302"/>
      <c r="W955" s="302"/>
      <c r="X955" s="302"/>
      <c r="Y955" s="302"/>
      <c r="Z955" s="302"/>
      <c r="AA955" s="302"/>
      <c r="AB955" s="302"/>
      <c r="AC955" s="302"/>
      <c r="AD955" s="302"/>
      <c r="AE955" s="302"/>
      <c r="AF955" s="302"/>
      <c r="AG955" s="302"/>
    </row>
    <row r="956" spans="1:33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335"/>
      <c r="S956" s="335"/>
      <c r="T956" s="335"/>
      <c r="U956" s="302"/>
      <c r="V956" s="302"/>
      <c r="W956" s="302"/>
      <c r="X956" s="302"/>
      <c r="Y956" s="302"/>
      <c r="Z956" s="302"/>
      <c r="AA956" s="302"/>
      <c r="AB956" s="302"/>
      <c r="AC956" s="302"/>
      <c r="AD956" s="302"/>
      <c r="AE956" s="302"/>
      <c r="AF956" s="302"/>
      <c r="AG956" s="302"/>
    </row>
    <row r="957" spans="1:33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335"/>
      <c r="S957" s="335"/>
      <c r="T957" s="335"/>
      <c r="U957" s="302"/>
      <c r="V957" s="302"/>
      <c r="W957" s="302"/>
      <c r="X957" s="302"/>
      <c r="Y957" s="302"/>
      <c r="Z957" s="302"/>
      <c r="AA957" s="302"/>
      <c r="AB957" s="302"/>
      <c r="AC957" s="302"/>
      <c r="AD957" s="302"/>
      <c r="AE957" s="302"/>
      <c r="AF957" s="302"/>
      <c r="AG957" s="302"/>
    </row>
    <row r="958" spans="1:33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335"/>
      <c r="S958" s="335"/>
      <c r="T958" s="335"/>
      <c r="U958" s="302"/>
      <c r="V958" s="302"/>
      <c r="W958" s="302"/>
      <c r="X958" s="302"/>
      <c r="Y958" s="302"/>
      <c r="Z958" s="302"/>
      <c r="AA958" s="302"/>
      <c r="AB958" s="302"/>
      <c r="AC958" s="302"/>
      <c r="AD958" s="302"/>
      <c r="AE958" s="302"/>
      <c r="AF958" s="302"/>
      <c r="AG958" s="302"/>
    </row>
    <row r="959" spans="1:33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335"/>
      <c r="S959" s="335"/>
      <c r="T959" s="335"/>
      <c r="U959" s="302"/>
      <c r="V959" s="302"/>
      <c r="W959" s="302"/>
      <c r="X959" s="302"/>
      <c r="Y959" s="302"/>
      <c r="Z959" s="302"/>
      <c r="AA959" s="302"/>
      <c r="AB959" s="302"/>
      <c r="AC959" s="302"/>
      <c r="AD959" s="302"/>
      <c r="AE959" s="302"/>
      <c r="AF959" s="302"/>
      <c r="AG959" s="302"/>
    </row>
    <row r="960" spans="1:33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335"/>
      <c r="S960" s="335"/>
      <c r="T960" s="335"/>
      <c r="U960" s="302"/>
      <c r="V960" s="302"/>
      <c r="W960" s="302"/>
      <c r="X960" s="302"/>
      <c r="Y960" s="302"/>
      <c r="Z960" s="302"/>
      <c r="AA960" s="302"/>
      <c r="AB960" s="302"/>
      <c r="AC960" s="302"/>
      <c r="AD960" s="302"/>
      <c r="AE960" s="302"/>
      <c r="AF960" s="302"/>
      <c r="AG960" s="302"/>
    </row>
    <row r="961" spans="1:33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335"/>
      <c r="S961" s="335"/>
      <c r="T961" s="335"/>
      <c r="U961" s="302"/>
      <c r="V961" s="302"/>
      <c r="W961" s="302"/>
      <c r="X961" s="302"/>
      <c r="Y961" s="302"/>
      <c r="Z961" s="302"/>
      <c r="AA961" s="302"/>
      <c r="AB961" s="302"/>
      <c r="AC961" s="302"/>
      <c r="AD961" s="302"/>
      <c r="AE961" s="302"/>
      <c r="AF961" s="302"/>
      <c r="AG961" s="302"/>
    </row>
    <row r="962" spans="1:33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335"/>
      <c r="S962" s="335"/>
      <c r="T962" s="335"/>
      <c r="U962" s="302"/>
      <c r="V962" s="302"/>
      <c r="W962" s="302"/>
      <c r="X962" s="302"/>
      <c r="Y962" s="302"/>
      <c r="Z962" s="302"/>
      <c r="AA962" s="302"/>
      <c r="AB962" s="302"/>
      <c r="AC962" s="302"/>
      <c r="AD962" s="302"/>
      <c r="AE962" s="302"/>
      <c r="AF962" s="302"/>
      <c r="AG962" s="302"/>
    </row>
    <row r="963" spans="1:33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335"/>
      <c r="S963" s="335"/>
      <c r="T963" s="335"/>
      <c r="U963" s="302"/>
      <c r="V963" s="302"/>
      <c r="W963" s="302"/>
      <c r="X963" s="302"/>
      <c r="Y963" s="302"/>
      <c r="Z963" s="302"/>
      <c r="AA963" s="302"/>
      <c r="AB963" s="302"/>
      <c r="AC963" s="302"/>
      <c r="AD963" s="302"/>
      <c r="AE963" s="302"/>
      <c r="AF963" s="302"/>
      <c r="AG963" s="302"/>
    </row>
    <row r="964" spans="1:33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335"/>
      <c r="S964" s="335"/>
      <c r="T964" s="335"/>
      <c r="U964" s="302"/>
      <c r="V964" s="302"/>
      <c r="W964" s="302"/>
      <c r="X964" s="302"/>
      <c r="Y964" s="302"/>
      <c r="Z964" s="302"/>
      <c r="AA964" s="302"/>
      <c r="AB964" s="302"/>
      <c r="AC964" s="302"/>
      <c r="AD964" s="302"/>
      <c r="AE964" s="302"/>
      <c r="AF964" s="302"/>
      <c r="AG964" s="302"/>
    </row>
    <row r="965" spans="1:33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335"/>
      <c r="S965" s="335"/>
      <c r="T965" s="335"/>
      <c r="U965" s="302"/>
      <c r="V965" s="302"/>
      <c r="W965" s="302"/>
      <c r="X965" s="302"/>
      <c r="Y965" s="302"/>
      <c r="Z965" s="302"/>
      <c r="AA965" s="302"/>
      <c r="AB965" s="302"/>
      <c r="AC965" s="302"/>
      <c r="AD965" s="302"/>
      <c r="AE965" s="302"/>
      <c r="AF965" s="302"/>
      <c r="AG965" s="302"/>
    </row>
    <row r="966" spans="1:33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335"/>
      <c r="S966" s="335"/>
      <c r="T966" s="335"/>
      <c r="U966" s="302"/>
      <c r="V966" s="302"/>
      <c r="W966" s="302"/>
      <c r="X966" s="302"/>
      <c r="Y966" s="302"/>
      <c r="Z966" s="302"/>
      <c r="AA966" s="302"/>
      <c r="AB966" s="302"/>
      <c r="AC966" s="302"/>
      <c r="AD966" s="302"/>
      <c r="AE966" s="302"/>
      <c r="AF966" s="302"/>
      <c r="AG966" s="302"/>
    </row>
    <row r="967" spans="1:33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335"/>
      <c r="S967" s="335"/>
      <c r="T967" s="335"/>
      <c r="U967" s="302"/>
      <c r="V967" s="302"/>
      <c r="W967" s="302"/>
      <c r="X967" s="302"/>
      <c r="Y967" s="302"/>
      <c r="Z967" s="302"/>
      <c r="AA967" s="302"/>
      <c r="AB967" s="302"/>
      <c r="AC967" s="302"/>
      <c r="AD967" s="302"/>
      <c r="AE967" s="302"/>
      <c r="AF967" s="302"/>
      <c r="AG967" s="302"/>
    </row>
    <row r="968" spans="1:33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335"/>
      <c r="S968" s="335"/>
      <c r="T968" s="335"/>
      <c r="U968" s="302"/>
      <c r="V968" s="302"/>
      <c r="W968" s="302"/>
      <c r="X968" s="302"/>
      <c r="Y968" s="302"/>
      <c r="Z968" s="302"/>
      <c r="AA968" s="302"/>
      <c r="AB968" s="302"/>
      <c r="AC968" s="302"/>
      <c r="AD968" s="302"/>
      <c r="AE968" s="302"/>
      <c r="AF968" s="302"/>
      <c r="AG968" s="302"/>
    </row>
    <row r="969" spans="1:33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335"/>
      <c r="S969" s="335"/>
      <c r="T969" s="335"/>
      <c r="U969" s="302"/>
      <c r="V969" s="302"/>
      <c r="W969" s="302"/>
      <c r="X969" s="302"/>
      <c r="Y969" s="302"/>
      <c r="Z969" s="302"/>
      <c r="AA969" s="302"/>
      <c r="AB969" s="302"/>
      <c r="AC969" s="302"/>
      <c r="AD969" s="302"/>
      <c r="AE969" s="302"/>
      <c r="AF969" s="302"/>
      <c r="AG969" s="302"/>
    </row>
    <row r="970" spans="1:33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335"/>
      <c r="S970" s="335"/>
      <c r="T970" s="335"/>
      <c r="U970" s="302"/>
      <c r="V970" s="302"/>
      <c r="W970" s="302"/>
      <c r="X970" s="302"/>
      <c r="Y970" s="302"/>
      <c r="Z970" s="302"/>
      <c r="AA970" s="302"/>
      <c r="AB970" s="302"/>
      <c r="AC970" s="302"/>
      <c r="AD970" s="302"/>
      <c r="AE970" s="302"/>
      <c r="AF970" s="302"/>
      <c r="AG970" s="302"/>
    </row>
    <row r="971" spans="1:33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335"/>
      <c r="S971" s="335"/>
      <c r="T971" s="335"/>
      <c r="U971" s="302"/>
      <c r="V971" s="302"/>
      <c r="W971" s="302"/>
      <c r="X971" s="302"/>
      <c r="Y971" s="302"/>
      <c r="Z971" s="302"/>
      <c r="AA971" s="302"/>
      <c r="AB971" s="302"/>
      <c r="AC971" s="302"/>
      <c r="AD971" s="302"/>
      <c r="AE971" s="302"/>
      <c r="AF971" s="302"/>
      <c r="AG971" s="302"/>
    </row>
    <row r="972" spans="1:33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335"/>
      <c r="S972" s="335"/>
      <c r="T972" s="335"/>
      <c r="U972" s="302"/>
      <c r="V972" s="302"/>
      <c r="W972" s="302"/>
      <c r="X972" s="302"/>
      <c r="Y972" s="302"/>
      <c r="Z972" s="302"/>
      <c r="AA972" s="302"/>
      <c r="AB972" s="302"/>
      <c r="AC972" s="302"/>
      <c r="AD972" s="302"/>
      <c r="AE972" s="302"/>
      <c r="AF972" s="302"/>
      <c r="AG972" s="302"/>
    </row>
    <row r="973" spans="1:33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335"/>
      <c r="S973" s="335"/>
      <c r="T973" s="335"/>
      <c r="U973" s="302"/>
      <c r="V973" s="302"/>
      <c r="W973" s="302"/>
      <c r="X973" s="302"/>
      <c r="Y973" s="302"/>
      <c r="Z973" s="302"/>
      <c r="AA973" s="302"/>
      <c r="AB973" s="302"/>
      <c r="AC973" s="302"/>
      <c r="AD973" s="302"/>
      <c r="AE973" s="302"/>
      <c r="AF973" s="302"/>
      <c r="AG973" s="302"/>
    </row>
    <row r="974" spans="1:33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335"/>
      <c r="S974" s="335"/>
      <c r="T974" s="335"/>
      <c r="U974" s="302"/>
      <c r="V974" s="302"/>
      <c r="W974" s="302"/>
      <c r="X974" s="302"/>
      <c r="Y974" s="302"/>
      <c r="Z974" s="302"/>
      <c r="AA974" s="302"/>
      <c r="AB974" s="302"/>
      <c r="AC974" s="302"/>
      <c r="AD974" s="302"/>
      <c r="AE974" s="302"/>
      <c r="AF974" s="302"/>
      <c r="AG974" s="302"/>
    </row>
    <row r="975" spans="1:33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335"/>
      <c r="S975" s="335"/>
      <c r="T975" s="335"/>
      <c r="U975" s="302"/>
      <c r="V975" s="302"/>
      <c r="W975" s="302"/>
      <c r="X975" s="302"/>
      <c r="Y975" s="302"/>
      <c r="Z975" s="302"/>
      <c r="AA975" s="302"/>
      <c r="AB975" s="302"/>
      <c r="AC975" s="302"/>
      <c r="AD975" s="302"/>
      <c r="AE975" s="302"/>
      <c r="AF975" s="302"/>
      <c r="AG975" s="302"/>
    </row>
    <row r="976" spans="1:33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335"/>
      <c r="S976" s="335"/>
      <c r="T976" s="335"/>
      <c r="U976" s="302"/>
      <c r="V976" s="302"/>
      <c r="W976" s="302"/>
      <c r="X976" s="302"/>
      <c r="Y976" s="302"/>
      <c r="Z976" s="302"/>
      <c r="AA976" s="302"/>
      <c r="AB976" s="302"/>
      <c r="AC976" s="302"/>
      <c r="AD976" s="302"/>
      <c r="AE976" s="302"/>
      <c r="AF976" s="302"/>
      <c r="AG976" s="302"/>
    </row>
    <row r="977" spans="1:33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335"/>
      <c r="S977" s="335"/>
      <c r="T977" s="335"/>
      <c r="U977" s="302"/>
      <c r="V977" s="302"/>
      <c r="W977" s="302"/>
      <c r="X977" s="302"/>
      <c r="Y977" s="302"/>
      <c r="Z977" s="302"/>
      <c r="AA977" s="302"/>
      <c r="AB977" s="302"/>
      <c r="AC977" s="302"/>
      <c r="AD977" s="302"/>
      <c r="AE977" s="302"/>
      <c r="AF977" s="302"/>
      <c r="AG977" s="302"/>
    </row>
    <row r="978" spans="1:33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335"/>
      <c r="S978" s="335"/>
      <c r="T978" s="335"/>
      <c r="U978" s="302"/>
      <c r="V978" s="302"/>
      <c r="W978" s="302"/>
      <c r="X978" s="302"/>
      <c r="Y978" s="302"/>
      <c r="Z978" s="302"/>
      <c r="AA978" s="302"/>
      <c r="AB978" s="302"/>
      <c r="AC978" s="302"/>
      <c r="AD978" s="302"/>
      <c r="AE978" s="302"/>
      <c r="AF978" s="302"/>
      <c r="AG978" s="302"/>
    </row>
    <row r="979" spans="1:33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335"/>
      <c r="S979" s="335"/>
      <c r="T979" s="335"/>
      <c r="U979" s="302"/>
      <c r="V979" s="302"/>
      <c r="W979" s="302"/>
      <c r="X979" s="302"/>
      <c r="Y979" s="302"/>
      <c r="Z979" s="302"/>
      <c r="AA979" s="302"/>
      <c r="AB979" s="302"/>
      <c r="AC979" s="302"/>
      <c r="AD979" s="302"/>
      <c r="AE979" s="302"/>
      <c r="AF979" s="302"/>
      <c r="AG979" s="302"/>
    </row>
    <row r="980" spans="1:33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335"/>
      <c r="S980" s="335"/>
      <c r="T980" s="335"/>
      <c r="U980" s="302"/>
      <c r="V980" s="302"/>
      <c r="W980" s="302"/>
      <c r="X980" s="302"/>
      <c r="Y980" s="302"/>
      <c r="Z980" s="302"/>
      <c r="AA980" s="302"/>
      <c r="AB980" s="302"/>
      <c r="AC980" s="302"/>
      <c r="AD980" s="302"/>
      <c r="AE980" s="302"/>
      <c r="AF980" s="302"/>
      <c r="AG980" s="302"/>
    </row>
    <row r="981" spans="1:33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335"/>
      <c r="S981" s="335"/>
      <c r="T981" s="335"/>
      <c r="U981" s="302"/>
      <c r="V981" s="302"/>
      <c r="W981" s="302"/>
      <c r="X981" s="302"/>
      <c r="Y981" s="302"/>
      <c r="Z981" s="302"/>
      <c r="AA981" s="302"/>
      <c r="AB981" s="302"/>
      <c r="AC981" s="302"/>
      <c r="AD981" s="302"/>
      <c r="AE981" s="302"/>
      <c r="AF981" s="302"/>
      <c r="AG981" s="302"/>
    </row>
    <row r="982" spans="1:33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335"/>
      <c r="S982" s="335"/>
      <c r="T982" s="335"/>
      <c r="U982" s="302"/>
      <c r="V982" s="302"/>
      <c r="W982" s="302"/>
      <c r="X982" s="302"/>
      <c r="Y982" s="302"/>
      <c r="Z982" s="302"/>
      <c r="AA982" s="302"/>
      <c r="AB982" s="302"/>
      <c r="AC982" s="302"/>
      <c r="AD982" s="302"/>
      <c r="AE982" s="302"/>
      <c r="AF982" s="302"/>
      <c r="AG982" s="302"/>
    </row>
    <row r="983" spans="1:33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335"/>
      <c r="S983" s="335"/>
      <c r="T983" s="335"/>
      <c r="U983" s="302"/>
      <c r="V983" s="302"/>
      <c r="W983" s="302"/>
      <c r="X983" s="302"/>
      <c r="Y983" s="302"/>
      <c r="Z983" s="302"/>
      <c r="AA983" s="302"/>
      <c r="AB983" s="302"/>
      <c r="AC983" s="302"/>
      <c r="AD983" s="302"/>
      <c r="AE983" s="302"/>
      <c r="AF983" s="302"/>
      <c r="AG983" s="302"/>
    </row>
    <row r="984" spans="1:33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335"/>
      <c r="S984" s="335"/>
      <c r="T984" s="335"/>
      <c r="U984" s="302"/>
      <c r="V984" s="302"/>
      <c r="W984" s="302"/>
      <c r="X984" s="302"/>
      <c r="Y984" s="302"/>
      <c r="Z984" s="302"/>
      <c r="AA984" s="302"/>
      <c r="AB984" s="302"/>
      <c r="AC984" s="302"/>
      <c r="AD984" s="302"/>
      <c r="AE984" s="302"/>
      <c r="AF984" s="302"/>
      <c r="AG984" s="302"/>
    </row>
    <row r="985" spans="1:33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335"/>
      <c r="S985" s="335"/>
      <c r="T985" s="335"/>
      <c r="U985" s="302"/>
      <c r="V985" s="302"/>
      <c r="W985" s="302"/>
      <c r="X985" s="302"/>
      <c r="Y985" s="302"/>
      <c r="Z985" s="302"/>
      <c r="AA985" s="302"/>
      <c r="AB985" s="302"/>
      <c r="AC985" s="302"/>
      <c r="AD985" s="302"/>
      <c r="AE985" s="302"/>
      <c r="AF985" s="302"/>
      <c r="AG985" s="302"/>
    </row>
    <row r="986" spans="1:33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335"/>
      <c r="S986" s="335"/>
      <c r="T986" s="335"/>
      <c r="U986" s="302"/>
      <c r="V986" s="302"/>
      <c r="W986" s="302"/>
      <c r="X986" s="302"/>
      <c r="Y986" s="302"/>
      <c r="Z986" s="302"/>
      <c r="AA986" s="302"/>
      <c r="AB986" s="302"/>
      <c r="AC986" s="302"/>
      <c r="AD986" s="302"/>
      <c r="AE986" s="302"/>
      <c r="AF986" s="302"/>
      <c r="AG986" s="302"/>
    </row>
    <row r="987" spans="1:33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335"/>
      <c r="S987" s="335"/>
      <c r="T987" s="335"/>
      <c r="U987" s="302"/>
      <c r="V987" s="302"/>
      <c r="W987" s="302"/>
      <c r="X987" s="302"/>
      <c r="Y987" s="302"/>
      <c r="Z987" s="302"/>
      <c r="AA987" s="302"/>
      <c r="AB987" s="302"/>
      <c r="AC987" s="302"/>
      <c r="AD987" s="302"/>
      <c r="AE987" s="302"/>
      <c r="AF987" s="302"/>
      <c r="AG987" s="302"/>
    </row>
    <row r="988" spans="1:33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335"/>
      <c r="S988" s="335"/>
      <c r="T988" s="335"/>
      <c r="U988" s="302"/>
      <c r="V988" s="302"/>
      <c r="W988" s="302"/>
      <c r="X988" s="302"/>
      <c r="Y988" s="302"/>
      <c r="Z988" s="302"/>
      <c r="AA988" s="302"/>
      <c r="AB988" s="302"/>
      <c r="AC988" s="302"/>
      <c r="AD988" s="302"/>
      <c r="AE988" s="302"/>
      <c r="AF988" s="302"/>
      <c r="AG988" s="302"/>
    </row>
    <row r="989" spans="1:33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335"/>
      <c r="S989" s="335"/>
      <c r="T989" s="335"/>
      <c r="U989" s="302"/>
      <c r="V989" s="302"/>
      <c r="W989" s="302"/>
      <c r="X989" s="302"/>
      <c r="Y989" s="302"/>
      <c r="Z989" s="302"/>
      <c r="AA989" s="302"/>
      <c r="AB989" s="302"/>
      <c r="AC989" s="302"/>
      <c r="AD989" s="302"/>
      <c r="AE989" s="302"/>
      <c r="AF989" s="302"/>
      <c r="AG989" s="302"/>
    </row>
    <row r="990" spans="1:33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335"/>
      <c r="S990" s="335"/>
      <c r="T990" s="335"/>
      <c r="U990" s="302"/>
      <c r="V990" s="302"/>
      <c r="W990" s="302"/>
      <c r="X990" s="302"/>
      <c r="Y990" s="302"/>
      <c r="Z990" s="302"/>
      <c r="AA990" s="302"/>
      <c r="AB990" s="302"/>
      <c r="AC990" s="302"/>
      <c r="AD990" s="302"/>
      <c r="AE990" s="302"/>
      <c r="AF990" s="302"/>
      <c r="AG990" s="302"/>
    </row>
    <row r="991" spans="1:33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335"/>
      <c r="S991" s="335"/>
      <c r="T991" s="335"/>
      <c r="U991" s="302"/>
      <c r="V991" s="302"/>
      <c r="W991" s="302"/>
      <c r="X991" s="302"/>
      <c r="Y991" s="302"/>
      <c r="Z991" s="302"/>
      <c r="AA991" s="302"/>
      <c r="AB991" s="302"/>
      <c r="AC991" s="302"/>
      <c r="AD991" s="302"/>
      <c r="AE991" s="302"/>
      <c r="AF991" s="302"/>
      <c r="AG991" s="302"/>
    </row>
    <row r="992" spans="1:33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335"/>
      <c r="S992" s="335"/>
      <c r="T992" s="335"/>
      <c r="U992" s="302"/>
      <c r="V992" s="302"/>
      <c r="W992" s="302"/>
      <c r="X992" s="302"/>
      <c r="Y992" s="302"/>
      <c r="Z992" s="302"/>
      <c r="AA992" s="302"/>
      <c r="AB992" s="302"/>
      <c r="AC992" s="302"/>
      <c r="AD992" s="302"/>
      <c r="AE992" s="302"/>
      <c r="AF992" s="302"/>
      <c r="AG992" s="302"/>
    </row>
    <row r="993" spans="1:33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335"/>
      <c r="S993" s="335"/>
      <c r="T993" s="335"/>
      <c r="U993" s="302"/>
      <c r="V993" s="302"/>
      <c r="W993" s="302"/>
      <c r="X993" s="302"/>
      <c r="Y993" s="302"/>
      <c r="Z993" s="302"/>
      <c r="AA993" s="302"/>
      <c r="AB993" s="302"/>
      <c r="AC993" s="302"/>
      <c r="AD993" s="302"/>
      <c r="AE993" s="302"/>
      <c r="AF993" s="302"/>
      <c r="AG993" s="302"/>
    </row>
    <row r="994" spans="1:33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335"/>
      <c r="S994" s="335"/>
      <c r="T994" s="335"/>
      <c r="U994" s="302"/>
      <c r="V994" s="302"/>
      <c r="W994" s="302"/>
      <c r="X994" s="302"/>
      <c r="Y994" s="302"/>
      <c r="Z994" s="302"/>
      <c r="AA994" s="302"/>
      <c r="AB994" s="302"/>
      <c r="AC994" s="302"/>
      <c r="AD994" s="302"/>
      <c r="AE994" s="302"/>
      <c r="AF994" s="302"/>
      <c r="AG994" s="302"/>
    </row>
    <row r="995" spans="1:33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335"/>
      <c r="S995" s="335"/>
      <c r="T995" s="335"/>
      <c r="U995" s="302"/>
      <c r="V995" s="302"/>
      <c r="W995" s="302"/>
      <c r="X995" s="302"/>
      <c r="Y995" s="302"/>
      <c r="Z995" s="302"/>
      <c r="AA995" s="302"/>
      <c r="AB995" s="302"/>
      <c r="AC995" s="302"/>
      <c r="AD995" s="302"/>
      <c r="AE995" s="302"/>
      <c r="AF995" s="302"/>
      <c r="AG995" s="302"/>
    </row>
    <row r="996" spans="1:33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335"/>
      <c r="S996" s="335"/>
      <c r="T996" s="335"/>
      <c r="U996" s="302"/>
      <c r="V996" s="302"/>
      <c r="W996" s="302"/>
      <c r="X996" s="302"/>
      <c r="Y996" s="302"/>
      <c r="Z996" s="302"/>
      <c r="AA996" s="302"/>
      <c r="AB996" s="302"/>
      <c r="AC996" s="302"/>
      <c r="AD996" s="302"/>
      <c r="AE996" s="302"/>
      <c r="AF996" s="302"/>
      <c r="AG996" s="302"/>
    </row>
    <row r="997" spans="1:33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335"/>
      <c r="S997" s="335"/>
      <c r="T997" s="335"/>
      <c r="U997" s="302"/>
      <c r="V997" s="302"/>
      <c r="W997" s="302"/>
      <c r="X997" s="302"/>
      <c r="Y997" s="302"/>
      <c r="Z997" s="302"/>
      <c r="AA997" s="302"/>
      <c r="AB997" s="302"/>
      <c r="AC997" s="302"/>
      <c r="AD997" s="302"/>
      <c r="AE997" s="302"/>
      <c r="AF997" s="302"/>
      <c r="AG997" s="302"/>
    </row>
    <row r="998" spans="1:33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335"/>
      <c r="S998" s="335"/>
      <c r="T998" s="335"/>
      <c r="U998" s="302"/>
      <c r="V998" s="302"/>
      <c r="W998" s="302"/>
      <c r="X998" s="302"/>
      <c r="Y998" s="302"/>
      <c r="Z998" s="302"/>
      <c r="AA998" s="302"/>
      <c r="AB998" s="302"/>
      <c r="AC998" s="302"/>
      <c r="AD998" s="302"/>
      <c r="AE998" s="302"/>
      <c r="AF998" s="302"/>
      <c r="AG998" s="302"/>
    </row>
    <row r="999" spans="1:33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335"/>
      <c r="S999" s="335"/>
      <c r="T999" s="335"/>
      <c r="U999" s="302"/>
      <c r="V999" s="302"/>
      <c r="W999" s="302"/>
      <c r="X999" s="302"/>
      <c r="Y999" s="302"/>
      <c r="Z999" s="302"/>
      <c r="AA999" s="302"/>
      <c r="AB999" s="302"/>
      <c r="AC999" s="302"/>
      <c r="AD999" s="302"/>
      <c r="AE999" s="302"/>
      <c r="AF999" s="302"/>
      <c r="AG999" s="302"/>
    </row>
    <row r="1000" spans="1:33" ht="12.75" x14ac:dyDescent="0.2">
      <c r="R1000" s="302"/>
      <c r="S1000" s="302"/>
      <c r="T1000" s="302"/>
      <c r="U1000" s="302"/>
      <c r="V1000" s="302"/>
      <c r="W1000" s="302"/>
      <c r="X1000" s="302"/>
      <c r="Y1000" s="302"/>
      <c r="Z1000" s="302"/>
      <c r="AA1000" s="302"/>
      <c r="AB1000" s="302"/>
      <c r="AC1000" s="302"/>
      <c r="AD1000" s="302"/>
      <c r="AE1000" s="302"/>
      <c r="AF1000" s="302"/>
      <c r="AG1000" s="302"/>
    </row>
  </sheetData>
  <mergeCells count="31"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R3:T4"/>
    <mergeCell ref="U3:W4"/>
    <mergeCell ref="X3:AB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G2"/>
    <mergeCell ref="C3:Q3"/>
    <mergeCell ref="AC3:AG4"/>
    <mergeCell ref="J4:Q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2023-09-11T03:01:33Z</cp:lastPrinted>
  <dcterms:modified xsi:type="dcterms:W3CDTF">2023-09-11T03:06:11Z</dcterms:modified>
</cp:coreProperties>
</file>